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hidePivotFieldList="1" defaultThemeVersion="124226"/>
  <mc:AlternateContent xmlns:mc="http://schemas.openxmlformats.org/markup-compatibility/2006">
    <mc:Choice Requires="x15">
      <x15ac:absPath xmlns:x15ac="http://schemas.microsoft.com/office/spreadsheetml/2010/11/ac" url="C:\Users\mahmad\Documents\CodingProjects\mekaeelgit\Quotes\"/>
    </mc:Choice>
  </mc:AlternateContent>
  <xr:revisionPtr revIDLastSave="0" documentId="8_{CC1FF518-E257-41DA-8904-B7ABE45905DB}" xr6:coauthVersionLast="47" xr6:coauthVersionMax="47" xr10:uidLastSave="{00000000-0000-0000-0000-000000000000}"/>
  <bookViews>
    <workbookView xWindow="3510" yWindow="3510" windowWidth="21600" windowHeight="11295" xr2:uid="{00000000-000D-0000-FFFF-FFFF00000000}"/>
  </bookViews>
  <sheets>
    <sheet name="Using Sales Activity Sheet" sheetId="30" r:id="rId1"/>
    <sheet name="Blank Quote" sheetId="2" r:id="rId2"/>
    <sheet name="Distributor" sheetId="17" r:id="rId3"/>
    <sheet name="CA Multi Tenprint" sheetId="29" r:id="rId4"/>
    <sheet name="Non_CA Multi Tenprint" sheetId="24" r:id="rId5"/>
    <sheet name="T&amp;C" sheetId="8" r:id="rId6"/>
    <sheet name="Raw BOM" sheetId="1" r:id="rId7"/>
    <sheet name="NY Sole Source" sheetId="32" r:id="rId8"/>
    <sheet name="Pricing Model" sheetId="4" r:id="rId9"/>
    <sheet name="FL Contract Prices" sheetId="25" r:id="rId10"/>
    <sheet name="FL Part Num Mapping" sheetId="27" r:id="rId11"/>
    <sheet name="NY Contract" sheetId="28" r:id="rId12"/>
    <sheet name="Sheet1" sheetId="31" r:id="rId13"/>
    <sheet name="Raw BOM Full" sheetId="26" r:id="rId14"/>
  </sheets>
  <externalReferences>
    <externalReference r:id="rId15"/>
    <externalReference r:id="rId16"/>
    <externalReference r:id="rId17"/>
    <externalReference r:id="rId18"/>
    <externalReference r:id="rId19"/>
    <externalReference r:id="rId20"/>
    <externalReference r:id="rId21"/>
  </externalReferences>
  <definedNames>
    <definedName name="_xlnm._FilterDatabase" localSheetId="11" hidden="1">'NY Contract'!$A$1:$E$157</definedName>
    <definedName name="_xlnm._FilterDatabase" localSheetId="6" hidden="1">'Raw BOM'!$A$2:$Y$213</definedName>
    <definedName name="_xlnm._FilterDatabase" localSheetId="13" hidden="1">'Raw BOM Full'!$A$2:$X$127</definedName>
    <definedName name="_xlnm._FilterDatabase" localSheetId="12" hidden="1">Sheet1!$A$1:$G$222</definedName>
    <definedName name="Acc">[1]Product!$A$80:$A$95</definedName>
    <definedName name="accesories" localSheetId="3">#REF!</definedName>
    <definedName name="accesories" localSheetId="10">#REF!</definedName>
    <definedName name="accesories">#REF!</definedName>
    <definedName name="BOM_NAME" localSheetId="13">'Raw BOM Full'!$B$3:$B$125</definedName>
    <definedName name="BOM_NAME">'Raw BOM'!$B$3:$B$115</definedName>
    <definedName name="Comment_Comp">[2]Comments!$B$53:$B$59</definedName>
    <definedName name="Comment_Con">[2]Comments!$B$22:$B$49</definedName>
    <definedName name="Comment_TOT">[2]Comments!$B$6:$B$18</definedName>
    <definedName name="Comments">[1]Comments!$A$4:$A$13</definedName>
    <definedName name="Conn">[1]Product!$A$101:$A$120</definedName>
    <definedName name="CustomerType" localSheetId="3">#REF!</definedName>
    <definedName name="CustomerType" localSheetId="10">#REF!</definedName>
    <definedName name="CustomerType">#REF!</definedName>
    <definedName name="Discounts">[2]Discounts!$A$2:$A$38</definedName>
    <definedName name="Discounts_CA">[2]Discounts!$A$3:$A$23</definedName>
    <definedName name="GSAMaintenance">'[1]2012 Maintenance Price List'!$A$3:$M$116</definedName>
    <definedName name="GSAProducts">'[1]2012 Product Price List'!$A$4:$AG$95</definedName>
    <definedName name="Hardware" localSheetId="3">#REF!</definedName>
    <definedName name="Hardware" localSheetId="10">#REF!</definedName>
    <definedName name="Hardware">#REF!</definedName>
    <definedName name="HW_ACCESORIES">'[3]Cost Sheet'!$A$36:$A$59</definedName>
    <definedName name="HW_Computer">'[3]Cost Sheet'!$A$5:$A$21</definedName>
    <definedName name="HW_Scanners">'[3]Cost Sheet'!$A$23:$A$34</definedName>
    <definedName name="Instal">[1]Product!$A$123:$A$147</definedName>
    <definedName name="LS4GSystems">'[1]2012 Product Price List'!$A$4:$A$11</definedName>
    <definedName name="MAINT" localSheetId="3">#REF!</definedName>
    <definedName name="MAINT" localSheetId="10">#REF!</definedName>
    <definedName name="MAINT">#REF!</definedName>
    <definedName name="MAINTCA" localSheetId="3">#REF!</definedName>
    <definedName name="MAINTCA" localSheetId="10">#REF!</definedName>
    <definedName name="MAINTCA">#REF!</definedName>
    <definedName name="Maintenance">'[1]2012 Maintenance Price List'!$A$118:$A$120</definedName>
    <definedName name="Maintenance_Level">'[3]Maintenance Selection'!$B$4:$B$8</definedName>
    <definedName name="MaintenanceGSA">'[1]2012 Maintenance Price List'!$A$4:$A$116</definedName>
    <definedName name="Opt">[1]Product!$A$182:$A$192</definedName>
    <definedName name="Other">[2]Comments!$B$61:$B$64</definedName>
    <definedName name="PC">[1]Product!$A$68:$A$76</definedName>
    <definedName name="_xlnm.Print_Area" localSheetId="1">'Blank Quote'!$G$2:$V$54</definedName>
    <definedName name="_xlnm.Print_Area" localSheetId="3">'CA Multi Tenprint'!$G$1:$V$159</definedName>
    <definedName name="_xlnm.Print_Area" localSheetId="2">Distributor!$G$1:$V$54</definedName>
    <definedName name="_xlnm.Print_Area" localSheetId="4">'Non_CA Multi Tenprint'!$G$1:$V$162</definedName>
    <definedName name="_xlnm.Print_Titles" localSheetId="10">'FL Part Num Mapping'!$1:$1</definedName>
    <definedName name="Product_Pricelist">'[1]2012 Product Price List'!$A$1:$P$113</definedName>
    <definedName name="Product_SW">'[1]2012 Product Price List'!$A$67:$A$85</definedName>
    <definedName name="salesperson">[2]Salesperson!$B$4:$B$11</definedName>
    <definedName name="SAM_age">'[2]SAM Program Pricing'!$R$22:$R$31</definedName>
    <definedName name="SAM_Maint">'[2]SAM Program Pricing'!$Q$22:$Q$25</definedName>
    <definedName name="SAM_pricing">'[2]SAM Program Pricing'!$A$22:$K$57</definedName>
    <definedName name="SAM_scanners">[2]Comments!$B$78:$B$81</definedName>
    <definedName name="SAM_Trans">'[2]SAM Program Pricing'!$S$22:$S$26</definedName>
    <definedName name="Scan">[1]Product!$B$47:$B$62</definedName>
    <definedName name="Services" localSheetId="3">#REF!</definedName>
    <definedName name="Services" localSheetId="10">#REF!</definedName>
    <definedName name="Services">#REF!</definedName>
    <definedName name="Services_Pricelist">'[1]2012 Maintenance Price List'!$A$1:$M$119</definedName>
    <definedName name="Shipping">[1]Product!$A$197:$A$202</definedName>
    <definedName name="Shipping_Services">'[1]2012 Product Price List'!$A$109:$A$112</definedName>
    <definedName name="Software" localSheetId="3">#REF!</definedName>
    <definedName name="Software" localSheetId="10">#REF!</definedName>
    <definedName name="Software">#REF!</definedName>
    <definedName name="SVCSLS">'[1]2012 Maintenance Price List'!$A$4:$A$7</definedName>
    <definedName name="SW">[1]Product!$A$19:$A$45</definedName>
    <definedName name="Systems" localSheetId="3">#REF!</definedName>
    <definedName name="Systems" localSheetId="10">#REF!</definedName>
    <definedName name="Systems">#REF!</definedName>
    <definedName name="transactions">[4]List!$A$6:$A$9</definedName>
    <definedName name="Type_pricelist">[2]TypePricelist!$A$6:$A$28</definedName>
    <definedName name="Warranty" localSheetId="3">#REF!</definedName>
    <definedName name="Warranty" localSheetId="10">#REF!</definedName>
    <definedName name="Warranty">#REF!</definedName>
    <definedName name="Years">[4]List!$A$11:$A$14</definedName>
    <definedName name="YESNO">[2]Comments!$A$71:$C$71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5" i="29" l="1"/>
  <c r="C145" i="29"/>
  <c r="B145" i="29"/>
  <c r="D145" i="29" s="1"/>
  <c r="E144" i="29"/>
  <c r="C144" i="29"/>
  <c r="B144" i="29"/>
  <c r="D144" i="29" s="1"/>
  <c r="E92" i="29"/>
  <c r="C92" i="29"/>
  <c r="B92" i="29"/>
  <c r="D92" i="29" s="1"/>
  <c r="E91" i="29"/>
  <c r="C91" i="29"/>
  <c r="B91" i="29"/>
  <c r="D91" i="29" s="1"/>
  <c r="B39" i="29"/>
  <c r="D39" i="29" s="1"/>
  <c r="B38" i="29"/>
  <c r="D38" i="29" s="1"/>
  <c r="B147" i="24" l="1"/>
  <c r="B146" i="24"/>
  <c r="B93" i="24"/>
  <c r="B92" i="24"/>
  <c r="B39" i="24"/>
  <c r="B38" i="24"/>
  <c r="E147" i="24"/>
  <c r="K147" i="24" s="1"/>
  <c r="E146" i="24"/>
  <c r="K146" i="24" s="1"/>
  <c r="E145" i="24"/>
  <c r="E144" i="24"/>
  <c r="E143" i="24"/>
  <c r="E142" i="24"/>
  <c r="E141" i="24"/>
  <c r="E140" i="24"/>
  <c r="E139" i="24"/>
  <c r="E138" i="24"/>
  <c r="E137" i="24"/>
  <c r="E136" i="24"/>
  <c r="E135" i="24"/>
  <c r="E134" i="24"/>
  <c r="E133" i="24"/>
  <c r="E132" i="24"/>
  <c r="E131" i="24"/>
  <c r="E130" i="24"/>
  <c r="E129" i="24"/>
  <c r="E128" i="24"/>
  <c r="E93" i="24"/>
  <c r="K93" i="24" s="1"/>
  <c r="E92" i="24"/>
  <c r="S92" i="24" s="1"/>
  <c r="E91" i="24"/>
  <c r="S91" i="24" s="1"/>
  <c r="E90" i="24"/>
  <c r="E89" i="24"/>
  <c r="E88" i="24"/>
  <c r="E87" i="24"/>
  <c r="E86" i="24"/>
  <c r="E85" i="24"/>
  <c r="E84" i="24"/>
  <c r="E83" i="24"/>
  <c r="E82" i="24"/>
  <c r="E81" i="24"/>
  <c r="E80" i="24"/>
  <c r="E79" i="24"/>
  <c r="E78" i="24"/>
  <c r="E77" i="24"/>
  <c r="E76" i="24"/>
  <c r="E75" i="24"/>
  <c r="E74" i="24"/>
  <c r="E39" i="24"/>
  <c r="K39" i="24" s="1"/>
  <c r="E38" i="24"/>
  <c r="K38" i="24" s="1"/>
  <c r="E37" i="24"/>
  <c r="S37" i="24" s="1"/>
  <c r="E36" i="24"/>
  <c r="E35" i="24"/>
  <c r="E34" i="24"/>
  <c r="E33" i="24"/>
  <c r="E32" i="24"/>
  <c r="E31" i="24"/>
  <c r="E30" i="24"/>
  <c r="E29" i="24"/>
  <c r="R37" i="24"/>
  <c r="S36" i="24"/>
  <c r="R36" i="24"/>
  <c r="C147" i="24"/>
  <c r="V147" i="24" s="1"/>
  <c r="C146" i="24"/>
  <c r="V146" i="24" s="1"/>
  <c r="C92" i="24"/>
  <c r="V92" i="24" s="1"/>
  <c r="C93" i="24"/>
  <c r="Q93" i="24" s="1"/>
  <c r="R145" i="24"/>
  <c r="R144" i="24"/>
  <c r="I147" i="24"/>
  <c r="O147" i="24" s="1"/>
  <c r="U147" i="24" s="1"/>
  <c r="R91" i="24"/>
  <c r="S90" i="24"/>
  <c r="R90" i="24"/>
  <c r="E143" i="29"/>
  <c r="E142" i="29"/>
  <c r="E90" i="29"/>
  <c r="E89" i="29"/>
  <c r="E39" i="29"/>
  <c r="E38" i="29"/>
  <c r="E37" i="29"/>
  <c r="E36" i="29"/>
  <c r="E35" i="29"/>
  <c r="A107" i="29"/>
  <c r="B107" i="29"/>
  <c r="E107" i="29" s="1"/>
  <c r="A108" i="29"/>
  <c r="A109" i="29"/>
  <c r="A110" i="29"/>
  <c r="A111" i="29"/>
  <c r="A112" i="29"/>
  <c r="A113" i="29"/>
  <c r="A114" i="29"/>
  <c r="A115" i="29"/>
  <c r="A116" i="29"/>
  <c r="A117" i="29"/>
  <c r="A118" i="29"/>
  <c r="B118" i="29"/>
  <c r="A119" i="29"/>
  <c r="B119" i="29"/>
  <c r="A120" i="29"/>
  <c r="A121" i="29"/>
  <c r="A122" i="29"/>
  <c r="B125" i="29"/>
  <c r="C125" i="29"/>
  <c r="E125" i="29"/>
  <c r="B126" i="29"/>
  <c r="A126" i="29" s="1"/>
  <c r="C126" i="29"/>
  <c r="E126" i="29"/>
  <c r="A127" i="29"/>
  <c r="C127" i="29"/>
  <c r="E127" i="29"/>
  <c r="B128" i="29"/>
  <c r="C128" i="29"/>
  <c r="E128" i="29"/>
  <c r="B129" i="29"/>
  <c r="C129" i="29"/>
  <c r="E129" i="29"/>
  <c r="B130" i="29"/>
  <c r="A130" i="29" s="1"/>
  <c r="C130" i="29"/>
  <c r="E130" i="29"/>
  <c r="B131" i="29"/>
  <c r="C131" i="29"/>
  <c r="E131" i="29"/>
  <c r="B132" i="29"/>
  <c r="A132" i="29" s="1"/>
  <c r="C132" i="29"/>
  <c r="E132" i="29"/>
  <c r="B133" i="29"/>
  <c r="C133" i="29"/>
  <c r="E133" i="29"/>
  <c r="B134" i="29"/>
  <c r="C134" i="29"/>
  <c r="E134" i="29"/>
  <c r="B135" i="29"/>
  <c r="A135" i="29" s="1"/>
  <c r="C135" i="29"/>
  <c r="E135" i="29"/>
  <c r="B136" i="29"/>
  <c r="C136" i="29"/>
  <c r="E136" i="29"/>
  <c r="B137" i="29"/>
  <c r="C137" i="29"/>
  <c r="E137" i="29"/>
  <c r="B138" i="29"/>
  <c r="C138" i="29"/>
  <c r="E138" i="29"/>
  <c r="B139" i="29"/>
  <c r="A139" i="29" s="1"/>
  <c r="C139" i="29"/>
  <c r="E139" i="29"/>
  <c r="B140" i="29"/>
  <c r="A140" i="29" s="1"/>
  <c r="C140" i="29"/>
  <c r="E140" i="29"/>
  <c r="B141" i="29"/>
  <c r="C141" i="29"/>
  <c r="E141" i="29"/>
  <c r="A142" i="29"/>
  <c r="C142" i="29"/>
  <c r="A143" i="29"/>
  <c r="C143" i="29"/>
  <c r="A144" i="29"/>
  <c r="A145" i="29"/>
  <c r="A109" i="24"/>
  <c r="E109" i="24"/>
  <c r="V51" i="1"/>
  <c r="S51" i="1"/>
  <c r="T51" i="1" s="1"/>
  <c r="L51" i="1"/>
  <c r="J51" i="1"/>
  <c r="H51" i="1"/>
  <c r="L147" i="1"/>
  <c r="L149" i="1"/>
  <c r="L111" i="1"/>
  <c r="L97" i="1"/>
  <c r="L76" i="1"/>
  <c r="A146" i="24" l="1"/>
  <c r="G146" i="24" s="1"/>
  <c r="M146" i="24" s="1"/>
  <c r="S146" i="24" s="1"/>
  <c r="I92" i="24"/>
  <c r="O92" i="24" s="1"/>
  <c r="U92" i="24" s="1"/>
  <c r="A125" i="29"/>
  <c r="G125" i="29" s="1"/>
  <c r="M125" i="29" s="1"/>
  <c r="S125" i="29" s="1"/>
  <c r="I91" i="24"/>
  <c r="O91" i="24" s="1"/>
  <c r="U91" i="24" s="1"/>
  <c r="K91" i="24"/>
  <c r="A93" i="24"/>
  <c r="G93" i="24" s="1"/>
  <c r="M93" i="24" s="1"/>
  <c r="E51" i="1"/>
  <c r="D51" i="1" s="1"/>
  <c r="I51" i="1" s="1"/>
  <c r="V93" i="24"/>
  <c r="A147" i="24"/>
  <c r="G147" i="24" s="1"/>
  <c r="M147" i="24" s="1"/>
  <c r="S147" i="24" s="1"/>
  <c r="A134" i="29"/>
  <c r="S93" i="24"/>
  <c r="I38" i="24"/>
  <c r="O38" i="24" s="1"/>
  <c r="U38" i="24" s="1"/>
  <c r="I146" i="24"/>
  <c r="O146" i="24" s="1"/>
  <c r="U146" i="24" s="1"/>
  <c r="I93" i="24"/>
  <c r="O93" i="24" s="1"/>
  <c r="U93" i="24" s="1"/>
  <c r="Q146" i="24"/>
  <c r="I39" i="24"/>
  <c r="O39" i="24" s="1"/>
  <c r="U39" i="24" s="1"/>
  <c r="S39" i="24"/>
  <c r="A92" i="24"/>
  <c r="G92" i="24" s="1"/>
  <c r="M92" i="24" s="1"/>
  <c r="A128" i="29"/>
  <c r="G128" i="29" s="1"/>
  <c r="M128" i="29" s="1"/>
  <c r="S128" i="29" s="1"/>
  <c r="K92" i="24"/>
  <c r="A131" i="29"/>
  <c r="A133" i="29"/>
  <c r="Q92" i="24"/>
  <c r="S38" i="24"/>
  <c r="Q147" i="24"/>
  <c r="A136" i="29"/>
  <c r="A137" i="29"/>
  <c r="B122" i="29"/>
  <c r="A141" i="29"/>
  <c r="G141" i="29" s="1"/>
  <c r="M141" i="29" s="1"/>
  <c r="S141" i="29" s="1"/>
  <c r="A129" i="29"/>
  <c r="B121" i="29"/>
  <c r="A138" i="29"/>
  <c r="G138" i="29" s="1"/>
  <c r="M138" i="29" s="1"/>
  <c r="S138" i="29" s="1"/>
  <c r="E110" i="29"/>
  <c r="E108" i="29"/>
  <c r="E111" i="29"/>
  <c r="E109" i="29"/>
  <c r="G51" i="1"/>
  <c r="B10" i="2"/>
  <c r="B116" i="29" s="1"/>
  <c r="B9" i="2"/>
  <c r="B8" i="2"/>
  <c r="B114" i="29" s="1"/>
  <c r="BF2" i="30"/>
  <c r="BG2" i="30"/>
  <c r="B6" i="2"/>
  <c r="B5" i="2"/>
  <c r="B4" i="2"/>
  <c r="B110" i="29" s="1"/>
  <c r="B2" i="2"/>
  <c r="B108" i="29"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3" i="1"/>
  <c r="G190" i="1"/>
  <c r="G189" i="1"/>
  <c r="G174" i="1"/>
  <c r="G173" i="1"/>
  <c r="G165" i="1"/>
  <c r="G164" i="1"/>
  <c r="G163" i="1"/>
  <c r="G159" i="1"/>
  <c r="G156" i="1"/>
  <c r="G144" i="1"/>
  <c r="G142" i="1"/>
  <c r="G140" i="1"/>
  <c r="G139" i="1"/>
  <c r="G138" i="1"/>
  <c r="G137" i="1"/>
  <c r="G136" i="1"/>
  <c r="G135" i="1"/>
  <c r="G134" i="1"/>
  <c r="G133" i="1"/>
  <c r="G131" i="1"/>
  <c r="G130" i="1"/>
  <c r="G129" i="1"/>
  <c r="G127" i="1"/>
  <c r="G123" i="1"/>
  <c r="G120" i="1"/>
  <c r="G119" i="1"/>
  <c r="G117" i="1"/>
  <c r="G116" i="1"/>
  <c r="G115" i="1"/>
  <c r="G114" i="1"/>
  <c r="G113" i="1"/>
  <c r="G111" i="1"/>
  <c r="G110" i="1"/>
  <c r="G109" i="1"/>
  <c r="G108" i="1"/>
  <c r="G107" i="1"/>
  <c r="G106" i="1"/>
  <c r="G105" i="1"/>
  <c r="G104" i="1"/>
  <c r="G102" i="1"/>
  <c r="G101" i="1"/>
  <c r="G100" i="1"/>
  <c r="G99" i="1"/>
  <c r="G98" i="1"/>
  <c r="G97" i="1"/>
  <c r="G95" i="1"/>
  <c r="G94" i="1"/>
  <c r="G93" i="1"/>
  <c r="G89" i="1"/>
  <c r="G86" i="1"/>
  <c r="G85" i="1"/>
  <c r="G84" i="1"/>
  <c r="G83" i="1"/>
  <c r="G79" i="1"/>
  <c r="G78" i="1"/>
  <c r="G77" i="1"/>
  <c r="G76" i="1"/>
  <c r="G75" i="1"/>
  <c r="G72" i="1"/>
  <c r="G71" i="1"/>
  <c r="G68" i="1"/>
  <c r="G67" i="1"/>
  <c r="G64" i="1"/>
  <c r="G63" i="1"/>
  <c r="G61" i="1"/>
  <c r="G60" i="1"/>
  <c r="G57" i="1"/>
  <c r="G56" i="1"/>
  <c r="G55" i="1"/>
  <c r="G54" i="1"/>
  <c r="G53" i="1"/>
  <c r="G52" i="1"/>
  <c r="G48" i="1"/>
  <c r="G47" i="1"/>
  <c r="G46" i="1"/>
  <c r="G45" i="1"/>
  <c r="G43" i="1"/>
  <c r="G42" i="1"/>
  <c r="G31" i="1"/>
  <c r="G30" i="1"/>
  <c r="G24" i="1"/>
  <c r="G23" i="1"/>
  <c r="G19" i="1"/>
  <c r="G18" i="1"/>
  <c r="G17" i="1"/>
  <c r="G16" i="1"/>
  <c r="G15" i="1"/>
  <c r="G14" i="1"/>
  <c r="G13" i="1"/>
  <c r="G12" i="1"/>
  <c r="G11" i="1"/>
  <c r="G10" i="1"/>
  <c r="G9" i="1"/>
  <c r="G8" i="1"/>
  <c r="G7" i="1"/>
  <c r="G6" i="1"/>
  <c r="G5" i="1"/>
  <c r="G4" i="1"/>
  <c r="G3" i="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2" i="28"/>
  <c r="L15" i="1"/>
  <c r="J15" i="1"/>
  <c r="J45" i="1"/>
  <c r="L45" i="1"/>
  <c r="S45" i="1"/>
  <c r="T45" i="1" s="1"/>
  <c r="V45" i="1"/>
  <c r="I118" i="1"/>
  <c r="J118" i="1"/>
  <c r="L118" i="1"/>
  <c r="S118" i="1"/>
  <c r="T118" i="1" s="1"/>
  <c r="V118" i="1"/>
  <c r="N58" i="24"/>
  <c r="N57" i="24"/>
  <c r="N3" i="24"/>
  <c r="N4" i="24"/>
  <c r="N112" i="24"/>
  <c r="N111" i="24"/>
  <c r="N57" i="29"/>
  <c r="N56" i="29"/>
  <c r="N4" i="29"/>
  <c r="N3" i="29"/>
  <c r="N110" i="29"/>
  <c r="N109" i="29"/>
  <c r="M4" i="2"/>
  <c r="M3" i="2"/>
  <c r="A124" i="24"/>
  <c r="A123" i="24"/>
  <c r="A122" i="24"/>
  <c r="A121" i="24"/>
  <c r="A120" i="24"/>
  <c r="A119" i="24"/>
  <c r="A118" i="24"/>
  <c r="A117" i="24"/>
  <c r="A116" i="24"/>
  <c r="A115" i="24"/>
  <c r="A114" i="24"/>
  <c r="A113" i="24"/>
  <c r="A112" i="24"/>
  <c r="A111" i="24"/>
  <c r="A110" i="24"/>
  <c r="K145" i="24"/>
  <c r="I145" i="24"/>
  <c r="O145" i="24" s="1"/>
  <c r="U145" i="24" s="1"/>
  <c r="K37" i="24"/>
  <c r="I37" i="24"/>
  <c r="O37" i="24" s="1"/>
  <c r="U37" i="24" s="1"/>
  <c r="K92" i="29"/>
  <c r="I92" i="29"/>
  <c r="O92" i="29" s="1"/>
  <c r="U92" i="29" s="1"/>
  <c r="K91" i="29"/>
  <c r="I91" i="29"/>
  <c r="O91" i="29" s="1"/>
  <c r="U91" i="29" s="1"/>
  <c r="K90" i="29"/>
  <c r="I90" i="29"/>
  <c r="O90" i="29" s="1"/>
  <c r="U90" i="29" s="1"/>
  <c r="K145" i="29"/>
  <c r="I145" i="29"/>
  <c r="O145" i="29" s="1"/>
  <c r="U145" i="29" s="1"/>
  <c r="K144" i="29"/>
  <c r="I144" i="29"/>
  <c r="O144" i="29" s="1"/>
  <c r="U144" i="29" s="1"/>
  <c r="K143" i="29"/>
  <c r="I143" i="29"/>
  <c r="O143" i="29" s="1"/>
  <c r="U143" i="29" s="1"/>
  <c r="K39" i="29"/>
  <c r="I39" i="29"/>
  <c r="O39" i="29" s="1"/>
  <c r="U39" i="29" s="1"/>
  <c r="K38" i="29"/>
  <c r="I38" i="29"/>
  <c r="O38" i="29" s="1"/>
  <c r="U38" i="29" s="1"/>
  <c r="K37" i="29"/>
  <c r="I37" i="29"/>
  <c r="O37" i="29" s="1"/>
  <c r="U37" i="29" s="1"/>
  <c r="P205" i="1"/>
  <c r="P200" i="1"/>
  <c r="J200" i="1"/>
  <c r="H200" i="1"/>
  <c r="P47" i="1"/>
  <c r="V64" i="1"/>
  <c r="S64" i="1"/>
  <c r="T64" i="1" s="1"/>
  <c r="L64" i="1"/>
  <c r="J64" i="1"/>
  <c r="V62" i="1"/>
  <c r="S62" i="1"/>
  <c r="T62" i="1" s="1"/>
  <c r="L62" i="1"/>
  <c r="J62" i="1"/>
  <c r="V60" i="1"/>
  <c r="S60" i="1"/>
  <c r="T60" i="1" s="1"/>
  <c r="L60" i="1"/>
  <c r="J60" i="1"/>
  <c r="V63" i="1"/>
  <c r="S63" i="1"/>
  <c r="T63" i="1" s="1"/>
  <c r="L63" i="1"/>
  <c r="J63" i="1"/>
  <c r="I113" i="1"/>
  <c r="J113" i="1"/>
  <c r="L113" i="1"/>
  <c r="S113" i="1"/>
  <c r="T113" i="1" s="1"/>
  <c r="V113" i="1"/>
  <c r="V111" i="1"/>
  <c r="S111" i="1"/>
  <c r="T111" i="1" s="1"/>
  <c r="J111" i="1"/>
  <c r="V79" i="1"/>
  <c r="S79" i="1"/>
  <c r="T79" i="1" s="1"/>
  <c r="L79" i="1"/>
  <c r="J79" i="1"/>
  <c r="A21" i="29"/>
  <c r="G21" i="29" s="1"/>
  <c r="M21" i="29" s="1"/>
  <c r="S21" i="29" s="1"/>
  <c r="I21" i="29"/>
  <c r="V114" i="1"/>
  <c r="S114" i="1"/>
  <c r="T114" i="1" s="1"/>
  <c r="L114" i="1"/>
  <c r="J114" i="1"/>
  <c r="J213" i="1"/>
  <c r="J212" i="1"/>
  <c r="J211" i="1"/>
  <c r="J210" i="1"/>
  <c r="J209" i="1"/>
  <c r="J208" i="1"/>
  <c r="J207" i="1"/>
  <c r="J206" i="1"/>
  <c r="J204" i="1"/>
  <c r="J203" i="1"/>
  <c r="J202" i="1"/>
  <c r="J201"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7" i="1"/>
  <c r="J116" i="1"/>
  <c r="J115" i="1"/>
  <c r="J112"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8" i="1"/>
  <c r="J77" i="1"/>
  <c r="J76" i="1"/>
  <c r="J75" i="1"/>
  <c r="J74" i="1"/>
  <c r="J73" i="1"/>
  <c r="J72" i="1"/>
  <c r="J71" i="1"/>
  <c r="J70" i="1"/>
  <c r="J69" i="1"/>
  <c r="J68" i="1"/>
  <c r="J67" i="1"/>
  <c r="J66" i="1"/>
  <c r="J65" i="1"/>
  <c r="J61"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4" i="1"/>
  <c r="J3" i="1"/>
  <c r="I160" i="1"/>
  <c r="E179" i="1"/>
  <c r="D179" i="1" s="1"/>
  <c r="H179" i="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2" i="25"/>
  <c r="B15" i="2"/>
  <c r="G48" i="2" s="1"/>
  <c r="V15" i="1"/>
  <c r="S15" i="1"/>
  <c r="T15" i="1" s="1"/>
  <c r="I184" i="1"/>
  <c r="I182" i="1"/>
  <c r="E39" i="17"/>
  <c r="E38" i="17"/>
  <c r="I38" i="17" s="1"/>
  <c r="E37" i="17"/>
  <c r="E36" i="17"/>
  <c r="B21" i="17"/>
  <c r="R90" i="29"/>
  <c r="R89" i="29"/>
  <c r="R37" i="29"/>
  <c r="R36" i="29"/>
  <c r="R143" i="29"/>
  <c r="R142" i="29"/>
  <c r="N94" i="29"/>
  <c r="Q92" i="29"/>
  <c r="A92" i="29"/>
  <c r="G92" i="29" s="1"/>
  <c r="M92" i="29" s="1"/>
  <c r="S92" i="29" s="1"/>
  <c r="V91" i="29"/>
  <c r="A91" i="29"/>
  <c r="G91" i="29" s="1"/>
  <c r="M91" i="29" s="1"/>
  <c r="S91" i="29" s="1"/>
  <c r="C90" i="29"/>
  <c r="V90" i="29" s="1"/>
  <c r="A90" i="29"/>
  <c r="G90" i="29" s="1"/>
  <c r="M90" i="29" s="1"/>
  <c r="S90" i="29" s="1"/>
  <c r="K89" i="29"/>
  <c r="I89" i="29"/>
  <c r="O89" i="29" s="1"/>
  <c r="U89" i="29" s="1"/>
  <c r="C89" i="29"/>
  <c r="V89" i="29" s="1"/>
  <c r="A89" i="29"/>
  <c r="G89" i="29" s="1"/>
  <c r="M89" i="29" s="1"/>
  <c r="S89" i="29" s="1"/>
  <c r="E88" i="29"/>
  <c r="K88" i="29" s="1"/>
  <c r="C88" i="29"/>
  <c r="Q88" i="29" s="1"/>
  <c r="B88" i="29"/>
  <c r="E87" i="29"/>
  <c r="K87" i="29" s="1"/>
  <c r="C87" i="29"/>
  <c r="Q87" i="29" s="1"/>
  <c r="B87" i="29"/>
  <c r="E86" i="29"/>
  <c r="C86" i="29"/>
  <c r="Q86" i="29" s="1"/>
  <c r="B86" i="29"/>
  <c r="E85" i="29"/>
  <c r="K85" i="29" s="1"/>
  <c r="C85" i="29"/>
  <c r="R85" i="29" s="1"/>
  <c r="B85" i="29"/>
  <c r="E84" i="29"/>
  <c r="K84" i="29" s="1"/>
  <c r="C84" i="29"/>
  <c r="B84" i="29"/>
  <c r="E83" i="29"/>
  <c r="K83" i="29" s="1"/>
  <c r="C83" i="29"/>
  <c r="B83" i="29"/>
  <c r="E82" i="29"/>
  <c r="K82" i="29" s="1"/>
  <c r="C82" i="29"/>
  <c r="Q82" i="29" s="1"/>
  <c r="B82" i="29"/>
  <c r="E81" i="29"/>
  <c r="K81" i="29" s="1"/>
  <c r="C81" i="29"/>
  <c r="B81" i="29"/>
  <c r="E80" i="29"/>
  <c r="C80" i="29"/>
  <c r="Q80" i="29" s="1"/>
  <c r="B80" i="29"/>
  <c r="E79" i="29"/>
  <c r="K79" i="29" s="1"/>
  <c r="C79" i="29"/>
  <c r="Q79" i="29" s="1"/>
  <c r="B79" i="29"/>
  <c r="E78" i="29"/>
  <c r="C78" i="29"/>
  <c r="Q78" i="29" s="1"/>
  <c r="B78" i="29"/>
  <c r="E77" i="29"/>
  <c r="K77" i="29" s="1"/>
  <c r="C77" i="29"/>
  <c r="Q77" i="29" s="1"/>
  <c r="B77" i="29"/>
  <c r="E76" i="29"/>
  <c r="K76" i="29" s="1"/>
  <c r="C76" i="29"/>
  <c r="B76" i="29"/>
  <c r="E75" i="29"/>
  <c r="K75" i="29" s="1"/>
  <c r="C75" i="29"/>
  <c r="B75" i="29"/>
  <c r="K74" i="29"/>
  <c r="I74" i="29"/>
  <c r="O74" i="29" s="1"/>
  <c r="U74" i="29" s="1"/>
  <c r="A74" i="29"/>
  <c r="G74" i="29" s="1"/>
  <c r="M74" i="29" s="1"/>
  <c r="S74" i="29" s="1"/>
  <c r="E73" i="29"/>
  <c r="K73" i="29" s="1"/>
  <c r="C73" i="29"/>
  <c r="Q73" i="29" s="1"/>
  <c r="B73" i="29"/>
  <c r="A73" i="29" s="1"/>
  <c r="G73" i="29" s="1"/>
  <c r="M73" i="29" s="1"/>
  <c r="S73" i="29" s="1"/>
  <c r="E72" i="29"/>
  <c r="K72" i="29" s="1"/>
  <c r="C72" i="29"/>
  <c r="B72" i="29"/>
  <c r="I69" i="29"/>
  <c r="G69" i="29"/>
  <c r="B66" i="29"/>
  <c r="Q69" i="29" s="1"/>
  <c r="B65" i="29"/>
  <c r="L69" i="29" s="1"/>
  <c r="B54" i="29"/>
  <c r="B68" i="29" s="1"/>
  <c r="G101" i="29" s="1"/>
  <c r="N41" i="29"/>
  <c r="C39" i="29"/>
  <c r="Q39" i="29" s="1"/>
  <c r="A39" i="29"/>
  <c r="G39" i="29" s="1"/>
  <c r="M39" i="29" s="1"/>
  <c r="S39" i="29" s="1"/>
  <c r="C38" i="29"/>
  <c r="V38" i="29" s="1"/>
  <c r="A38" i="29"/>
  <c r="G38" i="29" s="1"/>
  <c r="M38" i="29" s="1"/>
  <c r="S38" i="29" s="1"/>
  <c r="C37" i="29"/>
  <c r="V37" i="29" s="1"/>
  <c r="A37" i="29"/>
  <c r="G37" i="29" s="1"/>
  <c r="M37" i="29" s="1"/>
  <c r="S37" i="29" s="1"/>
  <c r="K36" i="29"/>
  <c r="I36" i="29"/>
  <c r="O36" i="29" s="1"/>
  <c r="U36" i="29" s="1"/>
  <c r="C36" i="29"/>
  <c r="A36" i="29"/>
  <c r="G36" i="29" s="1"/>
  <c r="M36" i="29" s="1"/>
  <c r="S36" i="29" s="1"/>
  <c r="C35" i="29"/>
  <c r="Q35" i="29" s="1"/>
  <c r="B35" i="29"/>
  <c r="E34" i="29"/>
  <c r="K34" i="29" s="1"/>
  <c r="C34" i="29"/>
  <c r="Q34" i="29" s="1"/>
  <c r="B34" i="29"/>
  <c r="E33" i="29"/>
  <c r="K33" i="29" s="1"/>
  <c r="C33" i="29"/>
  <c r="Q33" i="29" s="1"/>
  <c r="B33" i="29"/>
  <c r="E32" i="29"/>
  <c r="K32" i="29" s="1"/>
  <c r="C32" i="29"/>
  <c r="V32" i="29" s="1"/>
  <c r="B32" i="29"/>
  <c r="E31" i="29"/>
  <c r="K31" i="29" s="1"/>
  <c r="C31" i="29"/>
  <c r="B31" i="29"/>
  <c r="E30" i="29"/>
  <c r="K30" i="29" s="1"/>
  <c r="C30" i="29"/>
  <c r="B30" i="29"/>
  <c r="E29" i="29"/>
  <c r="K29" i="29" s="1"/>
  <c r="C29" i="29"/>
  <c r="Q29" i="29" s="1"/>
  <c r="B29" i="29"/>
  <c r="E28" i="29"/>
  <c r="K28" i="29" s="1"/>
  <c r="C28" i="29"/>
  <c r="B28" i="29"/>
  <c r="E27" i="29"/>
  <c r="K27" i="29" s="1"/>
  <c r="C27" i="29"/>
  <c r="B27" i="29"/>
  <c r="E26" i="29"/>
  <c r="C26" i="29"/>
  <c r="Q26" i="29" s="1"/>
  <c r="B26" i="29"/>
  <c r="E25" i="29"/>
  <c r="K25" i="29" s="1"/>
  <c r="C25" i="29"/>
  <c r="B25" i="29"/>
  <c r="E24" i="29"/>
  <c r="K24" i="29" s="1"/>
  <c r="C24" i="29"/>
  <c r="Q24" i="29" s="1"/>
  <c r="B24" i="29"/>
  <c r="E23" i="29"/>
  <c r="K23" i="29" s="1"/>
  <c r="C23" i="29"/>
  <c r="B23" i="29"/>
  <c r="E22" i="29"/>
  <c r="K22" i="29" s="1"/>
  <c r="C22" i="29"/>
  <c r="Q22" i="29" s="1"/>
  <c r="B22" i="29"/>
  <c r="O21" i="29"/>
  <c r="U21" i="29" s="1"/>
  <c r="K21" i="29"/>
  <c r="C21" i="29"/>
  <c r="V21" i="29" s="1"/>
  <c r="E20" i="29"/>
  <c r="K20" i="29" s="1"/>
  <c r="C20" i="29"/>
  <c r="Q20" i="29" s="1"/>
  <c r="B20" i="29"/>
  <c r="E19" i="29"/>
  <c r="K19" i="29" s="1"/>
  <c r="C19" i="29"/>
  <c r="Q19" i="29" s="1"/>
  <c r="B19" i="29"/>
  <c r="I16" i="29"/>
  <c r="G16" i="29"/>
  <c r="B13" i="29"/>
  <c r="Q16" i="29" s="1"/>
  <c r="B12" i="29"/>
  <c r="L16" i="29" s="1"/>
  <c r="B1" i="29"/>
  <c r="O16" i="29" s="1"/>
  <c r="N147" i="29"/>
  <c r="Q145" i="29"/>
  <c r="G145" i="29"/>
  <c r="M145" i="29" s="1"/>
  <c r="S145" i="29" s="1"/>
  <c r="Q144" i="29"/>
  <c r="G144" i="29"/>
  <c r="M144" i="29" s="1"/>
  <c r="S144" i="29" s="1"/>
  <c r="V143" i="29"/>
  <c r="G143" i="29"/>
  <c r="M143" i="29" s="1"/>
  <c r="S143" i="29" s="1"/>
  <c r="K142" i="29"/>
  <c r="I142" i="29"/>
  <c r="O142" i="29" s="1"/>
  <c r="U142" i="29" s="1"/>
  <c r="V142" i="29"/>
  <c r="G142" i="29"/>
  <c r="M142" i="29" s="1"/>
  <c r="S142" i="29" s="1"/>
  <c r="K141" i="29"/>
  <c r="Q141" i="29"/>
  <c r="K140" i="29"/>
  <c r="Q140" i="29"/>
  <c r="G140" i="29"/>
  <c r="M140" i="29" s="1"/>
  <c r="S140" i="29" s="1"/>
  <c r="K139" i="29"/>
  <c r="K138" i="29"/>
  <c r="K137" i="29"/>
  <c r="K136" i="29"/>
  <c r="K135" i="29"/>
  <c r="Q135" i="29"/>
  <c r="K134" i="29"/>
  <c r="Q134" i="29"/>
  <c r="K133" i="29"/>
  <c r="Q133" i="29"/>
  <c r="K132" i="29"/>
  <c r="Q131" i="29"/>
  <c r="Q130" i="29"/>
  <c r="G130" i="29"/>
  <c r="M130" i="29" s="1"/>
  <c r="S130" i="29" s="1"/>
  <c r="K129" i="29"/>
  <c r="Q129" i="29"/>
  <c r="K128" i="29"/>
  <c r="I127" i="29"/>
  <c r="O127" i="29" s="1"/>
  <c r="U127" i="29" s="1"/>
  <c r="Q127" i="29"/>
  <c r="G127" i="29"/>
  <c r="M127" i="29" s="1"/>
  <c r="S127" i="29" s="1"/>
  <c r="K126" i="29"/>
  <c r="Q126" i="29"/>
  <c r="G126" i="29"/>
  <c r="M126" i="29" s="1"/>
  <c r="S126" i="29" s="1"/>
  <c r="K125" i="29"/>
  <c r="I122" i="29"/>
  <c r="G122" i="29"/>
  <c r="Q122" i="29"/>
  <c r="L122" i="29"/>
  <c r="S122" i="29"/>
  <c r="O140" i="29"/>
  <c r="U140" i="29" s="1"/>
  <c r="AA39" i="17"/>
  <c r="AA38" i="17"/>
  <c r="AA36" i="17"/>
  <c r="AA37" i="17"/>
  <c r="B19" i="24"/>
  <c r="C89" i="24"/>
  <c r="Q89" i="24" s="1"/>
  <c r="B89" i="24"/>
  <c r="K88" i="24"/>
  <c r="C88" i="24"/>
  <c r="Q88" i="24" s="1"/>
  <c r="B88" i="24"/>
  <c r="K87" i="24"/>
  <c r="C87" i="24"/>
  <c r="Q87" i="24" s="1"/>
  <c r="B87" i="24"/>
  <c r="K86" i="24"/>
  <c r="C86" i="24"/>
  <c r="V86" i="24" s="1"/>
  <c r="B86" i="24"/>
  <c r="K85" i="24"/>
  <c r="C85" i="24"/>
  <c r="Q85" i="24" s="1"/>
  <c r="B85" i="24"/>
  <c r="C84" i="24"/>
  <c r="Q84" i="24" s="1"/>
  <c r="B84" i="24"/>
  <c r="K83" i="24"/>
  <c r="C83" i="24"/>
  <c r="B83" i="24"/>
  <c r="A83" i="24" s="1"/>
  <c r="K82" i="24"/>
  <c r="C82" i="24"/>
  <c r="B82" i="24"/>
  <c r="K81" i="24"/>
  <c r="C81" i="24"/>
  <c r="B81" i="24"/>
  <c r="K80" i="24"/>
  <c r="C80" i="24"/>
  <c r="Q80" i="24" s="1"/>
  <c r="B80" i="24"/>
  <c r="A80" i="24" s="1"/>
  <c r="K79" i="24"/>
  <c r="C79" i="24"/>
  <c r="Q79" i="24" s="1"/>
  <c r="B79" i="24"/>
  <c r="A79" i="24" s="1"/>
  <c r="K78" i="24"/>
  <c r="C78" i="24"/>
  <c r="B78" i="24"/>
  <c r="A78" i="24" s="1"/>
  <c r="K35" i="24"/>
  <c r="C35" i="24"/>
  <c r="Q35" i="24" s="1"/>
  <c r="B35" i="24"/>
  <c r="K34" i="24"/>
  <c r="C34" i="24"/>
  <c r="Q34" i="24" s="1"/>
  <c r="B34" i="24"/>
  <c r="K33" i="24"/>
  <c r="C33" i="24"/>
  <c r="B33" i="24"/>
  <c r="K32" i="24"/>
  <c r="C32" i="24"/>
  <c r="Q32" i="24" s="1"/>
  <c r="B32" i="24"/>
  <c r="K31" i="24"/>
  <c r="C31" i="24"/>
  <c r="B31" i="24"/>
  <c r="K30" i="24"/>
  <c r="C30" i="24"/>
  <c r="Q30" i="24" s="1"/>
  <c r="B30" i="24"/>
  <c r="K29" i="24"/>
  <c r="C29" i="24"/>
  <c r="B29" i="24"/>
  <c r="E28" i="24"/>
  <c r="K28" i="24" s="1"/>
  <c r="C28" i="24"/>
  <c r="B28" i="24"/>
  <c r="E27" i="24"/>
  <c r="K27" i="24" s="1"/>
  <c r="C27" i="24"/>
  <c r="Q27" i="24" s="1"/>
  <c r="B27" i="24"/>
  <c r="E26" i="24"/>
  <c r="K26" i="24" s="1"/>
  <c r="C26" i="24"/>
  <c r="Q26" i="24" s="1"/>
  <c r="B26" i="24"/>
  <c r="E25" i="24"/>
  <c r="K25" i="24" s="1"/>
  <c r="C25" i="24"/>
  <c r="B25" i="24"/>
  <c r="E24" i="24"/>
  <c r="K24" i="24" s="1"/>
  <c r="C24" i="24"/>
  <c r="Q24" i="24" s="1"/>
  <c r="B24" i="24"/>
  <c r="A24" i="24" s="1"/>
  <c r="K143" i="24"/>
  <c r="C143" i="24"/>
  <c r="Q143" i="24" s="1"/>
  <c r="B143" i="24"/>
  <c r="K142" i="24"/>
  <c r="C142" i="24"/>
  <c r="Q142" i="24" s="1"/>
  <c r="B142" i="24"/>
  <c r="K141" i="24"/>
  <c r="C141" i="24"/>
  <c r="B141" i="24"/>
  <c r="K140" i="24"/>
  <c r="C140" i="24"/>
  <c r="B140" i="24"/>
  <c r="K139" i="24"/>
  <c r="C139" i="24"/>
  <c r="B139" i="24"/>
  <c r="K138" i="24"/>
  <c r="C138" i="24"/>
  <c r="Q138" i="24" s="1"/>
  <c r="B138" i="24"/>
  <c r="K137" i="24"/>
  <c r="C137" i="24"/>
  <c r="Q137" i="24" s="1"/>
  <c r="B137" i="24"/>
  <c r="A137" i="24" s="1"/>
  <c r="K136" i="24"/>
  <c r="C136" i="24"/>
  <c r="Q136" i="24" s="1"/>
  <c r="B136" i="24"/>
  <c r="K135" i="24"/>
  <c r="C135" i="24"/>
  <c r="Q135" i="24" s="1"/>
  <c r="B135" i="24"/>
  <c r="K134" i="24"/>
  <c r="C134" i="24"/>
  <c r="B134" i="24"/>
  <c r="K133" i="24"/>
  <c r="C133" i="24"/>
  <c r="Q133" i="24" s="1"/>
  <c r="B133" i="24"/>
  <c r="A133" i="24" s="1"/>
  <c r="K132" i="24"/>
  <c r="C132" i="24"/>
  <c r="Q132" i="24" s="1"/>
  <c r="B132" i="24"/>
  <c r="A129" i="24"/>
  <c r="C129" i="24"/>
  <c r="C75" i="24" s="1"/>
  <c r="I129" i="24"/>
  <c r="O129" i="24" s="1"/>
  <c r="U129" i="24" s="1"/>
  <c r="B130" i="24"/>
  <c r="C130" i="24"/>
  <c r="Q130" i="24" s="1"/>
  <c r="K130" i="24"/>
  <c r="B131" i="24"/>
  <c r="C131" i="24"/>
  <c r="Q131" i="24" s="1"/>
  <c r="K131" i="24"/>
  <c r="AA35" i="17"/>
  <c r="E35" i="17"/>
  <c r="D35" i="17"/>
  <c r="C35" i="17"/>
  <c r="Q35" i="17" s="1"/>
  <c r="B35" i="17"/>
  <c r="AA34" i="17"/>
  <c r="E34" i="17"/>
  <c r="D34" i="17"/>
  <c r="C34" i="17"/>
  <c r="Q34" i="17" s="1"/>
  <c r="B34" i="17"/>
  <c r="AA33" i="17"/>
  <c r="E33" i="17"/>
  <c r="D33" i="17"/>
  <c r="C33" i="17"/>
  <c r="Q33" i="17" s="1"/>
  <c r="B33" i="17"/>
  <c r="AA32" i="17"/>
  <c r="E32" i="17"/>
  <c r="D32" i="17"/>
  <c r="C32" i="17"/>
  <c r="B32" i="17"/>
  <c r="AA31" i="17"/>
  <c r="E31" i="17"/>
  <c r="D31" i="17"/>
  <c r="C31" i="17"/>
  <c r="B31" i="17"/>
  <c r="AA30" i="17"/>
  <c r="E30" i="17"/>
  <c r="D30" i="17"/>
  <c r="C30" i="17"/>
  <c r="Q30" i="17" s="1"/>
  <c r="B30" i="17"/>
  <c r="AA29" i="17"/>
  <c r="E29" i="17"/>
  <c r="D29" i="17"/>
  <c r="C29" i="17"/>
  <c r="V29" i="17" s="1"/>
  <c r="B29" i="17"/>
  <c r="A29" i="17" s="1"/>
  <c r="G29" i="17" s="1"/>
  <c r="AA28" i="17"/>
  <c r="E28" i="17"/>
  <c r="D28" i="17"/>
  <c r="C28" i="17"/>
  <c r="Q28" i="17" s="1"/>
  <c r="B28" i="17"/>
  <c r="AA27" i="17"/>
  <c r="E27" i="17"/>
  <c r="D27" i="17"/>
  <c r="C27" i="17"/>
  <c r="B27" i="17"/>
  <c r="AA26" i="17"/>
  <c r="E26" i="17"/>
  <c r="D26" i="17"/>
  <c r="C26" i="17"/>
  <c r="Q26" i="17" s="1"/>
  <c r="B26" i="17"/>
  <c r="AA25" i="17"/>
  <c r="E25" i="17"/>
  <c r="D25" i="17"/>
  <c r="C25" i="17"/>
  <c r="B25" i="17"/>
  <c r="AA24" i="17"/>
  <c r="E24" i="17"/>
  <c r="D24" i="17"/>
  <c r="C24" i="17"/>
  <c r="B24" i="17"/>
  <c r="AA23" i="17"/>
  <c r="E23" i="17"/>
  <c r="D23" i="17"/>
  <c r="C23" i="17"/>
  <c r="Q23" i="17" s="1"/>
  <c r="B23" i="17"/>
  <c r="A23" i="17" s="1"/>
  <c r="G23" i="17" s="1"/>
  <c r="AA22" i="17"/>
  <c r="E22" i="17"/>
  <c r="D22" i="17"/>
  <c r="C22" i="17"/>
  <c r="Q22" i="17" s="1"/>
  <c r="B22" i="17"/>
  <c r="AA21" i="17"/>
  <c r="E21" i="17"/>
  <c r="D21" i="17"/>
  <c r="C21" i="17"/>
  <c r="Q21" i="17" s="1"/>
  <c r="L20" i="1"/>
  <c r="V86" i="1"/>
  <c r="E86" i="1" s="1"/>
  <c r="D86" i="1" s="1"/>
  <c r="I86" i="1" s="1"/>
  <c r="T86" i="1"/>
  <c r="L86" i="1"/>
  <c r="I4" i="1"/>
  <c r="I5" i="1"/>
  <c r="I7" i="1"/>
  <c r="I8" i="1"/>
  <c r="I13" i="1"/>
  <c r="I14" i="1"/>
  <c r="I23" i="1"/>
  <c r="I24" i="1"/>
  <c r="I30" i="1"/>
  <c r="I31" i="1"/>
  <c r="I42" i="1"/>
  <c r="I46" i="1"/>
  <c r="I67" i="1"/>
  <c r="I83" i="1"/>
  <c r="I87" i="1"/>
  <c r="I89" i="1"/>
  <c r="I97" i="1"/>
  <c r="I98" i="1"/>
  <c r="I102" i="1"/>
  <c r="I104" i="1"/>
  <c r="I105" i="1"/>
  <c r="I106" i="1"/>
  <c r="I108" i="1"/>
  <c r="I109" i="1"/>
  <c r="I110" i="1"/>
  <c r="I117" i="1"/>
  <c r="I119" i="1"/>
  <c r="I120" i="1"/>
  <c r="I127" i="1"/>
  <c r="I129" i="1"/>
  <c r="I130" i="1"/>
  <c r="I133" i="1"/>
  <c r="I134" i="1"/>
  <c r="I136" i="1"/>
  <c r="I138" i="1"/>
  <c r="I140" i="1"/>
  <c r="I142" i="1"/>
  <c r="I144" i="1"/>
  <c r="I156" i="1"/>
  <c r="I159" i="1"/>
  <c r="I162" i="1"/>
  <c r="I164" i="1"/>
  <c r="I189" i="1"/>
  <c r="I190" i="1"/>
  <c r="I192" i="1"/>
  <c r="I193" i="1"/>
  <c r="I194" i="1"/>
  <c r="I195" i="1"/>
  <c r="I3" i="1"/>
  <c r="C145" i="24"/>
  <c r="V145" i="24" s="1"/>
  <c r="C144" i="24"/>
  <c r="C39" i="24"/>
  <c r="C38" i="24"/>
  <c r="C37" i="24"/>
  <c r="Q37" i="24" s="1"/>
  <c r="C36" i="24"/>
  <c r="C91" i="24"/>
  <c r="C90" i="24"/>
  <c r="V90" i="24" s="1"/>
  <c r="AC35" i="2"/>
  <c r="V35" i="2"/>
  <c r="Y35" i="2" s="1"/>
  <c r="AA35" i="2" s="1"/>
  <c r="Q35" i="2"/>
  <c r="K35" i="2"/>
  <c r="I35" i="2"/>
  <c r="O35" i="2" s="1"/>
  <c r="U35" i="2" s="1"/>
  <c r="A35" i="2"/>
  <c r="G35" i="2" s="1"/>
  <c r="M35" i="2" s="1"/>
  <c r="S35" i="2" s="1"/>
  <c r="AC34" i="2"/>
  <c r="V34" i="2"/>
  <c r="Y34" i="2" s="1"/>
  <c r="AA34" i="2" s="1"/>
  <c r="Q34" i="2"/>
  <c r="K34" i="2"/>
  <c r="I34" i="2"/>
  <c r="O34" i="2" s="1"/>
  <c r="U34" i="2" s="1"/>
  <c r="A34" i="2"/>
  <c r="G34" i="2" s="1"/>
  <c r="M34" i="2" s="1"/>
  <c r="S34" i="2" s="1"/>
  <c r="AC33" i="2"/>
  <c r="V33" i="2"/>
  <c r="Q33" i="2"/>
  <c r="K33" i="2"/>
  <c r="I33" i="2"/>
  <c r="O33" i="2" s="1"/>
  <c r="U33" i="2" s="1"/>
  <c r="A33" i="2"/>
  <c r="G33" i="2" s="1"/>
  <c r="M33" i="2" s="1"/>
  <c r="S33" i="2" s="1"/>
  <c r="AC32" i="2"/>
  <c r="V32" i="2"/>
  <c r="Z32" i="2" s="1"/>
  <c r="AB32" i="2" s="1"/>
  <c r="Q32" i="2"/>
  <c r="K32" i="2"/>
  <c r="I32" i="2"/>
  <c r="O32" i="2" s="1"/>
  <c r="U32" i="2" s="1"/>
  <c r="A32" i="2"/>
  <c r="G32" i="2" s="1"/>
  <c r="M32" i="2" s="1"/>
  <c r="S32" i="2" s="1"/>
  <c r="AC31" i="2"/>
  <c r="V31" i="2"/>
  <c r="Q31" i="2"/>
  <c r="K31" i="2"/>
  <c r="I31" i="2"/>
  <c r="O31" i="2" s="1"/>
  <c r="U31" i="2" s="1"/>
  <c r="A31" i="2"/>
  <c r="G31" i="2" s="1"/>
  <c r="M31" i="2" s="1"/>
  <c r="S31" i="2" s="1"/>
  <c r="L212" i="1"/>
  <c r="L211" i="1"/>
  <c r="L210" i="1"/>
  <c r="L209" i="1"/>
  <c r="L208" i="1"/>
  <c r="L207" i="1"/>
  <c r="L206" i="1"/>
  <c r="L204" i="1"/>
  <c r="L203" i="1"/>
  <c r="L202" i="1"/>
  <c r="L201" i="1"/>
  <c r="L199" i="1"/>
  <c r="L198" i="1"/>
  <c r="L197" i="1"/>
  <c r="L196" i="1"/>
  <c r="L195" i="1"/>
  <c r="L194" i="1"/>
  <c r="L193" i="1"/>
  <c r="L192" i="1"/>
  <c r="L191" i="1"/>
  <c r="L190" i="1"/>
  <c r="L189" i="1"/>
  <c r="L188" i="1"/>
  <c r="L187" i="1"/>
  <c r="L186" i="1"/>
  <c r="L185" i="1"/>
  <c r="L184" i="1"/>
  <c r="L183" i="1"/>
  <c r="L182" i="1"/>
  <c r="L180" i="1"/>
  <c r="L177" i="1"/>
  <c r="L176" i="1"/>
  <c r="L175" i="1"/>
  <c r="L174" i="1"/>
  <c r="L173" i="1"/>
  <c r="L172" i="1"/>
  <c r="L171" i="1"/>
  <c r="L170" i="1"/>
  <c r="L169" i="1"/>
  <c r="L168" i="1"/>
  <c r="L165" i="1"/>
  <c r="L164" i="1"/>
  <c r="L163" i="1"/>
  <c r="L162" i="1"/>
  <c r="L159" i="1"/>
  <c r="L158" i="1"/>
  <c r="L157" i="1"/>
  <c r="L156" i="1"/>
  <c r="L155" i="1"/>
  <c r="L154" i="1"/>
  <c r="L153" i="1"/>
  <c r="L152" i="1"/>
  <c r="L150" i="1"/>
  <c r="L148"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7" i="1"/>
  <c r="L115" i="1"/>
  <c r="L112" i="1"/>
  <c r="L109" i="1"/>
  <c r="L108" i="1"/>
  <c r="L107" i="1"/>
  <c r="L106" i="1"/>
  <c r="L105" i="1"/>
  <c r="L104" i="1"/>
  <c r="L103" i="1"/>
  <c r="L102" i="1"/>
  <c r="L101" i="1"/>
  <c r="L100" i="1"/>
  <c r="L99" i="1"/>
  <c r="L96" i="1"/>
  <c r="L95" i="1"/>
  <c r="L94" i="1"/>
  <c r="L92" i="1"/>
  <c r="L91" i="1"/>
  <c r="L90" i="1"/>
  <c r="L89" i="1"/>
  <c r="L88" i="1"/>
  <c r="L87" i="1"/>
  <c r="L85" i="1"/>
  <c r="L84" i="1"/>
  <c r="L83" i="1"/>
  <c r="L82" i="1"/>
  <c r="L81" i="1"/>
  <c r="L80" i="1"/>
  <c r="L78" i="1"/>
  <c r="L77" i="1"/>
  <c r="L75" i="1"/>
  <c r="L74" i="1"/>
  <c r="L73" i="1"/>
  <c r="L71" i="1"/>
  <c r="L70" i="1"/>
  <c r="L69" i="1"/>
  <c r="L68" i="1"/>
  <c r="L67" i="1"/>
  <c r="L66" i="1"/>
  <c r="L65" i="1"/>
  <c r="L61" i="1"/>
  <c r="L59" i="1"/>
  <c r="L58" i="1"/>
  <c r="L57" i="1"/>
  <c r="L56" i="1"/>
  <c r="L55" i="1"/>
  <c r="L54" i="1"/>
  <c r="L53" i="1"/>
  <c r="L52" i="1"/>
  <c r="L50" i="1"/>
  <c r="L49" i="1"/>
  <c r="L48" i="1"/>
  <c r="L47" i="1"/>
  <c r="L46" i="1"/>
  <c r="L44" i="1"/>
  <c r="L43" i="1"/>
  <c r="L42" i="1"/>
  <c r="L41" i="1"/>
  <c r="L40" i="1"/>
  <c r="L39" i="1"/>
  <c r="L38" i="1"/>
  <c r="L37" i="1"/>
  <c r="L36" i="1"/>
  <c r="L35" i="1"/>
  <c r="L34" i="1"/>
  <c r="L33" i="1"/>
  <c r="L32" i="1"/>
  <c r="L31" i="1"/>
  <c r="L30" i="1"/>
  <c r="L29" i="1"/>
  <c r="L28" i="1"/>
  <c r="L27" i="1"/>
  <c r="L26" i="1"/>
  <c r="L25" i="1"/>
  <c r="L24" i="1"/>
  <c r="L23" i="1"/>
  <c r="L22" i="1"/>
  <c r="L21" i="1"/>
  <c r="L19" i="1"/>
  <c r="L18" i="1"/>
  <c r="L17" i="1"/>
  <c r="L16" i="1"/>
  <c r="L14" i="1"/>
  <c r="L13" i="1"/>
  <c r="L12" i="1"/>
  <c r="L11" i="1"/>
  <c r="L10" i="1"/>
  <c r="L9" i="1"/>
  <c r="L8" i="1"/>
  <c r="L7" i="1"/>
  <c r="L6" i="1"/>
  <c r="L5" i="1"/>
  <c r="L4" i="1"/>
  <c r="L3" i="1"/>
  <c r="H161" i="1"/>
  <c r="H162" i="1"/>
  <c r="H163" i="1"/>
  <c r="H164" i="1"/>
  <c r="H165" i="1"/>
  <c r="H166" i="1"/>
  <c r="H167" i="1"/>
  <c r="H168" i="1"/>
  <c r="H169" i="1"/>
  <c r="H170" i="1"/>
  <c r="H171" i="1"/>
  <c r="H172" i="1"/>
  <c r="H173" i="1"/>
  <c r="H174" i="1"/>
  <c r="H175" i="1"/>
  <c r="H176" i="1"/>
  <c r="H177" i="1"/>
  <c r="H178" i="1"/>
  <c r="H180" i="1"/>
  <c r="H181" i="1"/>
  <c r="H182" i="1"/>
  <c r="H183" i="1"/>
  <c r="H184" i="1"/>
  <c r="H185" i="1"/>
  <c r="H186" i="1"/>
  <c r="H187" i="1"/>
  <c r="H188" i="1"/>
  <c r="H189" i="1"/>
  <c r="H190" i="1"/>
  <c r="H191" i="1"/>
  <c r="H192" i="1"/>
  <c r="H193" i="1"/>
  <c r="H194" i="1"/>
  <c r="H195" i="1"/>
  <c r="H196" i="1"/>
  <c r="H197" i="1"/>
  <c r="H198" i="1"/>
  <c r="H199" i="1"/>
  <c r="H201" i="1"/>
  <c r="H202" i="1"/>
  <c r="H203" i="1"/>
  <c r="H204" i="1"/>
  <c r="H206" i="1"/>
  <c r="H207" i="1"/>
  <c r="H208" i="1"/>
  <c r="H209" i="1"/>
  <c r="H210" i="1"/>
  <c r="H211" i="1"/>
  <c r="H212" i="1"/>
  <c r="H213" i="1"/>
  <c r="AC20" i="2"/>
  <c r="AC21" i="2"/>
  <c r="AC22" i="2"/>
  <c r="AC23" i="2"/>
  <c r="AC24" i="2"/>
  <c r="AC25" i="2"/>
  <c r="AC26" i="2"/>
  <c r="AC27" i="2"/>
  <c r="AC28" i="2"/>
  <c r="AC29" i="2"/>
  <c r="AC30" i="2"/>
  <c r="AC36" i="2"/>
  <c r="AC37" i="2"/>
  <c r="AC38" i="2"/>
  <c r="AC39" i="2"/>
  <c r="AC19" i="2"/>
  <c r="A27" i="2"/>
  <c r="G27" i="2" s="1"/>
  <c r="M27" i="2" s="1"/>
  <c r="S27" i="2" s="1"/>
  <c r="A28" i="2"/>
  <c r="G28" i="2" s="1"/>
  <c r="M28" i="2" s="1"/>
  <c r="S28" i="2" s="1"/>
  <c r="A29" i="2"/>
  <c r="G29" i="2" s="1"/>
  <c r="M29" i="2" s="1"/>
  <c r="S29" i="2" s="1"/>
  <c r="A30" i="2"/>
  <c r="G30" i="2" s="1"/>
  <c r="M30" i="2" s="1"/>
  <c r="S30" i="2" s="1"/>
  <c r="V22" i="2"/>
  <c r="Y22" i="2" s="1"/>
  <c r="AA22" i="2" s="1"/>
  <c r="P212" i="1"/>
  <c r="P211" i="1"/>
  <c r="P210" i="1"/>
  <c r="P204" i="1"/>
  <c r="P203" i="1"/>
  <c r="P202" i="1"/>
  <c r="P201" i="1"/>
  <c r="P196" i="1"/>
  <c r="P199" i="1"/>
  <c r="V116" i="1"/>
  <c r="S116" i="1"/>
  <c r="T116" i="1" s="1"/>
  <c r="E116" i="1" s="1"/>
  <c r="S30" i="1"/>
  <c r="T30" i="1" s="1"/>
  <c r="E30" i="1" s="1"/>
  <c r="D30" i="1" s="1"/>
  <c r="S44" i="1"/>
  <c r="T44" i="1" s="1"/>
  <c r="E44" i="1" s="1"/>
  <c r="D44" i="1" s="1"/>
  <c r="I44" i="1" s="1"/>
  <c r="V44" i="1"/>
  <c r="E223" i="26"/>
  <c r="D223" i="26" s="1"/>
  <c r="I223" i="26" s="1"/>
  <c r="V222" i="26"/>
  <c r="S222" i="26"/>
  <c r="T222" i="26" s="1"/>
  <c r="P222" i="26"/>
  <c r="V221" i="26"/>
  <c r="S221" i="26"/>
  <c r="T221" i="26" s="1"/>
  <c r="P221" i="26"/>
  <c r="V220" i="26"/>
  <c r="S220" i="26"/>
  <c r="T220" i="26" s="1"/>
  <c r="P220" i="26"/>
  <c r="V219" i="26"/>
  <c r="S219" i="26"/>
  <c r="T219" i="26" s="1"/>
  <c r="P219" i="26"/>
  <c r="V218" i="26"/>
  <c r="S218" i="26"/>
  <c r="T218" i="26" s="1"/>
  <c r="E218" i="26" s="1"/>
  <c r="D218" i="26" s="1"/>
  <c r="I218" i="26" s="1"/>
  <c r="P218" i="26"/>
  <c r="V217" i="26"/>
  <c r="S217" i="26"/>
  <c r="T217" i="26" s="1"/>
  <c r="P217" i="26"/>
  <c r="V216" i="26"/>
  <c r="S216" i="26"/>
  <c r="T216" i="26" s="1"/>
  <c r="P216" i="26"/>
  <c r="V215" i="26"/>
  <c r="S215" i="26"/>
  <c r="T215" i="26" s="1"/>
  <c r="P215" i="26"/>
  <c r="I215" i="26"/>
  <c r="V214" i="26"/>
  <c r="S214" i="26"/>
  <c r="T214" i="26" s="1"/>
  <c r="P214" i="26"/>
  <c r="I214" i="26"/>
  <c r="V213" i="26"/>
  <c r="E213" i="26" s="1"/>
  <c r="D213" i="26" s="1"/>
  <c r="I213" i="26" s="1"/>
  <c r="S213" i="26"/>
  <c r="T213" i="26"/>
  <c r="P213" i="26"/>
  <c r="V212" i="26"/>
  <c r="T212" i="26"/>
  <c r="I212" i="26"/>
  <c r="V211" i="26"/>
  <c r="S211" i="26"/>
  <c r="T211" i="26" s="1"/>
  <c r="E211" i="26" s="1"/>
  <c r="D211" i="26" s="1"/>
  <c r="P211" i="26"/>
  <c r="I211" i="26"/>
  <c r="V210" i="26"/>
  <c r="S210" i="26"/>
  <c r="T210" i="26" s="1"/>
  <c r="I210" i="26"/>
  <c r="V209" i="26"/>
  <c r="S209" i="26"/>
  <c r="T209" i="26" s="1"/>
  <c r="I209" i="26"/>
  <c r="V208" i="26"/>
  <c r="T208" i="26"/>
  <c r="I208" i="26"/>
  <c r="V207" i="26"/>
  <c r="S207" i="26"/>
  <c r="T207" i="26" s="1"/>
  <c r="I207" i="26"/>
  <c r="V206" i="26"/>
  <c r="S206" i="26"/>
  <c r="T206" i="26" s="1"/>
  <c r="P206" i="26"/>
  <c r="I206" i="26"/>
  <c r="V205" i="26"/>
  <c r="S205" i="26"/>
  <c r="T205" i="26" s="1"/>
  <c r="P205" i="26"/>
  <c r="I205" i="26"/>
  <c r="E204" i="26"/>
  <c r="D204" i="26" s="1"/>
  <c r="I204" i="26" s="1"/>
  <c r="E203" i="26"/>
  <c r="D203" i="26" s="1"/>
  <c r="I203" i="26" s="1"/>
  <c r="E202" i="26"/>
  <c r="D202" i="26"/>
  <c r="I202" i="26" s="1"/>
  <c r="E201" i="26"/>
  <c r="D201" i="26" s="1"/>
  <c r="I201" i="26" s="1"/>
  <c r="I200" i="26"/>
  <c r="E200" i="26"/>
  <c r="D200" i="26" s="1"/>
  <c r="E199" i="26"/>
  <c r="D199" i="26"/>
  <c r="I199" i="26" s="1"/>
  <c r="I198" i="26"/>
  <c r="E198" i="26"/>
  <c r="D198" i="26" s="1"/>
  <c r="E197" i="26"/>
  <c r="D197" i="26" s="1"/>
  <c r="I197" i="26" s="1"/>
  <c r="E196" i="26"/>
  <c r="D196" i="26" s="1"/>
  <c r="I196" i="26" s="1"/>
  <c r="E195" i="26"/>
  <c r="D195" i="26" s="1"/>
  <c r="I195" i="26" s="1"/>
  <c r="E194" i="26"/>
  <c r="D194" i="26"/>
  <c r="I194" i="26" s="1"/>
  <c r="E193" i="26"/>
  <c r="D193" i="26" s="1"/>
  <c r="I193" i="26" s="1"/>
  <c r="E192" i="26"/>
  <c r="D192" i="26" s="1"/>
  <c r="I192" i="26" s="1"/>
  <c r="E191" i="26"/>
  <c r="D191" i="26" s="1"/>
  <c r="I191" i="26" s="1"/>
  <c r="E190" i="26"/>
  <c r="D190" i="26" s="1"/>
  <c r="I190" i="26" s="1"/>
  <c r="E189" i="26"/>
  <c r="D189" i="26" s="1"/>
  <c r="I189" i="26" s="1"/>
  <c r="E188" i="26"/>
  <c r="D188" i="26" s="1"/>
  <c r="I188" i="26" s="1"/>
  <c r="E187" i="26"/>
  <c r="D187" i="26" s="1"/>
  <c r="I187" i="26" s="1"/>
  <c r="E186" i="26"/>
  <c r="D186" i="26" s="1"/>
  <c r="I186" i="26" s="1"/>
  <c r="E185" i="26"/>
  <c r="D185" i="26" s="1"/>
  <c r="I185" i="26" s="1"/>
  <c r="E184" i="26"/>
  <c r="D184" i="26" s="1"/>
  <c r="I184" i="26" s="1"/>
  <c r="E183" i="26"/>
  <c r="D183" i="26" s="1"/>
  <c r="I183" i="26"/>
  <c r="E182" i="26"/>
  <c r="D182" i="26" s="1"/>
  <c r="I182" i="26" s="1"/>
  <c r="E181" i="26"/>
  <c r="D181" i="26" s="1"/>
  <c r="I181" i="26" s="1"/>
  <c r="I180" i="26"/>
  <c r="E180" i="26"/>
  <c r="D180" i="26" s="1"/>
  <c r="E179" i="26"/>
  <c r="D179" i="26" s="1"/>
  <c r="I179" i="26" s="1"/>
  <c r="I178" i="26"/>
  <c r="E178" i="26"/>
  <c r="D178" i="26" s="1"/>
  <c r="E177" i="26"/>
  <c r="D177" i="26" s="1"/>
  <c r="I177" i="26" s="1"/>
  <c r="I176" i="26"/>
  <c r="E176" i="26"/>
  <c r="D176" i="26" s="1"/>
  <c r="E175" i="26"/>
  <c r="D175" i="26" s="1"/>
  <c r="I175" i="26" s="1"/>
  <c r="E174" i="26"/>
  <c r="D174" i="26" s="1"/>
  <c r="I174" i="26" s="1"/>
  <c r="I173" i="26"/>
  <c r="E173" i="26"/>
  <c r="D173" i="26" s="1"/>
  <c r="E172" i="26"/>
  <c r="D172" i="26" s="1"/>
  <c r="I172" i="26" s="1"/>
  <c r="E171" i="26"/>
  <c r="D171" i="26" s="1"/>
  <c r="I171" i="26" s="1"/>
  <c r="E170" i="26"/>
  <c r="D170" i="26" s="1"/>
  <c r="I170" i="26" s="1"/>
  <c r="E169" i="26"/>
  <c r="D169" i="26" s="1"/>
  <c r="I169" i="26" s="1"/>
  <c r="E168" i="26"/>
  <c r="D168" i="26" s="1"/>
  <c r="I168" i="26" s="1"/>
  <c r="E167" i="26"/>
  <c r="D167" i="26" s="1"/>
  <c r="I167" i="26" s="1"/>
  <c r="E166" i="26"/>
  <c r="D166" i="26" s="1"/>
  <c r="I166" i="26" s="1"/>
  <c r="E165" i="26"/>
  <c r="D165" i="26" s="1"/>
  <c r="I165" i="26" s="1"/>
  <c r="E164" i="26"/>
  <c r="D164" i="26" s="1"/>
  <c r="I164" i="26" s="1"/>
  <c r="E163" i="26"/>
  <c r="D163" i="26" s="1"/>
  <c r="I163" i="26" s="1"/>
  <c r="E162" i="26"/>
  <c r="D162" i="26" s="1"/>
  <c r="I162" i="26" s="1"/>
  <c r="I161" i="26"/>
  <c r="E161" i="26"/>
  <c r="D161" i="26" s="1"/>
  <c r="E160" i="26"/>
  <c r="D160" i="26"/>
  <c r="I160" i="26" s="1"/>
  <c r="I159" i="26"/>
  <c r="E159" i="26"/>
  <c r="D159" i="26" s="1"/>
  <c r="E158" i="26"/>
  <c r="D158" i="26" s="1"/>
  <c r="I158" i="26" s="1"/>
  <c r="I157" i="26"/>
  <c r="E157" i="26"/>
  <c r="D157" i="26" s="1"/>
  <c r="E156" i="26"/>
  <c r="D156" i="26" s="1"/>
  <c r="I156" i="26" s="1"/>
  <c r="I155" i="26"/>
  <c r="E155" i="26"/>
  <c r="D155" i="26" s="1"/>
  <c r="E154" i="26"/>
  <c r="D154" i="26"/>
  <c r="I154" i="26" s="1"/>
  <c r="I153" i="26"/>
  <c r="E153" i="26"/>
  <c r="D153" i="26" s="1"/>
  <c r="E152" i="26"/>
  <c r="D152" i="26" s="1"/>
  <c r="I152" i="26" s="1"/>
  <c r="I151" i="26"/>
  <c r="E151" i="26"/>
  <c r="D151" i="26" s="1"/>
  <c r="I150" i="26"/>
  <c r="E150" i="26"/>
  <c r="D150" i="26" s="1"/>
  <c r="E149" i="26"/>
  <c r="D149" i="26" s="1"/>
  <c r="I149" i="26" s="1"/>
  <c r="E148" i="26"/>
  <c r="D148" i="26" s="1"/>
  <c r="I148" i="26" s="1"/>
  <c r="I147" i="26"/>
  <c r="E147" i="26"/>
  <c r="D147" i="26"/>
  <c r="I146" i="26"/>
  <c r="E146" i="26"/>
  <c r="D146" i="26" s="1"/>
  <c r="E145" i="26"/>
  <c r="D145" i="26" s="1"/>
  <c r="I145" i="26" s="1"/>
  <c r="I144" i="26"/>
  <c r="E144" i="26"/>
  <c r="D144" i="26" s="1"/>
  <c r="V143" i="26"/>
  <c r="T143" i="26"/>
  <c r="V142" i="26"/>
  <c r="T142" i="26"/>
  <c r="V141" i="26"/>
  <c r="T141" i="26"/>
  <c r="V140" i="26"/>
  <c r="T140" i="26"/>
  <c r="V139" i="26"/>
  <c r="T139" i="26"/>
  <c r="V138" i="26"/>
  <c r="T138" i="26"/>
  <c r="V137" i="26"/>
  <c r="T137" i="26"/>
  <c r="V136" i="26"/>
  <c r="S136" i="26"/>
  <c r="T136" i="26" s="1"/>
  <c r="E136" i="26" s="1"/>
  <c r="D136" i="26" s="1"/>
  <c r="I136" i="26" s="1"/>
  <c r="V135" i="26"/>
  <c r="S135" i="26"/>
  <c r="T135" i="26"/>
  <c r="V134" i="26"/>
  <c r="T134" i="26"/>
  <c r="I134" i="26"/>
  <c r="V133" i="26"/>
  <c r="T133" i="26"/>
  <c r="I133" i="26"/>
  <c r="V132" i="26"/>
  <c r="S132" i="26"/>
  <c r="T132" i="26" s="1"/>
  <c r="V131" i="26"/>
  <c r="S131" i="26"/>
  <c r="T131" i="26" s="1"/>
  <c r="E131" i="26" s="1"/>
  <c r="D131" i="26" s="1"/>
  <c r="I131" i="26" s="1"/>
  <c r="V130" i="26"/>
  <c r="S130" i="26"/>
  <c r="T130" i="26" s="1"/>
  <c r="I130" i="26"/>
  <c r="V129" i="26"/>
  <c r="S129" i="26"/>
  <c r="T129" i="26" s="1"/>
  <c r="I129" i="26"/>
  <c r="V128" i="26"/>
  <c r="S128" i="26"/>
  <c r="T128" i="26" s="1"/>
  <c r="I128" i="26"/>
  <c r="V127" i="26"/>
  <c r="S127" i="26"/>
  <c r="T127" i="26" s="1"/>
  <c r="I127" i="26"/>
  <c r="V126" i="26"/>
  <c r="S126" i="26"/>
  <c r="T126" i="26" s="1"/>
  <c r="I126" i="26"/>
  <c r="V125" i="26"/>
  <c r="S125" i="26"/>
  <c r="T125" i="26" s="1"/>
  <c r="V124" i="26"/>
  <c r="S124" i="26"/>
  <c r="T124" i="26" s="1"/>
  <c r="V123" i="26"/>
  <c r="S123" i="26"/>
  <c r="T123" i="26"/>
  <c r="I123" i="26"/>
  <c r="V122" i="26"/>
  <c r="S122" i="26"/>
  <c r="T122" i="26" s="1"/>
  <c r="V121" i="26"/>
  <c r="S121" i="26"/>
  <c r="T121" i="26" s="1"/>
  <c r="V120" i="26"/>
  <c r="S120" i="26"/>
  <c r="T120" i="26"/>
  <c r="I120" i="26"/>
  <c r="V119" i="26"/>
  <c r="S119" i="26"/>
  <c r="T119" i="26" s="1"/>
  <c r="V118" i="26"/>
  <c r="S118" i="26"/>
  <c r="T118" i="26" s="1"/>
  <c r="I118" i="26"/>
  <c r="V117" i="26"/>
  <c r="S117" i="26"/>
  <c r="T117" i="26" s="1"/>
  <c r="E117" i="26" s="1"/>
  <c r="D117" i="26" s="1"/>
  <c r="I117" i="26" s="1"/>
  <c r="V116" i="26"/>
  <c r="S116" i="26"/>
  <c r="T116" i="26" s="1"/>
  <c r="E116" i="26" s="1"/>
  <c r="D116" i="26" s="1"/>
  <c r="I116" i="26"/>
  <c r="V115" i="26"/>
  <c r="S115" i="26"/>
  <c r="T115" i="26" s="1"/>
  <c r="P115" i="26"/>
  <c r="V114" i="26"/>
  <c r="S114" i="26"/>
  <c r="T114" i="26" s="1"/>
  <c r="V113" i="26"/>
  <c r="S113" i="26"/>
  <c r="T113" i="26" s="1"/>
  <c r="E113" i="26" s="1"/>
  <c r="D113" i="26" s="1"/>
  <c r="I113" i="26"/>
  <c r="V112" i="26"/>
  <c r="S112" i="26"/>
  <c r="T112" i="26" s="1"/>
  <c r="I112" i="26"/>
  <c r="V111" i="26"/>
  <c r="S111" i="26"/>
  <c r="T111" i="26"/>
  <c r="I111" i="26"/>
  <c r="V110" i="26"/>
  <c r="E110" i="26" s="1"/>
  <c r="D110" i="26" s="1"/>
  <c r="I110" i="26" s="1"/>
  <c r="T110" i="26"/>
  <c r="V109" i="26"/>
  <c r="S109" i="26"/>
  <c r="T109" i="26" s="1"/>
  <c r="I109" i="26"/>
  <c r="V108" i="26"/>
  <c r="S108" i="26"/>
  <c r="T108" i="26" s="1"/>
  <c r="E108" i="26" s="1"/>
  <c r="D108" i="26" s="1"/>
  <c r="I108" i="26" s="1"/>
  <c r="V107" i="26"/>
  <c r="S107" i="26"/>
  <c r="T107" i="26" s="1"/>
  <c r="V106" i="26"/>
  <c r="S106" i="26"/>
  <c r="T106" i="26" s="1"/>
  <c r="V105" i="26"/>
  <c r="S105" i="26"/>
  <c r="T105" i="26"/>
  <c r="P105" i="26"/>
  <c r="V104" i="26"/>
  <c r="S104" i="26"/>
  <c r="T104" i="26" s="1"/>
  <c r="I104" i="26"/>
  <c r="V103" i="26"/>
  <c r="S103" i="26"/>
  <c r="T103" i="26"/>
  <c r="I103" i="26"/>
  <c r="V102" i="26"/>
  <c r="S102" i="26"/>
  <c r="T102" i="26" s="1"/>
  <c r="V101" i="26"/>
  <c r="S101" i="26"/>
  <c r="T101" i="26" s="1"/>
  <c r="E101" i="26" s="1"/>
  <c r="D101" i="26" s="1"/>
  <c r="I101" i="26" s="1"/>
  <c r="V100" i="26"/>
  <c r="S100" i="26"/>
  <c r="T100" i="26" s="1"/>
  <c r="V99" i="26"/>
  <c r="S99" i="26"/>
  <c r="T99" i="26" s="1"/>
  <c r="V98" i="26"/>
  <c r="S98" i="26"/>
  <c r="T98" i="26" s="1"/>
  <c r="V97" i="26"/>
  <c r="T97" i="26"/>
  <c r="V96" i="26"/>
  <c r="E96" i="26" s="1"/>
  <c r="D96" i="26" s="1"/>
  <c r="I96" i="26" s="1"/>
  <c r="T96" i="26"/>
  <c r="V95" i="26"/>
  <c r="S95" i="26"/>
  <c r="T95" i="26" s="1"/>
  <c r="I95" i="26"/>
  <c r="V94" i="26"/>
  <c r="S94" i="26"/>
  <c r="T94" i="26" s="1"/>
  <c r="E94" i="26" s="1"/>
  <c r="D94" i="26" s="1"/>
  <c r="I94" i="26" s="1"/>
  <c r="V93" i="26"/>
  <c r="S93" i="26"/>
  <c r="T93" i="26" s="1"/>
  <c r="I93" i="26"/>
  <c r="V92" i="26"/>
  <c r="T92" i="26"/>
  <c r="V91" i="26"/>
  <c r="T91" i="26"/>
  <c r="V90" i="26"/>
  <c r="T90" i="26"/>
  <c r="Q90" i="26"/>
  <c r="I90" i="26"/>
  <c r="V89" i="26"/>
  <c r="S89" i="26"/>
  <c r="T89" i="26" s="1"/>
  <c r="V88" i="26"/>
  <c r="S88" i="26"/>
  <c r="T88" i="26" s="1"/>
  <c r="V87" i="26"/>
  <c r="S87" i="26"/>
  <c r="T87" i="26"/>
  <c r="V86" i="26"/>
  <c r="S86" i="26"/>
  <c r="T86" i="26" s="1"/>
  <c r="V85" i="26"/>
  <c r="S85" i="26"/>
  <c r="T85" i="26" s="1"/>
  <c r="V84" i="26"/>
  <c r="S84" i="26"/>
  <c r="T84" i="26" s="1"/>
  <c r="V83" i="26"/>
  <c r="S83" i="26"/>
  <c r="T83" i="26" s="1"/>
  <c r="E83" i="26" s="1"/>
  <c r="D83" i="26" s="1"/>
  <c r="I83" i="26" s="1"/>
  <c r="V82" i="26"/>
  <c r="S82" i="26"/>
  <c r="T82" i="26" s="1"/>
  <c r="V81" i="26"/>
  <c r="S81" i="26"/>
  <c r="T81" i="26" s="1"/>
  <c r="Q81" i="26"/>
  <c r="P81" i="26"/>
  <c r="V80" i="26"/>
  <c r="S80" i="26"/>
  <c r="T80" i="26" s="1"/>
  <c r="E80" i="26" s="1"/>
  <c r="D80" i="26" s="1"/>
  <c r="I80" i="26" s="1"/>
  <c r="V79" i="26"/>
  <c r="S79" i="26"/>
  <c r="T79" i="26" s="1"/>
  <c r="V78" i="26"/>
  <c r="S78" i="26"/>
  <c r="T78" i="26" s="1"/>
  <c r="V77" i="26"/>
  <c r="S77" i="26"/>
  <c r="T77" i="26" s="1"/>
  <c r="E77" i="26" s="1"/>
  <c r="D77" i="26" s="1"/>
  <c r="I77" i="26" s="1"/>
  <c r="V76" i="26"/>
  <c r="S76" i="26"/>
  <c r="T76" i="26" s="1"/>
  <c r="V75" i="26"/>
  <c r="S75" i="26"/>
  <c r="T75" i="26" s="1"/>
  <c r="V74" i="26"/>
  <c r="S74" i="26"/>
  <c r="T74" i="26" s="1"/>
  <c r="V73" i="26"/>
  <c r="S73" i="26"/>
  <c r="T73" i="26" s="1"/>
  <c r="V72" i="26"/>
  <c r="S72" i="26"/>
  <c r="T72" i="26" s="1"/>
  <c r="E72" i="26" s="1"/>
  <c r="D72" i="26" s="1"/>
  <c r="I72" i="26" s="1"/>
  <c r="V71" i="26"/>
  <c r="S71" i="26"/>
  <c r="T71" i="26" s="1"/>
  <c r="I71" i="26"/>
  <c r="V70" i="26"/>
  <c r="S70" i="26"/>
  <c r="T70" i="26" s="1"/>
  <c r="V69" i="26"/>
  <c r="S69" i="26"/>
  <c r="T69" i="26"/>
  <c r="V68" i="26"/>
  <c r="S68" i="26"/>
  <c r="T68" i="26" s="1"/>
  <c r="V67" i="26"/>
  <c r="T67" i="26"/>
  <c r="V66" i="26"/>
  <c r="T66" i="26"/>
  <c r="V65" i="26"/>
  <c r="T65" i="26"/>
  <c r="V64" i="26"/>
  <c r="S64" i="26"/>
  <c r="T64" i="26" s="1"/>
  <c r="V63" i="26"/>
  <c r="S63" i="26"/>
  <c r="T63" i="26" s="1"/>
  <c r="V62" i="26"/>
  <c r="S62" i="26"/>
  <c r="T62" i="26"/>
  <c r="V61" i="26"/>
  <c r="S61" i="26"/>
  <c r="T61" i="26" s="1"/>
  <c r="V60" i="26"/>
  <c r="S60" i="26"/>
  <c r="T60" i="26" s="1"/>
  <c r="E60" i="26" s="1"/>
  <c r="D60" i="26" s="1"/>
  <c r="I60" i="26" s="1"/>
  <c r="V59" i="26"/>
  <c r="T59" i="26"/>
  <c r="V58" i="26"/>
  <c r="S58" i="26"/>
  <c r="T58" i="26" s="1"/>
  <c r="E58" i="26" s="1"/>
  <c r="D58" i="26" s="1"/>
  <c r="I58" i="26" s="1"/>
  <c r="V57" i="26"/>
  <c r="S57" i="26"/>
  <c r="T57" i="26" s="1"/>
  <c r="V56" i="26"/>
  <c r="S56" i="26"/>
  <c r="T56" i="26" s="1"/>
  <c r="Q56" i="26"/>
  <c r="V55" i="26"/>
  <c r="S55" i="26"/>
  <c r="T55" i="26" s="1"/>
  <c r="P55" i="26"/>
  <c r="P209" i="26" s="1"/>
  <c r="V54" i="26"/>
  <c r="S54" i="26"/>
  <c r="T54" i="26" s="1"/>
  <c r="P54" i="26"/>
  <c r="P207" i="26" s="1"/>
  <c r="I54" i="26"/>
  <c r="V53" i="26"/>
  <c r="S53" i="26"/>
  <c r="T53" i="26" s="1"/>
  <c r="V52" i="26"/>
  <c r="S52" i="26"/>
  <c r="T52" i="26" s="1"/>
  <c r="V51" i="26"/>
  <c r="S51" i="26"/>
  <c r="T51" i="26" s="1"/>
  <c r="V50" i="26"/>
  <c r="S50" i="26"/>
  <c r="T50" i="26" s="1"/>
  <c r="V49" i="26"/>
  <c r="S49" i="26"/>
  <c r="T49" i="26" s="1"/>
  <c r="I49" i="26"/>
  <c r="V48" i="26"/>
  <c r="S48" i="26"/>
  <c r="T48" i="26" s="1"/>
  <c r="V47" i="26"/>
  <c r="T47" i="26"/>
  <c r="Q47" i="26"/>
  <c r="V46" i="26"/>
  <c r="T46" i="26"/>
  <c r="T45" i="26"/>
  <c r="Q45" i="26"/>
  <c r="V44" i="26"/>
  <c r="T44" i="26"/>
  <c r="V43" i="26"/>
  <c r="T43" i="26"/>
  <c r="V42" i="26"/>
  <c r="T42" i="26"/>
  <c r="Q42" i="26"/>
  <c r="V41" i="26"/>
  <c r="T41" i="26"/>
  <c r="Q41" i="26"/>
  <c r="V40" i="26"/>
  <c r="T40" i="26"/>
  <c r="V39" i="26"/>
  <c r="T39" i="26"/>
  <c r="V38" i="26"/>
  <c r="T38" i="26"/>
  <c r="V37" i="26"/>
  <c r="T37" i="26"/>
  <c r="V36" i="26"/>
  <c r="T36" i="26"/>
  <c r="V35" i="26"/>
  <c r="T35" i="26"/>
  <c r="V34" i="26"/>
  <c r="S34" i="26"/>
  <c r="T34" i="26" s="1"/>
  <c r="V33" i="26"/>
  <c r="T33" i="26"/>
  <c r="V32" i="26"/>
  <c r="T32" i="26"/>
  <c r="V31" i="26"/>
  <c r="T31" i="26"/>
  <c r="V30" i="26"/>
  <c r="T30" i="26"/>
  <c r="V29" i="26"/>
  <c r="S29" i="26"/>
  <c r="T29" i="26" s="1"/>
  <c r="I29" i="26"/>
  <c r="V28" i="26"/>
  <c r="T28" i="26"/>
  <c r="P28" i="26"/>
  <c r="I28" i="26"/>
  <c r="V27" i="26"/>
  <c r="T27" i="26"/>
  <c r="V26" i="26"/>
  <c r="S26" i="26"/>
  <c r="T26" i="26" s="1"/>
  <c r="V25" i="26"/>
  <c r="S25" i="26"/>
  <c r="T25" i="26" s="1"/>
  <c r="E25" i="26" s="1"/>
  <c r="D25" i="26" s="1"/>
  <c r="I25" i="26" s="1"/>
  <c r="V24" i="26"/>
  <c r="S24" i="26"/>
  <c r="T24" i="26" s="1"/>
  <c r="V23" i="26"/>
  <c r="S23" i="26"/>
  <c r="T23" i="26" s="1"/>
  <c r="V22" i="26"/>
  <c r="S22" i="26"/>
  <c r="T22" i="26" s="1"/>
  <c r="I22" i="26"/>
  <c r="V21" i="26"/>
  <c r="S21" i="26"/>
  <c r="T21" i="26" s="1"/>
  <c r="I21" i="26"/>
  <c r="E20" i="26"/>
  <c r="D20" i="26" s="1"/>
  <c r="I20" i="26" s="1"/>
  <c r="E19" i="26"/>
  <c r="D19" i="26" s="1"/>
  <c r="I19" i="26" s="1"/>
  <c r="V18" i="26"/>
  <c r="S18" i="26"/>
  <c r="T18" i="26"/>
  <c r="V17" i="26"/>
  <c r="S17" i="26"/>
  <c r="T17" i="26" s="1"/>
  <c r="V16" i="26"/>
  <c r="S16" i="26"/>
  <c r="T16" i="26" s="1"/>
  <c r="E16" i="26" s="1"/>
  <c r="D16" i="26" s="1"/>
  <c r="I16" i="26" s="1"/>
  <c r="V15" i="26"/>
  <c r="S15" i="26"/>
  <c r="T15" i="26" s="1"/>
  <c r="V14" i="26"/>
  <c r="S14" i="26"/>
  <c r="T14" i="26" s="1"/>
  <c r="E14" i="26" s="1"/>
  <c r="D14" i="26" s="1"/>
  <c r="I14" i="26"/>
  <c r="V13" i="26"/>
  <c r="S13" i="26"/>
  <c r="T13" i="26" s="1"/>
  <c r="V12" i="26"/>
  <c r="S12" i="26"/>
  <c r="T12" i="26" s="1"/>
  <c r="I12" i="26"/>
  <c r="V11" i="26"/>
  <c r="S11" i="26"/>
  <c r="T11" i="26" s="1"/>
  <c r="V10" i="26"/>
  <c r="E10" i="26" s="1"/>
  <c r="D10" i="26" s="1"/>
  <c r="I10" i="26" s="1"/>
  <c r="S10" i="26"/>
  <c r="T10" i="26" s="1"/>
  <c r="V9" i="26"/>
  <c r="S9" i="26"/>
  <c r="T9" i="26" s="1"/>
  <c r="V8" i="26"/>
  <c r="S8" i="26"/>
  <c r="T8" i="26" s="1"/>
  <c r="E8" i="26" s="1"/>
  <c r="D8" i="26" s="1"/>
  <c r="I8" i="26" s="1"/>
  <c r="V7" i="26"/>
  <c r="S7" i="26"/>
  <c r="T7" i="26" s="1"/>
  <c r="I7" i="26"/>
  <c r="V6" i="26"/>
  <c r="S6" i="26"/>
  <c r="T6" i="26" s="1"/>
  <c r="I6" i="26"/>
  <c r="V5" i="26"/>
  <c r="S5" i="26"/>
  <c r="T5" i="26" s="1"/>
  <c r="I5" i="26"/>
  <c r="V4" i="26"/>
  <c r="S4" i="26"/>
  <c r="T4" i="26" s="1"/>
  <c r="I4" i="26"/>
  <c r="V3" i="26"/>
  <c r="S3" i="26"/>
  <c r="T3" i="26" s="1"/>
  <c r="I3" i="26"/>
  <c r="E146" i="1"/>
  <c r="D146" i="1" s="1"/>
  <c r="I146" i="1" s="1"/>
  <c r="E148" i="1"/>
  <c r="D148" i="1" s="1"/>
  <c r="I148" i="1" s="1"/>
  <c r="N95" i="24"/>
  <c r="N41" i="24"/>
  <c r="N149" i="24"/>
  <c r="AA20" i="17"/>
  <c r="D20" i="17"/>
  <c r="D19" i="17"/>
  <c r="C21" i="24"/>
  <c r="V21" i="24" s="1"/>
  <c r="E38" i="26"/>
  <c r="D38" i="26" s="1"/>
  <c r="I38" i="26" s="1"/>
  <c r="P198" i="1"/>
  <c r="V39" i="2"/>
  <c r="V38" i="2"/>
  <c r="V37" i="2"/>
  <c r="V36" i="2"/>
  <c r="N41" i="17"/>
  <c r="Y39" i="17"/>
  <c r="Y38" i="17"/>
  <c r="Y37" i="17"/>
  <c r="C39" i="17"/>
  <c r="B39" i="17"/>
  <c r="C38" i="17"/>
  <c r="B38" i="17"/>
  <c r="C37" i="17"/>
  <c r="B37" i="17"/>
  <c r="C36" i="17"/>
  <c r="Q36" i="17" s="1"/>
  <c r="B36" i="17"/>
  <c r="A36" i="17" s="1"/>
  <c r="G36" i="17" s="1"/>
  <c r="E20" i="17"/>
  <c r="C20" i="17"/>
  <c r="B20" i="17"/>
  <c r="A20" i="17" s="1"/>
  <c r="G20" i="17" s="1"/>
  <c r="E19" i="17"/>
  <c r="C19" i="17"/>
  <c r="B19" i="17"/>
  <c r="P189" i="1"/>
  <c r="P190" i="1"/>
  <c r="V13" i="1"/>
  <c r="S13" i="1"/>
  <c r="T13" i="1" s="1"/>
  <c r="V12" i="1"/>
  <c r="S12" i="1"/>
  <c r="T12" i="1" s="1"/>
  <c r="V7" i="1"/>
  <c r="S7" i="1"/>
  <c r="T7" i="1" s="1"/>
  <c r="V6" i="1"/>
  <c r="S6" i="1"/>
  <c r="T6" i="1" s="1"/>
  <c r="V5" i="1"/>
  <c r="S5" i="1"/>
  <c r="T5" i="1" s="1"/>
  <c r="V4" i="1"/>
  <c r="S4" i="1"/>
  <c r="T4" i="1" s="1"/>
  <c r="V3" i="1"/>
  <c r="S3" i="1"/>
  <c r="T3" i="1" s="1"/>
  <c r="E144" i="1"/>
  <c r="D144" i="1" s="1"/>
  <c r="P197" i="1"/>
  <c r="E130" i="1"/>
  <c r="D130" i="1" s="1"/>
  <c r="V87" i="1"/>
  <c r="S87" i="1"/>
  <c r="T87" i="1" s="1"/>
  <c r="V117" i="1"/>
  <c r="S117" i="1"/>
  <c r="T117" i="1" s="1"/>
  <c r="V105" i="1"/>
  <c r="S105" i="1"/>
  <c r="T105" i="1" s="1"/>
  <c r="E157" i="1"/>
  <c r="D157" i="1" s="1"/>
  <c r="I157" i="1" s="1"/>
  <c r="E155" i="1"/>
  <c r="D155" i="1" s="1"/>
  <c r="I155" i="1" s="1"/>
  <c r="K39" i="2"/>
  <c r="I39" i="2"/>
  <c r="O39" i="2" s="1"/>
  <c r="U39" i="2" s="1"/>
  <c r="K38" i="2"/>
  <c r="I38" i="2"/>
  <c r="O38" i="2" s="1"/>
  <c r="U38" i="2" s="1"/>
  <c r="K37" i="2"/>
  <c r="I37" i="2"/>
  <c r="O37" i="2" s="1"/>
  <c r="U37" i="2" s="1"/>
  <c r="N42" i="2"/>
  <c r="N150" i="24" s="1"/>
  <c r="V68" i="1"/>
  <c r="S68" i="1"/>
  <c r="T68" i="1" s="1"/>
  <c r="E68" i="1" s="1"/>
  <c r="D68" i="1" s="1"/>
  <c r="I68" i="1" s="1"/>
  <c r="V66" i="1"/>
  <c r="S66" i="1"/>
  <c r="T66" i="1" s="1"/>
  <c r="V69" i="1"/>
  <c r="S69" i="1"/>
  <c r="T69" i="1" s="1"/>
  <c r="V67" i="1"/>
  <c r="S67" i="1"/>
  <c r="T67" i="1" s="1"/>
  <c r="E213" i="1"/>
  <c r="D213" i="1" s="1"/>
  <c r="G213" i="1" s="1"/>
  <c r="E174" i="1"/>
  <c r="D174" i="1" s="1"/>
  <c r="I174" i="1" s="1"/>
  <c r="E23" i="24"/>
  <c r="K23" i="24" s="1"/>
  <c r="E22" i="24"/>
  <c r="K22" i="24" s="1"/>
  <c r="E20" i="24"/>
  <c r="K20" i="24" s="1"/>
  <c r="E19" i="24"/>
  <c r="K19" i="24" s="1"/>
  <c r="K77" i="24"/>
  <c r="C77" i="24"/>
  <c r="Q77" i="24" s="1"/>
  <c r="B77" i="24"/>
  <c r="K76" i="24"/>
  <c r="C76" i="24"/>
  <c r="B76" i="24"/>
  <c r="A76" i="24" s="1"/>
  <c r="K74" i="24"/>
  <c r="C74" i="24"/>
  <c r="Q74" i="24" s="1"/>
  <c r="B74" i="24"/>
  <c r="A74" i="24" s="1"/>
  <c r="E73" i="24"/>
  <c r="K73" i="24" s="1"/>
  <c r="C73" i="24"/>
  <c r="Q73" i="24" s="1"/>
  <c r="B73" i="24"/>
  <c r="C23" i="24"/>
  <c r="Q23" i="24" s="1"/>
  <c r="B23" i="24"/>
  <c r="C22" i="24"/>
  <c r="Q22" i="24" s="1"/>
  <c r="B22" i="24"/>
  <c r="C20" i="24"/>
  <c r="Q20" i="24" s="1"/>
  <c r="B20" i="24"/>
  <c r="A20" i="24" s="1"/>
  <c r="K128" i="24"/>
  <c r="C128" i="24"/>
  <c r="Q128" i="24" s="1"/>
  <c r="B128" i="24"/>
  <c r="E127" i="24"/>
  <c r="K127" i="24" s="1"/>
  <c r="C127" i="24"/>
  <c r="Q127" i="24" s="1"/>
  <c r="B127" i="24"/>
  <c r="C19" i="24"/>
  <c r="Q19" i="24" s="1"/>
  <c r="A91" i="24"/>
  <c r="G91" i="24" s="1"/>
  <c r="M91" i="24" s="1"/>
  <c r="K90" i="24"/>
  <c r="I90" i="24"/>
  <c r="O90" i="24" s="1"/>
  <c r="U90" i="24" s="1"/>
  <c r="A90" i="24"/>
  <c r="K75" i="24"/>
  <c r="I75" i="24"/>
  <c r="O75" i="24" s="1"/>
  <c r="U75" i="24" s="1"/>
  <c r="A75" i="24"/>
  <c r="I70" i="24"/>
  <c r="G70" i="24"/>
  <c r="B67" i="24"/>
  <c r="Q70" i="24" s="1"/>
  <c r="B66" i="24"/>
  <c r="L70" i="24" s="1"/>
  <c r="B55" i="24"/>
  <c r="B70" i="24" s="1"/>
  <c r="S70" i="24" s="1"/>
  <c r="A39" i="24"/>
  <c r="G39" i="24" s="1"/>
  <c r="M39" i="24" s="1"/>
  <c r="A38" i="24"/>
  <c r="G38" i="24" s="1"/>
  <c r="M38" i="24" s="1"/>
  <c r="A37" i="24"/>
  <c r="K36" i="24"/>
  <c r="I36" i="24"/>
  <c r="O36" i="24" s="1"/>
  <c r="U36" i="24" s="1"/>
  <c r="A36" i="24"/>
  <c r="K21" i="24"/>
  <c r="I21" i="24"/>
  <c r="O21" i="24" s="1"/>
  <c r="U21" i="24" s="1"/>
  <c r="A21" i="24"/>
  <c r="I16" i="24"/>
  <c r="G16" i="24"/>
  <c r="B13" i="24"/>
  <c r="Q16" i="24" s="1"/>
  <c r="B12" i="24"/>
  <c r="L16" i="24" s="1"/>
  <c r="B1" i="24"/>
  <c r="B16" i="24" s="1"/>
  <c r="S16" i="24" s="1"/>
  <c r="A145" i="24"/>
  <c r="K144" i="24"/>
  <c r="I144" i="24"/>
  <c r="O144" i="24" s="1"/>
  <c r="U144" i="24" s="1"/>
  <c r="A144" i="24"/>
  <c r="I124" i="24"/>
  <c r="G124" i="24"/>
  <c r="B121" i="24"/>
  <c r="Q124" i="24" s="1"/>
  <c r="B120" i="24"/>
  <c r="L124" i="24" s="1"/>
  <c r="B124" i="24"/>
  <c r="S124" i="24" s="1"/>
  <c r="B13" i="17"/>
  <c r="Q16" i="17" s="1"/>
  <c r="B12" i="17"/>
  <c r="L16" i="17" s="1"/>
  <c r="E21" i="1"/>
  <c r="D21" i="1" s="1"/>
  <c r="I21" i="1" s="1"/>
  <c r="E22" i="1"/>
  <c r="D22" i="1" s="1"/>
  <c r="I22" i="1" s="1"/>
  <c r="V76" i="1"/>
  <c r="S76" i="1"/>
  <c r="T76" i="1" s="1"/>
  <c r="V74" i="1"/>
  <c r="S74" i="1"/>
  <c r="T74" i="1" s="1"/>
  <c r="V19" i="1"/>
  <c r="S19" i="1"/>
  <c r="T19" i="1" s="1"/>
  <c r="V126" i="1"/>
  <c r="V125" i="1"/>
  <c r="V124" i="1"/>
  <c r="V123" i="1"/>
  <c r="V122" i="1"/>
  <c r="V121" i="1"/>
  <c r="V11" i="1"/>
  <c r="V10" i="1"/>
  <c r="V9" i="1"/>
  <c r="V8" i="1"/>
  <c r="V120" i="1"/>
  <c r="V119" i="1"/>
  <c r="V115" i="1"/>
  <c r="V112" i="1"/>
  <c r="V110" i="1"/>
  <c r="V109" i="1"/>
  <c r="V108" i="1"/>
  <c r="V107" i="1"/>
  <c r="V106" i="1"/>
  <c r="V104" i="1"/>
  <c r="V103" i="1"/>
  <c r="V102" i="1"/>
  <c r="V101" i="1"/>
  <c r="V100" i="1"/>
  <c r="V99" i="1"/>
  <c r="V98" i="1"/>
  <c r="V85" i="1"/>
  <c r="V84" i="1"/>
  <c r="V83" i="1"/>
  <c r="V82" i="1"/>
  <c r="V81" i="1"/>
  <c r="V80" i="1"/>
  <c r="V78" i="1"/>
  <c r="V77" i="1"/>
  <c r="V61" i="1"/>
  <c r="V59" i="1"/>
  <c r="V58" i="1"/>
  <c r="V97" i="1"/>
  <c r="V96" i="1"/>
  <c r="V95" i="1"/>
  <c r="V94" i="1"/>
  <c r="V93" i="1"/>
  <c r="V92" i="1"/>
  <c r="V91" i="1"/>
  <c r="V90" i="1"/>
  <c r="V89" i="1"/>
  <c r="V88" i="1"/>
  <c r="V75" i="1"/>
  <c r="V73" i="1"/>
  <c r="V72" i="1"/>
  <c r="V70" i="1"/>
  <c r="V71" i="1"/>
  <c r="V65" i="1"/>
  <c r="V57" i="1"/>
  <c r="V56" i="1"/>
  <c r="V55" i="1"/>
  <c r="V54" i="1"/>
  <c r="V53" i="1"/>
  <c r="V52" i="1"/>
  <c r="V50" i="1"/>
  <c r="V49" i="1"/>
  <c r="V48" i="1"/>
  <c r="V47" i="1"/>
  <c r="E47" i="1" s="1"/>
  <c r="D47" i="1" s="1"/>
  <c r="I47" i="1" s="1"/>
  <c r="V46" i="1"/>
  <c r="V43" i="1"/>
  <c r="V42" i="1"/>
  <c r="V41" i="1"/>
  <c r="V40" i="1"/>
  <c r="V39" i="1"/>
  <c r="V37" i="1"/>
  <c r="V36" i="1"/>
  <c r="V35" i="1"/>
  <c r="V34" i="1"/>
  <c r="V33" i="1"/>
  <c r="V32" i="1"/>
  <c r="V31" i="1"/>
  <c r="V30" i="1"/>
  <c r="V29" i="1"/>
  <c r="E29" i="1" s="1"/>
  <c r="D29" i="1" s="1"/>
  <c r="V27" i="1"/>
  <c r="V28" i="1"/>
  <c r="V26" i="1"/>
  <c r="V25" i="1"/>
  <c r="V24" i="1"/>
  <c r="V23" i="1"/>
  <c r="V18" i="1"/>
  <c r="V17" i="1"/>
  <c r="V16" i="1"/>
  <c r="V14" i="1"/>
  <c r="S18" i="1"/>
  <c r="T18" i="1" s="1"/>
  <c r="E18" i="1" s="1"/>
  <c r="D18" i="1" s="1"/>
  <c r="I18" i="1" s="1"/>
  <c r="S17" i="1"/>
  <c r="T17" i="1" s="1"/>
  <c r="S16" i="1"/>
  <c r="T16" i="1" s="1"/>
  <c r="S14" i="1"/>
  <c r="T14" i="1" s="1"/>
  <c r="E14" i="1" s="1"/>
  <c r="D14" i="1" s="1"/>
  <c r="S47" i="1"/>
  <c r="T47" i="1" s="1"/>
  <c r="S46" i="1"/>
  <c r="T46" i="1" s="1"/>
  <c r="E135" i="1"/>
  <c r="D135" i="1" s="1"/>
  <c r="I135" i="1" s="1"/>
  <c r="V45" i="17"/>
  <c r="Y36" i="17"/>
  <c r="Y19" i="17"/>
  <c r="O16" i="17"/>
  <c r="I16" i="17"/>
  <c r="G16" i="17"/>
  <c r="B16" i="17"/>
  <c r="S16" i="17" s="1"/>
  <c r="B15" i="17"/>
  <c r="G48" i="17" s="1"/>
  <c r="E1" i="17"/>
  <c r="E4" i="17" s="1"/>
  <c r="E128" i="1"/>
  <c r="D128" i="1" s="1"/>
  <c r="E178" i="1"/>
  <c r="D178" i="1" s="1"/>
  <c r="AA19" i="17"/>
  <c r="E152" i="1"/>
  <c r="D152" i="1"/>
  <c r="I152" i="1" s="1"/>
  <c r="E153" i="1"/>
  <c r="D153" i="1" s="1"/>
  <c r="I153" i="1" s="1"/>
  <c r="K36" i="2"/>
  <c r="I36" i="2"/>
  <c r="O36" i="2" s="1"/>
  <c r="U36" i="2" s="1"/>
  <c r="K30" i="2"/>
  <c r="I30" i="2"/>
  <c r="O30" i="2" s="1"/>
  <c r="U30" i="2" s="1"/>
  <c r="K29" i="2"/>
  <c r="I29" i="2"/>
  <c r="O29" i="2" s="1"/>
  <c r="U29" i="2" s="1"/>
  <c r="K28" i="2"/>
  <c r="I28" i="2"/>
  <c r="O28" i="2" s="1"/>
  <c r="U28" i="2" s="1"/>
  <c r="K27" i="2"/>
  <c r="I27" i="2"/>
  <c r="O27" i="2" s="1"/>
  <c r="U27" i="2" s="1"/>
  <c r="K26" i="2"/>
  <c r="I26" i="2"/>
  <c r="O26" i="2" s="1"/>
  <c r="U26" i="2" s="1"/>
  <c r="K25" i="2"/>
  <c r="I25" i="2"/>
  <c r="O25" i="2" s="1"/>
  <c r="U25" i="2" s="1"/>
  <c r="K24" i="2"/>
  <c r="I24" i="2"/>
  <c r="O24" i="2" s="1"/>
  <c r="U24" i="2" s="1"/>
  <c r="K23" i="2"/>
  <c r="I23" i="2"/>
  <c r="O23" i="2" s="1"/>
  <c r="U23" i="2" s="1"/>
  <c r="K22" i="2"/>
  <c r="I22" i="2"/>
  <c r="O22" i="2" s="1"/>
  <c r="U22" i="2" s="1"/>
  <c r="K21" i="2"/>
  <c r="I21" i="2"/>
  <c r="O21" i="2" s="1"/>
  <c r="U21" i="2" s="1"/>
  <c r="K20" i="2"/>
  <c r="I20" i="2"/>
  <c r="O20" i="2" s="1"/>
  <c r="U20" i="2" s="1"/>
  <c r="I19" i="2"/>
  <c r="O19" i="2" s="1"/>
  <c r="U19" i="2" s="1"/>
  <c r="E137" i="1"/>
  <c r="D137" i="1" s="1"/>
  <c r="I137" i="1" s="1"/>
  <c r="E129" i="1"/>
  <c r="E131" i="1"/>
  <c r="D131" i="1" s="1"/>
  <c r="I131" i="1" s="1"/>
  <c r="E132" i="1"/>
  <c r="D132" i="1" s="1"/>
  <c r="I132" i="1" s="1"/>
  <c r="E133" i="1"/>
  <c r="D133" i="1" s="1"/>
  <c r="E134" i="1"/>
  <c r="D134" i="1"/>
  <c r="E136" i="1"/>
  <c r="D136" i="1" s="1"/>
  <c r="E138" i="1"/>
  <c r="D138" i="1" s="1"/>
  <c r="E139" i="1"/>
  <c r="D139" i="1" s="1"/>
  <c r="I139" i="1" s="1"/>
  <c r="E140" i="1"/>
  <c r="D140" i="1" s="1"/>
  <c r="E141" i="1"/>
  <c r="D141" i="1" s="1"/>
  <c r="E142" i="1"/>
  <c r="D142" i="1"/>
  <c r="E143" i="1"/>
  <c r="D143" i="1" s="1"/>
  <c r="I143" i="1" s="1"/>
  <c r="E145" i="1"/>
  <c r="D145" i="1" s="1"/>
  <c r="I145" i="1" s="1"/>
  <c r="E147" i="1"/>
  <c r="D147" i="1" s="1"/>
  <c r="I147" i="1" s="1"/>
  <c r="E149" i="1"/>
  <c r="D149" i="1" s="1"/>
  <c r="I149" i="1" s="1"/>
  <c r="E151" i="1"/>
  <c r="D151" i="1" s="1"/>
  <c r="I151" i="1" s="1"/>
  <c r="E150" i="1"/>
  <c r="D150" i="1" s="1"/>
  <c r="I150" i="1" s="1"/>
  <c r="E154" i="1"/>
  <c r="D154" i="1" s="1"/>
  <c r="I154" i="1" s="1"/>
  <c r="E163" i="1"/>
  <c r="D163" i="1" s="1"/>
  <c r="I163" i="1" s="1"/>
  <c r="E164" i="1"/>
  <c r="D164" i="1" s="1"/>
  <c r="E165" i="1"/>
  <c r="D165" i="1" s="1"/>
  <c r="I165" i="1" s="1"/>
  <c r="E166" i="1"/>
  <c r="D166" i="1" s="1"/>
  <c r="I166" i="1" s="1"/>
  <c r="E167" i="1"/>
  <c r="D167" i="1" s="1"/>
  <c r="I167" i="1" s="1"/>
  <c r="E175" i="1"/>
  <c r="D175" i="1" s="1"/>
  <c r="E168" i="1"/>
  <c r="D168" i="1" s="1"/>
  <c r="E176" i="1"/>
  <c r="D176" i="1"/>
  <c r="E177" i="1"/>
  <c r="D177" i="1" s="1"/>
  <c r="I177" i="1" s="1"/>
  <c r="E169" i="1"/>
  <c r="D169" i="1" s="1"/>
  <c r="E170" i="1"/>
  <c r="D170" i="1" s="1"/>
  <c r="I170" i="1" s="1"/>
  <c r="E171" i="1"/>
  <c r="D171" i="1" s="1"/>
  <c r="E172" i="1"/>
  <c r="D172" i="1" s="1"/>
  <c r="I172" i="1" s="1"/>
  <c r="E156" i="1"/>
  <c r="E158" i="1"/>
  <c r="D158" i="1" s="1"/>
  <c r="I158" i="1" s="1"/>
  <c r="E159" i="1"/>
  <c r="D159" i="1" s="1"/>
  <c r="E161" i="1"/>
  <c r="D161" i="1" s="1"/>
  <c r="E173" i="1"/>
  <c r="D173" i="1" s="1"/>
  <c r="I173" i="1" s="1"/>
  <c r="E162" i="1"/>
  <c r="D162" i="1" s="1"/>
  <c r="G162" i="1" s="1"/>
  <c r="E180" i="1"/>
  <c r="D180" i="1" s="1"/>
  <c r="E181" i="1"/>
  <c r="D181" i="1" s="1"/>
  <c r="G181" i="1" s="1"/>
  <c r="E182" i="1"/>
  <c r="D182" i="1" s="1"/>
  <c r="G182" i="1" s="1"/>
  <c r="E183" i="1"/>
  <c r="D183" i="1" s="1"/>
  <c r="E184" i="1"/>
  <c r="D184" i="1" s="1"/>
  <c r="G184" i="1" s="1"/>
  <c r="E185" i="1"/>
  <c r="D185" i="1" s="1"/>
  <c r="G185" i="1" s="1"/>
  <c r="E186" i="1"/>
  <c r="D186" i="1" s="1"/>
  <c r="I186" i="1" s="1"/>
  <c r="E187" i="1"/>
  <c r="D187" i="1" s="1"/>
  <c r="E188" i="1"/>
  <c r="D188" i="1" s="1"/>
  <c r="V29" i="2"/>
  <c r="Y29" i="2" s="1"/>
  <c r="AA29" i="2" s="1"/>
  <c r="Q39" i="2"/>
  <c r="Q38" i="2"/>
  <c r="Q37" i="2"/>
  <c r="Q36" i="2"/>
  <c r="Q30" i="2"/>
  <c r="Q29" i="2"/>
  <c r="Q28" i="2"/>
  <c r="Q27" i="2"/>
  <c r="Q26" i="2"/>
  <c r="Q25" i="2"/>
  <c r="Q24" i="2"/>
  <c r="Q23" i="2"/>
  <c r="Q22" i="2"/>
  <c r="Q21" i="2"/>
  <c r="Q20" i="2"/>
  <c r="Q19" i="2"/>
  <c r="V30" i="2"/>
  <c r="V28" i="2"/>
  <c r="Y28" i="2" s="1"/>
  <c r="AA28" i="2" s="1"/>
  <c r="V27" i="2"/>
  <c r="V26" i="2"/>
  <c r="V25" i="2"/>
  <c r="Z25" i="2" s="1"/>
  <c r="AB25" i="2" s="1"/>
  <c r="V24" i="2"/>
  <c r="Y24" i="2" s="1"/>
  <c r="AA24" i="2" s="1"/>
  <c r="V23" i="2"/>
  <c r="V21" i="2"/>
  <c r="Z21" i="2" s="1"/>
  <c r="AB21" i="2" s="1"/>
  <c r="V20" i="2"/>
  <c r="Y20" i="2" s="1"/>
  <c r="AA20" i="2" s="1"/>
  <c r="V19" i="2"/>
  <c r="Z19" i="2" s="1"/>
  <c r="AB19" i="2" s="1"/>
  <c r="Q83" i="1"/>
  <c r="Q35" i="1"/>
  <c r="E35" i="1" s="1"/>
  <c r="D35" i="1" s="1"/>
  <c r="Q34" i="1"/>
  <c r="T126" i="1"/>
  <c r="E127" i="1"/>
  <c r="D127" i="1" s="1"/>
  <c r="T125" i="1"/>
  <c r="T124" i="1"/>
  <c r="S123" i="1"/>
  <c r="T123" i="1" s="1"/>
  <c r="S101" i="1"/>
  <c r="T101" i="1" s="1"/>
  <c r="S102" i="1"/>
  <c r="T102" i="1" s="1"/>
  <c r="S122" i="1"/>
  <c r="T122" i="1" s="1"/>
  <c r="E122" i="1" s="1"/>
  <c r="D122" i="1" s="1"/>
  <c r="S121" i="1"/>
  <c r="T121" i="1" s="1"/>
  <c r="S11" i="1"/>
  <c r="T11" i="1" s="1"/>
  <c r="S10" i="1"/>
  <c r="T10" i="1" s="1"/>
  <c r="E10" i="1" s="1"/>
  <c r="D10" i="1" s="1"/>
  <c r="I10" i="1" s="1"/>
  <c r="S9" i="1"/>
  <c r="T9" i="1" s="1"/>
  <c r="E9" i="1" s="1"/>
  <c r="D9" i="1" s="1"/>
  <c r="I9" i="1" s="1"/>
  <c r="S8" i="1"/>
  <c r="T8" i="1" s="1"/>
  <c r="S120" i="1"/>
  <c r="T120" i="1" s="1"/>
  <c r="S119" i="1"/>
  <c r="T119" i="1" s="1"/>
  <c r="E119" i="1" s="1"/>
  <c r="D119" i="1" s="1"/>
  <c r="S115" i="1"/>
  <c r="T115" i="1" s="1"/>
  <c r="S112" i="1"/>
  <c r="T112" i="1" s="1"/>
  <c r="S110" i="1"/>
  <c r="T110" i="1"/>
  <c r="S109" i="1"/>
  <c r="T109" i="1" s="1"/>
  <c r="E109" i="1" s="1"/>
  <c r="S108" i="1"/>
  <c r="T108" i="1" s="1"/>
  <c r="S107" i="1"/>
  <c r="T107" i="1" s="1"/>
  <c r="S104" i="1"/>
  <c r="T104" i="1" s="1"/>
  <c r="E104" i="1" s="1"/>
  <c r="D104" i="1" s="1"/>
  <c r="S106" i="1"/>
  <c r="T106" i="1" s="1"/>
  <c r="S99" i="1"/>
  <c r="T99" i="1" s="1"/>
  <c r="S100" i="1"/>
  <c r="T100" i="1" s="1"/>
  <c r="S98" i="1"/>
  <c r="T98" i="1" s="1"/>
  <c r="T103" i="1"/>
  <c r="T29" i="1"/>
  <c r="T84" i="1"/>
  <c r="E84" i="1" s="1"/>
  <c r="D84" i="1" s="1"/>
  <c r="I84" i="1" s="1"/>
  <c r="T85" i="1"/>
  <c r="T83" i="1"/>
  <c r="S82" i="1"/>
  <c r="T82" i="1"/>
  <c r="S81" i="1"/>
  <c r="T81" i="1" s="1"/>
  <c r="S80" i="1"/>
  <c r="T80" i="1" s="1"/>
  <c r="E80" i="1" s="1"/>
  <c r="D80" i="1" s="1"/>
  <c r="S78" i="1"/>
  <c r="T78" i="1" s="1"/>
  <c r="S77" i="1"/>
  <c r="T77" i="1" s="1"/>
  <c r="S61" i="1"/>
  <c r="T61" i="1" s="1"/>
  <c r="T59" i="1"/>
  <c r="E59" i="1" s="1"/>
  <c r="D59" i="1" s="1"/>
  <c r="I59" i="1" s="1"/>
  <c r="T58" i="1"/>
  <c r="S97" i="1"/>
  <c r="T97" i="1" s="1"/>
  <c r="S96" i="1"/>
  <c r="T96" i="1" s="1"/>
  <c r="S95" i="1"/>
  <c r="T95" i="1" s="1"/>
  <c r="E95" i="1" s="1"/>
  <c r="D95" i="1" s="1"/>
  <c r="I95" i="1" s="1"/>
  <c r="S94" i="1"/>
  <c r="T94" i="1" s="1"/>
  <c r="S93" i="1"/>
  <c r="T93" i="1" s="1"/>
  <c r="S92" i="1"/>
  <c r="T92" i="1" s="1"/>
  <c r="T91" i="1"/>
  <c r="E91" i="1" s="1"/>
  <c r="D91" i="1" s="1"/>
  <c r="T90" i="1"/>
  <c r="S89" i="1"/>
  <c r="T89" i="1" s="1"/>
  <c r="S88" i="1"/>
  <c r="T88" i="1" s="1"/>
  <c r="S75" i="1"/>
  <c r="T75" i="1" s="1"/>
  <c r="E75" i="1" s="1"/>
  <c r="D75" i="1" s="1"/>
  <c r="I75" i="1" s="1"/>
  <c r="S73" i="1"/>
  <c r="T73" i="1" s="1"/>
  <c r="S72" i="1"/>
  <c r="T72" i="1" s="1"/>
  <c r="S70" i="1"/>
  <c r="T70" i="1" s="1"/>
  <c r="S71" i="1"/>
  <c r="T71" i="1" s="1"/>
  <c r="E71" i="1" s="1"/>
  <c r="D71" i="1" s="1"/>
  <c r="I71" i="1" s="1"/>
  <c r="S65" i="1"/>
  <c r="T65" i="1" s="1"/>
  <c r="E65" i="1" s="1"/>
  <c r="D65" i="1" s="1"/>
  <c r="S56" i="1"/>
  <c r="T56" i="1" s="1"/>
  <c r="S55" i="1"/>
  <c r="T55" i="1" s="1"/>
  <c r="E55" i="1" s="1"/>
  <c r="D55" i="1" s="1"/>
  <c r="I55" i="1" s="1"/>
  <c r="S54" i="1"/>
  <c r="T54" i="1" s="1"/>
  <c r="S57" i="1"/>
  <c r="T57" i="1" s="1"/>
  <c r="S53" i="1"/>
  <c r="T53" i="1" s="1"/>
  <c r="T52" i="1"/>
  <c r="S50" i="1"/>
  <c r="T50" i="1" s="1"/>
  <c r="E50" i="1" s="1"/>
  <c r="S49" i="1"/>
  <c r="T49" i="1" s="1"/>
  <c r="E49" i="1" s="1"/>
  <c r="D49" i="1" s="1"/>
  <c r="I49" i="1" s="1"/>
  <c r="S48" i="1"/>
  <c r="T48" i="1" s="1"/>
  <c r="Q48" i="1"/>
  <c r="S43" i="1"/>
  <c r="T43" i="1" s="1"/>
  <c r="E43" i="1" s="1"/>
  <c r="D43" i="1" s="1"/>
  <c r="I43" i="1" s="1"/>
  <c r="S42" i="1"/>
  <c r="T42" i="1" s="1"/>
  <c r="S41" i="1"/>
  <c r="T41" i="1" s="1"/>
  <c r="T40" i="1"/>
  <c r="Q40" i="1"/>
  <c r="T38" i="1"/>
  <c r="E38" i="1" s="1"/>
  <c r="D38" i="1" s="1"/>
  <c r="Q38" i="1"/>
  <c r="T39" i="1"/>
  <c r="E39" i="1" s="1"/>
  <c r="D39" i="1" s="1"/>
  <c r="I39" i="1" s="1"/>
  <c r="T37" i="1"/>
  <c r="E37" i="1" s="1"/>
  <c r="D37" i="1" s="1"/>
  <c r="T36" i="1"/>
  <c r="T35" i="1"/>
  <c r="T34" i="1"/>
  <c r="T33" i="1"/>
  <c r="E33" i="1" s="1"/>
  <c r="D33" i="1" s="1"/>
  <c r="T32" i="1"/>
  <c r="S31" i="1"/>
  <c r="T31" i="1" s="1"/>
  <c r="S27" i="1"/>
  <c r="T27" i="1" s="1"/>
  <c r="S28" i="1"/>
  <c r="T28" i="1" s="1"/>
  <c r="E28" i="1" s="1"/>
  <c r="D28" i="1" s="1"/>
  <c r="S25" i="1"/>
  <c r="T25" i="1" s="1"/>
  <c r="S26" i="1"/>
  <c r="T26" i="1" s="1"/>
  <c r="S24" i="1"/>
  <c r="T24" i="1" s="1"/>
  <c r="S23" i="1"/>
  <c r="T23" i="1" s="1"/>
  <c r="E23" i="1" s="1"/>
  <c r="D23" i="1" s="1"/>
  <c r="E73" i="1"/>
  <c r="D73" i="1" s="1"/>
  <c r="D50" i="1"/>
  <c r="I50" i="1" s="1"/>
  <c r="E100" i="1"/>
  <c r="D100" i="1" s="1"/>
  <c r="I100" i="1" s="1"/>
  <c r="I198" i="1"/>
  <c r="O16" i="2"/>
  <c r="B16" i="2"/>
  <c r="S16" i="2" s="1"/>
  <c r="Q16" i="2"/>
  <c r="E1" i="2"/>
  <c r="E5" i="2" s="1"/>
  <c r="K19" i="2"/>
  <c r="R32" i="2"/>
  <c r="L16" i="2"/>
  <c r="G16" i="2"/>
  <c r="I16" i="2"/>
  <c r="R38" i="2"/>
  <c r="T38" i="2" s="1"/>
  <c r="R36" i="2"/>
  <c r="R37" i="2"/>
  <c r="R39" i="2"/>
  <c r="A26" i="2"/>
  <c r="G26" i="2" s="1"/>
  <c r="M26" i="2" s="1"/>
  <c r="S26" i="2" s="1"/>
  <c r="A20" i="2"/>
  <c r="G20" i="2" s="1"/>
  <c r="M20" i="2" s="1"/>
  <c r="S20" i="2" s="1"/>
  <c r="A25" i="2"/>
  <c r="G25" i="2" s="1"/>
  <c r="M25" i="2" s="1"/>
  <c r="S25" i="2" s="1"/>
  <c r="A36" i="2"/>
  <c r="G36" i="2" s="1"/>
  <c r="M36" i="2" s="1"/>
  <c r="S36" i="2" s="1"/>
  <c r="A37" i="2"/>
  <c r="G37" i="2" s="1"/>
  <c r="M37" i="2" s="1"/>
  <c r="S37" i="2" s="1"/>
  <c r="A39" i="2"/>
  <c r="G39" i="2" s="1"/>
  <c r="M39" i="2" s="1"/>
  <c r="S39" i="2" s="1"/>
  <c r="A23" i="2"/>
  <c r="G23" i="2" s="1"/>
  <c r="M23" i="2" s="1"/>
  <c r="S23" i="2" s="1"/>
  <c r="A21" i="2"/>
  <c r="G21" i="2" s="1"/>
  <c r="M21" i="2" s="1"/>
  <c r="S21" i="2" s="1"/>
  <c r="A22" i="2"/>
  <c r="G22" i="2" s="1"/>
  <c r="M22" i="2" s="1"/>
  <c r="S22" i="2" s="1"/>
  <c r="A24" i="2"/>
  <c r="G24" i="2" s="1"/>
  <c r="M24" i="2" s="1"/>
  <c r="S24" i="2" s="1"/>
  <c r="A38" i="2"/>
  <c r="G38" i="2" s="1"/>
  <c r="M38" i="2" s="1"/>
  <c r="S38" i="2" s="1"/>
  <c r="A19" i="2"/>
  <c r="G19" i="2" s="1"/>
  <c r="M19" i="2" s="1"/>
  <c r="S19" i="2" s="1"/>
  <c r="P193" i="1"/>
  <c r="P208" i="1"/>
  <c r="P206" i="1"/>
  <c r="P194" i="1"/>
  <c r="P207" i="1"/>
  <c r="P192" i="1"/>
  <c r="P191" i="1"/>
  <c r="P209" i="1"/>
  <c r="P195" i="1"/>
  <c r="P46" i="1"/>
  <c r="Q39" i="17"/>
  <c r="A21" i="17"/>
  <c r="G21" i="17" s="1"/>
  <c r="R28" i="2"/>
  <c r="N42" i="29"/>
  <c r="E54" i="29"/>
  <c r="E58" i="29" s="1"/>
  <c r="Q137" i="29"/>
  <c r="I128" i="29"/>
  <c r="O128" i="29" s="1"/>
  <c r="U128" i="29" s="1"/>
  <c r="Q91" i="29"/>
  <c r="I134" i="29"/>
  <c r="O134" i="29" s="1"/>
  <c r="U134" i="29" s="1"/>
  <c r="K127" i="29"/>
  <c r="Q72" i="29"/>
  <c r="G135" i="29"/>
  <c r="M135" i="29" s="1"/>
  <c r="S135" i="29" s="1"/>
  <c r="I135" i="29"/>
  <c r="O135" i="29" s="1"/>
  <c r="U135" i="29" s="1"/>
  <c r="A25" i="17"/>
  <c r="G25" i="17" s="1"/>
  <c r="A22" i="29"/>
  <c r="G22" i="29" s="1"/>
  <c r="M22" i="29" s="1"/>
  <c r="S22" i="29" s="1"/>
  <c r="E4" i="2"/>
  <c r="G154" i="29"/>
  <c r="N42" i="24"/>
  <c r="N42" i="17"/>
  <c r="V140" i="29"/>
  <c r="I122" i="1" l="1"/>
  <c r="G122" i="1"/>
  <c r="X140" i="29"/>
  <c r="E53" i="1"/>
  <c r="D53" i="1" s="1"/>
  <c r="I53" i="1" s="1"/>
  <c r="E72" i="1"/>
  <c r="D72" i="1" s="1"/>
  <c r="I72" i="1" s="1"/>
  <c r="E99" i="1"/>
  <c r="D99" i="1" s="1"/>
  <c r="I99" i="1" s="1"/>
  <c r="E112" i="1"/>
  <c r="D112" i="1" s="1"/>
  <c r="E121" i="1"/>
  <c r="D121" i="1" s="1"/>
  <c r="I121" i="1" s="1"/>
  <c r="G170" i="1"/>
  <c r="E6" i="1"/>
  <c r="D6" i="1" s="1"/>
  <c r="I6" i="1" s="1"/>
  <c r="E29" i="26"/>
  <c r="D29" i="26" s="1"/>
  <c r="E33" i="26"/>
  <c r="D33" i="26" s="1"/>
  <c r="I33" i="26" s="1"/>
  <c r="E37" i="26"/>
  <c r="D37" i="26" s="1"/>
  <c r="I37" i="26" s="1"/>
  <c r="E56" i="26"/>
  <c r="D56" i="26" s="1"/>
  <c r="I56" i="26" s="1"/>
  <c r="E70" i="26"/>
  <c r="D70" i="26" s="1"/>
  <c r="I70" i="26" s="1"/>
  <c r="E91" i="26"/>
  <c r="D91" i="26" s="1"/>
  <c r="I91" i="26" s="1"/>
  <c r="E106" i="26"/>
  <c r="D106" i="26" s="1"/>
  <c r="I106" i="26" s="1"/>
  <c r="E109" i="26"/>
  <c r="D109" i="26" s="1"/>
  <c r="I26" i="29"/>
  <c r="O26" i="29" s="1"/>
  <c r="U26" i="29" s="1"/>
  <c r="E102" i="1"/>
  <c r="D102" i="1" s="1"/>
  <c r="E26" i="1"/>
  <c r="D26" i="1" s="1"/>
  <c r="G166" i="1"/>
  <c r="E111" i="26"/>
  <c r="D111" i="26" s="1"/>
  <c r="E42" i="1"/>
  <c r="D42" i="1" s="1"/>
  <c r="E94" i="1"/>
  <c r="D94" i="1" s="1"/>
  <c r="I94" i="1" s="1"/>
  <c r="E16" i="1"/>
  <c r="D16" i="1" s="1"/>
  <c r="I16" i="1" s="1"/>
  <c r="E124" i="1"/>
  <c r="D124" i="1" s="1"/>
  <c r="I124" i="1" s="1"/>
  <c r="P210" i="26"/>
  <c r="E6" i="26"/>
  <c r="D6" i="26" s="1"/>
  <c r="E23" i="26"/>
  <c r="D23" i="26" s="1"/>
  <c r="I23" i="26" s="1"/>
  <c r="E27" i="26"/>
  <c r="D27" i="26" s="1"/>
  <c r="I27" i="26" s="1"/>
  <c r="E48" i="26"/>
  <c r="D48" i="26" s="1"/>
  <c r="I48" i="26" s="1"/>
  <c r="E63" i="26"/>
  <c r="D63" i="26" s="1"/>
  <c r="I63" i="26" s="1"/>
  <c r="E67" i="26"/>
  <c r="D67" i="26" s="1"/>
  <c r="I67" i="26" s="1"/>
  <c r="E78" i="26"/>
  <c r="D78" i="26" s="1"/>
  <c r="I78" i="26" s="1"/>
  <c r="E85" i="26"/>
  <c r="D85" i="26" s="1"/>
  <c r="I85" i="26" s="1"/>
  <c r="E112" i="26"/>
  <c r="D112" i="26" s="1"/>
  <c r="E222" i="26"/>
  <c r="D222" i="26" s="1"/>
  <c r="I222" i="26" s="1"/>
  <c r="E17" i="1"/>
  <c r="D17" i="1" s="1"/>
  <c r="I17" i="1" s="1"/>
  <c r="E7" i="1"/>
  <c r="D7" i="1" s="1"/>
  <c r="E34" i="26"/>
  <c r="D34" i="26" s="1"/>
  <c r="I34" i="26" s="1"/>
  <c r="E57" i="26"/>
  <c r="D57" i="26" s="1"/>
  <c r="I57" i="26" s="1"/>
  <c r="E124" i="26"/>
  <c r="D124" i="26" s="1"/>
  <c r="I124" i="26" s="1"/>
  <c r="E127" i="26"/>
  <c r="D127" i="26" s="1"/>
  <c r="E114" i="1"/>
  <c r="D114" i="1" s="1"/>
  <c r="I114" i="1" s="1"/>
  <c r="R33" i="2"/>
  <c r="N148" i="29"/>
  <c r="E31" i="1"/>
  <c r="D31" i="1" s="1"/>
  <c r="E48" i="1"/>
  <c r="D48" i="1" s="1"/>
  <c r="I48" i="1" s="1"/>
  <c r="E56" i="1"/>
  <c r="D56" i="1" s="1"/>
  <c r="I56" i="1" s="1"/>
  <c r="E89" i="1"/>
  <c r="D89" i="1" s="1"/>
  <c r="E108" i="1"/>
  <c r="E8" i="1"/>
  <c r="D8" i="1" s="1"/>
  <c r="E123" i="1"/>
  <c r="D123" i="1" s="1"/>
  <c r="I123" i="1" s="1"/>
  <c r="E4" i="1"/>
  <c r="D4" i="1" s="1"/>
  <c r="A38" i="17"/>
  <c r="G38" i="17" s="1"/>
  <c r="E21" i="26"/>
  <c r="D21" i="26" s="1"/>
  <c r="P208" i="26"/>
  <c r="E208" i="26" s="1"/>
  <c r="D208" i="26" s="1"/>
  <c r="E31" i="26"/>
  <c r="D31" i="26" s="1"/>
  <c r="I31" i="26" s="1"/>
  <c r="E35" i="26"/>
  <c r="D35" i="26" s="1"/>
  <c r="I35" i="26" s="1"/>
  <c r="E53" i="26"/>
  <c r="D53" i="26" s="1"/>
  <c r="I53" i="26" s="1"/>
  <c r="E61" i="26"/>
  <c r="D61" i="26" s="1"/>
  <c r="I61" i="26" s="1"/>
  <c r="E64" i="26"/>
  <c r="D64" i="26" s="1"/>
  <c r="I64" i="26" s="1"/>
  <c r="E122" i="26"/>
  <c r="D122" i="26" s="1"/>
  <c r="I122" i="26" s="1"/>
  <c r="V34" i="17"/>
  <c r="AB34" i="17" s="1"/>
  <c r="AD34" i="17" s="1"/>
  <c r="E128" i="26"/>
  <c r="D128" i="26" s="1"/>
  <c r="A19" i="24"/>
  <c r="G19" i="24" s="1"/>
  <c r="M19" i="24" s="1"/>
  <c r="S19" i="24" s="1"/>
  <c r="A19" i="29"/>
  <c r="G19" i="29" s="1"/>
  <c r="M19" i="29" s="1"/>
  <c r="S19" i="29" s="1"/>
  <c r="Y32" i="2"/>
  <c r="AA32" i="2" s="1"/>
  <c r="T32" i="2"/>
  <c r="Q89" i="29"/>
  <c r="T89" i="29" s="1"/>
  <c r="E3" i="26"/>
  <c r="D3" i="26" s="1"/>
  <c r="E92" i="26"/>
  <c r="D92" i="26" s="1"/>
  <c r="I92" i="26" s="1"/>
  <c r="I20" i="17"/>
  <c r="V39" i="29"/>
  <c r="E25" i="1"/>
  <c r="D25" i="1" s="1"/>
  <c r="E34" i="1"/>
  <c r="D34" i="1" s="1"/>
  <c r="E61" i="1"/>
  <c r="D61" i="1" s="1"/>
  <c r="I61" i="1" s="1"/>
  <c r="E41" i="26"/>
  <c r="D41" i="26" s="1"/>
  <c r="I41" i="26" s="1"/>
  <c r="E44" i="26"/>
  <c r="D44" i="26" s="1"/>
  <c r="I44" i="26" s="1"/>
  <c r="E49" i="26"/>
  <c r="D49" i="26" s="1"/>
  <c r="E90" i="26"/>
  <c r="D90" i="26" s="1"/>
  <c r="V84" i="29"/>
  <c r="E97" i="1"/>
  <c r="E77" i="1"/>
  <c r="D77" i="1" s="1"/>
  <c r="I77" i="1" s="1"/>
  <c r="E82" i="1"/>
  <c r="D82" i="1" s="1"/>
  <c r="I82" i="1" s="1"/>
  <c r="E85" i="1"/>
  <c r="D85" i="1" s="1"/>
  <c r="I85" i="1" s="1"/>
  <c r="E125" i="1"/>
  <c r="D125" i="1" s="1"/>
  <c r="E115" i="1"/>
  <c r="D115" i="1" s="1"/>
  <c r="I115" i="1" s="1"/>
  <c r="I19" i="17"/>
  <c r="I39" i="17"/>
  <c r="P212" i="26"/>
  <c r="E212" i="26" s="1"/>
  <c r="D212" i="26" s="1"/>
  <c r="E18" i="26"/>
  <c r="D18" i="26" s="1"/>
  <c r="I18" i="26" s="1"/>
  <c r="E81" i="26"/>
  <c r="D81" i="26" s="1"/>
  <c r="I81" i="26" s="1"/>
  <c r="E87" i="26"/>
  <c r="D87" i="26" s="1"/>
  <c r="I87" i="26" s="1"/>
  <c r="E99" i="26"/>
  <c r="D99" i="26" s="1"/>
  <c r="I99" i="26" s="1"/>
  <c r="E102" i="26"/>
  <c r="D102" i="26" s="1"/>
  <c r="I102" i="26" s="1"/>
  <c r="E103" i="26"/>
  <c r="D103" i="26" s="1"/>
  <c r="E104" i="26"/>
  <c r="D104" i="26" s="1"/>
  <c r="E135" i="26"/>
  <c r="D135" i="26" s="1"/>
  <c r="I135" i="26" s="1"/>
  <c r="E216" i="26"/>
  <c r="D216" i="26" s="1"/>
  <c r="I216" i="26" s="1"/>
  <c r="E220" i="26"/>
  <c r="D220" i="26" s="1"/>
  <c r="I220" i="26" s="1"/>
  <c r="I21" i="17"/>
  <c r="E45" i="1"/>
  <c r="D45" i="1" s="1"/>
  <c r="I45" i="1" s="1"/>
  <c r="E70" i="1"/>
  <c r="D70" i="1" s="1"/>
  <c r="G70" i="1" s="1"/>
  <c r="E88" i="1"/>
  <c r="D88" i="1" s="1"/>
  <c r="G88" i="1" s="1"/>
  <c r="E78" i="1"/>
  <c r="D78" i="1" s="1"/>
  <c r="I78" i="1" s="1"/>
  <c r="E107" i="1"/>
  <c r="D107" i="1" s="1"/>
  <c r="I107" i="1" s="1"/>
  <c r="E120" i="1"/>
  <c r="D120" i="1" s="1"/>
  <c r="E83" i="1"/>
  <c r="D83" i="1" s="1"/>
  <c r="G21" i="24"/>
  <c r="M21" i="24" s="1"/>
  <c r="S21" i="24" s="1"/>
  <c r="E4" i="26"/>
  <c r="D4" i="26" s="1"/>
  <c r="E12" i="26"/>
  <c r="D12" i="26" s="1"/>
  <c r="E15" i="26"/>
  <c r="D15" i="26" s="1"/>
  <c r="I15" i="26" s="1"/>
  <c r="E73" i="26"/>
  <c r="D73" i="26" s="1"/>
  <c r="I73" i="26" s="1"/>
  <c r="E118" i="26"/>
  <c r="D118" i="26" s="1"/>
  <c r="E121" i="26"/>
  <c r="D121" i="26" s="1"/>
  <c r="I121" i="26" s="1"/>
  <c r="E137" i="26"/>
  <c r="D137" i="26" s="1"/>
  <c r="I137" i="26" s="1"/>
  <c r="V23" i="29"/>
  <c r="E63" i="1"/>
  <c r="D63" i="1" s="1"/>
  <c r="I63" i="1" s="1"/>
  <c r="B2" i="29"/>
  <c r="G9" i="29" s="1"/>
  <c r="B2" i="17"/>
  <c r="V92" i="29"/>
  <c r="B56" i="24"/>
  <c r="O63" i="24" s="1"/>
  <c r="B55" i="29"/>
  <c r="O62" i="29" s="1"/>
  <c r="B62" i="29"/>
  <c r="O65" i="29" s="1"/>
  <c r="B115" i="29"/>
  <c r="O9" i="17"/>
  <c r="B58" i="29"/>
  <c r="G65" i="29" s="1"/>
  <c r="B111" i="29"/>
  <c r="O9" i="2"/>
  <c r="G121" i="24"/>
  <c r="B112" i="29"/>
  <c r="B2" i="24"/>
  <c r="O9" i="24" s="1"/>
  <c r="N95" i="29"/>
  <c r="V36" i="24"/>
  <c r="G24" i="24"/>
  <c r="M24" i="24" s="1"/>
  <c r="S24" i="24" s="1"/>
  <c r="V85" i="24"/>
  <c r="V38" i="17"/>
  <c r="V139" i="24"/>
  <c r="Y139" i="24" s="1"/>
  <c r="I28" i="29"/>
  <c r="O28" i="29" s="1"/>
  <c r="U28" i="29" s="1"/>
  <c r="A75" i="29"/>
  <c r="G75" i="29" s="1"/>
  <c r="M75" i="29" s="1"/>
  <c r="S75" i="29" s="1"/>
  <c r="V28" i="17"/>
  <c r="A25" i="24"/>
  <c r="G20" i="24"/>
  <c r="M20" i="24" s="1"/>
  <c r="S20" i="24" s="1"/>
  <c r="V91" i="24"/>
  <c r="Q91" i="24"/>
  <c r="T91" i="24" s="1"/>
  <c r="A28" i="24"/>
  <c r="T37" i="24"/>
  <c r="G144" i="24"/>
  <c r="M144" i="24" s="1"/>
  <c r="S144" i="24" s="1"/>
  <c r="G133" i="24"/>
  <c r="M133" i="24" s="1"/>
  <c r="S133" i="24" s="1"/>
  <c r="G145" i="24"/>
  <c r="M145" i="24" s="1"/>
  <c r="S145" i="24" s="1"/>
  <c r="G129" i="24"/>
  <c r="M129" i="24" s="1"/>
  <c r="S129" i="24" s="1"/>
  <c r="G137" i="24"/>
  <c r="M137" i="24" s="1"/>
  <c r="S137" i="24" s="1"/>
  <c r="G78" i="24"/>
  <c r="M78" i="24" s="1"/>
  <c r="S78" i="24" s="1"/>
  <c r="G74" i="24"/>
  <c r="M74" i="24" s="1"/>
  <c r="S74" i="24" s="1"/>
  <c r="G79" i="24"/>
  <c r="M79" i="24" s="1"/>
  <c r="S79" i="24" s="1"/>
  <c r="G76" i="24"/>
  <c r="M76" i="24" s="1"/>
  <c r="S76" i="24" s="1"/>
  <c r="G75" i="24"/>
  <c r="M75" i="24" s="1"/>
  <c r="S75" i="24" s="1"/>
  <c r="G90" i="24"/>
  <c r="M90" i="24" s="1"/>
  <c r="G80" i="24"/>
  <c r="M80" i="24" s="1"/>
  <c r="S80" i="24" s="1"/>
  <c r="G83" i="24"/>
  <c r="M83" i="24" s="1"/>
  <c r="S83" i="24" s="1"/>
  <c r="G37" i="24"/>
  <c r="M37" i="24" s="1"/>
  <c r="G36" i="24"/>
  <c r="M36" i="24" s="1"/>
  <c r="Q39" i="24"/>
  <c r="V39" i="24"/>
  <c r="V38" i="24"/>
  <c r="Q38" i="24"/>
  <c r="I77" i="29"/>
  <c r="O77" i="29" s="1"/>
  <c r="U77" i="29" s="1"/>
  <c r="I32" i="29"/>
  <c r="O32" i="29" s="1"/>
  <c r="U32" i="29" s="1"/>
  <c r="A32" i="29"/>
  <c r="G32" i="29" s="1"/>
  <c r="M32" i="29" s="1"/>
  <c r="S32" i="29" s="1"/>
  <c r="A77" i="29"/>
  <c r="G77" i="29" s="1"/>
  <c r="M77" i="29" s="1"/>
  <c r="S77" i="29" s="1"/>
  <c r="I73" i="29"/>
  <c r="O73" i="29" s="1"/>
  <c r="U73" i="29" s="1"/>
  <c r="O69" i="29"/>
  <c r="A83" i="29"/>
  <c r="G83" i="29" s="1"/>
  <c r="M83" i="29" s="1"/>
  <c r="S83" i="29" s="1"/>
  <c r="B69" i="29"/>
  <c r="S69" i="29" s="1"/>
  <c r="V73" i="29"/>
  <c r="Y73" i="29" s="1"/>
  <c r="AA73" i="29" s="1"/>
  <c r="Y140" i="29"/>
  <c r="AA140" i="29" s="1"/>
  <c r="E1" i="29"/>
  <c r="E3" i="29" s="1"/>
  <c r="B15" i="29"/>
  <c r="G48" i="29" s="1"/>
  <c r="I22" i="29"/>
  <c r="O22" i="29" s="1"/>
  <c r="U22" i="29" s="1"/>
  <c r="B16" i="29"/>
  <c r="S16" i="29" s="1"/>
  <c r="I30" i="29"/>
  <c r="O30" i="29" s="1"/>
  <c r="U30" i="29" s="1"/>
  <c r="I87" i="29"/>
  <c r="O87" i="29" s="1"/>
  <c r="U87" i="29" s="1"/>
  <c r="V33" i="29"/>
  <c r="Y33" i="29" s="1"/>
  <c r="AA33" i="29" s="1"/>
  <c r="A30" i="29"/>
  <c r="G30" i="29" s="1"/>
  <c r="M30" i="29" s="1"/>
  <c r="S30" i="29" s="1"/>
  <c r="V22" i="29"/>
  <c r="Y22" i="29" s="1"/>
  <c r="AA22" i="29" s="1"/>
  <c r="Q84" i="29"/>
  <c r="E55" i="29"/>
  <c r="R84" i="29"/>
  <c r="A87" i="29"/>
  <c r="G87" i="29" s="1"/>
  <c r="M87" i="29" s="1"/>
  <c r="S87" i="29" s="1"/>
  <c r="E57" i="29"/>
  <c r="E56" i="29"/>
  <c r="I19" i="29"/>
  <c r="O19" i="29" s="1"/>
  <c r="U19" i="29" s="1"/>
  <c r="Q38" i="29"/>
  <c r="X38" i="29" s="1"/>
  <c r="V127" i="29"/>
  <c r="V135" i="29"/>
  <c r="O122" i="29"/>
  <c r="V128" i="29"/>
  <c r="I138" i="29"/>
  <c r="O138" i="29" s="1"/>
  <c r="U138" i="29" s="1"/>
  <c r="C74" i="29"/>
  <c r="Q74" i="29" s="1"/>
  <c r="V37" i="24"/>
  <c r="X37" i="24" s="1"/>
  <c r="I80" i="1"/>
  <c r="G80" i="1"/>
  <c r="E46" i="1"/>
  <c r="D46" i="1" s="1"/>
  <c r="R25" i="2" s="1"/>
  <c r="E110" i="1"/>
  <c r="N96" i="24"/>
  <c r="E69" i="26"/>
  <c r="D69" i="26" s="1"/>
  <c r="I69" i="26" s="1"/>
  <c r="E89" i="26"/>
  <c r="D89" i="26" s="1"/>
  <c r="I89" i="26" s="1"/>
  <c r="E93" i="26"/>
  <c r="D93" i="26" s="1"/>
  <c r="E98" i="26"/>
  <c r="D98" i="26" s="1"/>
  <c r="I98" i="26" s="1"/>
  <c r="E120" i="26"/>
  <c r="D120" i="26" s="1"/>
  <c r="E123" i="26"/>
  <c r="D123" i="26" s="1"/>
  <c r="E205" i="26"/>
  <c r="D205" i="26" s="1"/>
  <c r="E217" i="26"/>
  <c r="D217" i="26" s="1"/>
  <c r="I217" i="26" s="1"/>
  <c r="E221" i="26"/>
  <c r="D221" i="26" s="1"/>
  <c r="I221" i="26" s="1"/>
  <c r="Q25" i="17"/>
  <c r="V25" i="17"/>
  <c r="Z28" i="17"/>
  <c r="Q140" i="24"/>
  <c r="R140" i="24"/>
  <c r="T140" i="24" s="1"/>
  <c r="I128" i="1"/>
  <c r="G128" i="1"/>
  <c r="E96" i="1"/>
  <c r="D96" i="1" s="1"/>
  <c r="R72" i="29" s="1"/>
  <c r="T72" i="29" s="1"/>
  <c r="E3" i="17"/>
  <c r="E24" i="1"/>
  <c r="D24" i="1" s="1"/>
  <c r="R132" i="29" s="1"/>
  <c r="E32" i="1"/>
  <c r="D32" i="1" s="1"/>
  <c r="I32" i="1" s="1"/>
  <c r="E36" i="1"/>
  <c r="D36" i="1" s="1"/>
  <c r="I36" i="1" s="1"/>
  <c r="E52" i="1"/>
  <c r="D52" i="1" s="1"/>
  <c r="I52" i="1" s="1"/>
  <c r="X20" i="2"/>
  <c r="E126" i="1"/>
  <c r="D126" i="1" s="1"/>
  <c r="I126" i="1" s="1"/>
  <c r="E40" i="26"/>
  <c r="D40" i="26" s="1"/>
  <c r="I40" i="26" s="1"/>
  <c r="I141" i="1"/>
  <c r="G141" i="1"/>
  <c r="Q36" i="29"/>
  <c r="T36" i="29" s="1"/>
  <c r="V36" i="29"/>
  <c r="V79" i="29"/>
  <c r="I29" i="1"/>
  <c r="G29" i="1"/>
  <c r="E27" i="1"/>
  <c r="D27" i="1" s="1"/>
  <c r="I27" i="1" s="1"/>
  <c r="E68" i="26"/>
  <c r="D68" i="26" s="1"/>
  <c r="I68" i="26" s="1"/>
  <c r="E71" i="26"/>
  <c r="D71" i="26" s="1"/>
  <c r="E76" i="26"/>
  <c r="D76" i="26" s="1"/>
  <c r="I76" i="26" s="1"/>
  <c r="E88" i="26"/>
  <c r="D88" i="26" s="1"/>
  <c r="I88" i="26" s="1"/>
  <c r="E95" i="26"/>
  <c r="D95" i="26" s="1"/>
  <c r="E97" i="26"/>
  <c r="D97" i="26" s="1"/>
  <c r="I97" i="26" s="1"/>
  <c r="E100" i="26"/>
  <c r="D100" i="26" s="1"/>
  <c r="I100" i="26" s="1"/>
  <c r="E105" i="26"/>
  <c r="D105" i="26" s="1"/>
  <c r="I105" i="26" s="1"/>
  <c r="E114" i="26"/>
  <c r="D114" i="26" s="1"/>
  <c r="I114" i="26" s="1"/>
  <c r="E125" i="26"/>
  <c r="D125" i="26" s="1"/>
  <c r="I125" i="26" s="1"/>
  <c r="E129" i="26"/>
  <c r="D129" i="26" s="1"/>
  <c r="E132" i="26"/>
  <c r="D132" i="26" s="1"/>
  <c r="I132" i="26" s="1"/>
  <c r="V144" i="24"/>
  <c r="Q144" i="24"/>
  <c r="Q132" i="29"/>
  <c r="V132" i="29"/>
  <c r="Q136" i="29"/>
  <c r="V136" i="29"/>
  <c r="E41" i="1"/>
  <c r="D41" i="1" s="1"/>
  <c r="I41" i="1" s="1"/>
  <c r="E54" i="1"/>
  <c r="D54" i="1" s="1"/>
  <c r="I54" i="1" s="1"/>
  <c r="E92" i="1"/>
  <c r="D92" i="1" s="1"/>
  <c r="I92" i="1" s="1"/>
  <c r="E81" i="1"/>
  <c r="D81" i="1" s="1"/>
  <c r="E103" i="1"/>
  <c r="D103" i="1" s="1"/>
  <c r="I103" i="1" s="1"/>
  <c r="E106" i="1"/>
  <c r="D106" i="1" s="1"/>
  <c r="E11" i="1"/>
  <c r="D11" i="1" s="1"/>
  <c r="I11" i="1" s="1"/>
  <c r="E101" i="1"/>
  <c r="D101" i="1" s="1"/>
  <c r="I101" i="1" s="1"/>
  <c r="I168" i="1"/>
  <c r="G168" i="1"/>
  <c r="E57" i="1"/>
  <c r="D57" i="1" s="1"/>
  <c r="I57" i="1" s="1"/>
  <c r="E117" i="1"/>
  <c r="D117" i="1" s="1"/>
  <c r="E210" i="26"/>
  <c r="D210" i="26" s="1"/>
  <c r="E5" i="26"/>
  <c r="D5" i="26" s="1"/>
  <c r="E22" i="26"/>
  <c r="D22" i="26" s="1"/>
  <c r="E24" i="26"/>
  <c r="D24" i="26" s="1"/>
  <c r="I24" i="26" s="1"/>
  <c r="E26" i="26"/>
  <c r="D26" i="26" s="1"/>
  <c r="I26" i="26" s="1"/>
  <c r="E36" i="26"/>
  <c r="D36" i="26" s="1"/>
  <c r="I36" i="26" s="1"/>
  <c r="E43" i="26"/>
  <c r="D43" i="26" s="1"/>
  <c r="I43" i="26" s="1"/>
  <c r="E45" i="26"/>
  <c r="D45" i="26" s="1"/>
  <c r="I45" i="26" s="1"/>
  <c r="E47" i="26"/>
  <c r="D47" i="26" s="1"/>
  <c r="I47" i="26" s="1"/>
  <c r="E50" i="26"/>
  <c r="D50" i="26" s="1"/>
  <c r="I50" i="26" s="1"/>
  <c r="E52" i="26"/>
  <c r="D52" i="26" s="1"/>
  <c r="I52" i="26" s="1"/>
  <c r="E209" i="26"/>
  <c r="D209" i="26" s="1"/>
  <c r="E55" i="26"/>
  <c r="D55" i="26" s="1"/>
  <c r="I55" i="26" s="1"/>
  <c r="E62" i="26"/>
  <c r="D62" i="26" s="1"/>
  <c r="I62" i="26" s="1"/>
  <c r="E138" i="26"/>
  <c r="D138" i="26" s="1"/>
  <c r="I138" i="26" s="1"/>
  <c r="E140" i="26"/>
  <c r="D140" i="26" s="1"/>
  <c r="I140" i="26" s="1"/>
  <c r="E142" i="26"/>
  <c r="D142" i="26" s="1"/>
  <c r="I142" i="26" s="1"/>
  <c r="E206" i="26"/>
  <c r="D206" i="26" s="1"/>
  <c r="E207" i="26"/>
  <c r="D207" i="26" s="1"/>
  <c r="E215" i="26"/>
  <c r="D215" i="26" s="1"/>
  <c r="E219" i="26"/>
  <c r="D219" i="26" s="1"/>
  <c r="I219" i="26" s="1"/>
  <c r="V27" i="29"/>
  <c r="Y27" i="29" s="1"/>
  <c r="AA27" i="29" s="1"/>
  <c r="E19" i="1"/>
  <c r="D19" i="1" s="1"/>
  <c r="I19" i="1" s="1"/>
  <c r="E7" i="26"/>
  <c r="D7" i="26" s="1"/>
  <c r="E9" i="26"/>
  <c r="D9" i="26" s="1"/>
  <c r="I9" i="26" s="1"/>
  <c r="E11" i="26"/>
  <c r="D11" i="26" s="1"/>
  <c r="I11" i="26" s="1"/>
  <c r="E17" i="26"/>
  <c r="D17" i="26" s="1"/>
  <c r="I17" i="26" s="1"/>
  <c r="E28" i="26"/>
  <c r="D28" i="26" s="1"/>
  <c r="E30" i="26"/>
  <c r="D30" i="26" s="1"/>
  <c r="I30" i="26" s="1"/>
  <c r="E32" i="26"/>
  <c r="D32" i="26" s="1"/>
  <c r="I32" i="26" s="1"/>
  <c r="E42" i="26"/>
  <c r="D42" i="26" s="1"/>
  <c r="I42" i="26" s="1"/>
  <c r="E51" i="26"/>
  <c r="D51" i="26" s="1"/>
  <c r="I51" i="26" s="1"/>
  <c r="E59" i="26"/>
  <c r="D59" i="26" s="1"/>
  <c r="I59" i="26" s="1"/>
  <c r="E65" i="26"/>
  <c r="D65" i="26" s="1"/>
  <c r="I65" i="26" s="1"/>
  <c r="E74" i="26"/>
  <c r="D74" i="26" s="1"/>
  <c r="I74" i="26" s="1"/>
  <c r="E79" i="26"/>
  <c r="D79" i="26" s="1"/>
  <c r="I79" i="26" s="1"/>
  <c r="E82" i="26"/>
  <c r="D82" i="26" s="1"/>
  <c r="I82" i="26" s="1"/>
  <c r="E84" i="26"/>
  <c r="D84" i="26" s="1"/>
  <c r="I84" i="26" s="1"/>
  <c r="E86" i="26"/>
  <c r="D86" i="26" s="1"/>
  <c r="I86" i="26" s="1"/>
  <c r="E107" i="26"/>
  <c r="D107" i="26" s="1"/>
  <c r="I107" i="26" s="1"/>
  <c r="E119" i="26"/>
  <c r="D119" i="26" s="1"/>
  <c r="I119" i="26" s="1"/>
  <c r="E126" i="26"/>
  <c r="D126" i="26" s="1"/>
  <c r="E130" i="26"/>
  <c r="D130" i="26" s="1"/>
  <c r="E133" i="26"/>
  <c r="E134" i="26"/>
  <c r="E139" i="26"/>
  <c r="D139" i="26" s="1"/>
  <c r="I139" i="26" s="1"/>
  <c r="E214" i="26"/>
  <c r="D214" i="26" s="1"/>
  <c r="E118" i="1"/>
  <c r="A76" i="29"/>
  <c r="G76" i="29" s="1"/>
  <c r="M76" i="29" s="1"/>
  <c r="S76" i="29" s="1"/>
  <c r="G129" i="29"/>
  <c r="M129" i="29" s="1"/>
  <c r="S129" i="29" s="1"/>
  <c r="Q23" i="29"/>
  <c r="A23" i="29"/>
  <c r="G23" i="29" s="1"/>
  <c r="M23" i="29" s="1"/>
  <c r="S23" i="29" s="1"/>
  <c r="A131" i="24"/>
  <c r="A77" i="24"/>
  <c r="O13" i="17"/>
  <c r="O119" i="29"/>
  <c r="B64" i="24"/>
  <c r="O67" i="24" s="1"/>
  <c r="B118" i="24"/>
  <c r="O13" i="2"/>
  <c r="O121" i="24"/>
  <c r="B11" i="2"/>
  <c r="X32" i="2" s="1"/>
  <c r="B10" i="24"/>
  <c r="O13" i="24" s="1"/>
  <c r="B63" i="29"/>
  <c r="O66" i="29" s="1"/>
  <c r="B10" i="29"/>
  <c r="O13" i="29" s="1"/>
  <c r="B10" i="17"/>
  <c r="V23" i="17"/>
  <c r="A19" i="17"/>
  <c r="G19" i="17" s="1"/>
  <c r="K129" i="24"/>
  <c r="E55" i="24"/>
  <c r="E59" i="24" s="1"/>
  <c r="I183" i="1"/>
  <c r="G183" i="1"/>
  <c r="G26" i="1"/>
  <c r="I26" i="1"/>
  <c r="I65" i="1"/>
  <c r="G65" i="1"/>
  <c r="I171" i="1"/>
  <c r="G171" i="1"/>
  <c r="G36" i="1"/>
  <c r="I81" i="1"/>
  <c r="G81" i="1"/>
  <c r="I96" i="1"/>
  <c r="I91" i="1"/>
  <c r="G91" i="1"/>
  <c r="G172" i="1"/>
  <c r="G49" i="1"/>
  <c r="E2" i="17"/>
  <c r="E87" i="1"/>
  <c r="D87" i="1" s="1"/>
  <c r="G87" i="1" s="1"/>
  <c r="R27" i="2"/>
  <c r="T27" i="2" s="1"/>
  <c r="E5" i="17"/>
  <c r="E98" i="1"/>
  <c r="E212" i="1" s="1"/>
  <c r="R80" i="29"/>
  <c r="T80" i="29" s="1"/>
  <c r="G126" i="1"/>
  <c r="I169" i="1"/>
  <c r="G169" i="1"/>
  <c r="G59" i="1"/>
  <c r="G167" i="1"/>
  <c r="G22" i="1"/>
  <c r="E3" i="1"/>
  <c r="D3" i="1" s="1"/>
  <c r="E12" i="1"/>
  <c r="D12" i="1" s="1"/>
  <c r="I12" i="1" s="1"/>
  <c r="E113" i="1"/>
  <c r="D113" i="1" s="1"/>
  <c r="E90" i="1"/>
  <c r="D90" i="1" s="1"/>
  <c r="E67" i="1"/>
  <c r="E206" i="1" s="1"/>
  <c r="E13" i="1"/>
  <c r="D13" i="1" s="1"/>
  <c r="V20" i="17"/>
  <c r="AB20" i="17" s="1"/>
  <c r="AD20" i="17" s="1"/>
  <c r="E66" i="26"/>
  <c r="D66" i="26" s="1"/>
  <c r="I66" i="26" s="1"/>
  <c r="E115" i="26"/>
  <c r="D115" i="26" s="1"/>
  <c r="I115" i="26" s="1"/>
  <c r="I34" i="29"/>
  <c r="O34" i="29" s="1"/>
  <c r="U34" i="29" s="1"/>
  <c r="E13" i="26"/>
  <c r="D13" i="26" s="1"/>
  <c r="I13" i="26" s="1"/>
  <c r="E143" i="26"/>
  <c r="D143" i="26" s="1"/>
  <c r="I143" i="26" s="1"/>
  <c r="V80" i="29"/>
  <c r="Y80" i="29" s="1"/>
  <c r="AA80" i="29" s="1"/>
  <c r="E79" i="1"/>
  <c r="D79" i="1" s="1"/>
  <c r="I79" i="1" s="1"/>
  <c r="E60" i="1"/>
  <c r="D60" i="1" s="1"/>
  <c r="I60" i="1" s="1"/>
  <c r="E39" i="26"/>
  <c r="D39" i="26" s="1"/>
  <c r="I39" i="26" s="1"/>
  <c r="E54" i="26"/>
  <c r="D54" i="26" s="1"/>
  <c r="E93" i="1"/>
  <c r="D93" i="1" s="1"/>
  <c r="I93" i="1" s="1"/>
  <c r="E58" i="1"/>
  <c r="D58" i="1" s="1"/>
  <c r="I58" i="1" s="1"/>
  <c r="I213" i="1"/>
  <c r="E69" i="1"/>
  <c r="D69" i="1" s="1"/>
  <c r="E75" i="26"/>
  <c r="D75" i="26" s="1"/>
  <c r="I75" i="26" s="1"/>
  <c r="R139" i="29"/>
  <c r="E66" i="1"/>
  <c r="D66" i="1" s="1"/>
  <c r="E105" i="1"/>
  <c r="D105" i="1" s="1"/>
  <c r="E46" i="26"/>
  <c r="D46" i="26" s="1"/>
  <c r="I46" i="26" s="1"/>
  <c r="E141" i="26"/>
  <c r="D141" i="26" s="1"/>
  <c r="I141" i="26" s="1"/>
  <c r="A35" i="24"/>
  <c r="E62" i="1"/>
  <c r="D62" i="1" s="1"/>
  <c r="E111" i="1"/>
  <c r="D111" i="1" s="1"/>
  <c r="I111" i="1" s="1"/>
  <c r="A34" i="17"/>
  <c r="G34" i="17" s="1"/>
  <c r="A88" i="29"/>
  <c r="G88" i="29" s="1"/>
  <c r="M88" i="29" s="1"/>
  <c r="S88" i="29" s="1"/>
  <c r="T33" i="2"/>
  <c r="V33" i="24"/>
  <c r="Y33" i="24" s="1"/>
  <c r="AA33" i="24" s="1"/>
  <c r="T36" i="2"/>
  <c r="V37" i="17"/>
  <c r="A88" i="24"/>
  <c r="X89" i="29"/>
  <c r="R33" i="29"/>
  <c r="T33" i="29" s="1"/>
  <c r="Q38" i="17"/>
  <c r="A142" i="24"/>
  <c r="I36" i="17"/>
  <c r="Z33" i="2"/>
  <c r="AB33" i="2" s="1"/>
  <c r="V144" i="29"/>
  <c r="X144" i="29" s="1"/>
  <c r="I37" i="17"/>
  <c r="V134" i="24"/>
  <c r="V35" i="24"/>
  <c r="Y35" i="24" s="1"/>
  <c r="AA35" i="24" s="1"/>
  <c r="R32" i="24"/>
  <c r="T32" i="24" s="1"/>
  <c r="X147" i="24"/>
  <c r="I134" i="24"/>
  <c r="O134" i="24" s="1"/>
  <c r="U134" i="24" s="1"/>
  <c r="B110" i="24"/>
  <c r="O115" i="29"/>
  <c r="G9" i="2"/>
  <c r="B59" i="29"/>
  <c r="G66" i="29" s="1"/>
  <c r="G119" i="29"/>
  <c r="B6" i="24"/>
  <c r="G13" i="24" s="1"/>
  <c r="X35" i="2"/>
  <c r="X91" i="29"/>
  <c r="I25" i="1"/>
  <c r="G25" i="1"/>
  <c r="D110" i="1"/>
  <c r="G35" i="1"/>
  <c r="I35" i="1"/>
  <c r="I33" i="1"/>
  <c r="G33" i="1"/>
  <c r="I37" i="1"/>
  <c r="G37" i="1"/>
  <c r="I38" i="1"/>
  <c r="G38" i="1"/>
  <c r="I28" i="1"/>
  <c r="G28" i="1"/>
  <c r="D97" i="1"/>
  <c r="I180" i="1"/>
  <c r="G180" i="1"/>
  <c r="D67" i="1"/>
  <c r="D116" i="1"/>
  <c r="D189" i="1" s="1"/>
  <c r="E189" i="1"/>
  <c r="I112" i="1"/>
  <c r="G112" i="1"/>
  <c r="I125" i="1"/>
  <c r="G125" i="1"/>
  <c r="I70" i="1"/>
  <c r="E204" i="1"/>
  <c r="I34" i="1"/>
  <c r="G34" i="1"/>
  <c r="G27" i="1"/>
  <c r="I73" i="1"/>
  <c r="G73" i="1"/>
  <c r="E207" i="1"/>
  <c r="D108" i="1"/>
  <c r="E191" i="1"/>
  <c r="I161" i="1"/>
  <c r="G161" i="1"/>
  <c r="E208" i="1"/>
  <c r="E193" i="1"/>
  <c r="D109" i="1"/>
  <c r="I62" i="1"/>
  <c r="G62" i="1"/>
  <c r="G121" i="1"/>
  <c r="G158" i="1"/>
  <c r="I176" i="1"/>
  <c r="G176" i="1"/>
  <c r="G124" i="1"/>
  <c r="G39" i="1"/>
  <c r="I185" i="1"/>
  <c r="G186" i="1"/>
  <c r="D156" i="1"/>
  <c r="E160" i="1"/>
  <c r="D160" i="1" s="1"/>
  <c r="G160" i="1" s="1"/>
  <c r="E76" i="1"/>
  <c r="E197" i="1" s="1"/>
  <c r="G157" i="1"/>
  <c r="G92" i="1"/>
  <c r="I181" i="1"/>
  <c r="G132" i="1"/>
  <c r="E5" i="1"/>
  <c r="D5" i="1" s="1"/>
  <c r="E64" i="1"/>
  <c r="D64" i="1" s="1"/>
  <c r="I64" i="1" s="1"/>
  <c r="G50" i="1"/>
  <c r="G143" i="1"/>
  <c r="I175" i="1"/>
  <c r="G175" i="1"/>
  <c r="G21" i="1"/>
  <c r="G179" i="1"/>
  <c r="I179" i="1"/>
  <c r="G44" i="1"/>
  <c r="E190" i="1"/>
  <c r="G177" i="1"/>
  <c r="I188" i="1"/>
  <c r="G188" i="1"/>
  <c r="E40" i="1"/>
  <c r="D40" i="1" s="1"/>
  <c r="E74" i="1"/>
  <c r="D74" i="1" s="1"/>
  <c r="I187" i="1"/>
  <c r="G187" i="1"/>
  <c r="G178" i="1"/>
  <c r="I178" i="1"/>
  <c r="D129" i="1"/>
  <c r="R20" i="2" s="1"/>
  <c r="T20" i="2" s="1"/>
  <c r="E15" i="1"/>
  <c r="D15" i="1" s="1"/>
  <c r="I15" i="1" s="1"/>
  <c r="G115" i="29"/>
  <c r="G117" i="24"/>
  <c r="G13" i="2"/>
  <c r="B6" i="17"/>
  <c r="B60" i="24"/>
  <c r="G67" i="24" s="1"/>
  <c r="B6" i="29"/>
  <c r="G13" i="29" s="1"/>
  <c r="G13" i="17"/>
  <c r="B114" i="24"/>
  <c r="R133" i="29"/>
  <c r="T133" i="29" s="1"/>
  <c r="V133" i="29"/>
  <c r="Z26" i="17"/>
  <c r="X26" i="17" s="1"/>
  <c r="V26" i="17"/>
  <c r="A134" i="24"/>
  <c r="A27" i="24"/>
  <c r="A31" i="29"/>
  <c r="G31" i="29" s="1"/>
  <c r="M31" i="29" s="1"/>
  <c r="S31" i="29" s="1"/>
  <c r="V128" i="24"/>
  <c r="Y128" i="24" s="1"/>
  <c r="AA128" i="24" s="1"/>
  <c r="O70" i="24"/>
  <c r="O117" i="24"/>
  <c r="G9" i="17"/>
  <c r="O119" i="24"/>
  <c r="B8" i="24"/>
  <c r="O11" i="24" s="1"/>
  <c r="B8" i="17"/>
  <c r="O11" i="17"/>
  <c r="B61" i="29"/>
  <c r="O64" i="29" s="1"/>
  <c r="O117" i="29"/>
  <c r="B62" i="24"/>
  <c r="O65" i="24" s="1"/>
  <c r="B8" i="29"/>
  <c r="O11" i="29" s="1"/>
  <c r="B116" i="24"/>
  <c r="O11" i="2"/>
  <c r="O120" i="24"/>
  <c r="O12" i="2"/>
  <c r="O12" i="17"/>
  <c r="B117" i="24"/>
  <c r="O118" i="29"/>
  <c r="V127" i="24"/>
  <c r="Z127" i="24" s="1"/>
  <c r="AB127" i="24" s="1"/>
  <c r="V25" i="24"/>
  <c r="Z25" i="24" s="1"/>
  <c r="AB25" i="24" s="1"/>
  <c r="I35" i="24"/>
  <c r="O35" i="24" s="1"/>
  <c r="U35" i="24" s="1"/>
  <c r="V30" i="24"/>
  <c r="X30" i="24" s="1"/>
  <c r="X146" i="24"/>
  <c r="I131" i="24"/>
  <c r="O131" i="24" s="1"/>
  <c r="U131" i="24" s="1"/>
  <c r="V88" i="24"/>
  <c r="Y88" i="24" s="1"/>
  <c r="AA88" i="24" s="1"/>
  <c r="A85" i="24"/>
  <c r="A139" i="24"/>
  <c r="V142" i="24"/>
  <c r="Y142" i="24" s="1"/>
  <c r="AA142" i="24" s="1"/>
  <c r="B69" i="24"/>
  <c r="G102" i="24" s="1"/>
  <c r="V89" i="24"/>
  <c r="Y89" i="24" s="1"/>
  <c r="AA89" i="24" s="1"/>
  <c r="I84" i="24"/>
  <c r="O84" i="24" s="1"/>
  <c r="U84" i="24" s="1"/>
  <c r="V23" i="24"/>
  <c r="V82" i="24"/>
  <c r="Y82" i="24" s="1"/>
  <c r="AA82" i="24" s="1"/>
  <c r="Q36" i="24"/>
  <c r="X36" i="24" s="1"/>
  <c r="V20" i="24"/>
  <c r="Y20" i="24" s="1"/>
  <c r="AA20" i="24" s="1"/>
  <c r="I25" i="24"/>
  <c r="O25" i="24" s="1"/>
  <c r="U25" i="24" s="1"/>
  <c r="I33" i="24"/>
  <c r="O33" i="24" s="1"/>
  <c r="U33" i="24" s="1"/>
  <c r="A33" i="24"/>
  <c r="I137" i="24"/>
  <c r="O137" i="24" s="1"/>
  <c r="U137" i="24" s="1"/>
  <c r="I83" i="24"/>
  <c r="O83" i="24" s="1"/>
  <c r="U83" i="24" s="1"/>
  <c r="R141" i="24"/>
  <c r="B63" i="24"/>
  <c r="O66" i="24" s="1"/>
  <c r="B9" i="17"/>
  <c r="B9" i="24"/>
  <c r="O12" i="24" s="1"/>
  <c r="B9" i="29"/>
  <c r="O12" i="29" s="1"/>
  <c r="I125" i="29"/>
  <c r="O125" i="29" s="1"/>
  <c r="U125" i="29" s="1"/>
  <c r="V19" i="24"/>
  <c r="Z19" i="24" s="1"/>
  <c r="AB19" i="24" s="1"/>
  <c r="I19" i="24"/>
  <c r="O19" i="24" s="1"/>
  <c r="U19" i="24" s="1"/>
  <c r="V19" i="17"/>
  <c r="AC19" i="17" s="1"/>
  <c r="AE19" i="17" s="1"/>
  <c r="V132" i="24"/>
  <c r="Y132" i="24" s="1"/>
  <c r="AA132" i="24" s="1"/>
  <c r="V136" i="24"/>
  <c r="Y136" i="24" s="1"/>
  <c r="AA136" i="24" s="1"/>
  <c r="Q29" i="17"/>
  <c r="Q82" i="24"/>
  <c r="B7" i="2"/>
  <c r="Z25" i="17"/>
  <c r="X25" i="17" s="1"/>
  <c r="V24" i="24"/>
  <c r="Y24" i="24" s="1"/>
  <c r="AA24" i="24" s="1"/>
  <c r="V130" i="29"/>
  <c r="B3" i="2"/>
  <c r="B5" i="29"/>
  <c r="G12" i="29" s="1"/>
  <c r="G120" i="24"/>
  <c r="Y27" i="2"/>
  <c r="AA27" i="2" s="1"/>
  <c r="I27" i="24"/>
  <c r="O27" i="24" s="1"/>
  <c r="U27" i="24" s="1"/>
  <c r="Q134" i="24"/>
  <c r="V81" i="24"/>
  <c r="Y81" i="24" s="1"/>
  <c r="AA81" i="24" s="1"/>
  <c r="E5" i="29"/>
  <c r="O124" i="24"/>
  <c r="R22" i="29"/>
  <c r="T22" i="29" s="1"/>
  <c r="R82" i="24"/>
  <c r="R127" i="29"/>
  <c r="R25" i="29"/>
  <c r="R140" i="29"/>
  <c r="T140" i="29" s="1"/>
  <c r="E4" i="29"/>
  <c r="R28" i="29"/>
  <c r="R131" i="29"/>
  <c r="T131" i="29" s="1"/>
  <c r="R130" i="24"/>
  <c r="T130" i="24" s="1"/>
  <c r="R135" i="29"/>
  <c r="T135" i="29" s="1"/>
  <c r="B123" i="24"/>
  <c r="G156" i="24" s="1"/>
  <c r="R21" i="2"/>
  <c r="R22" i="2"/>
  <c r="T25" i="2"/>
  <c r="V19" i="29"/>
  <c r="Z19" i="29" s="1"/>
  <c r="AB19" i="29" s="1"/>
  <c r="I140" i="24"/>
  <c r="O140" i="24" s="1"/>
  <c r="U140" i="24" s="1"/>
  <c r="I86" i="24"/>
  <c r="O86" i="24" s="1"/>
  <c r="U86" i="24" s="1"/>
  <c r="I82" i="29"/>
  <c r="O82" i="29" s="1"/>
  <c r="U82" i="29" s="1"/>
  <c r="A85" i="29"/>
  <c r="G85" i="29" s="1"/>
  <c r="M85" i="29" s="1"/>
  <c r="S85" i="29" s="1"/>
  <c r="X30" i="2"/>
  <c r="R76" i="24"/>
  <c r="I29" i="24"/>
  <c r="O29" i="24" s="1"/>
  <c r="U29" i="24" s="1"/>
  <c r="I87" i="24"/>
  <c r="O87" i="24" s="1"/>
  <c r="U87" i="24" s="1"/>
  <c r="R88" i="29"/>
  <c r="T88" i="29" s="1"/>
  <c r="R29" i="29"/>
  <c r="T29" i="29" s="1"/>
  <c r="A80" i="29"/>
  <c r="G80" i="29" s="1"/>
  <c r="M80" i="29" s="1"/>
  <c r="S80" i="29" s="1"/>
  <c r="I76" i="24"/>
  <c r="O76" i="24" s="1"/>
  <c r="U76" i="24" s="1"/>
  <c r="Q85" i="29"/>
  <c r="T85" i="29" s="1"/>
  <c r="Q81" i="24"/>
  <c r="V76" i="24"/>
  <c r="I78" i="24"/>
  <c r="O78" i="24" s="1"/>
  <c r="U78" i="24" s="1"/>
  <c r="A37" i="17"/>
  <c r="G37" i="17" s="1"/>
  <c r="V135" i="24"/>
  <c r="Y135" i="24" s="1"/>
  <c r="AA135" i="24" s="1"/>
  <c r="V88" i="29"/>
  <c r="Y88" i="29" s="1"/>
  <c r="AA88" i="29" s="1"/>
  <c r="V32" i="24"/>
  <c r="Q37" i="29"/>
  <c r="T37" i="29" s="1"/>
  <c r="R141" i="29"/>
  <c r="T141" i="29" s="1"/>
  <c r="V20" i="29"/>
  <c r="Y20" i="29" s="1"/>
  <c r="AA20" i="29" s="1"/>
  <c r="V26" i="29"/>
  <c r="V29" i="29"/>
  <c r="Y29" i="29" s="1"/>
  <c r="AA29" i="29" s="1"/>
  <c r="Q143" i="29"/>
  <c r="T143" i="29" s="1"/>
  <c r="I31" i="29"/>
  <c r="O31" i="29" s="1"/>
  <c r="U31" i="29" s="1"/>
  <c r="V141" i="29"/>
  <c r="V83" i="29"/>
  <c r="R138" i="29"/>
  <c r="V85" i="29"/>
  <c r="Z85" i="29" s="1"/>
  <c r="AB85" i="29" s="1"/>
  <c r="R128" i="29"/>
  <c r="R136" i="29"/>
  <c r="T136" i="29" s="1"/>
  <c r="I74" i="24"/>
  <c r="O74" i="24" s="1"/>
  <c r="U74" i="24" s="1"/>
  <c r="R138" i="24"/>
  <c r="T138" i="24" s="1"/>
  <c r="V26" i="24"/>
  <c r="I126" i="29"/>
  <c r="O126" i="29" s="1"/>
  <c r="U126" i="29" s="1"/>
  <c r="I22" i="24"/>
  <c r="O22" i="24" s="1"/>
  <c r="U22" i="24" s="1"/>
  <c r="I75" i="29"/>
  <c r="O75" i="29" s="1"/>
  <c r="U75" i="29" s="1"/>
  <c r="V126" i="29"/>
  <c r="Y30" i="2"/>
  <c r="AA30" i="2" s="1"/>
  <c r="R79" i="24"/>
  <c r="T79" i="24" s="1"/>
  <c r="Y33" i="2"/>
  <c r="AA33" i="2" s="1"/>
  <c r="V31" i="24"/>
  <c r="Q83" i="29"/>
  <c r="A34" i="29"/>
  <c r="G34" i="29" s="1"/>
  <c r="M34" i="29" s="1"/>
  <c r="S34" i="29" s="1"/>
  <c r="R75" i="29"/>
  <c r="Q90" i="29"/>
  <c r="T90" i="29" s="1"/>
  <c r="V130" i="24"/>
  <c r="Y130" i="24" s="1"/>
  <c r="AA130" i="24" s="1"/>
  <c r="I23" i="29"/>
  <c r="O23" i="29" s="1"/>
  <c r="U23" i="29" s="1"/>
  <c r="I22" i="17"/>
  <c r="V24" i="17"/>
  <c r="AB24" i="17" s="1"/>
  <c r="AD24" i="17" s="1"/>
  <c r="V32" i="17"/>
  <c r="V87" i="24"/>
  <c r="Y87" i="24" s="1"/>
  <c r="AA87" i="24" s="1"/>
  <c r="V139" i="29"/>
  <c r="V34" i="29"/>
  <c r="X34" i="29" s="1"/>
  <c r="A22" i="24"/>
  <c r="T28" i="2"/>
  <c r="V22" i="24"/>
  <c r="Y22" i="24" s="1"/>
  <c r="AA22" i="24" s="1"/>
  <c r="V140" i="24"/>
  <c r="A26" i="17"/>
  <c r="G26" i="17" s="1"/>
  <c r="I131" i="29"/>
  <c r="O131" i="29" s="1"/>
  <c r="U131" i="29" s="1"/>
  <c r="V81" i="29"/>
  <c r="Y81" i="29" s="1"/>
  <c r="AA81" i="29" s="1"/>
  <c r="Q128" i="29"/>
  <c r="V35" i="17"/>
  <c r="AB35" i="17" s="1"/>
  <c r="I24" i="17"/>
  <c r="K80" i="29"/>
  <c r="I25" i="17"/>
  <c r="R30" i="2"/>
  <c r="T30" i="2" s="1"/>
  <c r="T84" i="29"/>
  <c r="B15" i="24"/>
  <c r="G48" i="24" s="1"/>
  <c r="E1" i="24"/>
  <c r="E5" i="24" s="1"/>
  <c r="R83" i="29"/>
  <c r="R24" i="2"/>
  <c r="R26" i="2"/>
  <c r="T26" i="2" s="1"/>
  <c r="O16" i="24"/>
  <c r="R31" i="2"/>
  <c r="R89" i="24"/>
  <c r="T89" i="24" s="1"/>
  <c r="E2" i="2"/>
  <c r="Y25" i="2" s="1"/>
  <c r="R137" i="29"/>
  <c r="T137" i="29" s="1"/>
  <c r="R35" i="29"/>
  <c r="T35" i="29" s="1"/>
  <c r="E58" i="24"/>
  <c r="R130" i="29"/>
  <c r="T130" i="29" s="1"/>
  <c r="R30" i="29"/>
  <c r="R19" i="2"/>
  <c r="Y19" i="2" s="1"/>
  <c r="R32" i="29"/>
  <c r="Z32" i="29" s="1"/>
  <c r="AB32" i="29" s="1"/>
  <c r="I35" i="29"/>
  <c r="O35" i="29" s="1"/>
  <c r="U35" i="29" s="1"/>
  <c r="V34" i="24"/>
  <c r="Y34" i="24" s="1"/>
  <c r="AA34" i="24" s="1"/>
  <c r="V24" i="29"/>
  <c r="Q37" i="17"/>
  <c r="V145" i="29"/>
  <c r="X145" i="29" s="1"/>
  <c r="V134" i="29"/>
  <c r="Q32" i="29"/>
  <c r="R86" i="29"/>
  <c r="T86" i="29" s="1"/>
  <c r="I139" i="29"/>
  <c r="O139" i="29" s="1"/>
  <c r="U139" i="29" s="1"/>
  <c r="A39" i="17"/>
  <c r="G39" i="17" s="1"/>
  <c r="I128" i="24"/>
  <c r="O128" i="24" s="1"/>
  <c r="U128" i="24" s="1"/>
  <c r="X39" i="2"/>
  <c r="Z24" i="17"/>
  <c r="Z34" i="17"/>
  <c r="X34" i="17" s="1"/>
  <c r="A32" i="24"/>
  <c r="A82" i="24"/>
  <c r="V137" i="29"/>
  <c r="V76" i="29"/>
  <c r="I78" i="29"/>
  <c r="O78" i="29" s="1"/>
  <c r="U78" i="29" s="1"/>
  <c r="I84" i="29"/>
  <c r="O84" i="29" s="1"/>
  <c r="U84" i="29" s="1"/>
  <c r="A29" i="24"/>
  <c r="G137" i="29"/>
  <c r="M137" i="29" s="1"/>
  <c r="S137" i="29" s="1"/>
  <c r="I137" i="29"/>
  <c r="O137" i="29" s="1"/>
  <c r="U137" i="29" s="1"/>
  <c r="V86" i="29"/>
  <c r="Y86" i="29" s="1"/>
  <c r="AA86" i="29" s="1"/>
  <c r="I23" i="17"/>
  <c r="I139" i="24"/>
  <c r="O139" i="24" s="1"/>
  <c r="U139" i="24" s="1"/>
  <c r="V35" i="29"/>
  <c r="V138" i="24"/>
  <c r="Y138" i="24" s="1"/>
  <c r="AA138" i="24" s="1"/>
  <c r="V78" i="29"/>
  <c r="Z78" i="29" s="1"/>
  <c r="AB78" i="29" s="1"/>
  <c r="Q76" i="24"/>
  <c r="A82" i="29"/>
  <c r="G82" i="29" s="1"/>
  <c r="M82" i="29" s="1"/>
  <c r="S82" i="29" s="1"/>
  <c r="I76" i="29"/>
  <c r="O76" i="29" s="1"/>
  <c r="U76" i="29" s="1"/>
  <c r="I83" i="29"/>
  <c r="O83" i="29" s="1"/>
  <c r="U83" i="29" s="1"/>
  <c r="A22" i="17"/>
  <c r="G22" i="17" s="1"/>
  <c r="G139" i="29"/>
  <c r="M139" i="29" s="1"/>
  <c r="S139" i="29" s="1"/>
  <c r="V74" i="24"/>
  <c r="X74" i="24" s="1"/>
  <c r="Z32" i="17"/>
  <c r="I79" i="24"/>
  <c r="O79" i="24" s="1"/>
  <c r="U79" i="24" s="1"/>
  <c r="R78" i="29"/>
  <c r="T78" i="29" s="1"/>
  <c r="V133" i="24"/>
  <c r="Z133" i="24" s="1"/>
  <c r="AB133" i="24" s="1"/>
  <c r="Q32" i="17"/>
  <c r="X32" i="17" s="1"/>
  <c r="I20" i="24"/>
  <c r="O20" i="24" s="1"/>
  <c r="U20" i="24" s="1"/>
  <c r="X92" i="24"/>
  <c r="I29" i="29"/>
  <c r="O29" i="29" s="1"/>
  <c r="U29" i="29" s="1"/>
  <c r="Q24" i="17"/>
  <c r="X38" i="2"/>
  <c r="X36" i="2"/>
  <c r="X22" i="2"/>
  <c r="X33" i="2"/>
  <c r="X34" i="2"/>
  <c r="AC25" i="17"/>
  <c r="AE25" i="17" s="1"/>
  <c r="I27" i="17"/>
  <c r="Z35" i="17"/>
  <c r="X35" i="17" s="1"/>
  <c r="A135" i="24"/>
  <c r="A29" i="29"/>
  <c r="G29" i="29" s="1"/>
  <c r="M29" i="29" s="1"/>
  <c r="S29" i="29" s="1"/>
  <c r="X22" i="29"/>
  <c r="Q33" i="24"/>
  <c r="K78" i="29"/>
  <c r="I127" i="24"/>
  <c r="O127" i="24" s="1"/>
  <c r="U127" i="24" s="1"/>
  <c r="I33" i="29"/>
  <c r="O33" i="29" s="1"/>
  <c r="U33" i="29" s="1"/>
  <c r="Q76" i="29"/>
  <c r="G134" i="29"/>
  <c r="M134" i="29" s="1"/>
  <c r="S134" i="29" s="1"/>
  <c r="X24" i="2"/>
  <c r="A130" i="24"/>
  <c r="I30" i="24"/>
  <c r="O30" i="24" s="1"/>
  <c r="U30" i="24" s="1"/>
  <c r="Q90" i="24"/>
  <c r="X90" i="24" s="1"/>
  <c r="X37" i="2"/>
  <c r="Q25" i="24"/>
  <c r="I133" i="24"/>
  <c r="O133" i="24" s="1"/>
  <c r="U133" i="24" s="1"/>
  <c r="X92" i="29"/>
  <c r="X73" i="29"/>
  <c r="I142" i="24"/>
  <c r="O142" i="24" s="1"/>
  <c r="U142" i="24" s="1"/>
  <c r="A127" i="24"/>
  <c r="I88" i="24"/>
  <c r="O88" i="24" s="1"/>
  <c r="U88" i="24" s="1"/>
  <c r="A78" i="29"/>
  <c r="G78" i="29" s="1"/>
  <c r="M78" i="29" s="1"/>
  <c r="S78" i="29" s="1"/>
  <c r="I23" i="24"/>
  <c r="O23" i="24" s="1"/>
  <c r="U23" i="24" s="1"/>
  <c r="A84" i="29"/>
  <c r="G84" i="29" s="1"/>
  <c r="M84" i="29" s="1"/>
  <c r="S84" i="29" s="1"/>
  <c r="I28" i="24"/>
  <c r="O28" i="24" s="1"/>
  <c r="U28" i="24" s="1"/>
  <c r="T39" i="2"/>
  <c r="Q145" i="24"/>
  <c r="X145" i="24" s="1"/>
  <c r="I29" i="17"/>
  <c r="X39" i="29"/>
  <c r="Q83" i="24"/>
  <c r="Z21" i="17"/>
  <c r="X21" i="17" s="1"/>
  <c r="R73" i="29"/>
  <c r="T73" i="29" s="1"/>
  <c r="V83" i="24"/>
  <c r="Q28" i="29"/>
  <c r="V131" i="29"/>
  <c r="V137" i="24"/>
  <c r="Y137" i="24" s="1"/>
  <c r="AA137" i="24" s="1"/>
  <c r="R134" i="29"/>
  <c r="T134" i="29" s="1"/>
  <c r="R81" i="29"/>
  <c r="Q81" i="29"/>
  <c r="V28" i="29"/>
  <c r="Y28" i="29" s="1"/>
  <c r="AA28" i="29" s="1"/>
  <c r="A25" i="29"/>
  <c r="G25" i="29" s="1"/>
  <c r="M25" i="29" s="1"/>
  <c r="S25" i="29" s="1"/>
  <c r="I141" i="29"/>
  <c r="O141" i="29" s="1"/>
  <c r="U141" i="29" s="1"/>
  <c r="Q139" i="29"/>
  <c r="T139" i="29" s="1"/>
  <c r="A128" i="24"/>
  <c r="G128" i="24" s="1"/>
  <c r="I130" i="24"/>
  <c r="O130" i="24" s="1"/>
  <c r="U130" i="24" s="1"/>
  <c r="A86" i="24"/>
  <c r="Q20" i="17"/>
  <c r="T37" i="2"/>
  <c r="A140" i="24"/>
  <c r="V30" i="17"/>
  <c r="AB30" i="17" s="1"/>
  <c r="AD30" i="17" s="1"/>
  <c r="X28" i="17"/>
  <c r="I132" i="24"/>
  <c r="O132" i="24" s="1"/>
  <c r="U132" i="24" s="1"/>
  <c r="G136" i="29"/>
  <c r="M136" i="29" s="1"/>
  <c r="S136" i="29" s="1"/>
  <c r="I25" i="29"/>
  <c r="O25" i="29" s="1"/>
  <c r="U25" i="29" s="1"/>
  <c r="A33" i="29"/>
  <c r="G33" i="29" s="1"/>
  <c r="M33" i="29" s="1"/>
  <c r="S33" i="29" s="1"/>
  <c r="I135" i="24"/>
  <c r="O135" i="24" s="1"/>
  <c r="U135" i="24" s="1"/>
  <c r="V21" i="17"/>
  <c r="AC21" i="17" s="1"/>
  <c r="AE21" i="17" s="1"/>
  <c r="X27" i="2"/>
  <c r="V39" i="17"/>
  <c r="I81" i="24"/>
  <c r="O81" i="24" s="1"/>
  <c r="U81" i="24" s="1"/>
  <c r="B59" i="24"/>
  <c r="G66" i="24" s="1"/>
  <c r="B5" i="24"/>
  <c r="G12" i="24" s="1"/>
  <c r="B113" i="24"/>
  <c r="G12" i="17"/>
  <c r="B5" i="17"/>
  <c r="G118" i="29"/>
  <c r="G12" i="2"/>
  <c r="R74" i="29"/>
  <c r="T74" i="29" s="1"/>
  <c r="Q142" i="29"/>
  <c r="X142" i="29" s="1"/>
  <c r="X93" i="24"/>
  <c r="V36" i="17"/>
  <c r="I88" i="29"/>
  <c r="O88" i="29" s="1"/>
  <c r="U88" i="29" s="1"/>
  <c r="V143" i="24"/>
  <c r="V29" i="24"/>
  <c r="I34" i="24"/>
  <c r="O34" i="24" s="1"/>
  <c r="U34" i="24" s="1"/>
  <c r="A87" i="24"/>
  <c r="A27" i="29"/>
  <c r="G27" i="29" s="1"/>
  <c r="M27" i="29" s="1"/>
  <c r="S27" i="29" s="1"/>
  <c r="Z22" i="17"/>
  <c r="X22" i="17" s="1"/>
  <c r="I141" i="24"/>
  <c r="O141" i="24" s="1"/>
  <c r="U141" i="24" s="1"/>
  <c r="V22" i="17"/>
  <c r="AB22" i="17" s="1"/>
  <c r="AD22" i="17" s="1"/>
  <c r="A24" i="17"/>
  <c r="G24" i="17" s="1"/>
  <c r="A84" i="24"/>
  <c r="A28" i="29"/>
  <c r="G28" i="29" s="1"/>
  <c r="M28" i="29" s="1"/>
  <c r="S28" i="29" s="1"/>
  <c r="R82" i="29"/>
  <c r="T82" i="29" s="1"/>
  <c r="Q29" i="24"/>
  <c r="V131" i="24"/>
  <c r="A132" i="24"/>
  <c r="A30" i="24"/>
  <c r="I85" i="24"/>
  <c r="O85" i="24" s="1"/>
  <c r="U85" i="24" s="1"/>
  <c r="V84" i="24"/>
  <c r="X84" i="24" s="1"/>
  <c r="V77" i="29"/>
  <c r="X77" i="29" s="1"/>
  <c r="G133" i="29"/>
  <c r="M133" i="29" s="1"/>
  <c r="S133" i="29" s="1"/>
  <c r="V87" i="29"/>
  <c r="A34" i="24"/>
  <c r="A27" i="17"/>
  <c r="G27" i="17" s="1"/>
  <c r="I26" i="24"/>
  <c r="O26" i="24" s="1"/>
  <c r="U26" i="24" s="1"/>
  <c r="V138" i="29"/>
  <c r="I79" i="29"/>
  <c r="O79" i="29" s="1"/>
  <c r="U79" i="29" s="1"/>
  <c r="R87" i="29"/>
  <c r="T87" i="29" s="1"/>
  <c r="I85" i="29"/>
  <c r="O85" i="29" s="1"/>
  <c r="U85" i="29" s="1"/>
  <c r="A141" i="24"/>
  <c r="A79" i="29"/>
  <c r="G79" i="29" s="1"/>
  <c r="M79" i="29" s="1"/>
  <c r="S79" i="29" s="1"/>
  <c r="I136" i="29"/>
  <c r="O136" i="29" s="1"/>
  <c r="U136" i="29" s="1"/>
  <c r="I32" i="24"/>
  <c r="O32" i="24" s="1"/>
  <c r="U32" i="24" s="1"/>
  <c r="Z29" i="17"/>
  <c r="X29" i="17" s="1"/>
  <c r="I31" i="17"/>
  <c r="A81" i="24"/>
  <c r="Q75" i="29"/>
  <c r="V75" i="29"/>
  <c r="A24" i="29"/>
  <c r="G24" i="29" s="1"/>
  <c r="M24" i="29" s="1"/>
  <c r="S24" i="29" s="1"/>
  <c r="I82" i="24"/>
  <c r="O82" i="24" s="1"/>
  <c r="U82" i="24" s="1"/>
  <c r="V33" i="17"/>
  <c r="AB33" i="17" s="1"/>
  <c r="AD33" i="17" s="1"/>
  <c r="I26" i="17"/>
  <c r="A136" i="24"/>
  <c r="A26" i="24"/>
  <c r="I130" i="29"/>
  <c r="O130" i="29" s="1"/>
  <c r="U130" i="29" s="1"/>
  <c r="X33" i="29"/>
  <c r="R77" i="29"/>
  <c r="T77" i="29" s="1"/>
  <c r="V79" i="24"/>
  <c r="Z33" i="17"/>
  <c r="I27" i="29"/>
  <c r="O27" i="29" s="1"/>
  <c r="U27" i="29" s="1"/>
  <c r="V82" i="29"/>
  <c r="Y82" i="29" s="1"/>
  <c r="AA82" i="29" s="1"/>
  <c r="I133" i="29"/>
  <c r="O133" i="29" s="1"/>
  <c r="U133" i="29" s="1"/>
  <c r="Q138" i="29"/>
  <c r="T138" i="29" s="1"/>
  <c r="Y84" i="29"/>
  <c r="AA84" i="29" s="1"/>
  <c r="AB28" i="17"/>
  <c r="A138" i="24"/>
  <c r="A143" i="24"/>
  <c r="K130" i="29"/>
  <c r="V31" i="29"/>
  <c r="X29" i="2"/>
  <c r="R31" i="24"/>
  <c r="V129" i="29"/>
  <c r="AB29" i="17"/>
  <c r="AD29" i="17" s="1"/>
  <c r="Q27" i="29"/>
  <c r="I34" i="17"/>
  <c r="I80" i="24"/>
  <c r="O80" i="24" s="1"/>
  <c r="U80" i="24" s="1"/>
  <c r="V77" i="24"/>
  <c r="I132" i="29"/>
  <c r="O132" i="29" s="1"/>
  <c r="U132" i="29" s="1"/>
  <c r="V27" i="24"/>
  <c r="I89" i="24"/>
  <c r="O89" i="24" s="1"/>
  <c r="U89" i="24" s="1"/>
  <c r="Y85" i="29"/>
  <c r="AA85" i="29" s="1"/>
  <c r="Q31" i="24"/>
  <c r="I129" i="29"/>
  <c r="O129" i="29" s="1"/>
  <c r="U129" i="29" s="1"/>
  <c r="R27" i="29"/>
  <c r="I28" i="17"/>
  <c r="A30" i="17"/>
  <c r="G30" i="17" s="1"/>
  <c r="I33" i="17"/>
  <c r="T132" i="29"/>
  <c r="I143" i="24"/>
  <c r="O143" i="24" s="1"/>
  <c r="U143" i="24" s="1"/>
  <c r="A31" i="17"/>
  <c r="G31" i="17" s="1"/>
  <c r="X28" i="2"/>
  <c r="I136" i="24"/>
  <c r="O136" i="24" s="1"/>
  <c r="U136" i="24" s="1"/>
  <c r="I138" i="24"/>
  <c r="O138" i="24" s="1"/>
  <c r="U138" i="24" s="1"/>
  <c r="V80" i="24"/>
  <c r="I24" i="24"/>
  <c r="O24" i="24" s="1"/>
  <c r="U24" i="24" s="1"/>
  <c r="I80" i="29"/>
  <c r="O80" i="29" s="1"/>
  <c r="U80" i="29" s="1"/>
  <c r="Q31" i="29"/>
  <c r="I24" i="29"/>
  <c r="O24" i="29" s="1"/>
  <c r="U24" i="29" s="1"/>
  <c r="A26" i="29"/>
  <c r="G26" i="29" s="1"/>
  <c r="M26" i="29" s="1"/>
  <c r="S26" i="29" s="1"/>
  <c r="Z27" i="17"/>
  <c r="V27" i="17"/>
  <c r="A28" i="17"/>
  <c r="G28" i="17" s="1"/>
  <c r="Q25" i="29"/>
  <c r="V25" i="29"/>
  <c r="A86" i="29"/>
  <c r="G86" i="29" s="1"/>
  <c r="M86" i="29" s="1"/>
  <c r="S86" i="29" s="1"/>
  <c r="I86" i="29"/>
  <c r="O86" i="29" s="1"/>
  <c r="U86" i="29" s="1"/>
  <c r="K86" i="29"/>
  <c r="V78" i="24"/>
  <c r="Q78" i="24"/>
  <c r="I35" i="17"/>
  <c r="A35" i="17"/>
  <c r="G35" i="17" s="1"/>
  <c r="Q86" i="24"/>
  <c r="R86" i="24"/>
  <c r="Z86" i="24" s="1"/>
  <c r="AB86" i="24" s="1"/>
  <c r="Q27" i="17"/>
  <c r="G131" i="29"/>
  <c r="M131" i="29" s="1"/>
  <c r="S131" i="29" s="1"/>
  <c r="K131" i="29"/>
  <c r="A23" i="24"/>
  <c r="A31" i="24"/>
  <c r="I31" i="24"/>
  <c r="O31" i="24" s="1"/>
  <c r="U31" i="24" s="1"/>
  <c r="G132" i="29"/>
  <c r="M132" i="29" s="1"/>
  <c r="S132" i="29" s="1"/>
  <c r="V30" i="29"/>
  <c r="Q30" i="29"/>
  <c r="V28" i="24"/>
  <c r="Q28" i="24"/>
  <c r="A89" i="24"/>
  <c r="K89" i="24"/>
  <c r="I81" i="29"/>
  <c r="O81" i="29" s="1"/>
  <c r="U81" i="29" s="1"/>
  <c r="A81" i="29"/>
  <c r="G81" i="29" s="1"/>
  <c r="M81" i="29" s="1"/>
  <c r="S81" i="29" s="1"/>
  <c r="I77" i="24"/>
  <c r="O77" i="24" s="1"/>
  <c r="U77" i="24" s="1"/>
  <c r="Q141" i="24"/>
  <c r="V141" i="24"/>
  <c r="A35" i="29"/>
  <c r="G35" i="29" s="1"/>
  <c r="M35" i="29" s="1"/>
  <c r="S35" i="29" s="1"/>
  <c r="K35" i="29"/>
  <c r="Y32" i="29"/>
  <c r="AA32" i="29" s="1"/>
  <c r="Z31" i="17"/>
  <c r="V31" i="17"/>
  <c r="Q31" i="17"/>
  <c r="I32" i="17"/>
  <c r="A32" i="17"/>
  <c r="G32" i="17" s="1"/>
  <c r="I30" i="17"/>
  <c r="Q139" i="24"/>
  <c r="A33" i="17"/>
  <c r="G33" i="17" s="1"/>
  <c r="Z30" i="17"/>
  <c r="X30" i="17" s="1"/>
  <c r="K84" i="24"/>
  <c r="K26" i="29"/>
  <c r="R79" i="29"/>
  <c r="T79" i="29" s="1"/>
  <c r="E3" i="2"/>
  <c r="R35" i="2"/>
  <c r="T35" i="2" s="1"/>
  <c r="R34" i="2"/>
  <c r="T34" i="2" s="1"/>
  <c r="R29" i="2"/>
  <c r="V75" i="24"/>
  <c r="Z75" i="24" s="1"/>
  <c r="AB75" i="24" s="1"/>
  <c r="Q75" i="24"/>
  <c r="V129" i="24"/>
  <c r="Q21" i="29"/>
  <c r="Q129" i="24"/>
  <c r="R21" i="29"/>
  <c r="A72" i="29"/>
  <c r="G72" i="29" s="1"/>
  <c r="M72" i="29" s="1"/>
  <c r="S72" i="29" s="1"/>
  <c r="V72" i="29"/>
  <c r="I72" i="29"/>
  <c r="O72" i="29" s="1"/>
  <c r="U72" i="29" s="1"/>
  <c r="Q19" i="17"/>
  <c r="Q125" i="29"/>
  <c r="V125" i="29"/>
  <c r="A73" i="24"/>
  <c r="I73" i="24"/>
  <c r="O73" i="24" s="1"/>
  <c r="U73" i="24" s="1"/>
  <c r="V73" i="24"/>
  <c r="A20" i="29"/>
  <c r="G20" i="29" s="1"/>
  <c r="M20" i="29" s="1"/>
  <c r="S20" i="29" s="1"/>
  <c r="I20" i="29"/>
  <c r="O20" i="29" s="1"/>
  <c r="U20" i="29" s="1"/>
  <c r="Q21" i="24"/>
  <c r="Z21" i="24"/>
  <c r="AB21" i="24" s="1"/>
  <c r="Z21" i="29"/>
  <c r="AB21" i="29" s="1"/>
  <c r="G117" i="29"/>
  <c r="B4" i="24"/>
  <c r="G11" i="24" s="1"/>
  <c r="B4" i="17"/>
  <c r="B57" i="29"/>
  <c r="G64" i="29" s="1"/>
  <c r="B4" i="29"/>
  <c r="G11" i="29" s="1"/>
  <c r="B112" i="24"/>
  <c r="G11" i="17"/>
  <c r="B58" i="24"/>
  <c r="G65" i="24" s="1"/>
  <c r="G11" i="2"/>
  <c r="G119" i="24"/>
  <c r="E57" i="24" l="1"/>
  <c r="R73" i="24"/>
  <c r="T73" i="24" s="1"/>
  <c r="R80" i="24"/>
  <c r="T80" i="24" s="1"/>
  <c r="R78" i="24"/>
  <c r="R88" i="24"/>
  <c r="T88" i="24" s="1"/>
  <c r="Y140" i="24"/>
  <c r="AA140" i="24" s="1"/>
  <c r="Y86" i="24"/>
  <c r="AA86" i="24" s="1"/>
  <c r="AB32" i="17"/>
  <c r="AD32" i="17" s="1"/>
  <c r="T30" i="29"/>
  <c r="E56" i="24"/>
  <c r="G96" i="1"/>
  <c r="Z19" i="17"/>
  <c r="X19" i="17" s="1"/>
  <c r="R125" i="29"/>
  <c r="Y125" i="29" s="1"/>
  <c r="AA125" i="29" s="1"/>
  <c r="Z30" i="2"/>
  <c r="AB30" i="2" s="1"/>
  <c r="R31" i="29"/>
  <c r="Z84" i="29"/>
  <c r="AB84" i="29" s="1"/>
  <c r="E205" i="1"/>
  <c r="E209" i="1"/>
  <c r="E194" i="1"/>
  <c r="G82" i="1"/>
  <c r="G41" i="1"/>
  <c r="D98" i="1"/>
  <c r="R77" i="24" s="1"/>
  <c r="T77" i="24" s="1"/>
  <c r="I88" i="1"/>
  <c r="E195" i="1"/>
  <c r="E202" i="1"/>
  <c r="G32" i="1"/>
  <c r="R75" i="24"/>
  <c r="T75" i="24" s="1"/>
  <c r="R87" i="24"/>
  <c r="T87" i="24" s="1"/>
  <c r="E203" i="1"/>
  <c r="R84" i="24"/>
  <c r="T84" i="24" s="1"/>
  <c r="R24" i="29"/>
  <c r="T24" i="29" s="1"/>
  <c r="R85" i="24"/>
  <c r="R26" i="29"/>
  <c r="T26" i="29" s="1"/>
  <c r="R34" i="29"/>
  <c r="T34" i="29" s="1"/>
  <c r="R19" i="29"/>
  <c r="T19" i="29" s="1"/>
  <c r="E2" i="29"/>
  <c r="X91" i="24"/>
  <c r="G103" i="1"/>
  <c r="E196" i="1"/>
  <c r="E192" i="1"/>
  <c r="G58" i="1"/>
  <c r="O9" i="29"/>
  <c r="G9" i="24"/>
  <c r="G62" i="29"/>
  <c r="G63" i="24"/>
  <c r="B61" i="24"/>
  <c r="O64" i="24" s="1"/>
  <c r="B113" i="29"/>
  <c r="G10" i="17"/>
  <c r="B109" i="29"/>
  <c r="G73" i="24"/>
  <c r="M73" i="24" s="1"/>
  <c r="S73" i="24" s="1"/>
  <c r="G23" i="24"/>
  <c r="M23" i="24" s="1"/>
  <c r="S23" i="24" s="1"/>
  <c r="AC26" i="17"/>
  <c r="AE26" i="17" s="1"/>
  <c r="X31" i="17"/>
  <c r="G26" i="24"/>
  <c r="M26" i="24" s="1"/>
  <c r="S26" i="24" s="1"/>
  <c r="G127" i="24"/>
  <c r="M127" i="24" s="1"/>
  <c r="S127" i="24" s="1"/>
  <c r="G25" i="24"/>
  <c r="M25" i="24" s="1"/>
  <c r="S25" i="24" s="1"/>
  <c r="G22" i="24"/>
  <c r="M22" i="24" s="1"/>
  <c r="S22" i="24" s="1"/>
  <c r="G28" i="24"/>
  <c r="M28" i="24" s="1"/>
  <c r="S28" i="24" s="1"/>
  <c r="T36" i="24"/>
  <c r="AC30" i="17"/>
  <c r="AE30" i="17" s="1"/>
  <c r="Z26" i="29"/>
  <c r="AB26" i="29" s="1"/>
  <c r="G27" i="24"/>
  <c r="M27" i="24" s="1"/>
  <c r="S27" i="24" s="1"/>
  <c r="X38" i="24"/>
  <c r="B65" i="24"/>
  <c r="B117" i="29"/>
  <c r="X85" i="29" s="1"/>
  <c r="G134" i="24"/>
  <c r="M134" i="24" s="1"/>
  <c r="S134" i="24" s="1"/>
  <c r="G142" i="24"/>
  <c r="M142" i="24" s="1"/>
  <c r="S142" i="24" s="1"/>
  <c r="G141" i="24"/>
  <c r="M141" i="24" s="1"/>
  <c r="S141" i="24" s="1"/>
  <c r="G139" i="24"/>
  <c r="M139" i="24" s="1"/>
  <c r="S139" i="24" s="1"/>
  <c r="G140" i="24"/>
  <c r="M140" i="24" s="1"/>
  <c r="S140" i="24" s="1"/>
  <c r="G131" i="24"/>
  <c r="M131" i="24" s="1"/>
  <c r="S131" i="24" s="1"/>
  <c r="G143" i="24"/>
  <c r="M143" i="24" s="1"/>
  <c r="S143" i="24" s="1"/>
  <c r="G130" i="24"/>
  <c r="M130" i="24" s="1"/>
  <c r="S130" i="24" s="1"/>
  <c r="G136" i="24"/>
  <c r="M136" i="24" s="1"/>
  <c r="S136" i="24" s="1"/>
  <c r="G132" i="24"/>
  <c r="M132" i="24" s="1"/>
  <c r="S132" i="24" s="1"/>
  <c r="G138" i="24"/>
  <c r="M138" i="24" s="1"/>
  <c r="S138" i="24" s="1"/>
  <c r="G135" i="24"/>
  <c r="M135" i="24" s="1"/>
  <c r="S135" i="24" s="1"/>
  <c r="G88" i="24"/>
  <c r="M88" i="24" s="1"/>
  <c r="S88" i="24" s="1"/>
  <c r="G86" i="24"/>
  <c r="M86" i="24" s="1"/>
  <c r="S86" i="24" s="1"/>
  <c r="G89" i="24"/>
  <c r="M89" i="24" s="1"/>
  <c r="S89" i="24" s="1"/>
  <c r="G84" i="24"/>
  <c r="M84" i="24" s="1"/>
  <c r="S84" i="24" s="1"/>
  <c r="G77" i="24"/>
  <c r="M77" i="24" s="1"/>
  <c r="S77" i="24" s="1"/>
  <c r="G82" i="24"/>
  <c r="M82" i="24" s="1"/>
  <c r="S82" i="24" s="1"/>
  <c r="G85" i="24"/>
  <c r="M85" i="24" s="1"/>
  <c r="S85" i="24" s="1"/>
  <c r="G81" i="24"/>
  <c r="M81" i="24" s="1"/>
  <c r="S81" i="24" s="1"/>
  <c r="G87" i="24"/>
  <c r="M87" i="24" s="1"/>
  <c r="S87" i="24" s="1"/>
  <c r="G32" i="24"/>
  <c r="M32" i="24" s="1"/>
  <c r="S32" i="24" s="1"/>
  <c r="G35" i="24"/>
  <c r="M35" i="24" s="1"/>
  <c r="S35" i="24" s="1"/>
  <c r="G33" i="24"/>
  <c r="M33" i="24" s="1"/>
  <c r="S33" i="24" s="1"/>
  <c r="G34" i="24"/>
  <c r="M34" i="24" s="1"/>
  <c r="S34" i="24" s="1"/>
  <c r="G31" i="24"/>
  <c r="M31" i="24" s="1"/>
  <c r="S31" i="24" s="1"/>
  <c r="G30" i="24"/>
  <c r="M30" i="24" s="1"/>
  <c r="S30" i="24" s="1"/>
  <c r="M29" i="24"/>
  <c r="S29" i="24" s="1"/>
  <c r="G29" i="24"/>
  <c r="X39" i="24"/>
  <c r="X80" i="29"/>
  <c r="Z22" i="29"/>
  <c r="AB22" i="29" s="1"/>
  <c r="X36" i="29"/>
  <c r="Z132" i="29"/>
  <c r="AB132" i="29" s="1"/>
  <c r="X132" i="29"/>
  <c r="Y132" i="29"/>
  <c r="AA132" i="29" s="1"/>
  <c r="Z138" i="29"/>
  <c r="AB138" i="29" s="1"/>
  <c r="Y138" i="29"/>
  <c r="AA138" i="29" s="1"/>
  <c r="Z133" i="29"/>
  <c r="AB133" i="29" s="1"/>
  <c r="X133" i="29"/>
  <c r="Y133" i="29"/>
  <c r="AA133" i="29" s="1"/>
  <c r="Z127" i="29"/>
  <c r="AB127" i="29" s="1"/>
  <c r="Y127" i="29"/>
  <c r="AA127" i="29" s="1"/>
  <c r="Z129" i="29"/>
  <c r="AB129" i="29" s="1"/>
  <c r="X135" i="29"/>
  <c r="Z135" i="29"/>
  <c r="AB135" i="29" s="1"/>
  <c r="Y135" i="29"/>
  <c r="AA135" i="29" s="1"/>
  <c r="Y131" i="29"/>
  <c r="AA131" i="29" s="1"/>
  <c r="Z131" i="29"/>
  <c r="AB131" i="29" s="1"/>
  <c r="Y139" i="29"/>
  <c r="AA139" i="29" s="1"/>
  <c r="X139" i="29"/>
  <c r="Z139" i="29"/>
  <c r="AB139" i="29" s="1"/>
  <c r="X126" i="29"/>
  <c r="Y126" i="29"/>
  <c r="AA126" i="29" s="1"/>
  <c r="X134" i="29"/>
  <c r="Z134" i="29"/>
  <c r="AB134" i="29" s="1"/>
  <c r="Y134" i="29"/>
  <c r="AA134" i="29" s="1"/>
  <c r="X130" i="29"/>
  <c r="Z130" i="29"/>
  <c r="AB130" i="29" s="1"/>
  <c r="Y130" i="29"/>
  <c r="AA130" i="29" s="1"/>
  <c r="X128" i="29"/>
  <c r="Y128" i="29"/>
  <c r="AA128" i="29" s="1"/>
  <c r="Z128" i="29"/>
  <c r="AB128" i="29" s="1"/>
  <c r="Z140" i="29"/>
  <c r="AB140" i="29" s="1"/>
  <c r="X137" i="29"/>
  <c r="Y137" i="29"/>
  <c r="AA137" i="29" s="1"/>
  <c r="Z137" i="29"/>
  <c r="AB137" i="29" s="1"/>
  <c r="X136" i="29"/>
  <c r="Y136" i="29"/>
  <c r="AA136" i="29" s="1"/>
  <c r="Z136" i="29"/>
  <c r="AB136" i="29" s="1"/>
  <c r="Z125" i="29"/>
  <c r="AB125" i="29" s="1"/>
  <c r="V74" i="29"/>
  <c r="Z74" i="29" s="1"/>
  <c r="AB74" i="29" s="1"/>
  <c r="Y141" i="29"/>
  <c r="AA141" i="29" s="1"/>
  <c r="Z141" i="29"/>
  <c r="AB141" i="29" s="1"/>
  <c r="X141" i="29"/>
  <c r="X143" i="29"/>
  <c r="X37" i="29"/>
  <c r="X27" i="29"/>
  <c r="X144" i="24"/>
  <c r="R81" i="24"/>
  <c r="T81" i="24" s="1"/>
  <c r="R83" i="24"/>
  <c r="T83" i="24" s="1"/>
  <c r="E201" i="1"/>
  <c r="D212" i="1"/>
  <c r="D118" i="1"/>
  <c r="E210" i="1"/>
  <c r="AC23" i="17"/>
  <c r="B119" i="24"/>
  <c r="X140" i="24" s="1"/>
  <c r="B11" i="29"/>
  <c r="V45" i="29" s="1"/>
  <c r="B64" i="29"/>
  <c r="V98" i="29" s="1"/>
  <c r="B11" i="24"/>
  <c r="X84" i="29"/>
  <c r="V45" i="2"/>
  <c r="Y31" i="24"/>
  <c r="AA31" i="24" s="1"/>
  <c r="X33" i="24"/>
  <c r="AB25" i="17"/>
  <c r="AD25" i="17" s="1"/>
  <c r="X128" i="24"/>
  <c r="T141" i="24"/>
  <c r="R33" i="24"/>
  <c r="Z33" i="24" s="1"/>
  <c r="AB33" i="24" s="1"/>
  <c r="T82" i="24"/>
  <c r="R126" i="29"/>
  <c r="T126" i="29" s="1"/>
  <c r="Z27" i="2"/>
  <c r="AB27" i="2" s="1"/>
  <c r="Y21" i="29"/>
  <c r="AA21" i="29" s="1"/>
  <c r="Z20" i="17"/>
  <c r="AC20" i="17" s="1"/>
  <c r="AE20" i="17" s="1"/>
  <c r="G69" i="1"/>
  <c r="I69" i="1"/>
  <c r="I90" i="1"/>
  <c r="G90" i="1"/>
  <c r="Y21" i="2"/>
  <c r="AA21" i="2" s="1"/>
  <c r="R74" i="24"/>
  <c r="T74" i="24" s="1"/>
  <c r="G66" i="1"/>
  <c r="I66" i="1"/>
  <c r="X35" i="24"/>
  <c r="Y34" i="29"/>
  <c r="AA34" i="29" s="1"/>
  <c r="X88" i="29"/>
  <c r="X88" i="24"/>
  <c r="X86" i="29"/>
  <c r="T75" i="29"/>
  <c r="T21" i="2"/>
  <c r="Z27" i="29"/>
  <c r="AB27" i="29" s="1"/>
  <c r="Z88" i="29"/>
  <c r="AB88" i="29" s="1"/>
  <c r="AC34" i="17"/>
  <c r="AE34" i="17" s="1"/>
  <c r="T127" i="29"/>
  <c r="X20" i="24"/>
  <c r="X20" i="29"/>
  <c r="X89" i="24"/>
  <c r="X34" i="24"/>
  <c r="D76" i="1"/>
  <c r="D197" i="1" s="1"/>
  <c r="E200" i="1"/>
  <c r="E198" i="1"/>
  <c r="E199" i="1"/>
  <c r="E211" i="1"/>
  <c r="D206" i="1"/>
  <c r="D207" i="1"/>
  <c r="D192" i="1"/>
  <c r="G192" i="1" s="1"/>
  <c r="D191" i="1"/>
  <c r="D202" i="1"/>
  <c r="D203" i="1"/>
  <c r="D195" i="1"/>
  <c r="G195" i="1" s="1"/>
  <c r="D204" i="1"/>
  <c r="I212" i="1"/>
  <c r="G212" i="1"/>
  <c r="G74" i="1"/>
  <c r="I74" i="1"/>
  <c r="T76" i="24"/>
  <c r="I40" i="1"/>
  <c r="G40" i="1"/>
  <c r="I116" i="1"/>
  <c r="D190" i="1"/>
  <c r="Z140" i="24"/>
  <c r="AB140" i="24" s="1"/>
  <c r="R20" i="29"/>
  <c r="T20" i="29" s="1"/>
  <c r="Z34" i="29"/>
  <c r="AB34" i="29" s="1"/>
  <c r="T128" i="29"/>
  <c r="D193" i="1"/>
  <c r="G193" i="1" s="1"/>
  <c r="D194" i="1"/>
  <c r="G194" i="1" s="1"/>
  <c r="D209" i="1"/>
  <c r="D208" i="1"/>
  <c r="S44" i="2"/>
  <c r="X27" i="17"/>
  <c r="AC27" i="17"/>
  <c r="AE27" i="17" s="1"/>
  <c r="X135" i="24"/>
  <c r="Y30" i="24"/>
  <c r="AA30" i="24" s="1"/>
  <c r="X142" i="24"/>
  <c r="X138" i="24"/>
  <c r="X81" i="24"/>
  <c r="X87" i="24"/>
  <c r="R26" i="24"/>
  <c r="T26" i="24" s="1"/>
  <c r="X22" i="24"/>
  <c r="Y32" i="24"/>
  <c r="AA32" i="24" s="1"/>
  <c r="R131" i="24"/>
  <c r="T131" i="24" s="1"/>
  <c r="X82" i="24"/>
  <c r="X132" i="24"/>
  <c r="R133" i="24"/>
  <c r="T133" i="24" s="1"/>
  <c r="R135" i="24"/>
  <c r="T135" i="24" s="1"/>
  <c r="R143" i="24"/>
  <c r="T143" i="24" s="1"/>
  <c r="X76" i="24"/>
  <c r="R127" i="24"/>
  <c r="T127" i="24" s="1"/>
  <c r="R134" i="24"/>
  <c r="T134" i="24" s="1"/>
  <c r="X130" i="24"/>
  <c r="R28" i="24"/>
  <c r="T28" i="24" s="1"/>
  <c r="R27" i="24"/>
  <c r="T27" i="24" s="1"/>
  <c r="B56" i="29"/>
  <c r="G63" i="29" s="1"/>
  <c r="O10" i="2"/>
  <c r="T19" i="2"/>
  <c r="X19" i="2" s="1"/>
  <c r="B60" i="29"/>
  <c r="O63" i="29" s="1"/>
  <c r="G116" i="29"/>
  <c r="B7" i="29"/>
  <c r="O10" i="29" s="1"/>
  <c r="O118" i="24"/>
  <c r="O10" i="17"/>
  <c r="O116" i="29"/>
  <c r="B7" i="24"/>
  <c r="O10" i="24" s="1"/>
  <c r="B7" i="17"/>
  <c r="B115" i="24"/>
  <c r="Z81" i="29"/>
  <c r="AB81" i="29" s="1"/>
  <c r="X136" i="24"/>
  <c r="X81" i="29"/>
  <c r="B57" i="24"/>
  <c r="G64" i="24" s="1"/>
  <c r="AC29" i="17"/>
  <c r="AE29" i="17" s="1"/>
  <c r="T28" i="29"/>
  <c r="X24" i="24"/>
  <c r="T25" i="29"/>
  <c r="B111" i="24"/>
  <c r="G10" i="2"/>
  <c r="G118" i="24"/>
  <c r="B3" i="17"/>
  <c r="B3" i="24"/>
  <c r="G10" i="24" s="1"/>
  <c r="B3" i="29"/>
  <c r="G10" i="29" s="1"/>
  <c r="T27" i="29"/>
  <c r="Y79" i="29"/>
  <c r="AA79" i="29" s="1"/>
  <c r="Y26" i="2"/>
  <c r="AB26" i="17"/>
  <c r="AD26" i="17" s="1"/>
  <c r="Y26" i="29"/>
  <c r="AA26" i="29" s="1"/>
  <c r="Z80" i="29"/>
  <c r="AB80" i="29" s="1"/>
  <c r="AA25" i="2"/>
  <c r="X25" i="2"/>
  <c r="R139" i="24"/>
  <c r="T139" i="24" s="1"/>
  <c r="X139" i="24" s="1"/>
  <c r="E110" i="24"/>
  <c r="R128" i="24"/>
  <c r="T128" i="24" s="1"/>
  <c r="R129" i="24"/>
  <c r="T129" i="24" s="1"/>
  <c r="R132" i="24"/>
  <c r="T132" i="24" s="1"/>
  <c r="E111" i="24"/>
  <c r="Z31" i="24" s="1"/>
  <c r="AB31" i="24" s="1"/>
  <c r="R142" i="24"/>
  <c r="R136" i="24"/>
  <c r="T136" i="24" s="1"/>
  <c r="R137" i="24"/>
  <c r="T137" i="24" s="1"/>
  <c r="E113" i="24"/>
  <c r="E112" i="24"/>
  <c r="R34" i="24"/>
  <c r="T34" i="24" s="1"/>
  <c r="E4" i="24"/>
  <c r="R25" i="24"/>
  <c r="Z28" i="2"/>
  <c r="AB28" i="2" s="1"/>
  <c r="R22" i="24"/>
  <c r="R24" i="24"/>
  <c r="Z24" i="2"/>
  <c r="AB24" i="2" s="1"/>
  <c r="Z22" i="2"/>
  <c r="AB22" i="2" s="1"/>
  <c r="T22" i="2"/>
  <c r="R20" i="24"/>
  <c r="T20" i="24" s="1"/>
  <c r="R35" i="24"/>
  <c r="T35" i="24" s="1"/>
  <c r="R29" i="24"/>
  <c r="T29" i="24" s="1"/>
  <c r="E3" i="24"/>
  <c r="R19" i="24"/>
  <c r="E2" i="24"/>
  <c r="R21" i="24"/>
  <c r="X137" i="24"/>
  <c r="Z129" i="24"/>
  <c r="AB129" i="24" s="1"/>
  <c r="AC22" i="17"/>
  <c r="AE22" i="17" s="1"/>
  <c r="X20" i="17"/>
  <c r="Y76" i="24"/>
  <c r="AA76" i="24" s="1"/>
  <c r="X24" i="17"/>
  <c r="T86" i="24"/>
  <c r="X86" i="24" s="1"/>
  <c r="Z76" i="29"/>
  <c r="AB76" i="29" s="1"/>
  <c r="Y85" i="24"/>
  <c r="T29" i="2"/>
  <c r="Z29" i="2"/>
  <c r="AB29" i="2" s="1"/>
  <c r="Y84" i="24"/>
  <c r="AA84" i="24" s="1"/>
  <c r="X75" i="29"/>
  <c r="M128" i="24"/>
  <c r="S128" i="24" s="1"/>
  <c r="T31" i="2"/>
  <c r="Y31" i="2"/>
  <c r="AA31" i="2" s="1"/>
  <c r="X90" i="29"/>
  <c r="X83" i="29"/>
  <c r="Z87" i="24"/>
  <c r="AB87" i="24" s="1"/>
  <c r="Z89" i="24"/>
  <c r="AB89" i="24" s="1"/>
  <c r="Y78" i="29"/>
  <c r="AA78" i="29" s="1"/>
  <c r="Z32" i="24"/>
  <c r="AB32" i="24" s="1"/>
  <c r="AC33" i="17"/>
  <c r="AE33" i="17" s="1"/>
  <c r="Z77" i="29"/>
  <c r="AB77" i="29" s="1"/>
  <c r="AC32" i="17"/>
  <c r="AE32" i="17" s="1"/>
  <c r="T32" i="29"/>
  <c r="X32" i="29" s="1"/>
  <c r="X33" i="17"/>
  <c r="Y83" i="29"/>
  <c r="AA83" i="29" s="1"/>
  <c r="Z23" i="2"/>
  <c r="AB23" i="2" s="1"/>
  <c r="AA139" i="24"/>
  <c r="AC24" i="17"/>
  <c r="R24" i="17" s="1"/>
  <c r="T24" i="17" s="1"/>
  <c r="Z33" i="29"/>
  <c r="AB33" i="29" s="1"/>
  <c r="Z82" i="24"/>
  <c r="AB82" i="24" s="1"/>
  <c r="Z29" i="29"/>
  <c r="AB29" i="29" s="1"/>
  <c r="X29" i="29"/>
  <c r="AA19" i="2"/>
  <c r="T31" i="29"/>
  <c r="Z73" i="29"/>
  <c r="AB73" i="29" s="1"/>
  <c r="Z31" i="2"/>
  <c r="AB31" i="2" s="1"/>
  <c r="R23" i="24"/>
  <c r="R30" i="24"/>
  <c r="T24" i="2"/>
  <c r="Z35" i="2"/>
  <c r="AB35" i="2" s="1"/>
  <c r="Z20" i="2"/>
  <c r="AB20" i="2" s="1"/>
  <c r="Z31" i="29"/>
  <c r="AB31" i="29" s="1"/>
  <c r="Z79" i="29"/>
  <c r="AB79" i="29" s="1"/>
  <c r="Z26" i="2"/>
  <c r="AB26" i="2" s="1"/>
  <c r="T83" i="29"/>
  <c r="Z83" i="29"/>
  <c r="AB83" i="29" s="1"/>
  <c r="Z34" i="2"/>
  <c r="AB34" i="2" s="1"/>
  <c r="Y35" i="29"/>
  <c r="AA35" i="29" s="1"/>
  <c r="Z35" i="29"/>
  <c r="AB35" i="29" s="1"/>
  <c r="Z86" i="29"/>
  <c r="AB86" i="29" s="1"/>
  <c r="R30" i="17"/>
  <c r="T30" i="17" s="1"/>
  <c r="T31" i="24"/>
  <c r="X31" i="24" s="1"/>
  <c r="Y77" i="29"/>
  <c r="AA77" i="29" s="1"/>
  <c r="T142" i="29"/>
  <c r="Y74" i="24"/>
  <c r="AA74" i="24" s="1"/>
  <c r="Y24" i="29"/>
  <c r="AA24" i="29" s="1"/>
  <c r="X24" i="29"/>
  <c r="X35" i="29"/>
  <c r="Y83" i="24"/>
  <c r="AA83" i="24" s="1"/>
  <c r="X83" i="24"/>
  <c r="R20" i="17"/>
  <c r="T20" i="17" s="1"/>
  <c r="Z28" i="29"/>
  <c r="AB28" i="29" s="1"/>
  <c r="AB21" i="17"/>
  <c r="R21" i="17" s="1"/>
  <c r="T21" i="17" s="1"/>
  <c r="T78" i="24"/>
  <c r="T81" i="29"/>
  <c r="X28" i="29"/>
  <c r="AB19" i="17"/>
  <c r="R19" i="17" s="1"/>
  <c r="T19" i="17" s="1"/>
  <c r="X143" i="24"/>
  <c r="Y143" i="24"/>
  <c r="AA143" i="24" s="1"/>
  <c r="Y29" i="24"/>
  <c r="AA29" i="24" s="1"/>
  <c r="X29" i="24"/>
  <c r="Y87" i="29"/>
  <c r="AA87" i="29" s="1"/>
  <c r="X87" i="29"/>
  <c r="Z79" i="24"/>
  <c r="AB79" i="24" s="1"/>
  <c r="Z82" i="29"/>
  <c r="AB82" i="29" s="1"/>
  <c r="Z75" i="29"/>
  <c r="AB75" i="29" s="1"/>
  <c r="Z87" i="29"/>
  <c r="AB87" i="29" s="1"/>
  <c r="X82" i="29"/>
  <c r="Y75" i="29"/>
  <c r="AA75" i="29" s="1"/>
  <c r="AC35" i="17"/>
  <c r="AE35" i="17" s="1"/>
  <c r="Y31" i="29"/>
  <c r="AA31" i="29" s="1"/>
  <c r="AC28" i="17"/>
  <c r="AE28" i="17" s="1"/>
  <c r="Y27" i="24"/>
  <c r="AA27" i="24" s="1"/>
  <c r="X27" i="24"/>
  <c r="AD28" i="17"/>
  <c r="Y78" i="24"/>
  <c r="AA78" i="24" s="1"/>
  <c r="X31" i="29"/>
  <c r="AD35" i="17"/>
  <c r="AB27" i="17"/>
  <c r="X28" i="24"/>
  <c r="Y28" i="24"/>
  <c r="AA28" i="24" s="1"/>
  <c r="Z141" i="24"/>
  <c r="AB141" i="24" s="1"/>
  <c r="X141" i="24"/>
  <c r="Y141" i="24"/>
  <c r="AA141" i="24" s="1"/>
  <c r="AB31" i="17"/>
  <c r="AC31" i="17"/>
  <c r="AE31" i="17" s="1"/>
  <c r="Z30" i="29"/>
  <c r="AB30" i="29" s="1"/>
  <c r="X30" i="29"/>
  <c r="Y30" i="29"/>
  <c r="AA30" i="29" s="1"/>
  <c r="Y25" i="29"/>
  <c r="AA25" i="29" s="1"/>
  <c r="Z25" i="29"/>
  <c r="AB25" i="29" s="1"/>
  <c r="X78" i="24"/>
  <c r="T21" i="29"/>
  <c r="Y72" i="29"/>
  <c r="AA72" i="29" s="1"/>
  <c r="Z72" i="29"/>
  <c r="AB72" i="29" s="1"/>
  <c r="Z73" i="24"/>
  <c r="AB73" i="24" s="1"/>
  <c r="Y19" i="29" l="1"/>
  <c r="AA19" i="29" s="1"/>
  <c r="X138" i="29"/>
  <c r="X32" i="24"/>
  <c r="Y75" i="24"/>
  <c r="AA75" i="24" s="1"/>
  <c r="T125" i="29"/>
  <c r="Z24" i="29"/>
  <c r="AB24" i="29" s="1"/>
  <c r="Z138" i="24"/>
  <c r="AB138" i="24" s="1"/>
  <c r="Z139" i="24"/>
  <c r="AB139" i="24" s="1"/>
  <c r="D201" i="1"/>
  <c r="Z23" i="17"/>
  <c r="R76" i="29"/>
  <c r="R129" i="29"/>
  <c r="R23" i="2"/>
  <c r="Y77" i="24"/>
  <c r="AA77" i="24" s="1"/>
  <c r="R34" i="17"/>
  <c r="T34" i="17" s="1"/>
  <c r="Z80" i="24"/>
  <c r="AB80" i="24" s="1"/>
  <c r="Z84" i="24"/>
  <c r="AB84" i="24" s="1"/>
  <c r="T85" i="24"/>
  <c r="Z85" i="24"/>
  <c r="AB85" i="24" s="1"/>
  <c r="R23" i="29"/>
  <c r="Z134" i="24"/>
  <c r="AB134" i="24" s="1"/>
  <c r="Z26" i="24"/>
  <c r="AB26" i="24" s="1"/>
  <c r="V45" i="24"/>
  <c r="V153" i="24"/>
  <c r="V99" i="24"/>
  <c r="X21" i="2"/>
  <c r="Y74" i="29"/>
  <c r="AA74" i="29" s="1"/>
  <c r="X127" i="29"/>
  <c r="X125" i="29"/>
  <c r="X131" i="29"/>
  <c r="Z126" i="29"/>
  <c r="AB126" i="29" s="1"/>
  <c r="X149" i="29" s="1"/>
  <c r="T33" i="24"/>
  <c r="D199" i="1"/>
  <c r="D205" i="1"/>
  <c r="G205" i="1" s="1"/>
  <c r="G118" i="1"/>
  <c r="D210" i="1"/>
  <c r="Y131" i="24"/>
  <c r="AA131" i="24" s="1"/>
  <c r="AE23" i="17"/>
  <c r="V151" i="29"/>
  <c r="R25" i="17"/>
  <c r="T25" i="17" s="1"/>
  <c r="R26" i="17"/>
  <c r="T26" i="17" s="1"/>
  <c r="Z77" i="24"/>
  <c r="AB77" i="24" s="1"/>
  <c r="Z83" i="24"/>
  <c r="AB83" i="24" s="1"/>
  <c r="Z23" i="24"/>
  <c r="AB23" i="24" s="1"/>
  <c r="Z76" i="24"/>
  <c r="AB76" i="24" s="1"/>
  <c r="D200" i="1"/>
  <c r="G200" i="1" s="1"/>
  <c r="Z130" i="24"/>
  <c r="AB130" i="24" s="1"/>
  <c r="Z24" i="24"/>
  <c r="AB24" i="24" s="1"/>
  <c r="D196" i="1"/>
  <c r="I196" i="1" s="1"/>
  <c r="Z74" i="24"/>
  <c r="AB74" i="24" s="1"/>
  <c r="Z78" i="24"/>
  <c r="AB78" i="24" s="1"/>
  <c r="D198" i="1"/>
  <c r="G198" i="1" s="1"/>
  <c r="Z88" i="24"/>
  <c r="AB88" i="24" s="1"/>
  <c r="R29" i="17"/>
  <c r="T29" i="17" s="1"/>
  <c r="AD21" i="17"/>
  <c r="X19" i="29"/>
  <c r="R22" i="17"/>
  <c r="T22" i="17" s="1"/>
  <c r="Z131" i="24"/>
  <c r="AB131" i="24" s="1"/>
  <c r="Z20" i="29"/>
  <c r="AB20" i="29" s="1"/>
  <c r="G207" i="1"/>
  <c r="I207" i="1"/>
  <c r="I204" i="1"/>
  <c r="G204" i="1"/>
  <c r="I206" i="1"/>
  <c r="G206" i="1"/>
  <c r="I197" i="1"/>
  <c r="G197" i="1"/>
  <c r="I201" i="1"/>
  <c r="G201" i="1"/>
  <c r="I203" i="1"/>
  <c r="G203" i="1"/>
  <c r="I208" i="1"/>
  <c r="G208" i="1"/>
  <c r="I199" i="1"/>
  <c r="G199" i="1"/>
  <c r="G202" i="1"/>
  <c r="I202" i="1"/>
  <c r="G209" i="1"/>
  <c r="I209" i="1"/>
  <c r="I191" i="1"/>
  <c r="G191" i="1"/>
  <c r="D211" i="1"/>
  <c r="I76" i="1"/>
  <c r="Y134" i="24"/>
  <c r="AA134" i="24" s="1"/>
  <c r="Y133" i="24"/>
  <c r="AA133" i="24" s="1"/>
  <c r="Z143" i="24"/>
  <c r="AB143" i="24" s="1"/>
  <c r="Z81" i="24"/>
  <c r="AB81" i="24" s="1"/>
  <c r="Y19" i="24"/>
  <c r="AA19" i="24" s="1"/>
  <c r="Z27" i="24"/>
  <c r="AB27" i="24" s="1"/>
  <c r="Y80" i="24"/>
  <c r="AA80" i="24" s="1"/>
  <c r="Y21" i="24"/>
  <c r="AA21" i="24" s="1"/>
  <c r="Y25" i="24"/>
  <c r="AA25" i="24" s="1"/>
  <c r="Y73" i="24"/>
  <c r="AA73" i="24" s="1"/>
  <c r="Z128" i="24"/>
  <c r="AB128" i="24" s="1"/>
  <c r="Z135" i="24"/>
  <c r="AB135" i="24" s="1"/>
  <c r="Z28" i="24"/>
  <c r="AB28" i="24" s="1"/>
  <c r="Z20" i="24"/>
  <c r="AB20" i="24" s="1"/>
  <c r="Y127" i="24"/>
  <c r="AA127" i="24" s="1"/>
  <c r="Y79" i="24"/>
  <c r="AA79" i="24" s="1"/>
  <c r="Z34" i="24"/>
  <c r="AB34" i="24" s="1"/>
  <c r="Y26" i="24"/>
  <c r="AA26" i="24" s="1"/>
  <c r="T21" i="24"/>
  <c r="T19" i="24"/>
  <c r="X78" i="29"/>
  <c r="Z29" i="24"/>
  <c r="AB29" i="24" s="1"/>
  <c r="Z137" i="24"/>
  <c r="AB137" i="24" s="1"/>
  <c r="Z136" i="24"/>
  <c r="AB136" i="24" s="1"/>
  <c r="AE24" i="17"/>
  <c r="T25" i="24"/>
  <c r="T24" i="24"/>
  <c r="Z132" i="24"/>
  <c r="AB132" i="24" s="1"/>
  <c r="AA26" i="2"/>
  <c r="X26" i="2"/>
  <c r="AD27" i="17"/>
  <c r="R27" i="17"/>
  <c r="T27" i="17" s="1"/>
  <c r="X79" i="29"/>
  <c r="X26" i="29"/>
  <c r="S95" i="24"/>
  <c r="F91" i="24" s="1"/>
  <c r="Z35" i="24"/>
  <c r="AB35" i="24" s="1"/>
  <c r="Y129" i="24"/>
  <c r="AA129" i="24" s="1"/>
  <c r="Z22" i="24"/>
  <c r="AB22" i="24" s="1"/>
  <c r="T22" i="24"/>
  <c r="T142" i="24"/>
  <c r="S149" i="24" s="1"/>
  <c r="Z142" i="24"/>
  <c r="AB142" i="24" s="1"/>
  <c r="R28" i="17"/>
  <c r="T28" i="17" s="1"/>
  <c r="X25" i="29"/>
  <c r="X31" i="2"/>
  <c r="AA85" i="24"/>
  <c r="X85" i="24"/>
  <c r="R32" i="17"/>
  <c r="T32" i="17" s="1"/>
  <c r="R33" i="17"/>
  <c r="T33" i="17" s="1"/>
  <c r="Y23" i="24"/>
  <c r="AA23" i="24" s="1"/>
  <c r="T23" i="24"/>
  <c r="X43" i="2"/>
  <c r="T30" i="24"/>
  <c r="Z30" i="24"/>
  <c r="AB30" i="24" s="1"/>
  <c r="X77" i="24"/>
  <c r="AD31" i="17"/>
  <c r="R31" i="17"/>
  <c r="T31" i="17" s="1"/>
  <c r="AD19" i="17"/>
  <c r="X96" i="29"/>
  <c r="X21" i="29"/>
  <c r="R35" i="17"/>
  <c r="T35" i="17" s="1"/>
  <c r="X72" i="29"/>
  <c r="X75" i="24" l="1"/>
  <c r="X74" i="29"/>
  <c r="T129" i="29"/>
  <c r="Y129" i="29"/>
  <c r="AA129" i="29" s="1"/>
  <c r="X148" i="29" s="1"/>
  <c r="S148" i="29" s="1"/>
  <c r="I200" i="1"/>
  <c r="G196" i="1"/>
  <c r="X23" i="17"/>
  <c r="AB23" i="17"/>
  <c r="T76" i="29"/>
  <c r="Y76" i="29"/>
  <c r="AA76" i="29" s="1"/>
  <c r="X95" i="29" s="1"/>
  <c r="Z23" i="29"/>
  <c r="AB23" i="29" s="1"/>
  <c r="X43" i="29" s="1"/>
  <c r="R43" i="29" s="1"/>
  <c r="Y23" i="29"/>
  <c r="AA23" i="29" s="1"/>
  <c r="X42" i="29" s="1"/>
  <c r="R42" i="29" s="1"/>
  <c r="T23" i="29"/>
  <c r="T23" i="2"/>
  <c r="Y23" i="2"/>
  <c r="AA23" i="2" s="1"/>
  <c r="X42" i="2" s="1"/>
  <c r="R42" i="2" s="1"/>
  <c r="D92" i="24"/>
  <c r="R92" i="24" s="1"/>
  <c r="T92" i="24" s="1"/>
  <c r="I210" i="1"/>
  <c r="G210" i="1"/>
  <c r="X23" i="24"/>
  <c r="X131" i="24"/>
  <c r="X97" i="24"/>
  <c r="S97" i="24" s="1"/>
  <c r="V97" i="24" s="1"/>
  <c r="X19" i="24"/>
  <c r="G211" i="1"/>
  <c r="I211" i="1"/>
  <c r="X134" i="24"/>
  <c r="X80" i="24"/>
  <c r="X133" i="24"/>
  <c r="X21" i="24"/>
  <c r="X79" i="24"/>
  <c r="X73" i="24"/>
  <c r="X25" i="24"/>
  <c r="X96" i="24"/>
  <c r="S96" i="24" s="1"/>
  <c r="V96" i="24" s="1"/>
  <c r="X150" i="24"/>
  <c r="S150" i="24" s="1"/>
  <c r="V150" i="24" s="1"/>
  <c r="X42" i="24"/>
  <c r="R42" i="24" s="1"/>
  <c r="X26" i="24"/>
  <c r="X127" i="24"/>
  <c r="X151" i="24"/>
  <c r="S151" i="24" s="1"/>
  <c r="V151" i="24" s="1"/>
  <c r="S41" i="24"/>
  <c r="F39" i="24" s="1"/>
  <c r="F144" i="24"/>
  <c r="F145" i="24"/>
  <c r="D146" i="24" s="1"/>
  <c r="F146" i="24"/>
  <c r="F147" i="24"/>
  <c r="F93" i="24"/>
  <c r="F90" i="24"/>
  <c r="X43" i="24"/>
  <c r="R43" i="24" s="1"/>
  <c r="F92" i="24"/>
  <c r="X129" i="24"/>
  <c r="R43" i="2"/>
  <c r="R96" i="29"/>
  <c r="R149" i="29"/>
  <c r="S43" i="29" l="1"/>
  <c r="S42" i="29"/>
  <c r="R148" i="29"/>
  <c r="R95" i="29"/>
  <c r="S95" i="29"/>
  <c r="X23" i="2"/>
  <c r="X45" i="2" s="1"/>
  <c r="S45" i="2" s="1"/>
  <c r="AD43" i="2"/>
  <c r="S41" i="2"/>
  <c r="W42" i="2"/>
  <c r="AD23" i="17"/>
  <c r="AA45" i="17"/>
  <c r="R23" i="17"/>
  <c r="T23" i="17" s="1"/>
  <c r="S41" i="17" s="1"/>
  <c r="F39" i="17" s="1"/>
  <c r="D39" i="17" s="1"/>
  <c r="AD39" i="17" s="1"/>
  <c r="S43" i="2"/>
  <c r="X23" i="29"/>
  <c r="X45" i="29" s="1"/>
  <c r="S45" i="29" s="1"/>
  <c r="S41" i="29"/>
  <c r="X76" i="29"/>
  <c r="X98" i="29" s="1"/>
  <c r="S98" i="29" s="1"/>
  <c r="S94" i="29"/>
  <c r="X129" i="29"/>
  <c r="X151" i="29" s="1"/>
  <c r="S151" i="29" s="1"/>
  <c r="S147" i="29"/>
  <c r="S96" i="29"/>
  <c r="S149" i="29"/>
  <c r="D147" i="24"/>
  <c r="R147" i="24" s="1"/>
  <c r="T147" i="24" s="1"/>
  <c r="D93" i="24"/>
  <c r="R93" i="24" s="1"/>
  <c r="T93" i="24" s="1"/>
  <c r="T145" i="24"/>
  <c r="R146" i="24"/>
  <c r="T146" i="24" s="1"/>
  <c r="R97" i="24"/>
  <c r="S42" i="2"/>
  <c r="R150" i="24"/>
  <c r="X99" i="24"/>
  <c r="S99" i="24" s="1"/>
  <c r="X45" i="24"/>
  <c r="S45" i="24" s="1"/>
  <c r="S42" i="24"/>
  <c r="V42" i="24" s="1"/>
  <c r="R96" i="24"/>
  <c r="X153" i="24"/>
  <c r="S153" i="24" s="1"/>
  <c r="R151" i="24"/>
  <c r="F37" i="24"/>
  <c r="F36" i="24"/>
  <c r="F38" i="24"/>
  <c r="T144" i="24"/>
  <c r="S43" i="24"/>
  <c r="V43" i="24" s="1"/>
  <c r="T90" i="24"/>
  <c r="V43" i="29" l="1"/>
  <c r="V42" i="2"/>
  <c r="V42" i="29"/>
  <c r="R39" i="17"/>
  <c r="T39" i="17" s="1"/>
  <c r="Z39" i="17"/>
  <c r="X39" i="17" s="1"/>
  <c r="F38" i="17"/>
  <c r="D38" i="17" s="1"/>
  <c r="Z38" i="17" s="1"/>
  <c r="X38" i="17" s="1"/>
  <c r="F36" i="17"/>
  <c r="D36" i="17" s="1"/>
  <c r="AE36" i="17" s="1"/>
  <c r="V96" i="29"/>
  <c r="V43" i="2"/>
  <c r="AE39" i="17"/>
  <c r="F37" i="17"/>
  <c r="D37" i="17" s="1"/>
  <c r="R37" i="17" s="1"/>
  <c r="T37" i="17" s="1"/>
  <c r="F89" i="29"/>
  <c r="F90" i="29"/>
  <c r="F91" i="29"/>
  <c r="R91" i="29" s="1"/>
  <c r="T91" i="29" s="1"/>
  <c r="F92" i="29"/>
  <c r="R92" i="29" s="1"/>
  <c r="T92" i="29" s="1"/>
  <c r="V95" i="29"/>
  <c r="F145" i="29"/>
  <c r="R145" i="29" s="1"/>
  <c r="T145" i="29" s="1"/>
  <c r="F142" i="29"/>
  <c r="F143" i="29"/>
  <c r="F144" i="29"/>
  <c r="R144" i="29" s="1"/>
  <c r="T144" i="29" s="1"/>
  <c r="F36" i="2"/>
  <c r="F37" i="2"/>
  <c r="F38" i="2"/>
  <c r="F39" i="2"/>
  <c r="V149" i="29"/>
  <c r="F37" i="29"/>
  <c r="F36" i="29"/>
  <c r="F39" i="29"/>
  <c r="R39" i="29" s="1"/>
  <c r="T39" i="29" s="1"/>
  <c r="F38" i="29"/>
  <c r="R38" i="29" s="1"/>
  <c r="T38" i="29" s="1"/>
  <c r="V148" i="29"/>
  <c r="S98" i="24"/>
  <c r="S100" i="24" s="1"/>
  <c r="S152" i="24"/>
  <c r="S154" i="24" s="1"/>
  <c r="D39" i="24"/>
  <c r="R39" i="24" s="1"/>
  <c r="T39" i="24" s="1"/>
  <c r="D38" i="24"/>
  <c r="R38" i="24" s="1"/>
  <c r="T38" i="24" s="1"/>
  <c r="S46" i="2"/>
  <c r="R36" i="17" l="1"/>
  <c r="T36" i="17" s="1"/>
  <c r="AD36" i="17"/>
  <c r="Z36" i="17"/>
  <c r="X36" i="17" s="1"/>
  <c r="S44" i="29"/>
  <c r="S46" i="29" s="1"/>
  <c r="AD38" i="17"/>
  <c r="AE38" i="17"/>
  <c r="R38" i="17"/>
  <c r="T38" i="17" s="1"/>
  <c r="AE37" i="17"/>
  <c r="Z37" i="17"/>
  <c r="X37" i="17" s="1"/>
  <c r="AD37" i="17"/>
  <c r="S150" i="29"/>
  <c r="S152" i="29" s="1"/>
  <c r="S97" i="29"/>
  <c r="S99" i="29" s="1"/>
  <c r="S44" i="24"/>
  <c r="S46" i="24" s="1"/>
  <c r="S44" i="17" l="1"/>
  <c r="S46" i="17" s="1"/>
  <c r="AA42" i="17"/>
  <c r="R42" i="17" s="1"/>
  <c r="AA43" i="17"/>
  <c r="R4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D36" authorId="0" shapeId="0" xr:uid="{8B2FD847-5DB9-4EA7-BF7E-E94F4DBB9AD7}">
      <text>
        <r>
          <rPr>
            <b/>
            <sz val="12"/>
            <color indexed="81"/>
            <rFont val="Calibri"/>
            <family val="2"/>
            <scheme val="minor"/>
          </rPr>
          <t>$495 for CA Applicant Systems
$545 for Non-CA Applicant Systems
$990 for Criminal Systems</t>
        </r>
      </text>
    </comment>
    <comment ref="F36" authorId="0" shapeId="0" xr:uid="{00000000-0006-0000-0000-000002000000}">
      <text>
        <r>
          <rPr>
            <b/>
            <sz val="11"/>
            <color indexed="81"/>
            <rFont val="Calibri"/>
            <family val="2"/>
            <scheme val="minor"/>
          </rPr>
          <t>Maint Based on 8%</t>
        </r>
      </text>
    </comment>
    <comment ref="D37" authorId="0" shapeId="0" xr:uid="{34BA9967-9805-41D7-821C-014307D148F3}">
      <text>
        <r>
          <rPr>
            <b/>
            <sz val="12"/>
            <color indexed="81"/>
            <rFont val="Calibri"/>
            <family val="2"/>
            <scheme val="minor"/>
          </rPr>
          <t>The Auto Calculation in Column F is designed to handle larger system quotes.  
For California systems, we need to quote it with the following:
1. Guardian Systems: $960 per year
2. Patrol or i3 Systems: $840 per year
3. Suprema G10 or IBT Kojak Systems: $720 per year.
4. Software Only: $495
5. We don’t offer 24/7 to private customers</t>
        </r>
      </text>
    </comment>
    <comment ref="F37" authorId="0" shapeId="0" xr:uid="{00000000-0006-0000-0000-000004000000}">
      <text>
        <r>
          <rPr>
            <b/>
            <sz val="12"/>
            <color indexed="81"/>
            <rFont val="Calibri"/>
            <family val="2"/>
            <scheme val="minor"/>
          </rPr>
          <t>Maint Based on 12%</t>
        </r>
      </text>
    </comment>
    <comment ref="D38" authorId="0" shapeId="0" xr:uid="{280916DC-9963-4F69-8D3B-C5CCCFE84B2B}">
      <text>
        <r>
          <rPr>
            <b/>
            <sz val="12"/>
            <color indexed="81"/>
            <rFont val="Calibri"/>
            <family val="2"/>
            <scheme val="minor"/>
          </rPr>
          <t>The Auto Calculation in Column F is designed to handle larger system quotes.  
For California systems, we need to quote it with the following:
1. Guardian Systems: $1,260 per year
2. Patro or i3 Systems: $1,140 per year
3. Suprema or IBT Kojak Systems: $1,020 per year.
4. Software Only: $495
5. We don’t offer 24/7 or On-Site to private customers</t>
        </r>
      </text>
    </comment>
    <comment ref="F38" authorId="0" shapeId="0" xr:uid="{00000000-0006-0000-0000-000006000000}">
      <text>
        <r>
          <rPr>
            <b/>
            <sz val="12"/>
            <color indexed="81"/>
            <rFont val="Calibri"/>
            <family val="2"/>
            <scheme val="minor"/>
          </rPr>
          <t>Maint based on 18%</t>
        </r>
      </text>
    </comment>
    <comment ref="D39" authorId="0" shapeId="0" xr:uid="{92FF861F-5AF0-4A40-87E4-1886C05B5D22}">
      <text>
        <r>
          <rPr>
            <b/>
            <sz val="12"/>
            <color indexed="81"/>
            <rFont val="Calibri"/>
            <family val="2"/>
            <scheme val="minor"/>
          </rPr>
          <t>The Auto Calculation in Column F is designed to handle larger system quotes.  
For California systems, we need to quote it with the following:
1. Guardian Systems: $1,595 per year
2. Patrol System: $1,345 per year
3. Suprema or IBT Kojak Systems: $1,195 per year.
4. Software Only: $495
5. We don’t offer 24/7 or On-Site to private customers</t>
        </r>
      </text>
    </comment>
    <comment ref="F39" authorId="0" shapeId="0" xr:uid="{00000000-0006-0000-0000-000008000000}">
      <text>
        <r>
          <rPr>
            <b/>
            <sz val="12"/>
            <color indexed="81"/>
            <rFont val="Calibri"/>
            <family val="2"/>
            <scheme val="minor"/>
          </rPr>
          <t>Maint based on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F36" authorId="0" shapeId="0" xr:uid="{00000000-0006-0000-0100-000001000000}">
      <text>
        <r>
          <rPr>
            <b/>
            <sz val="11"/>
            <color indexed="81"/>
            <rFont val="Calibri"/>
            <family val="2"/>
            <scheme val="minor"/>
          </rPr>
          <t>Maint Based on 8%</t>
        </r>
      </text>
    </comment>
    <comment ref="F37" authorId="0" shapeId="0" xr:uid="{00000000-0006-0000-0100-000002000000}">
      <text>
        <r>
          <rPr>
            <b/>
            <sz val="12"/>
            <color indexed="81"/>
            <rFont val="Calibri"/>
            <family val="2"/>
            <scheme val="minor"/>
          </rPr>
          <t>Maint Based on 12%</t>
        </r>
      </text>
    </comment>
    <comment ref="F38" authorId="0" shapeId="0" xr:uid="{00000000-0006-0000-0100-000003000000}">
      <text>
        <r>
          <rPr>
            <b/>
            <sz val="12"/>
            <color indexed="81"/>
            <rFont val="Calibri"/>
            <family val="2"/>
            <scheme val="minor"/>
          </rPr>
          <t>Maint based on 18%</t>
        </r>
      </text>
    </comment>
    <comment ref="F39" authorId="0" shapeId="0" xr:uid="{00000000-0006-0000-0100-000004000000}">
      <text>
        <r>
          <rPr>
            <b/>
            <sz val="12"/>
            <color indexed="81"/>
            <rFont val="Calibri"/>
            <family val="2"/>
            <scheme val="minor"/>
          </rPr>
          <t>Maint based on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I195" authorId="0" shapeId="0" xr:uid="{00000000-0006-0000-0500-000001000000}">
      <text>
        <r>
          <rPr>
            <sz val="9"/>
            <color indexed="81"/>
            <rFont val="Tahoma"/>
            <family val="2"/>
          </rPr>
          <t>We have mispriced this item with FDLE  It's below cost.  I added $3K to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E1" authorId="0" shapeId="0" xr:uid="{00000000-0006-0000-0600-000001000000}">
      <text>
        <r>
          <rPr>
            <b/>
            <sz val="8"/>
            <color indexed="81"/>
            <rFont val="Calibri"/>
            <family val="2"/>
            <scheme val="minor"/>
          </rPr>
          <t>NHW=Non-Hardware</t>
        </r>
      </text>
    </comment>
    <comment ref="G1" authorId="0" shapeId="0" xr:uid="{00000000-0006-0000-0600-000002000000}">
      <text>
        <r>
          <rPr>
            <b/>
            <sz val="8"/>
            <color indexed="81"/>
            <rFont val="Calibri"/>
            <family val="2"/>
            <scheme val="minor"/>
          </rPr>
          <t>NHW=Non-Hardware</t>
        </r>
      </text>
    </comment>
  </commentList>
</comments>
</file>

<file path=xl/sharedStrings.xml><?xml version="1.0" encoding="utf-8"?>
<sst xmlns="http://schemas.openxmlformats.org/spreadsheetml/2006/main" count="4784" uniqueCount="1958">
  <si>
    <t>Opp #</t>
  </si>
  <si>
    <t>Opportunity Short Desc.</t>
  </si>
  <si>
    <t>Start Date</t>
  </si>
  <si>
    <t>RFI/RFP/Bid#</t>
  </si>
  <si>
    <t>Customer Official Name</t>
  </si>
  <si>
    <t>Opportunity Summary</t>
  </si>
  <si>
    <t>Primary Contact Phone</t>
  </si>
  <si>
    <t>Primary Contact Name</t>
  </si>
  <si>
    <t>Primary Contact Email</t>
  </si>
  <si>
    <t>Opportunity Sponsor Name</t>
  </si>
  <si>
    <t>Opportunity Sponsor Email</t>
  </si>
  <si>
    <t>Address (Line 1)</t>
  </si>
  <si>
    <t>City, State Zip</t>
  </si>
  <si>
    <t>Finance/Contracting Officer</t>
  </si>
  <si>
    <t>Finance/Contracting Officer Email</t>
  </si>
  <si>
    <t>Sponsor's Phone</t>
  </si>
  <si>
    <t>Tech Phone</t>
  </si>
  <si>
    <t>Opportunity Type</t>
  </si>
  <si>
    <t>Stage</t>
  </si>
  <si>
    <t>Last Action</t>
  </si>
  <si>
    <t>Important Notes / Key Actions</t>
  </si>
  <si>
    <t>Next Email Lead Paragraph</t>
  </si>
  <si>
    <t>Next Follow-up</t>
  </si>
  <si>
    <t>Demo Date</t>
  </si>
  <si>
    <t>Demo Summary and Participants</t>
  </si>
  <si>
    <t>Expected Qtr.</t>
  </si>
  <si>
    <t>Est. Rev</t>
  </si>
  <si>
    <t>Confidence</t>
  </si>
  <si>
    <t>Key Success Factor</t>
  </si>
  <si>
    <t>Possible Loss Factor</t>
  </si>
  <si>
    <t>Region</t>
  </si>
  <si>
    <t>Email Campaign 1</t>
  </si>
  <si>
    <t>Email Campaign 2</t>
  </si>
  <si>
    <t>Rep Proper Name</t>
  </si>
  <si>
    <t>Sales Rep</t>
  </si>
  <si>
    <t>Sales Rep Email | Phone Number</t>
  </si>
  <si>
    <t>Rep First Name</t>
  </si>
  <si>
    <t>Order Date</t>
  </si>
  <si>
    <t>Order Processing Email</t>
  </si>
  <si>
    <t>PO Number</t>
  </si>
  <si>
    <t>Pmt Method</t>
  </si>
  <si>
    <t>Prime First Name</t>
  </si>
  <si>
    <t>Prime Formal Name</t>
  </si>
  <si>
    <t>Sales Email</t>
  </si>
  <si>
    <t>Edward's Email</t>
  </si>
  <si>
    <t>Latest Quotes</t>
  </si>
  <si>
    <t>Sample RFP</t>
  </si>
  <si>
    <t>Brochures</t>
  </si>
  <si>
    <t>Hrs to Work on</t>
  </si>
  <si>
    <t>Projection</t>
  </si>
  <si>
    <t>CA App LiveScan</t>
  </si>
  <si>
    <t>Quote Sent</t>
  </si>
  <si>
    <t>sales@biometrics4all.com</t>
  </si>
  <si>
    <t>echen@biometrics4all.com</t>
  </si>
  <si>
    <t xml:space="preserve"> </t>
  </si>
  <si>
    <t>Pricing Type</t>
  </si>
  <si>
    <t>App CA Private</t>
  </si>
  <si>
    <t xml:space="preserve">Pricing Method: </t>
  </si>
  <si>
    <t>Company / Agency</t>
  </si>
  <si>
    <t xml:space="preserve">HW Off List: </t>
  </si>
  <si>
    <t xml:space="preserve">QUOTE ACCEPTED </t>
  </si>
  <si>
    <t>Billing Contact</t>
  </si>
  <si>
    <t>Non-HW Off List:</t>
  </si>
  <si>
    <t>Contact Email | Phone</t>
  </si>
  <si>
    <t xml:space="preserve">HW Cost Plus: </t>
  </si>
  <si>
    <t>Biometrics4ALL, Inc. (U.S. FEIN: 20-2609462)</t>
  </si>
  <si>
    <t>(Sign Here):</t>
  </si>
  <si>
    <t>Bill To Address</t>
  </si>
  <si>
    <t xml:space="preserve">Non-HW Cost Plus: </t>
  </si>
  <si>
    <t>18300 Von Karman Ave, Suite 700, Irvine, CA 92612</t>
  </si>
  <si>
    <t>Phone: 714-568-9888 Option 3 (Sales)</t>
  </si>
  <si>
    <t>(Print Name):                                                 Date:</t>
  </si>
  <si>
    <t>Shipping Contact</t>
  </si>
  <si>
    <r>
      <t xml:space="preserve">Replacement? </t>
    </r>
    <r>
      <rPr>
        <sz val="11"/>
        <color rgb="FFC00000"/>
        <rFont val="Calibri"/>
        <family val="2"/>
        <scheme val="minor"/>
      </rPr>
      <t>(Enter LSID)</t>
    </r>
  </si>
  <si>
    <t>Ship Email | Phone</t>
  </si>
  <si>
    <t xml:space="preserve"> Bill To:</t>
  </si>
  <si>
    <t xml:space="preserve"> Ship To:</t>
  </si>
  <si>
    <t>Ship To Address</t>
  </si>
  <si>
    <r>
      <rPr>
        <b/>
        <sz val="8"/>
        <color rgb="FFFF0000"/>
        <rFont val="Calibri"/>
        <family val="2"/>
        <scheme val="minor"/>
      </rPr>
      <t>*** Enter "</t>
    </r>
    <r>
      <rPr>
        <sz val="8"/>
        <rFont val="Calibri"/>
        <family val="2"/>
        <scheme val="minor"/>
      </rPr>
      <t>Tax Exempt</t>
    </r>
    <r>
      <rPr>
        <b/>
        <sz val="8"/>
        <color rgb="FFFF0000"/>
        <rFont val="Calibri"/>
        <family val="2"/>
        <scheme val="minor"/>
      </rPr>
      <t>" here if the customer is a reseller</t>
    </r>
  </si>
  <si>
    <t>Sales Tax Rate</t>
  </si>
  <si>
    <t>*** Auto Calculated using the Shipping City and State</t>
  </si>
  <si>
    <t>EC</t>
  </si>
  <si>
    <t>Shipping Method</t>
  </si>
  <si>
    <t>Ground</t>
  </si>
  <si>
    <t>T&amp;C</t>
  </si>
  <si>
    <t>Date</t>
  </si>
  <si>
    <t>Estimate Number</t>
  </si>
  <si>
    <t>Representitive</t>
  </si>
  <si>
    <t>Net Terms</t>
  </si>
  <si>
    <t>Delivery</t>
  </si>
  <si>
    <t>Std. Contract (if Applicable)</t>
  </si>
  <si>
    <t>Contract Number</t>
  </si>
  <si>
    <t>Part Number</t>
  </si>
  <si>
    <t>Description</t>
  </si>
  <si>
    <t>Qty</t>
  </si>
  <si>
    <t>Price Override</t>
  </si>
  <si>
    <t>Custom Description</t>
  </si>
  <si>
    <t>Unit Price</t>
  </si>
  <si>
    <t>Extended Price</t>
  </si>
  <si>
    <t>Tax</t>
  </si>
  <si>
    <t>Sales Tax</t>
  </si>
  <si>
    <t>Taxed Disc</t>
  </si>
  <si>
    <t>No Tax Disc</t>
  </si>
  <si>
    <t>Ext T Disc</t>
  </si>
  <si>
    <t>Ext NT Disc</t>
  </si>
  <si>
    <t>B4ALL Part Num</t>
  </si>
  <si>
    <t>Hardware-Laptop-Standard with Windows Home Edition</t>
  </si>
  <si>
    <t>Standard with Windows 11</t>
  </si>
  <si>
    <t>LiveScan 4th Gen Software-Applicant CA TOT Module</t>
  </si>
  <si>
    <t>Hardware-Scanner-Crossmatch Patrol</t>
  </si>
  <si>
    <t>Must be Scanner</t>
  </si>
  <si>
    <t>Hardware-Magnetic Strip Reader</t>
  </si>
  <si>
    <t>Auto populate personal information with a swipe of a driver's license from anywhere on the screen</t>
  </si>
  <si>
    <t>LiveScan 4th Gen Software-Driver License and ID Reading software</t>
  </si>
  <si>
    <t>Services-Configuration-CA PSP Setup</t>
  </si>
  <si>
    <t>Pick ONE of the following capture methods at the time of capture (TWO DIFFERENT BUTTONS on the screen):</t>
  </si>
  <si>
    <t>Transaction Fee - Traditional FLATS and ROLLS Method (1 to 10 minutes method): $0.75 per transaction with $150 per monthly cap</t>
  </si>
  <si>
    <t>Transaction Fee - NEW FLATS ONLY Method (10 to 15 second fingerprinting): $4.00 per transaction with no cap ($2.80 per trans for 501(c)(3) organizations)</t>
  </si>
  <si>
    <t>Services-Installation and Training Session 4hrs (see Service Method for price)</t>
  </si>
  <si>
    <t>Services Method-Remote (Phone)</t>
  </si>
  <si>
    <t xml:space="preserve">To perform services shown in the line above. </t>
  </si>
  <si>
    <t>Shipping-Ground for Large Package</t>
  </si>
  <si>
    <t>Maintenance-Initial Year Warranty</t>
  </si>
  <si>
    <t>Cross Ship</t>
  </si>
  <si>
    <t>Pick one of the following 2 Maintenance options in the 12th month.  We recommend picking 2nd line if processing more than 1,200 transactions per year.</t>
  </si>
  <si>
    <t>Maintenance-9X5 Software Only Support Applicant</t>
  </si>
  <si>
    <t>Software Only coverage, per system</t>
  </si>
  <si>
    <t>Maintenance-9 X 5 (8am - 5pm, M-F) Remote with Cross Ship</t>
  </si>
  <si>
    <t>Software and Hardware Coverage, per system</t>
  </si>
  <si>
    <t>For additional assistance, please contact our sales team
Phone: (714) 568-9888, Option 2
Fax: (866) 888-8768
Email: sales@biometrics4ALL.com
Website: www.Biometrics4ALL.com</t>
  </si>
  <si>
    <t>QS: 20191222</t>
  </si>
  <si>
    <t>Sub Total:</t>
  </si>
  <si>
    <r>
      <rPr>
        <sz val="8"/>
        <color theme="1"/>
        <rFont val="Calibri"/>
        <family val="2"/>
        <scheme val="minor"/>
      </rPr>
      <t>(Prepaid</t>
    </r>
    <r>
      <rPr>
        <b/>
        <sz val="8"/>
        <color theme="1"/>
        <rFont val="Calibri"/>
        <family val="2"/>
        <scheme val="minor"/>
      </rPr>
      <t xml:space="preserve"> </t>
    </r>
    <r>
      <rPr>
        <b/>
        <sz val="10"/>
        <color theme="1"/>
        <rFont val="Calibri"/>
        <family val="2"/>
        <scheme val="minor"/>
      </rPr>
      <t>Maint.</t>
    </r>
  </si>
  <si>
    <r>
      <rPr>
        <sz val="8"/>
        <color theme="1"/>
        <rFont val="Calibri"/>
        <family val="2"/>
        <scheme val="minor"/>
      </rPr>
      <t xml:space="preserve">(subject to change) </t>
    </r>
    <r>
      <rPr>
        <b/>
        <sz val="10"/>
        <color theme="1"/>
        <rFont val="Calibri"/>
        <family val="2"/>
        <scheme val="minor"/>
      </rPr>
      <t>Sales Tax:</t>
    </r>
  </si>
  <si>
    <t>Total:</t>
  </si>
  <si>
    <t>Channel Resale</t>
  </si>
  <si>
    <t>AUTHORIZED DISTRIBUTOR QUOTE</t>
  </si>
  <si>
    <t>Address Line 2</t>
  </si>
  <si>
    <t>For additional assistance, please contact our sales team
Phone: (714) 568-9888, Option 3
Fax: (866) 888-8768
Email: sales@biometrics4ALL.com
Website: www.Biometrics4ALL.com</t>
  </si>
  <si>
    <r>
      <t xml:space="preserve">QUOTE ACCEPTED </t>
    </r>
    <r>
      <rPr>
        <b/>
        <sz val="14"/>
        <color theme="1"/>
        <rFont val="Calibri"/>
        <family val="2"/>
        <scheme val="minor"/>
      </rPr>
      <t>(or send purchase order)</t>
    </r>
  </si>
  <si>
    <t>Hardware-Scanner-Crossmatch Guardian 200</t>
  </si>
  <si>
    <t>Hardware-Scanner-IBT Kojak</t>
  </si>
  <si>
    <t>Foreign</t>
  </si>
  <si>
    <t>Prices are confidential to the designated agencies, in U.S. Dollar, valid for 120 days, and are subject to change thereafter.  Customer is responsible for all processing and delivery charges such as (but not limited to) Freight, Customs Broker Charges, Import Taxes, Duties, Sales Tax, and Wire Transfer Fees.  Order is confirmed after validating L/C and 50% down payment is received.  International Wiring Information: Bank Name:  Bank of America | SWIFT: BOFAUS6S | Account Name:  C/O Biometrics4ALL | Account Number: 2756741817 | Bank Address: 4101 Macarthur Blvd., Newport Beach, CA 92660
Delivery schedule will be provided upon order confirmation.  Biometrics4ALL Inc, reserves the right to specify/modify components/brands with ones of similar performance with notice prior to shipment.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</si>
  <si>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Private</t>
  </si>
  <si>
    <t>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</si>
  <si>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Public</t>
  </si>
  <si>
    <t>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</si>
  <si>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General: 3m
Std Elec: 2m
Warranty Sens: 1m</t>
  </si>
  <si>
    <t>Based on W"xL" (H is not considered)</t>
  </si>
  <si>
    <t>$24K/Mo Rent (8500SF), Stack 3 levels</t>
  </si>
  <si>
    <t>Bulk, Std,
Pickup,
Search</t>
  </si>
  <si>
    <t>$30/Hr | Bulk: 0min | Std:10 min | Pickup: 10 min | Search: 30 min</t>
  </si>
  <si>
    <t>Customer Product Description</t>
  </si>
  <si>
    <t>Current Parts Description (incl. SKU Numbers)</t>
  </si>
  <si>
    <t>List Price</t>
  </si>
  <si>
    <t>Net Cost</t>
  </si>
  <si>
    <t>Taxable</t>
  </si>
  <si>
    <t>Contract NY</t>
  </si>
  <si>
    <t>NY Part #</t>
  </si>
  <si>
    <t>Contract FL</t>
  </si>
  <si>
    <t>FL Part #</t>
  </si>
  <si>
    <t>Contract LA</t>
  </si>
  <si>
    <t>LA Part #</t>
  </si>
  <si>
    <t>Contract WA</t>
  </si>
  <si>
    <t>WA Part #</t>
  </si>
  <si>
    <t>Base Cost</t>
  </si>
  <si>
    <t>Shipping</t>
  </si>
  <si>
    <t>Storage Time (Month)</t>
  </si>
  <si>
    <t>Shelf Space</t>
  </si>
  <si>
    <t>Storage Cost</t>
  </si>
  <si>
    <t>Order Type</t>
  </si>
  <si>
    <t>Order Process Cost</t>
  </si>
  <si>
    <t>Notes</t>
  </si>
  <si>
    <t>Old BOM</t>
  </si>
  <si>
    <t>CMS-1,000 additional monthly transaction throughput software license</t>
  </si>
  <si>
    <t>CMS-1000Trans</t>
  </si>
  <si>
    <t>1,000 additional monthly transaction throughput license for CMS Software</t>
  </si>
  <si>
    <t>No</t>
  </si>
  <si>
    <t>Std</t>
  </si>
  <si>
    <t>CMS-10 additional LiveScan connections license software license</t>
  </si>
  <si>
    <t>CMS-10Connect</t>
  </si>
  <si>
    <t>10 additional LiveScan connections license for CMS Software</t>
  </si>
  <si>
    <t>CMS-5,000 additional transaction storage for software license. (During Initial Purchase only)</t>
  </si>
  <si>
    <t>CMS-5000Store</t>
  </si>
  <si>
    <t>5,000 additional transaction storage for CMS Software.</t>
  </si>
  <si>
    <t>CMS-Configuration-Services</t>
  </si>
  <si>
    <t>Svcs-Cfg-CMS</t>
  </si>
  <si>
    <t>Configure CMS</t>
  </si>
  <si>
    <t>CMS-Data interface with foreign systems for one way data exchange (input or output)</t>
  </si>
  <si>
    <t>CMS-Int1</t>
  </si>
  <si>
    <t>CMS data interface with foreign systems for one way data exchange (input or output)</t>
  </si>
  <si>
    <t>CMS-Data interface with foreign systems for two way data exchange (input and output)</t>
  </si>
  <si>
    <t>CMS-Int2</t>
  </si>
  <si>
    <t>CMS data interface with foreign systems for two way data exchange (input and output)</t>
  </si>
  <si>
    <t>HW - SERVER - Standard CMS</t>
  </si>
  <si>
    <t>CMS-Hardware-Base (Window Server OS Std Ed, SQL Std Ed, 1TB Mirrored HDD, 16GB RAM)</t>
  </si>
  <si>
    <t>HW-Server-Base</t>
  </si>
  <si>
    <t>Hardware SERVER CMS Base  (Window Server OS Std Ed, SQL Std Ed, 1TB Mirrored HDD, 16GB RAM)</t>
  </si>
  <si>
    <t>Yes</t>
  </si>
  <si>
    <t>HW - SERVER - Enterprise CMS</t>
  </si>
  <si>
    <t>CMS-Hardware-Enterprise (Window Server OS Std Ed, SQL Std Ed, RAID 5 with 4TB HDD, 128GB RAM)</t>
  </si>
  <si>
    <t>HW-Server-Ent</t>
  </si>
  <si>
    <t>Hardware SERVER CMS Enterprise (Window Server OS Std Ed, SQL Std Ed, RAID 5 with 4TB HDD, 128GB RAM)</t>
  </si>
  <si>
    <t>HW - SERVER - Performance CMS</t>
  </si>
  <si>
    <t>CMS-Hardware-Performance  (Window Server OS Std Ed, SQL Std Ed, RAID 5 with 2TB HDD, 64GB RAM)</t>
  </si>
  <si>
    <t>HW-Server-Perf</t>
  </si>
  <si>
    <t>Hardware SERVER CMS Performance  (Window Server OS Std Ed, SQL Std Ed, RAID 5 with 2TB HDD, 64GB RAM)</t>
  </si>
  <si>
    <t>HW - SERVER - General</t>
  </si>
  <si>
    <t>CMS-Hardware-Standard (Window Server OS Std Ed, SQL Std Ed, RAID 5 with 1TB HDD, 32GB RAM)</t>
  </si>
  <si>
    <t>HW-Server-Std</t>
  </si>
  <si>
    <t>Hardware SERVER CMS Standard (Window Server OS Std Ed, SQL Std Ed, RAID 5 with 1TB HDD, 32GB RAM)</t>
  </si>
  <si>
    <t>CMS-Printing Software License for Standard Print Formats.</t>
  </si>
  <si>
    <t>CMS-Print</t>
  </si>
  <si>
    <t>CMS Printer Software License for Standard Print Formats.</t>
  </si>
  <si>
    <t>SVCS - NYSP CMS Server Setup</t>
  </si>
  <si>
    <t>CMS-Software-Base (up to 15 Clients or 15,000 Transactions Per Year)</t>
  </si>
  <si>
    <t>CMS-Base</t>
  </si>
  <si>
    <t>CMS-Base (up to 15 LiveScans or 15,000 Transactions Per Year)</t>
  </si>
  <si>
    <t>CMS-Software-DoubleTake Replication Software (must purchase in packs of 2)</t>
  </si>
  <si>
    <t>CMS-DoubleTake</t>
  </si>
  <si>
    <t>CMS-Software-Enterprise (over 120 Clients or over 120,000 Transactions Per Year)</t>
  </si>
  <si>
    <t>CMS-Enterprise</t>
  </si>
  <si>
    <t>CMS-Enterprise (over 150 LiveScans or over 150,000 Transactions Per Year)</t>
  </si>
  <si>
    <t>CMS-Software-High Performance (up to 120 Clients or 120,000 Transactions Per Year)</t>
  </si>
  <si>
    <t>CMS-High Performance</t>
  </si>
  <si>
    <t>CMS-Performance (up to 150 LiveScans or 150,000 Transactions Per Year)</t>
  </si>
  <si>
    <t>CMS-Software-Performance (up to 60 Clients or 60,000 Transactions Per Year)</t>
  </si>
  <si>
    <t>CMS-Performance</t>
  </si>
  <si>
    <t>CMS-Standard (up to 75 LiveScans or 75,000 Transactions Per Year)</t>
  </si>
  <si>
    <t>CMS-Software-Standard (up to 30 Clients or 30,000 Transactions Per Year)</t>
  </si>
  <si>
    <t>CMS-Standard</t>
  </si>
  <si>
    <t>SAM Profit Sharing Refundable Deposit</t>
  </si>
  <si>
    <t>Deposit</t>
  </si>
  <si>
    <t>Discount-One Time-Off of non-taxable Items</t>
  </si>
  <si>
    <t>Discount-Non Taxable</t>
  </si>
  <si>
    <t>Special one time discount off non-taxable items</t>
  </si>
  <si>
    <t>Discount-One Time-Off of taxable Items</t>
  </si>
  <si>
    <t>Discount-Taxable</t>
  </si>
  <si>
    <t>Special one time discount off taxable items</t>
  </si>
  <si>
    <t>Hardware-1D Barcode Reader</t>
  </si>
  <si>
    <t>HW-Barcode1</t>
  </si>
  <si>
    <t>Hardware 1D Barcode Reader</t>
  </si>
  <si>
    <t>HW - OTHER - 1D Barcode Reader</t>
  </si>
  <si>
    <t>Hardware-2D Barcode Reader</t>
  </si>
  <si>
    <t>HW-Barcode2</t>
  </si>
  <si>
    <t>Hardware 2D Barcode Reader</t>
  </si>
  <si>
    <t>HW - OTHER - 2D Barcode Reader</t>
  </si>
  <si>
    <t>Hardware-Basic Power Inverter Transformer</t>
  </si>
  <si>
    <t>HW-PowerTrans</t>
  </si>
  <si>
    <t>Hardware Basic Power Inverter Transformer</t>
  </si>
  <si>
    <t>HW - OTHER - Power Transformer</t>
  </si>
  <si>
    <t>Hardware-Battery (4)</t>
  </si>
  <si>
    <t>HW-BatteryAA4</t>
  </si>
  <si>
    <t>Hardware Battery (4)</t>
  </si>
  <si>
    <t>HW - POWER - Rechargeable Batteries</t>
  </si>
  <si>
    <t>Hardware-Battery Charger</t>
  </si>
  <si>
    <t>HW-BatteryChrg</t>
  </si>
  <si>
    <t>Hardware Battery Charger</t>
  </si>
  <si>
    <t>HW - POWER - Charger and 4 Batteries</t>
  </si>
  <si>
    <t>Hardware-Battery Charger and 4 Batteries</t>
  </si>
  <si>
    <t>HW-BatteryAA4Chrg</t>
  </si>
  <si>
    <t>Hardware Battery Charger and 4 Batteries</t>
  </si>
  <si>
    <t>HW - POWER - Battery Charger</t>
  </si>
  <si>
    <t>Hardware-Battery for Laptop</t>
  </si>
  <si>
    <t>HW-BatteryLT</t>
  </si>
  <si>
    <t>Hardware Battery for Laptop</t>
  </si>
  <si>
    <t>HW - POWER - Laptop Battery</t>
  </si>
  <si>
    <t>Hardware-Cabinet-Electric Height Adjustable Cabinet/Kiosk</t>
  </si>
  <si>
    <t>HW-Cab</t>
  </si>
  <si>
    <t>Hardware Cabinet Electric Height Adjustable Cabinet/Kiosk</t>
  </si>
  <si>
    <t>HW - CABINET - Height Adjustable Kiosk</t>
  </si>
  <si>
    <t>Hardware-Cabinet-Parts-Camera Enclosure for Camera and Ring Flash</t>
  </si>
  <si>
    <t>HW-Cab-CamBox</t>
  </si>
  <si>
    <t>Hardware Cabinet Parts Camera Enclosure for Camera and Ring Flash</t>
  </si>
  <si>
    <t>HW - CABINET - Camera Enclosure</t>
  </si>
  <si>
    <t>Hardware-Cabinet-Parts-Power Supply Controller (110V)</t>
  </si>
  <si>
    <t>HW-Cab-PS110V</t>
  </si>
  <si>
    <t>Hardware Cabinet Parts Power Supply Controller (110V)</t>
  </si>
  <si>
    <t>HW - CABINET - 110V Power Supply</t>
  </si>
  <si>
    <t>Hardware-Cabinet-Parts-Power Supply Controller (220V)</t>
  </si>
  <si>
    <t>HW-Cab-PS220V</t>
  </si>
  <si>
    <t>Hardware Cabinet Parts Power Supply Controller (220V)</t>
  </si>
  <si>
    <t>HW - CABINET - 220V Power Supply</t>
  </si>
  <si>
    <t>Hardware-Cable-Ethernet Cable (10ft)</t>
  </si>
  <si>
    <t>HW-Cable-Cat5L</t>
  </si>
  <si>
    <t>Hardware Cable Ethernet Cable (10ft)</t>
  </si>
  <si>
    <t>Bulk</t>
  </si>
  <si>
    <t>HW - CABLE - Extra Long Ethernet</t>
  </si>
  <si>
    <t>Hardware-Cable-Ethernet Cable (5-6ft)</t>
  </si>
  <si>
    <t>HW-Cable-Cat5S</t>
  </si>
  <si>
    <t>Hardware Cable Ethernet Cable (5 6ft)</t>
  </si>
  <si>
    <t>HW - CABLE - Standard Ethernet</t>
  </si>
  <si>
    <t>Hardware-Cable-Firewire</t>
  </si>
  <si>
    <t>HW-Cable-FireWire</t>
  </si>
  <si>
    <t>Hardware Cable Firewire</t>
  </si>
  <si>
    <t>HW - SCANNER - CABLE - Firewire</t>
  </si>
  <si>
    <t>Hardware-Cable-Monitor Cable (e.g. HDMI, DVI, VGA, etc.)</t>
  </si>
  <si>
    <t>HW-Cable-Monitor</t>
  </si>
  <si>
    <t>Hardware Cable Monitor Cable (e.g. HDMI, DVI, VGA, etc.)</t>
  </si>
  <si>
    <t>HW - MONITOR - CABLE - VGA / DVI / HDMI</t>
  </si>
  <si>
    <t>Hardware-Cable-USB A to B connector  (10ft)</t>
  </si>
  <si>
    <t>HW-Cable-USBAB10</t>
  </si>
  <si>
    <t>Hardware Cable USB A to B connector  (10ft)</t>
  </si>
  <si>
    <t>HW - CABLE - USB</t>
  </si>
  <si>
    <t>Hardware-Cable-USB A to B connector  (5-6ft)</t>
  </si>
  <si>
    <t>HW-Cable-USBAB6</t>
  </si>
  <si>
    <t>Hardware Cable USB A to B connector  (5-6ft)</t>
  </si>
  <si>
    <t>HW - SCANNER - CABLE - USB</t>
  </si>
  <si>
    <t>Hardware-Cable-USB A to Mini connector</t>
  </si>
  <si>
    <t>HW-Cable-USBAM</t>
  </si>
  <si>
    <t>Hardware Cable USB A to Mini connector</t>
  </si>
  <si>
    <t>HW-USB-AMini</t>
  </si>
  <si>
    <t>Hardware-Camera-Camera Power Supply</t>
  </si>
  <si>
    <t>HW-CamDSLRPower</t>
  </si>
  <si>
    <t>Hardware Camera Camera Power Supply</t>
  </si>
  <si>
    <t>HW - CAMERA - POWER - Canon EOS</t>
  </si>
  <si>
    <t>Hardware-Camera-Digital SLR Camera</t>
  </si>
  <si>
    <t>HW-CamDSLR</t>
  </si>
  <si>
    <t>Hardware Camera Digital SLR Camera</t>
  </si>
  <si>
    <t>Search</t>
  </si>
  <si>
    <t>HW - CAMERA - Canon EOS</t>
  </si>
  <si>
    <t>Hardware-Camera-Gray Backdrop</t>
  </si>
  <si>
    <t>HW-Backdrop</t>
  </si>
  <si>
    <t>Hardware Camera Gray Backdrop</t>
  </si>
  <si>
    <t>HW - CAMERA - 18% Gray Backdrop</t>
  </si>
  <si>
    <t>Hardware-Camera-Hot Shoe</t>
  </si>
  <si>
    <t>HW-CamHotShoe</t>
  </si>
  <si>
    <t>Hardware Camera Hot Shoe</t>
  </si>
  <si>
    <t>HW - CAMERA - Hot Shoe</t>
  </si>
  <si>
    <t>Hardware-Camera-Flash Dispersing Filter</t>
  </si>
  <si>
    <t>HW-CamFlashFilter</t>
  </si>
  <si>
    <t>Hardware Camera Flash Dispersing Filter</t>
  </si>
  <si>
    <t>HW - CAMERA - On-Camera Ring Flash</t>
  </si>
  <si>
    <t>Hardware-Camera-Package (DSLR Camera, Power Adapter, Tripod, Flash Dispersing Filter)</t>
  </si>
  <si>
    <t>HW-CamPackage</t>
  </si>
  <si>
    <t>Hardware-Camera-Package Cabinet (DSLR Camera, Power Adapter, High Power Ring Flash, Camera Enclosure )</t>
  </si>
  <si>
    <t>HW-CamPackageC</t>
  </si>
  <si>
    <t>Hardware-Camera-Package Cabinet (DSLR Camera, Power Adapter, High Power Ring Flash)</t>
  </si>
  <si>
    <t>Hardware-Camera-Professional High Power Ring Flash</t>
  </si>
  <si>
    <t>HW-CamFlashRing</t>
  </si>
  <si>
    <t>Hardware Camera Professional High Power Ring Flash</t>
  </si>
  <si>
    <t>HW - CAMERA - Large Ring Flash</t>
  </si>
  <si>
    <t>Hardware-Camera-Tripod</t>
  </si>
  <si>
    <t>HW-CamTripod</t>
  </si>
  <si>
    <t>Hardware Camera Tripod</t>
  </si>
  <si>
    <t>HW - CAMERA - Tripod</t>
  </si>
  <si>
    <t>Hardware-Camera-Webcam Package (mini tripod, ring light, configuration and integration)</t>
  </si>
  <si>
    <t>HW-CamWebcam</t>
  </si>
  <si>
    <t>Hardware Camera Webcam Package (mini tripod, ring light, configuration and integration)</t>
  </si>
  <si>
    <t>HW - CAMERA - Web Cam</t>
  </si>
  <si>
    <t>Hardware-Camera-Webcam-4K-Package (mini tripod, ring light, configuration and integration)</t>
  </si>
  <si>
    <t>HW-CamWebcam-4K</t>
  </si>
  <si>
    <t>Hardware Camera 4K Webcam Package (mini tripod, ring light, configuration and integration)</t>
  </si>
  <si>
    <t>Hardware-Camera-Zoom Lens</t>
  </si>
  <si>
    <t>HW-CamLensExt</t>
  </si>
  <si>
    <t>Hardware Camera Zoom Lens</t>
  </si>
  <si>
    <t>HW - CAMERA - Extended Zoom Lens</t>
  </si>
  <si>
    <t>Hardware-Case-Backpack for tenprint scanner and laptop</t>
  </si>
  <si>
    <t>HW-Case-Backpack</t>
  </si>
  <si>
    <t>Hardware Case Backpack for tenprint scanner and laptop</t>
  </si>
  <si>
    <t>HW - CASE - Backpack</t>
  </si>
  <si>
    <t>Hardware-Case-Rugged Case for Palmprint Portable System and operation inside the case including mounting and battery</t>
  </si>
  <si>
    <t>HW-Case-InCase</t>
  </si>
  <si>
    <t>Hardware Case Rugged Case for Palmprint Portable System and operation inside the case including mounting and battery</t>
  </si>
  <si>
    <t>SKB 1SKB19-RSF4U, Including tray</t>
  </si>
  <si>
    <t>HW - CASE - Palmprint "In-Case Operation"</t>
  </si>
  <si>
    <t>Hardware-Case-Rugged Roller Case for Tenprint Portable System</t>
  </si>
  <si>
    <t>HW-Case-TP</t>
  </si>
  <si>
    <t>Hardware Case Rugged Roller Case for Tenprint Portable System</t>
  </si>
  <si>
    <t>Pelican 1560, Victory Foams - Ordered in set of 10.</t>
  </si>
  <si>
    <t>HW - CASE - Tenprint Roller Case</t>
  </si>
  <si>
    <t>Hardware-Case-Rugged Roller Case for Transporting Palmprint Portable System</t>
  </si>
  <si>
    <t>HW-Case-PP</t>
  </si>
  <si>
    <t>Hardware Case Rugged Roller Case for Transporting Palmprint Portable System</t>
  </si>
  <si>
    <r>
      <t xml:space="preserve">SKB 3R1919-14B-EW, </t>
    </r>
    <r>
      <rPr>
        <sz val="11"/>
        <color rgb="FFFF0000"/>
        <rFont val="Calibri"/>
        <family val="2"/>
        <scheme val="minor"/>
      </rPr>
      <t>NO</t>
    </r>
    <r>
      <rPr>
        <sz val="11"/>
        <color theme="1"/>
        <rFont val="Calibri"/>
        <family val="2"/>
        <scheme val="minor"/>
      </rPr>
      <t xml:space="preserve"> Foam cost</t>
    </r>
  </si>
  <si>
    <t>HW - CASE - Palmprint Roller Case</t>
  </si>
  <si>
    <t>Hardware-Case-Rugged Small Hand Carry Case</t>
  </si>
  <si>
    <t>HW-Case-Small</t>
  </si>
  <si>
    <t>Hardware Case Rugged Small Hand Carry Case</t>
  </si>
  <si>
    <t>Small Case Pelican 1470</t>
  </si>
  <si>
    <t>HW - CASE - Others</t>
  </si>
  <si>
    <t>Hardware-Computer RAM 4GB for Desktop</t>
  </si>
  <si>
    <t>HW-RAM-4GBDT</t>
  </si>
  <si>
    <t>Hardware Computer RAM 4GB for Desktop</t>
  </si>
  <si>
    <t>HW - OTHER - Memory</t>
  </si>
  <si>
    <t>Hardware-Computer RAM 4GB for Laptop</t>
  </si>
  <si>
    <t>HW-RAM-4GBLT</t>
  </si>
  <si>
    <t>Hardware Computer RAM 4GB for Laptop</t>
  </si>
  <si>
    <t>Hardware-Crossmatch Silicon Pad 5 Pack (Guardian 200)</t>
  </si>
  <si>
    <t>HW-CMT-Silicon-G</t>
  </si>
  <si>
    <t>Hardware Crossmatch Silicon Pad 5 Pack Guardian 200(900424-001)</t>
  </si>
  <si>
    <t>HW - OTHER - Crossmatch Silicon Pad</t>
  </si>
  <si>
    <t>Hardware-Crossmatch Silicon Pad 5 Pack (LS500 or 1000)</t>
  </si>
  <si>
    <t>HW-CMT-Silicon-PP</t>
  </si>
  <si>
    <t>Hardware Crossmatch Silicon Pad 5 Pack LS500|1000 (900280)</t>
  </si>
  <si>
    <t>Hardware-Crossmatch Silicon Pad 5 Pack (Patrol)</t>
  </si>
  <si>
    <t>HW-CMT-Silicon</t>
  </si>
  <si>
    <t>Hardware Crossmatch Silicon Pad 5 Pack Patrol (900242)</t>
  </si>
  <si>
    <t>Hardware-Crossmatch Silicon Pad 20 Pack (Guardian)</t>
  </si>
  <si>
    <t>HW-CMT-Silicon-20</t>
  </si>
  <si>
    <t>Hardware Crossmatch Silicon Pad 20 Pack Guardian (900424-002)</t>
  </si>
  <si>
    <t>Hardware-Crossmatch Silicon Pad 20 Pack (LS500 or 1000)</t>
  </si>
  <si>
    <t>HW-CMT-Silicon-PP-20</t>
  </si>
  <si>
    <t>Hardware Crossmatch Silicon Pad 20 Pack LS500|1000 (900281)</t>
  </si>
  <si>
    <t>Hardware-Desktop-High Performance with Windows Home (No Monitor)</t>
  </si>
  <si>
    <t>HW-DT-HP-Home</t>
  </si>
  <si>
    <t>Hardware Desktop High Performance with Windows Home (No Monitor)</t>
  </si>
  <si>
    <t>HW - DESKTOP - High Performance Home Edition</t>
  </si>
  <si>
    <t>Hardware-Desktop-High Performance with Windows Home (with 20-22" Monitor)</t>
  </si>
  <si>
    <t>HW-DT-HP-Mon-Home</t>
  </si>
  <si>
    <t>Hardware Desktop High Performance with Windows Home (with 20-22" Monitor)</t>
  </si>
  <si>
    <t>Hardware-Desktop-High Performance with Windows Pro (No Monitor)</t>
  </si>
  <si>
    <t>HW-DT-HP-Pro</t>
  </si>
  <si>
    <t>Hardware Desktop HighPerformance with Windows Pro (No Monitor)</t>
  </si>
  <si>
    <t>HW - DESKTOP - HighPerformance Pro Edition</t>
  </si>
  <si>
    <t>Hardware-Desktop-High Performance with Windows Pro (with 20-22" Monitor)</t>
  </si>
  <si>
    <t>HW-DT-HP-Mon-Pro</t>
  </si>
  <si>
    <t>Hardware Desktop HighPerformance with Windows Pro (with 20-22" Monitor)</t>
  </si>
  <si>
    <t>Hardware-Desktop-Performance with Windows Home (No Monitor)</t>
  </si>
  <si>
    <t>HW-DT-P-Home</t>
  </si>
  <si>
    <t>Hardware Desktop Performance with Windows Home (No Monitor)</t>
  </si>
  <si>
    <t>HW - DESKTOP - Performance Home Edition</t>
  </si>
  <si>
    <t>Hardware-Desktop-Performance with Windows Home (with 20-22" Monitor)</t>
  </si>
  <si>
    <t>HW-DT-P-Mon-Home</t>
  </si>
  <si>
    <t>Hardware Desktop Performance with Windows Home (with 20-22" Monitor)</t>
  </si>
  <si>
    <t>Hardware-Desktop-Performance with Windows Pro (No Monitor)</t>
  </si>
  <si>
    <t>HW-DT-P-Pro</t>
  </si>
  <si>
    <t>Hardware-Desktop-Performance with Windows Pro (with 20-22" Monitor)</t>
  </si>
  <si>
    <t>HW-DT-P-Mon-Pro</t>
  </si>
  <si>
    <t>Hardware Desktop Performance with Windows Pro (with 20-22" Monitor)</t>
  </si>
  <si>
    <t>680-48-00-035640 (line 10)</t>
  </si>
  <si>
    <t>HW - DESKTOP - Performance Pro Edition</t>
  </si>
  <si>
    <t>Hardware-Desktop-Standard with Windows Home (No Monitor)</t>
  </si>
  <si>
    <t>HW-DT-Std-Home</t>
  </si>
  <si>
    <t>Hardware Desktop Standard with Windows Home (No Monitor)</t>
  </si>
  <si>
    <t>HW - DESKTOP - Standard Home Edition</t>
  </si>
  <si>
    <t>Hardware-Desktop-Standard with Windows Home (with 20-22" Monitor)</t>
  </si>
  <si>
    <t>HW-DT-Std-Mon-Home</t>
  </si>
  <si>
    <t>Hardware Desktop Standard with Windows Home (with 20-22" Monitor)</t>
  </si>
  <si>
    <t>Hardware-Desktop-Standard with Windows Pro (No Monitor)</t>
  </si>
  <si>
    <t>HW-DT-Std-Pro</t>
  </si>
  <si>
    <t>Hardware Desktop Standard with Windows Pro (No Monitor)</t>
  </si>
  <si>
    <t>HW - DESKTOP - Standard Pro Edition</t>
  </si>
  <si>
    <t>Hardware-Desktop-Standard with Windows Pro (with 20-22" Monitor)</t>
  </si>
  <si>
    <t>HW-DT-Std-Mon-Pro</t>
  </si>
  <si>
    <t>Hardware Desktop Standard with Windows Pro (with 20-22" Monitor)</t>
  </si>
  <si>
    <t>Hardware-Electronic Signature Pad</t>
  </si>
  <si>
    <t>HW-SignPad</t>
  </si>
  <si>
    <t>Hardware Electronic Signature Pad</t>
  </si>
  <si>
    <t>HW - OTHER - Electronic Signature Pad</t>
  </si>
  <si>
    <t>Hardware-Epson V600 Flatbed Scanner</t>
  </si>
  <si>
    <t>HW-Flatbed-V600</t>
  </si>
  <si>
    <t>Hardware Epson V600 Flatbed Scanner</t>
  </si>
  <si>
    <t>HW - OTHER - Epson Flatbed Scanner</t>
  </si>
  <si>
    <t>Hardware-Epson V800 Flatbed Scanner</t>
  </si>
  <si>
    <t>HW-Flatbed-V800</t>
  </si>
  <si>
    <t>Hardware Epson V800 Flatbed Scanner</t>
  </si>
  <si>
    <t>Hardware-Ethernet PCI Card for Desktop</t>
  </si>
  <si>
    <t>HW-Ether-DT</t>
  </si>
  <si>
    <t>Hardware Ethernet PCI Card for Desktop</t>
  </si>
  <si>
    <t>HW - OTHER - Ethernet Adapter</t>
  </si>
  <si>
    <t>Hardware-Ethernet PCI Card for Servers</t>
  </si>
  <si>
    <t>HW-Ether-Svr</t>
  </si>
  <si>
    <t>Hardware Ethernet PCI Card for Servers</t>
  </si>
  <si>
    <t>HW - OTHER - Ethernet Adapter (Server)</t>
  </si>
  <si>
    <t>Hardware-Firewire Card (Custom Quote)</t>
  </si>
  <si>
    <t>HW-FW-DT</t>
  </si>
  <si>
    <t>Hardware Firewire Card for Desktops</t>
  </si>
  <si>
    <t>HW - OTHER - Firewire Card (PCI)</t>
  </si>
  <si>
    <t>Hardware-Foot Pedal with USB Connector</t>
  </si>
  <si>
    <t>HW-FootPedal</t>
  </si>
  <si>
    <t>Hardware Foot Pedal with USB Connector</t>
  </si>
  <si>
    <t>HW - OTHER - Foot Pedal (Small)</t>
  </si>
  <si>
    <t>Hardware-Hard Drive 500+GB for Desktop</t>
  </si>
  <si>
    <t>HW-HD-DT</t>
  </si>
  <si>
    <t>Hardware Hard Drive 500+GB for Desktop</t>
  </si>
  <si>
    <t>HW - OTHER - Hard Drive</t>
  </si>
  <si>
    <t>Hardware-Hard Drive 500+GB for Laptop</t>
  </si>
  <si>
    <t>HW-HD-LT</t>
  </si>
  <si>
    <t>Hardware Hard Drive 500+GB for Laptop</t>
  </si>
  <si>
    <t xml:space="preserve">Hardware-Hard Drive 200+GB Solid State (SSD) </t>
  </si>
  <si>
    <t>HW-HD-SSD200</t>
  </si>
  <si>
    <t>Hardware-iPhone</t>
  </si>
  <si>
    <t>HW-Mobile-iPhone</t>
  </si>
  <si>
    <t>Hardware Laptop Standard with Windows Pro Edition</t>
  </si>
  <si>
    <t>HW - LAPTOP - Standard Pro Edition</t>
  </si>
  <si>
    <t>Hardware-Laptop-High Performance with Windows Home Edition</t>
  </si>
  <si>
    <t>HW-LT-HP-Home</t>
  </si>
  <si>
    <t>Hardware Laptop High Performance with Windows Home Edition</t>
  </si>
  <si>
    <t>HW - LAPTOP - High Performance Home Edition</t>
  </si>
  <si>
    <t>Hardware-Laptop-High Performance with Windows Pro Edition</t>
  </si>
  <si>
    <t>HW-LT-HP-Pro</t>
  </si>
  <si>
    <t>Hardware Laptop High Performance with Windows Pro Edition</t>
  </si>
  <si>
    <t>HW - LAPTOP - High Performance Pro Edition</t>
  </si>
  <si>
    <t>Hardware-Laptop-Parts-Power Supply</t>
  </si>
  <si>
    <t>HW-LT-Power</t>
  </si>
  <si>
    <t>Hardware Laptop Parts Power Supply</t>
  </si>
  <si>
    <t>HW - LAPTOP - POWER</t>
  </si>
  <si>
    <t>Hardware-Laptop-Parts-Security Lock</t>
  </si>
  <si>
    <t>HW-LT-SecurLock</t>
  </si>
  <si>
    <t>Hardware Laptop Parts Security Lock</t>
  </si>
  <si>
    <t>HW - LAPTOP - Security Lock</t>
  </si>
  <si>
    <t>Hardware-Laptop-Performance with Windows Home Edition</t>
  </si>
  <si>
    <t>HW-LT-P-Home</t>
  </si>
  <si>
    <t>Hardware Laptop Performance with Windows Home Edition</t>
  </si>
  <si>
    <t>HW - LAPTOP - Performance Home Edition</t>
  </si>
  <si>
    <t>Hardware-Laptop-Performance with Windows Pro Edition</t>
  </si>
  <si>
    <t>HW-LT-P-Pro</t>
  </si>
  <si>
    <t>Hardware Laptop Performance with Windows Pro Edition</t>
  </si>
  <si>
    <t>680-48-00-046916 (line 11)</t>
  </si>
  <si>
    <t>HW - LAPTOP - Performance Pro Edition</t>
  </si>
  <si>
    <t>Hardware-Laptop-Rugged High Performance with Windows Pro Edition</t>
  </si>
  <si>
    <t>HW-LT-RHP-Home</t>
  </si>
  <si>
    <t>Hardware Laptop Rugged High Performance with Windows Pro Edition</t>
  </si>
  <si>
    <t>HW - LAPTOP - Rugged for Palmprint Pro Edition</t>
  </si>
  <si>
    <t>Hardware-Laptop-Rugged Standard with Windows Pro Edition</t>
  </si>
  <si>
    <t>HW-LT-RStd-Pro</t>
  </si>
  <si>
    <t>Hardware Laptop Rugged Standard with Windows Pro Edition</t>
  </si>
  <si>
    <t>HW - LAPTOP - Rugged for Tenprint Pro Edition</t>
  </si>
  <si>
    <t>HW-LT-Std-Home</t>
  </si>
  <si>
    <t>Hardware Laptop Standard with Windows Home Edition</t>
  </si>
  <si>
    <t>HW - LAPTOP - Standard Home Edition</t>
  </si>
  <si>
    <t>Hardware-Laptop-Standard with Windows Pro Edition</t>
  </si>
  <si>
    <t>HW-LT-Std-Pro</t>
  </si>
  <si>
    <t>HW-Magtrip</t>
  </si>
  <si>
    <t>Hardware Magnetic Strip Reader</t>
  </si>
  <si>
    <t xml:space="preserve">680-48-00-035641 </t>
  </si>
  <si>
    <t>HW - OTHER - Magnetic Strip Reader</t>
  </si>
  <si>
    <t>Hardware-Monitor-23" or larger depending on stock at the time of delivery</t>
  </si>
  <si>
    <t>HW-Monitor23</t>
  </si>
  <si>
    <t>Hardware Monitor 23" or larger depending on stock at the time of delivery</t>
  </si>
  <si>
    <t>HW - MONITOR - 23" and up</t>
  </si>
  <si>
    <t>Hardware-Monitor-Between 20-22" depending on stock at the time of delivery</t>
  </si>
  <si>
    <t>HW-Monitor20</t>
  </si>
  <si>
    <t>Hardware Monitor Between 20 22" depending on stock at the time of delivery</t>
  </si>
  <si>
    <t>HW - MONITOR - 20"-22"</t>
  </si>
  <si>
    <t>Hardware-Monitor-Touch Screen-Size 23" or larger depending on stock at the time of delivery</t>
  </si>
  <si>
    <t>HW-Monitor23T</t>
  </si>
  <si>
    <t>Hardware Monitor Touch Screen Size 23" or larger depending on stock at the time of delivery</t>
  </si>
  <si>
    <t>HW - MONITOR - Touch Screen 24" and up</t>
  </si>
  <si>
    <t>Hardware-Monitor-Touch Screen-Size between 20"-22" depending on stock at the time of delivery</t>
  </si>
  <si>
    <t>HW-Monitor20T</t>
  </si>
  <si>
    <t>Hardware Monitor Touch Screen Size between 20" 22" depending on stock at the time of delivery</t>
  </si>
  <si>
    <t>HW - MONITOR - Touch Screen</t>
  </si>
  <si>
    <t>Hardware-Power Supply for Laptops</t>
  </si>
  <si>
    <t>HW-PowerLaptop</t>
  </si>
  <si>
    <t>Hardware Power Supply for Laptops</t>
  </si>
  <si>
    <t>HW - POWER - PC Power Cord</t>
  </si>
  <si>
    <t>Hardware-Printer-Duplex (Requires High Performance Computer and 16GB RAM)</t>
  </si>
  <si>
    <t>HW-PrinterDuplex</t>
  </si>
  <si>
    <t>Hardware Printer Duplex (Basic) (Requires High Performance Computer and 16GB RAM)</t>
  </si>
  <si>
    <t>HW - PRINTER - Duplex</t>
  </si>
  <si>
    <t>Hardware-Printer-Duplex (Heavy) (Requires High Performance Computer and 16GB RAM)</t>
  </si>
  <si>
    <t>HW-PrinterDuplexHD</t>
  </si>
  <si>
    <t>Hardware Printer Duplex (Heavy Duty) (Requires High Performance Computer and 16GB RAM)</t>
  </si>
  <si>
    <t>Hardware-Printer-Simplex (Basic) (Requires  Performance Computer and 12GB RAM)</t>
  </si>
  <si>
    <t>HW-PrinterSimplex</t>
  </si>
  <si>
    <t>Hardware Printer Simplex (Basic) (Requires Performance Computer and 12GB RAM)</t>
  </si>
  <si>
    <t>HW - PRINTER - Simplex</t>
  </si>
  <si>
    <t>Hardware-Printer-Simplex (Heavy Duty) (Requires  Performance Computer and 12GB RAM)</t>
  </si>
  <si>
    <t>HW-PrinterSimplexHD</t>
  </si>
  <si>
    <t>Hardware Printer Simplex (Heavy Duty)</t>
  </si>
  <si>
    <t>HW - PRINTER - High Volume Duplex</t>
  </si>
  <si>
    <t>Hardware-Scanner-Crossmatch 1000 (USB Connector)</t>
  </si>
  <si>
    <t>HW-Scan-1000</t>
  </si>
  <si>
    <t>Hardware Scanner Crossmatch 1000 (920190-00US)</t>
  </si>
  <si>
    <t>Hardware-Scanner-Crossmatch 500 (USB Connector)</t>
  </si>
  <si>
    <t>HW-Scan-500</t>
  </si>
  <si>
    <t>Hardware Scanner Crossmatch 500 (920189-00US)</t>
  </si>
  <si>
    <t>HW-Scan-200</t>
  </si>
  <si>
    <t>Hardware Scanner Crossmatch Guardian 200 (920191-00)</t>
  </si>
  <si>
    <t>680-48-00-046916 (Line 12 with 1 or 2)</t>
  </si>
  <si>
    <t>HW - SCANNER - Crossmatch Guardian MD</t>
  </si>
  <si>
    <t>Hardware-Scanner-Crossmatch Guardian 200 with Silicon Pad</t>
  </si>
  <si>
    <t>HW-Scan-200-Pad</t>
  </si>
  <si>
    <t>Hardware Scanner Crossmatch Guardian 200 with Pad (920191-01)</t>
  </si>
  <si>
    <t>Hardware-Scanner-Crossmatch Guardian Module</t>
  </si>
  <si>
    <t>HW-Scan-Module</t>
  </si>
  <si>
    <t>Hardware Scanner Crossmatch Guardian Module (920185-004)</t>
  </si>
  <si>
    <t>HW - SCANNER - Crossmatch Guardian Module</t>
  </si>
  <si>
    <t>HW-Scan-Patrol</t>
  </si>
  <si>
    <t>Hardware Scanner Crossmatch Patrol (920162-003)</t>
  </si>
  <si>
    <t>HW - SCANNER - Crossmatch Patrol</t>
  </si>
  <si>
    <t>Hardware-Scanner-Crossmatch Patrol (Pad)</t>
  </si>
  <si>
    <t>HW-Scan-Patrol-Sili</t>
  </si>
  <si>
    <t>Hardware Scanner Crossmatch Patrol (TAA+Pad) (920162-004)</t>
  </si>
  <si>
    <t>Hardware-Scanner-Crossmatch-Power Supply</t>
  </si>
  <si>
    <t>HW-Scan-CMTPower</t>
  </si>
  <si>
    <t>Hardware Scanner Crossmatch Power Supply</t>
  </si>
  <si>
    <t>HW - SCANNER - POWER</t>
  </si>
  <si>
    <t>HW-Scan-Kojak</t>
  </si>
  <si>
    <t>Hardware Scanner IBT Kojak Tenprint</t>
  </si>
  <si>
    <t>680-48-00-035640 (line 9)</t>
  </si>
  <si>
    <t>Hardware-Scanner-IBT Watson</t>
  </si>
  <si>
    <t>HW-Scan-Watson</t>
  </si>
  <si>
    <t>Hardware Scanner IBT Watson 2 Finger</t>
  </si>
  <si>
    <t>Hardware-Scanner-NeoScan45</t>
  </si>
  <si>
    <t>HW-Scan-NeoScan45</t>
  </si>
  <si>
    <t>Hardware Scanner NEC NeoScan 45</t>
  </si>
  <si>
    <t>Hardware-Scanner-Suprema G10 Tenprint</t>
  </si>
  <si>
    <t>HW-Scan-G10</t>
  </si>
  <si>
    <t>Hardware Scanner Suprema G10 Tenprint</t>
  </si>
  <si>
    <t>HW - SCANNER - Suprema Tenprint</t>
  </si>
  <si>
    <t>Hardware-Scanner-Suprema Real Scan F Tenprint/Palmprint</t>
  </si>
  <si>
    <t>HW-Scan-RSF</t>
  </si>
  <si>
    <t>Hardware Scanner Suprema Real Scan F Tenprint/Palmprint</t>
  </si>
  <si>
    <t>HW - SCANNER - Suprema Palmprint</t>
  </si>
  <si>
    <t>Hardware-Speaker</t>
  </si>
  <si>
    <t>HW-Speaker</t>
  </si>
  <si>
    <t>Hardware Speaker Small</t>
  </si>
  <si>
    <t>HW - OTHER - Computer Speaker</t>
  </si>
  <si>
    <t>Hardware-Suprema Passport Reader (Standard)</t>
  </si>
  <si>
    <t>HW-PassportSupStd</t>
  </si>
  <si>
    <t>Hardware Suprema Passport Reader (Standard)</t>
  </si>
  <si>
    <t>HW - READER - Suprema Passport</t>
  </si>
  <si>
    <t>Hardware-UPS Battery</t>
  </si>
  <si>
    <t>HW-BatteryUPS</t>
  </si>
  <si>
    <t>Hardware UPS Battery</t>
  </si>
  <si>
    <t>HW - POWER - UPS</t>
  </si>
  <si>
    <t>Internal-Hardware-Basic Network Switch</t>
  </si>
  <si>
    <t>INT-HW-Ether-Switch</t>
  </si>
  <si>
    <t>Internal Hardware Basic Network Switch</t>
  </si>
  <si>
    <t>HW - OTHER - Network Switch</t>
  </si>
  <si>
    <t>Internal-Hardware-Misc Accessories</t>
  </si>
  <si>
    <t>INT-HW-Misc</t>
  </si>
  <si>
    <t>Internal Hardware Misc Accessories</t>
  </si>
  <si>
    <t>HW - OTHER - Misc Accessories</t>
  </si>
  <si>
    <t>Internal-Hardware-Printer Toner</t>
  </si>
  <si>
    <t>INT-HW-Printer-Toner</t>
  </si>
  <si>
    <t>Internal Hardware Printer Toner</t>
  </si>
  <si>
    <t>HW - OTHER - Printer Toner</t>
  </si>
  <si>
    <t>LiveScan 4th Gen Software- Add-on Single TOT Module</t>
  </si>
  <si>
    <t>LS4G-AddSingleTOT</t>
  </si>
  <si>
    <t>LiveScan 4th Gen Software Single TOT Module</t>
  </si>
  <si>
    <t>SW - LS4G - NY Applicant</t>
  </si>
  <si>
    <t>LS4G-Applicant-CA</t>
  </si>
  <si>
    <t>SW - LS4G - NV APP</t>
  </si>
  <si>
    <t>LiveScan 4th Gen Software-Applicant TOT Module</t>
  </si>
  <si>
    <t>LS4G-Applicant</t>
  </si>
  <si>
    <t>LiveScan 4th Gen Software-Applicant TOTs Module</t>
  </si>
  <si>
    <t>LiveScan 4th Gen Software-Barcode Reading Software</t>
  </si>
  <si>
    <t>LS4G-BC</t>
  </si>
  <si>
    <t>LiveScan 4th Gen Software Barcode Reading Software</t>
  </si>
  <si>
    <t>SW - LS4G - CardScan</t>
  </si>
  <si>
    <t>LiveScan 4th Gen Software-CardScan Module</t>
  </si>
  <si>
    <t>LS4G-CardScan</t>
  </si>
  <si>
    <t>LiveScan 4th Gen Software CardScan Module</t>
  </si>
  <si>
    <t>LiveScan 4th Gen Software-Child ID Module</t>
  </si>
  <si>
    <t>LS4G-Child</t>
  </si>
  <si>
    <t>LiveScan 4th Gen Software Child ID Module</t>
  </si>
  <si>
    <t>SW - LS4G - Child ID</t>
  </si>
  <si>
    <t>LiveScan 4th Gen Software-Criminal TOT Module</t>
  </si>
  <si>
    <t>LS4G-Criminal</t>
  </si>
  <si>
    <t>LiveScan 4th Gen Software Criminal TOTs Module</t>
  </si>
  <si>
    <t>SW - LS4G - NY Admission</t>
  </si>
  <si>
    <t>LiveScan 4th Gen Software-Data 1 Way</t>
  </si>
  <si>
    <t>LS4G-Data-1Way</t>
  </si>
  <si>
    <t>LiveScan 4th Gen Software Data 1 Way Interchange</t>
  </si>
  <si>
    <t>SW - LS4G - Data Export</t>
  </si>
  <si>
    <t>LiveScan 4th Gen Software-Data 1 Way (Existing)</t>
  </si>
  <si>
    <t>LS4G-Data-1WayExist</t>
  </si>
  <si>
    <t>LiveScan 4th Gen Software Data 1 Way Existing</t>
  </si>
  <si>
    <t>SW - LS4G - Data Import</t>
  </si>
  <si>
    <t>LiveScan 4th Gen Software-Data 2 Way</t>
  </si>
  <si>
    <t>LS4G-Data-2Way</t>
  </si>
  <si>
    <t>LiveScan 4th Gen Software Data 2 Way Interchange</t>
  </si>
  <si>
    <t>LS4G-IDCard</t>
  </si>
  <si>
    <t>LiveScan 4th Gen Software-Electronic Signature Module</t>
  </si>
  <si>
    <t>LS4G-SIG</t>
  </si>
  <si>
    <t>LiveScan 4th Gen Software Electronic Signature Module</t>
  </si>
  <si>
    <t>SW - LS4G - NY Signature</t>
  </si>
  <si>
    <t>LiveScan 4th Gen Software-LiveScan to CMS Connection Module</t>
  </si>
  <si>
    <t>LS4G-LS2CMS</t>
  </si>
  <si>
    <t>LiveScan 4th Gen Software LiveScan to CMS Connection Module</t>
  </si>
  <si>
    <t>SW - LS4G - CMS Workflow Interface</t>
  </si>
  <si>
    <t>LiveScan 4th Gen Software-Photo Module</t>
  </si>
  <si>
    <t>LS4G-Photo</t>
  </si>
  <si>
    <t>LiveScan 4th Gen Software Photo Module</t>
  </si>
  <si>
    <t>SW - LS4G - Photo</t>
  </si>
  <si>
    <t>LiveScan 4th Gen Software-Practice Mode</t>
  </si>
  <si>
    <t>LS4G-Practice</t>
  </si>
  <si>
    <t>LiveScan 4th Gen Software Practice Mode</t>
  </si>
  <si>
    <t>SW - LS4G - Practice Mode</t>
  </si>
  <si>
    <t>LiveScan 4th Gen Software-Printing Module</t>
  </si>
  <si>
    <t>LS4G-Printing</t>
  </si>
  <si>
    <t>LiveScan 4th Gen Software Printing Module</t>
  </si>
  <si>
    <t>SW - LS4G - Printing</t>
  </si>
  <si>
    <t>LiveScan 4th Gen Software-Service Affiliate Member (SAM) Module</t>
  </si>
  <si>
    <t>LS4G-SAM</t>
  </si>
  <si>
    <t>LiveScan 4th Gen Software Service Affiliate Member (SAM) Module</t>
  </si>
  <si>
    <t>SW - LS4G - Service Affiliate Member (SAM)</t>
  </si>
  <si>
    <t>LS4G Mobile LiveScan Software License: single Type of Transaction (TOT), single submission package</t>
  </si>
  <si>
    <t>LS4G-Mobile</t>
  </si>
  <si>
    <t>Maintenance-24 X 7 Onsite</t>
  </si>
  <si>
    <t>Maint-24X7-Onsite</t>
  </si>
  <si>
    <t>Maintenance-24 X 7 Onsite and with 7 Year Technology Refresh</t>
  </si>
  <si>
    <t>Maintenance-24 X 7 Remote with Cross Ship</t>
  </si>
  <si>
    <t>Maint-24X7-Remote</t>
  </si>
  <si>
    <t>Maintenance-24 X 7 Remote with Cross Ship and with 7 Year Technology Refresh</t>
  </si>
  <si>
    <t>Maint-24X7-Remote-7</t>
  </si>
  <si>
    <t>Maintenance-24 X 7 Remote with Cross Ship 7 Year Refresh</t>
  </si>
  <si>
    <t>Maintenance-9 X 5 (8am - 5pm, M-F) Onsite</t>
  </si>
  <si>
    <t>Maint-9X5-Onsite</t>
  </si>
  <si>
    <t>Maintenance-9 X 5 (8am - 5pm, M-F) Remote with 7 Year Technology Refresh</t>
  </si>
  <si>
    <t>Maint-9X5-7Year</t>
  </si>
  <si>
    <t>Maint-9X5-Remote</t>
  </si>
  <si>
    <t>680-48-00-040416 (Line 8)</t>
  </si>
  <si>
    <t>Maint-9X5-SW-App</t>
  </si>
  <si>
    <t>Maintenance-9X5 Software Only Support Criminal</t>
  </si>
  <si>
    <t>Maint-9X5-SW-Crim</t>
  </si>
  <si>
    <t>Maint-Warr</t>
  </si>
  <si>
    <t>SUPPORT - Warranty</t>
  </si>
  <si>
    <t>Maint-Warr-3Yr</t>
  </si>
  <si>
    <t>Maintenance-Initial 3 Year Warranty</t>
  </si>
  <si>
    <t>Services Method-On Site Additional Day</t>
  </si>
  <si>
    <t>Svcs-OnsiteAdd</t>
  </si>
  <si>
    <t>Add-on day to any onsite service</t>
  </si>
  <si>
    <t>SVCS - On-Site</t>
  </si>
  <si>
    <t>Services Method-One Day Onsite in the U.S. Free as part of a system purchase per contract</t>
  </si>
  <si>
    <t>Svcs-OnsiteUS-Free</t>
  </si>
  <si>
    <t>Onsite Service anywhere in the U.S. - Free as a part of System Purchase Per Contract.  Incl. travel costs</t>
  </si>
  <si>
    <t>Services Method-One Day Onsite International (Travel and Expenses not included)</t>
  </si>
  <si>
    <t>Svcs-OnsiteIntl</t>
  </si>
  <si>
    <t>Onsite Service anywhere in the world (customer pays expenses)</t>
  </si>
  <si>
    <t>Services Method-One Day Onsite Service anywhere in the U.S. (includes Travel and Expenses)</t>
  </si>
  <si>
    <t>Svcs-OnsiteUS</t>
  </si>
  <si>
    <t>Onsite Service anywhere in the U.S.</t>
  </si>
  <si>
    <t>Services Method-Three Day Onsite Service anywhere in the U.S. (includes Travel and Expenses)</t>
  </si>
  <si>
    <t>Svcs-OnsiteUS-3</t>
  </si>
  <si>
    <t>3 Days Onsite Service anywhere in the U.S.</t>
  </si>
  <si>
    <t>Services Method-One Day Onsite Service in California (Includes Travel and Expenses)</t>
  </si>
  <si>
    <t>Svcs-OnsiteCA</t>
  </si>
  <si>
    <t>Onsite Service anywhere in California</t>
  </si>
  <si>
    <t>Included</t>
  </si>
  <si>
    <t>SVCS - Installation</t>
  </si>
  <si>
    <t>Svcs-Phone</t>
  </si>
  <si>
    <t>Remote Service by Phone</t>
  </si>
  <si>
    <t>SVCS - Remote (Phone)</t>
  </si>
  <si>
    <t>Services-Active Directory (AD) Setup</t>
  </si>
  <si>
    <t>Svcs-Cfg-AD</t>
  </si>
  <si>
    <t>Services Active Directory (AD) Setup</t>
  </si>
  <si>
    <t>SW - LS4G - Active Directory (AD)</t>
  </si>
  <si>
    <t>Services-Configuration</t>
  </si>
  <si>
    <t>Svcs-Cfg</t>
  </si>
  <si>
    <t>Configuration Services (generic)</t>
  </si>
  <si>
    <t>SVCS - Configuration</t>
  </si>
  <si>
    <t>Services-Configuration-Applicant Systems</t>
  </si>
  <si>
    <t>Svcs-Cfg-Applicant</t>
  </si>
  <si>
    <t>Svcs-Cfg-CAPSP</t>
  </si>
  <si>
    <t>Services Configuration CA PSP Setup</t>
  </si>
  <si>
    <t>SVCS - CA PSP Setup</t>
  </si>
  <si>
    <t>Services-Configuration-CAL-DOJ Direct Setup</t>
  </si>
  <si>
    <t>Svcs-Cfg-CADir</t>
  </si>
  <si>
    <t>Configure for Cal-DOJ direct submission</t>
  </si>
  <si>
    <t>SVCS - CAL-DOJ Direct Setup</t>
  </si>
  <si>
    <t>Services-Configuration-Copy NIST or Fingerprint Files to designated local folder</t>
  </si>
  <si>
    <t>Svcs-Cfg-Copy</t>
  </si>
  <si>
    <t>Configure for NIST file or Fingerprint File to copy out to local folder</t>
  </si>
  <si>
    <t>SVCS - Automatic 30 Day Transaction Purge</t>
  </si>
  <si>
    <t>Services-Configuration-Lock down Windows from users</t>
  </si>
  <si>
    <t>Svcs-Cfg-LockDown</t>
  </si>
  <si>
    <t>Lockdown LiveScan for Kiosk mode operation</t>
  </si>
  <si>
    <t>SW - LS4G - Copy Out Fingerprints</t>
  </si>
  <si>
    <t>Services-Configuration-NCR Setup</t>
  </si>
  <si>
    <t>Svcs-Cfg-NCR</t>
  </si>
  <si>
    <t>Configure for NCR Submission via CMS</t>
  </si>
  <si>
    <t>SVCS - FL PSP Setup</t>
  </si>
  <si>
    <t>Services-Configuration-NIGC PSP Setup</t>
  </si>
  <si>
    <t>Svcs-Cfg-NIGC</t>
  </si>
  <si>
    <t>Configure for NIGC Connection and Submission</t>
  </si>
  <si>
    <t>SVCS - In-office</t>
  </si>
  <si>
    <t>Services-Configuration-NV S&amp;F Setup</t>
  </si>
  <si>
    <t>Svcs-Cfg-NVApp</t>
  </si>
  <si>
    <t>Configure for NV Applicant S&amp;F Submission</t>
  </si>
  <si>
    <t>Services-Configuration-Printing</t>
  </si>
  <si>
    <t>Svcs-Cfg-Printer</t>
  </si>
  <si>
    <t>Setup Printer and Configure Cards</t>
  </si>
  <si>
    <t>SW - LS4G - Lock down</t>
  </si>
  <si>
    <t>Services-Configuration-Reconfig</t>
  </si>
  <si>
    <t>Svcs-Cfg-Reconfiguration</t>
  </si>
  <si>
    <t>Transfer of Ownership or System Reconfiguration</t>
  </si>
  <si>
    <t>Services-Configuration-Setup for auto record purge</t>
  </si>
  <si>
    <t>Svcs-Cfg-Clean</t>
  </si>
  <si>
    <t>Configure for X number of days to automatically purge records</t>
  </si>
  <si>
    <t>SVCS - NCR Setup</t>
  </si>
  <si>
    <t>Services-Configuration-Submission Setup</t>
  </si>
  <si>
    <t>Svcs-Cfg-Submission</t>
  </si>
  <si>
    <t>Configure for Submission</t>
  </si>
  <si>
    <t>SVCS - NIGC PSP Setup</t>
  </si>
  <si>
    <t>Services-In-office</t>
  </si>
  <si>
    <t>Svcs-Office</t>
  </si>
  <si>
    <t>Customer comes to Biometrics4ALL office</t>
  </si>
  <si>
    <t>SVCS - NV S&amp;F Setup</t>
  </si>
  <si>
    <t>Svcs-InstallTrain</t>
  </si>
  <si>
    <t>Services-Installation and Training Session 4hrs (Must add a Service Method, e.g. Onsite or Remote)</t>
  </si>
  <si>
    <t xml:space="preserve">962-46-00-039542 and 924-35-00-035649 </t>
  </si>
  <si>
    <t>SVCS - Printing Configuration</t>
  </si>
  <si>
    <t>Services-Installation Session 4hrs (Also see Service Method)</t>
  </si>
  <si>
    <t>Svcs-Install</t>
  </si>
  <si>
    <t>Services-Installation Session 4hrs (Must add Service Method, e.g. Onsite or Remote)</t>
  </si>
  <si>
    <t>680-48-00-035640
(Line 5)</t>
  </si>
  <si>
    <t>SVCS - Training</t>
  </si>
  <si>
    <t>Services-Starter Paperwork</t>
  </si>
  <si>
    <t>Svcs-Paperwork</t>
  </si>
  <si>
    <t>Getting Started Paperwork</t>
  </si>
  <si>
    <t>SW - LS4G - No Palm Setup</t>
  </si>
  <si>
    <t>Services-Training-4hrs (Also see Service Method) Max 3 People</t>
  </si>
  <si>
    <t>Svcs-Training</t>
  </si>
  <si>
    <t>680-48-00-035640 (Line 6)</t>
  </si>
  <si>
    <t>SW - Starter Paperwork</t>
  </si>
  <si>
    <t>Shipping-Ground for Cabinet</t>
  </si>
  <si>
    <t>Ship-Cab</t>
  </si>
  <si>
    <t>FedEx Freight for Cabinet</t>
  </si>
  <si>
    <t>Shipping-Ground for Extra Large Package (e.g. Printer)</t>
  </si>
  <si>
    <t>Ship-XL</t>
  </si>
  <si>
    <t>FedEx Ground (Printer Size Box)</t>
  </si>
  <si>
    <t>Ship-L</t>
  </si>
  <si>
    <t>FedEx Ground (Large Box)</t>
  </si>
  <si>
    <t>Shipping-Ground for Medium Package</t>
  </si>
  <si>
    <t>Ship-M</t>
  </si>
  <si>
    <t>FedEx Ground (Medium Box)</t>
  </si>
  <si>
    <t>SHIPPING - Std Ground</t>
  </si>
  <si>
    <t>Shipping-Ground for Small Package</t>
  </si>
  <si>
    <t>Ship-S</t>
  </si>
  <si>
    <t>FedEx Ground (Small Box)</t>
  </si>
  <si>
    <t>Shipping-Overnight System</t>
  </si>
  <si>
    <t>Ship-1DSys</t>
  </si>
  <si>
    <t>FedEx Overnight Standard</t>
  </si>
  <si>
    <t>SHIPPING - Overnight</t>
  </si>
  <si>
    <t>Software-SMTP Email Relay Software</t>
  </si>
  <si>
    <t>SW-SMTP</t>
  </si>
  <si>
    <t>3rd Party SMTP software</t>
  </si>
  <si>
    <t>SW - SMTP Relay</t>
  </si>
  <si>
    <t>System-2 Finger TOT-IBT Watson Scanner-Standard Pro Desktop</t>
  </si>
  <si>
    <t>Sys-2F-DT</t>
  </si>
  <si>
    <t>LS4G 2 Finger Software | Standard Desktop | IBT Watson | 21"+ LED</t>
  </si>
  <si>
    <t>System-2 Finger TOT-IBT Watson Scanner-Standard Pro Laptop</t>
  </si>
  <si>
    <t>Sys-2F-LT</t>
  </si>
  <si>
    <t>LS4G 2 Finger Software | Laptop | IBT Watson</t>
  </si>
  <si>
    <t>System-ALL TOTs-Crossmatch 1000 Scanner-High Performance Desktop-Touchscreen-Photo SW-Camera-AB Ring Flash-Printer SW-Signature Pad-Magstrip-1D Onsite-3yr 24/7-Cabinet-Ship</t>
  </si>
  <si>
    <t>Sys-1000-CAB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</si>
  <si>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1000 (500ppi Palm Scanner) + Cabinet</t>
    </r>
  </si>
  <si>
    <t>System-ALL TOTs-Crossmatch 1000 Scanner-High Performance Desktop-Touchscreen-Photo SW-Camera-Tripod-Printer SW-Signature Pad-Magstrip-1D Onsite-3yr 24/7-Ship</t>
  </si>
  <si>
    <t>Sys-1000-DT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</si>
  <si>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1000 (1000ppi Palm Scanner)</t>
    </r>
  </si>
  <si>
    <t>System-ALL TOTs-Crossmatch 500 Scanner-High Performance Desktop-Touchscreen-Photo SW-Camera-AB Ring Flash-Printer SW-Signature Pad-Magstrip-1D Onsite-3yr 24/7-Cabinet-Ship</t>
  </si>
  <si>
    <t>Sys-500-CAB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</si>
  <si>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500 (500ppi Palm Scanner) + Cabinet</t>
    </r>
  </si>
  <si>
    <t>System-ALL TOTs-Crossmatch 500 Scanner-High Performance Desktop-Touchscreen-Photo SW-Camera-Tripod-Printer SW-Signature Pad-Magstrip-1D Onsite-3yr 24/7-Ship</t>
  </si>
  <si>
    <t>Sys-500-DT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</si>
  <si>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500 (500ppi Palm Scanner)</t>
    </r>
  </si>
  <si>
    <t>System-ALL TOTs-Suprema RSF Scanner-High Performance Desktop-Touchscreen-Photo SW-Camera-Tripod-Printer SW-Signature Pad-Magstrip-1D Onsite-3yr 24/7</t>
  </si>
  <si>
    <t>Sys-RSF-DT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</si>
  <si>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Suprema RSF (500ppi Palm Scanner)</t>
    </r>
  </si>
  <si>
    <t>System-Applicant TOT-Desktop Pro-Crossmatch Guardian 200 Scanner-Magstrip-ID Module</t>
  </si>
  <si>
    <t>Sys-App-DTP-Guard</t>
  </si>
  <si>
    <t>LS4G Applicant | Standard Desktop Pro | Guardian 200 | Magstrip Reader | 21"+ LED</t>
  </si>
  <si>
    <t>System-Applicant-LiveScan SW-Desktop Pro-Crossmatch Guardian 200 Scanner-Magstrip-ID Module-Cabinet</t>
  </si>
  <si>
    <t>Sys-App-DTP-Guard-Cab</t>
  </si>
  <si>
    <t>LS4G Applicant | Standard Desktop Pro | Guardian 200 | Cabinet | Magstrip Reader | 21"+ LED</t>
  </si>
  <si>
    <t>System-Applicant-LiveScan SW-Desktop Pro-Crossmatch Patrol Scanner-Magstrip-ID Module</t>
  </si>
  <si>
    <t>Sys-App-DTP-Patrol</t>
  </si>
  <si>
    <t>LS4G Applicant | Standard Desktop Pro | Patrol | Magstrip Reader | 21"+ LED</t>
  </si>
  <si>
    <t>System-Applicant-LiveScan SW-Desktop Pro-IBT Kojak Scanner-Magstrip-ID Module</t>
  </si>
  <si>
    <t>Sys-App-DTP-Kojak</t>
  </si>
  <si>
    <t>LS4G Applicant | Standard Desktop Pro IBT Kojak | Magstrip Reader | 21"+ LED</t>
  </si>
  <si>
    <t>System-Applicant-LiveScan SW-Desktop Pro SSD-IBT Kojak Scanner-Magstrip-ID Module</t>
  </si>
  <si>
    <t>Sys-App-DTP-SSD-Kojak</t>
  </si>
  <si>
    <t>LS4G Applicant | Standard Desktop Pro SSD | IBT Kojak | Magstrip Reader | 21"+ LED</t>
  </si>
  <si>
    <t>Sys-App-DTPP-Kojak (line 1)</t>
  </si>
  <si>
    <t>System-Applicant-LiveScan SW-Desktop Pro-Suprema G10 Scanner-Magstrip-ID Module</t>
  </si>
  <si>
    <t>Sys-App-DTP-G10</t>
  </si>
  <si>
    <t>LS4G Applicant | Standard Desktop Pro  Suprema G10 | Magstrip Reader | 21"+ LED</t>
  </si>
  <si>
    <t>System-Applicant-LiveScan SW-Laptop Home-Crossmatch Guardian 200 Scanner-Magstrip-ID Module</t>
  </si>
  <si>
    <t>Sys-App-LT-Guard</t>
  </si>
  <si>
    <t>LS4G Applicant | Standard Lapotp Home | Guardian 200 | Magstrip Reader</t>
  </si>
  <si>
    <t>System-Applicant-LiveScan SW-Laptop Home-Crossmatch Patrol Scanner-Magstrip-ID Module</t>
  </si>
  <si>
    <t>Sys-App-LT-Patrol</t>
  </si>
  <si>
    <t>LS4G Applicant | Standard Lapotp Home | Patrol | Magstrip Reader</t>
  </si>
  <si>
    <t>System-Applicant-LiveScan SW-Laptop Home-IBT Kojak Scanner-Magstrip-ID Module</t>
  </si>
  <si>
    <t>Sys-App-LT-Kojak</t>
  </si>
  <si>
    <t>LS4G Applicant | Standard Lapotp Home | Kojak | Magstrip Reader</t>
  </si>
  <si>
    <t>System-Applicant-LiveScan SW-Laptop Pro SSD-IBT Kojak Scanner-Magstrip-ID Module-Backpack</t>
  </si>
  <si>
    <t>Sys-App-LTP-SSD-Kojak-Case</t>
  </si>
  <si>
    <t>LS4G Applicant | Standard Laptop Pro | SSD | IBT Kojak | Magstrip Reader | Backpack Case</t>
  </si>
  <si>
    <t>Sys-App-LTPP-Kojak-Case (line 2)</t>
  </si>
  <si>
    <t>System-CRM TOTs-Crossmatch 1000 Scanner-High Performance Desktop-Touchscreen-Photo SW-Camera-AB Ring Flash-Cabinet</t>
  </si>
  <si>
    <t>Sys-CRM-1000-HPDT-PH-CAB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</si>
  <si>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1000 (1,000ppi Palm Scanner) + Cabinet</t>
    </r>
  </si>
  <si>
    <t>System-CRM TOTs-Crossmatch 1000 Scanner-High Performance Desktop-Touchscreen-Photo SW-Camera-Tripod</t>
  </si>
  <si>
    <t>Sys-CRM-1000-HPDT-PH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</si>
  <si>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1000 (1,000ppi Palm Scanner)</t>
    </r>
  </si>
  <si>
    <t>System-CRM TOTs-Crossmatch 500 Scanner-High Performance Desktop-Touchscreen-Photo SW-Camera-AB Ring Flash-Cabinet</t>
  </si>
  <si>
    <t>Sys-CRM-500-HPDT-PH-CAB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</si>
  <si>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500 (500ppi Palm Scanner) + Cabinet</t>
    </r>
  </si>
  <si>
    <t>System-CRM TOTs-Crossmatch 500 Scanner-High Performance Desktop-Touchscreen-Photo SW-Camera-Tripod</t>
  </si>
  <si>
    <t>Sys-CRM-500-HPDT-PH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</si>
  <si>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500 (500ppi Palm Scanner)</t>
    </r>
  </si>
  <si>
    <t>System-Mobile ID SW- NEC NeoScan 45 two Finger Scanner</t>
  </si>
  <si>
    <t>Sys-MID-NEC45</t>
  </si>
  <si>
    <t>LS4G Mobile LiveScan System: LiveScan Software, Submission Software
NEC NeoScan45 Scanner</t>
  </si>
  <si>
    <t>System-Single TOT-LiveScan SW-Desktop Pro-Crossmatch Guardian 200 Scanner</t>
  </si>
  <si>
    <t>Sys-1TOT-DT-Guard</t>
  </si>
  <si>
    <t>Standard Desktop | Guardian 200 | Magstrip Reader | 21"+ LED</t>
  </si>
  <si>
    <t>System-Single TOT-LiveScan SW-Laptop Home-Crossmatch Guardian 200 Scanner</t>
  </si>
  <si>
    <t>Sys-1TOT-LT-Guard</t>
  </si>
  <si>
    <t>Transaction-Relay Fees-Per Transaction</t>
  </si>
  <si>
    <t>Trans-Relay</t>
  </si>
  <si>
    <t>Transaction Relay Fee (Per Transaction)</t>
  </si>
  <si>
    <t>680-48-00-035640 (Line 7)</t>
  </si>
  <si>
    <t>NY Price</t>
  </si>
  <si>
    <t>LS4G-Data-2WayExist</t>
  </si>
  <si>
    <t>Pricing Types</t>
  </si>
  <si>
    <t>Pricing Method</t>
  </si>
  <si>
    <t>HW Off List</t>
  </si>
  <si>
    <t>Non-HW Off List</t>
  </si>
  <si>
    <t>HW Cost Plus</t>
  </si>
  <si>
    <t>Non-HW Cost Plus</t>
  </si>
  <si>
    <t>Contract (If Applicable)</t>
  </si>
  <si>
    <t>App CA Large</t>
  </si>
  <si>
    <t>CA PSP Private Sector Large</t>
  </si>
  <si>
    <t>Discount Based</t>
  </si>
  <si>
    <t>Net 10</t>
  </si>
  <si>
    <t>CA PSP Private Sector Customers</t>
  </si>
  <si>
    <t>Due on Rcpt</t>
  </si>
  <si>
    <t>App CA Public</t>
  </si>
  <si>
    <t>CA PSP Public Sector Customers</t>
  </si>
  <si>
    <t>Net 30</t>
  </si>
  <si>
    <t>App Federal</t>
  </si>
  <si>
    <t>Federal Applicant</t>
  </si>
  <si>
    <t>App Other</t>
  </si>
  <si>
    <t>Out of State App</t>
  </si>
  <si>
    <t>Budget US Lg</t>
  </si>
  <si>
    <t>Budgetary Quote for U.S. Large Customers</t>
  </si>
  <si>
    <t>Budget US Sm</t>
  </si>
  <si>
    <t>Budgetary Quote for U.S. Small Customers</t>
  </si>
  <si>
    <t>FDLE-019-16</t>
  </si>
  <si>
    <t>Los Angeles Contract</t>
  </si>
  <si>
    <t>MA-IS-1840286-8</t>
  </si>
  <si>
    <t>PT65343</t>
  </si>
  <si>
    <t>1110-14-PAP</t>
  </si>
  <si>
    <t>Custom Cost</t>
  </si>
  <si>
    <t>Custom Pricing Cost Based</t>
  </si>
  <si>
    <t>Cost Based</t>
  </si>
  <si>
    <t>Custom Disc L</t>
  </si>
  <si>
    <t>Greater than $500K</t>
  </si>
  <si>
    <t>Custom Disc M</t>
  </si>
  <si>
    <t>Greater than $150K</t>
  </si>
  <si>
    <t>Custom Disc S</t>
  </si>
  <si>
    <t>Less than $150K</t>
  </si>
  <si>
    <t>Custom Super</t>
  </si>
  <si>
    <t>Super Competitive Situation</t>
  </si>
  <si>
    <t>Intl Easy</t>
  </si>
  <si>
    <t>International Easy</t>
  </si>
  <si>
    <t>L/C</t>
  </si>
  <si>
    <t>Intl Hard</t>
  </si>
  <si>
    <t>International Hard or Budgetary</t>
  </si>
  <si>
    <t>Intl Medium</t>
  </si>
  <si>
    <t>International Medium</t>
  </si>
  <si>
    <t>Parts Sale</t>
  </si>
  <si>
    <t>Parts Sale to Customer Not Under Maint.</t>
  </si>
  <si>
    <t>FL Part Number</t>
  </si>
  <si>
    <t>Contract Price</t>
  </si>
  <si>
    <t xml:space="preserve">Maintenance for Year 4              </t>
  </si>
  <si>
    <t xml:space="preserve">Maintenance for Year 5             </t>
  </si>
  <si>
    <t xml:space="preserve">Maintenance for Year 6              </t>
  </si>
  <si>
    <t>1,000 additional monthly transaction throughput for CMS Software</t>
  </si>
  <si>
    <t>10 additional LiveScan connections for CMS Software</t>
  </si>
  <si>
    <t>Central Management Server Software - Processes up to 1,000 transactions per month (scalable to 500,000 transactions per month) and license to connect up to 10 LS-Series LiveScan systems (scalable to 1,000 units). Up to 5,000 transaction archive storage management.</t>
  </si>
  <si>
    <t>Central Management Server (CMS) Software; basic Central Management Server Software, Manages up to 10 (ten) "Fewer than 10 Print Mobile Devices"</t>
  </si>
  <si>
    <t>CMS Printer Software for Standard Print Formats.</t>
  </si>
  <si>
    <t>1D barcode reader</t>
  </si>
  <si>
    <t>2D barcode reader</t>
  </si>
  <si>
    <t>LS400 ergonomically designed Electronic Height Adjustable all steel cabinet for any LiveScan system</t>
  </si>
  <si>
    <t>All steel camera enclosure for ACC-KIOSK, includes high-output ring flash</t>
  </si>
  <si>
    <t>Commercial-of-the-Shelf (COTS) High-Resolution Still Camera, integrated with LiveScan Software</t>
  </si>
  <si>
    <t>Commercial-of-the-Shelf (COTS) High-Resolution DSLR Camera, Tripod, Ring Flash, HW Integration</t>
  </si>
  <si>
    <t>Clearinghouse TOT Package:  Integration with Clearinghouse Scheduling System, Photo Capture Software for LS-Series Applicant LiveScan System, DSLR Camera and Tripod to mount Camera and Flash integrated into Photo Capture Software.</t>
  </si>
  <si>
    <t>High Performance Desktop Computer with 20" or larger LCD Monitor, Windows 7 or Windows 8.1</t>
  </si>
  <si>
    <t>USB Foot Pedal for hands free operation</t>
  </si>
  <si>
    <t>High Performance Notebook Computer for LiveScan System</t>
  </si>
  <si>
    <t>Notebook Computer for LiveScan System, Windows 7 or Windows 8.1</t>
  </si>
  <si>
    <t>USB Magstrip Reader for Driver</t>
  </si>
  <si>
    <t>Apple iPhone</t>
  </si>
  <si>
    <t>20"+ Touch Screen LCD Monitor</t>
  </si>
  <si>
    <t>FBI Certified  Fingerprint Card Printer: Dual-Sided Printer</t>
  </si>
  <si>
    <t>FBI Certified  Fingerprint Card Printer: Heavy-Duty Dual-Sided Printer</t>
  </si>
  <si>
    <t>FBI Certified  Fingerprint Card Printer: Single-Sided Printer</t>
  </si>
  <si>
    <t>1000ppi Tenprint and Palmprint Scanner: Cross Match 1000</t>
  </si>
  <si>
    <t>500ppi Tenprint Scanner: Cross Match Guardian 200, integrated with LS4G</t>
  </si>
  <si>
    <t>500ppi Tenprint and Palmprint Scanner: Cross Match 500</t>
  </si>
  <si>
    <t>500ppi Tenprint Scanner: Suprema-RealScan-10</t>
  </si>
  <si>
    <t>HW-Scan-i3Mini</t>
  </si>
  <si>
    <t>500ppi Tenprint Scanner: I3 DigID Mini</t>
  </si>
  <si>
    <t>NEC NeoScan45 Mobile Scanner</t>
  </si>
  <si>
    <t>500ppi Tenprint Scanner: Cross Match Patrol</t>
  </si>
  <si>
    <t>500ppi Tenprint and Palmprint Scanner: Suprema-RealScan-F</t>
  </si>
  <si>
    <t>500ppi 2 Finger Scanner, IBT-Watson 2 Finger Scanner</t>
  </si>
  <si>
    <t>HW-SIG</t>
  </si>
  <si>
    <t>Digital Signature Pad</t>
  </si>
  <si>
    <t>Additional Type of Transaction (TOT), must be combined with LS-Series LiveScan system</t>
  </si>
  <si>
    <t>LS4G FL Applicant LiveScan Software: Florida Level II Transaction (TOT), FDLE Submission package</t>
  </si>
  <si>
    <t>Software to process barcode</t>
  </si>
  <si>
    <t>LS4G FDLE Criminal LiveScan Software: single Type of Transaction (TOT), single submission package</t>
  </si>
  <si>
    <t>LiveScan data interface with foreign systems for one way data exchange (input or output)</t>
  </si>
  <si>
    <t>LS4G-Data1WayExist</t>
  </si>
  <si>
    <t>Interfaces after 16s of SW-DataEx-1 or SW-DataEx-2 have been exhausted</t>
  </si>
  <si>
    <t>LiveScan data interface with foreign systems for two way data exchange (input and output)</t>
  </si>
  <si>
    <t>LS4G Mobile LiveScan Software: single Type of Transaction (TOT), single submission package</t>
  </si>
  <si>
    <t>Additional Photo Capture Software, must be combined with LS-Series LiveScan system.</t>
  </si>
  <si>
    <t>LS4G-Photo-Only</t>
  </si>
  <si>
    <t>Integrated Photo Capture Software (When ordered without Booking Module)</t>
  </si>
  <si>
    <t xml:space="preserve">Printer Software </t>
  </si>
  <si>
    <t>Integrated Signature Capture Software</t>
  </si>
  <si>
    <t>LSMID-NEC45</t>
  </si>
  <si>
    <r>
      <rPr>
        <b/>
        <sz val="12"/>
        <color theme="1"/>
        <rFont val="Calibri"/>
        <family val="2"/>
        <scheme val="minor"/>
      </rPr>
      <t>LS4G FDLE Mobile LiveScan System:</t>
    </r>
    <r>
      <rPr>
        <sz val="12"/>
        <color theme="1"/>
        <rFont val="Calibri"/>
        <family val="2"/>
        <scheme val="minor"/>
      </rPr>
      <t xml:space="preserve"> LiveScan Software, Rapid ID, Submission to FDLE, One Day On-Site Installation and Training, 3 Year 24/7 Warranty*.  </t>
    </r>
    <r>
      <rPr>
        <b/>
        <sz val="12"/>
        <color theme="1"/>
        <rFont val="Calibri"/>
        <family val="2"/>
        <scheme val="minor"/>
      </rPr>
      <t>NEC NeoScan45 Scanner</t>
    </r>
  </si>
  <si>
    <t>Cabinet Shipping</t>
  </si>
  <si>
    <t>LS-Series LiveScan System Shipping</t>
  </si>
  <si>
    <t>LS-Series LiveScan Component Shipping</t>
  </si>
  <si>
    <t>LS-Series LiveScan System Configuration</t>
  </si>
  <si>
    <t>Professional Services</t>
  </si>
  <si>
    <t>LS LiveScan Series Basic Configuration, Installation &amp; Training (1 day on-site). Maximum of 5 trainees</t>
  </si>
  <si>
    <t>LS-Series LiveScan System Installation  (1 day on-site)</t>
  </si>
  <si>
    <t>LS-Series On-Site Training. Training for a maximum of 5 Trainees</t>
  </si>
  <si>
    <t>CMS Server Basic Configuration, Installation &amp; Training (1 days on-site at any Contiguous US location). Training for a maximum of 5 people.</t>
  </si>
  <si>
    <t>CMS Server Basic Configuration, Installation &amp; Training (3 days on-site at any Contiguous US location). Training for a maximum of 5 people.</t>
  </si>
  <si>
    <t>LS LiveScan Series Remote Training. Training for a maximum of 3 Trainees</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</si>
  <si>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1000 (1000ppi Palm Scanner)</t>
    </r>
  </si>
  <si>
    <r>
      <rPr>
        <b/>
        <sz val="12"/>
        <color theme="1"/>
        <rFont val="Calibri"/>
        <family val="2"/>
        <scheme val="minor"/>
      </rPr>
      <t>LS4G FDLE 2 Finger Criminal LiveScan System:</t>
    </r>
    <r>
      <rPr>
        <sz val="12"/>
        <color theme="1"/>
        <rFont val="Calibri"/>
        <family val="2"/>
        <scheme val="minor"/>
      </rPr>
      <t xml:space="preserve"> LiveScan Software, Rapid ID, Submission to FDLE, Desktop Computer, 20"+ LED Monitor,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</si>
  <si>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 xml:space="preserve">LS4G FDLE 2 Finger Criminal LiveScan System: </t>
    </r>
    <r>
      <rPr>
        <sz val="12"/>
        <color theme="1"/>
        <rFont val="Calibri"/>
        <family val="2"/>
        <scheme val="minor"/>
      </rPr>
      <t xml:space="preserve">LiveScan Software, Rapid ID, Submission to FDLE, Laptop Computer, FBI Certified Printer Software, Half-Day On-Site Installation and Training, 3 Year 24/7 Warranty*. </t>
    </r>
    <r>
      <rPr>
        <b/>
        <sz val="12"/>
        <color theme="1"/>
        <rFont val="Calibri"/>
        <family val="2"/>
        <scheme val="minor"/>
      </rPr>
      <t>500ppi IBT Watson 2 Finger Scanner</t>
    </r>
  </si>
  <si>
    <t>Sys-500-Cab</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</si>
  <si>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Electrical Height Adjustable Cabinet and Camera Mount,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</si>
  <si>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500 (500ppi Palm Scanner)</t>
    </r>
  </si>
  <si>
    <t>Sys-App-DT i3</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</si>
  <si>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 </t>
    </r>
    <r>
      <rPr>
        <b/>
        <sz val="12"/>
        <color theme="1"/>
        <rFont val="Calibri"/>
        <family val="2"/>
        <scheme val="minor"/>
      </rPr>
      <t>I3 DigID-Mini  (500ppi Ten-Print Scanner)</t>
    </r>
  </si>
  <si>
    <t>Sys-App-DT-G10</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</si>
  <si>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Suprema RealScan 10  (500ppi Ten-Print Scanner)</t>
    </r>
  </si>
  <si>
    <t>Sys-App-DT-Guard</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</si>
  <si>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t>
    </r>
    <r>
      <rPr>
        <b/>
        <sz val="12"/>
        <color theme="1"/>
        <rFont val="Calibri"/>
        <family val="2"/>
        <scheme val="minor"/>
      </rPr>
      <t xml:space="preserve">  Cross Match Guardian 200 (500ppi Ten-Print Scanner)</t>
    </r>
  </si>
  <si>
    <t>Sys-App-DT-Guard-Cab</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</si>
  <si>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Electrical Height Adjustable Cabinet, Magstrip Reader and Software, One Day On-Site Installation and Training, 3 Year 24/7 Warranty*. </t>
    </r>
    <r>
      <rPr>
        <b/>
        <sz val="12"/>
        <color theme="1"/>
        <rFont val="Calibri"/>
        <family val="2"/>
        <scheme val="minor"/>
      </rPr>
      <t>Cross Match Guardian 200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</si>
  <si>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Cross Match Patrol  (500ppi Ten-Print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</si>
  <si>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Suprema RealScan F (500ppi Palm Scanner)</t>
    </r>
  </si>
  <si>
    <t>New Part Number</t>
  </si>
  <si>
    <t>SW-CMS1000TP</t>
  </si>
  <si>
    <t>SW-CMS10CON</t>
  </si>
  <si>
    <t>SW-CMS5000S</t>
  </si>
  <si>
    <t>SW-CMS</t>
  </si>
  <si>
    <t>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</si>
  <si>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Central Management Server (CMS) Software; basic Central Management Server Software License, Manages up to 10 (ten) "Fewer than 10 Print Mobile Devices"</t>
  </si>
  <si>
    <t>SW-CMSINT1</t>
  </si>
  <si>
    <t>SW-CMSINT2</t>
  </si>
  <si>
    <t>SW-CMSLSPS</t>
  </si>
  <si>
    <t>ACC-BarCode1</t>
  </si>
  <si>
    <t>ACC-BarCode2</t>
  </si>
  <si>
    <t>ACC-CAB</t>
  </si>
  <si>
    <t>LS400 ergonomically designed Electronic Height Adjustable all steel cabinet for any LS-Series LiveScan system</t>
  </si>
  <si>
    <t>ACC-CAB-CamBox</t>
  </si>
  <si>
    <t>ACC-DSLR</t>
  </si>
  <si>
    <t>ACC-DSLR-RF-TRI</t>
  </si>
  <si>
    <t>Commercial-of-the-Shelf (COTS) High-Resolution DSLR
Camera, Tripod, Ringlash, and LiveScan Integration</t>
  </si>
  <si>
    <t>ACC-FL-Clear</t>
  </si>
  <si>
    <t>Upgrade Applicant LiveScan System to allow for Processing of ClearingHouse Transactions. 
Adds: 
Integration with ClearinHouse Scheduling System, Photo Capture Software for LS-Series Applicant LiveScan System, DSLR Camera and Tripod to mount Camera and Flash integrated into Photo Capture Software.</t>
  </si>
  <si>
    <t>HW-DT-HP</t>
  </si>
  <si>
    <t>ACC-Foot-USB</t>
  </si>
  <si>
    <t>HW-LT-HP</t>
  </si>
  <si>
    <t>HW-LT-STD</t>
  </si>
  <si>
    <t>ACC-Mag</t>
  </si>
  <si>
    <t>USB Magstripe Reader for Driver License</t>
  </si>
  <si>
    <t>HW-PDA-Apple</t>
  </si>
  <si>
    <t>Apple i-Phone</t>
  </si>
  <si>
    <t>ACC-Monitor-T</t>
  </si>
  <si>
    <t>ACC-Print-D</t>
  </si>
  <si>
    <t>ACC-Print-D-HD</t>
  </si>
  <si>
    <t>ACC-Print-S</t>
  </si>
  <si>
    <t>1000ppi Tenprint and PalmPrint Scanner: Cross Match 1000</t>
  </si>
  <si>
    <t>500ppi TenPrint Scanner: Cross Match Guardian 200, integrated with LS4G</t>
  </si>
  <si>
    <t>500ppi Tenprint and PalmPrint Scanner: Cross Match 500</t>
  </si>
  <si>
    <t>HW-Scan-RS10</t>
  </si>
  <si>
    <t>500ppi TenPrint Scanner: Suprema-RealScan-10</t>
  </si>
  <si>
    <t>HW-Scan-i3</t>
  </si>
  <si>
    <t>500ppi TenPrint Scanner: I3 DigID Mini</t>
  </si>
  <si>
    <t>HW-Scan-NEC45</t>
  </si>
  <si>
    <t>HW-Scan-PatroNTAA</t>
  </si>
  <si>
    <t>500ppi TenPrint Scanner: Cross Match Patrol</t>
  </si>
  <si>
    <t>500ppi TenPrint and PalmPrint Scanner: Suprema-RealScan-F</t>
  </si>
  <si>
    <t>ACC-SigPad</t>
  </si>
  <si>
    <t>SW-TOT-ADD</t>
  </si>
  <si>
    <t>Additional Type of Transaction (TOT), must be combined with LS-Series LiveScan system.</t>
  </si>
  <si>
    <t>SW-LS4G-FL-APP</t>
  </si>
  <si>
    <t>LS4G FL Applicant LiveScan Software License: Florida Level II Transaction (TOT), FDLE Submission package</t>
  </si>
  <si>
    <t>SW-BC</t>
  </si>
  <si>
    <t>Software License to process barcode</t>
  </si>
  <si>
    <t>SW-LS4G-FL-CRM</t>
  </si>
  <si>
    <t>LS4G FDLE Criminal LiveScan Software License: single Type of Transaction (TOT), single submission package</t>
  </si>
  <si>
    <t>SW-DataEx-1</t>
  </si>
  <si>
    <t>LiveScan data interface with foreign systems for one way data exchange (input or output). Covers up to 16 licenses</t>
  </si>
  <si>
    <t>SW-DataEx-Add</t>
  </si>
  <si>
    <t>Interface Licenses after 16 licenses of SW-DataEx-1 or SW-DataEx-2 have been exhaused</t>
  </si>
  <si>
    <t>SW-DataEx-2</t>
  </si>
  <si>
    <t>LiveScan data interface with foreign systems for two way data exchange (input and output). Covers up to 16 licenses</t>
  </si>
  <si>
    <t>SW-LS4G-MOB</t>
  </si>
  <si>
    <t>SW-Photo</t>
  </si>
  <si>
    <t>Integrated Photo Capture Software License</t>
  </si>
  <si>
    <t>SW-Photo-ADD</t>
  </si>
  <si>
    <t>SW-Print</t>
  </si>
  <si>
    <t xml:space="preserve">Printer Software License </t>
  </si>
  <si>
    <t>SW-Signature</t>
  </si>
  <si>
    <t>Integrated Signature Capture Software License</t>
  </si>
  <si>
    <t>LSMID-FL-NEC45</t>
  </si>
  <si>
    <t>LS4G FDLE Mobile LiveScan System: LiveScan Software License, Rapid ID, Submission to FDLE, One Day On-Site Installation and Training, 3 Year 24/7 Warranty*.
NEC NeoScan45 Scanner</t>
  </si>
  <si>
    <t>SVCS-SHP-CAB</t>
  </si>
  <si>
    <t>SVCS-SHP</t>
  </si>
  <si>
    <t>SVCS-SHP-MOB</t>
  </si>
  <si>
    <t>SVCS-CFG</t>
  </si>
  <si>
    <t>SVCS-PROF</t>
  </si>
  <si>
    <t>SCVS-OnSite-1</t>
  </si>
  <si>
    <t>LS LiveScan Series Basic Configuration, Installation &amp; Training (1 day on-site at any Contiguous US location). Training for a maximum of 5 people.</t>
  </si>
  <si>
    <t>SCVS-OnSite-2</t>
  </si>
  <si>
    <t>LS-Series LiveScan System Installation  (1 day on-site at any Contiguous US location)</t>
  </si>
  <si>
    <t>SVCS-Train-OS</t>
  </si>
  <si>
    <t>LS-Series On-Site Training. Training for a maximum of 5 people.</t>
  </si>
  <si>
    <t>SCVS-Onsite-CMS</t>
  </si>
  <si>
    <t>SVCS-Train-RM</t>
  </si>
  <si>
    <t>LS LiveScan Series Remote Training. Training for a maximum of 3 people.</t>
  </si>
  <si>
    <t>SVCS-TR-REM-MOB</t>
  </si>
  <si>
    <t>LS Mobile LiveScan Series Remote Training. Training for a maximum of 3 people.</t>
  </si>
  <si>
    <t>LS4G-FL-1000-DT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</si>
  <si>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1000 (1000ppi Palm Scanner)</t>
    </r>
  </si>
  <si>
    <t>LS4G-FL-2F-DT</t>
  </si>
  <si>
    <t>LS4G FDLE 2 Finger Criminal LiveScan System: LiveScan Software License, Rapid ID, Submission to FDLE, Desktop Computer, 20"+ LED Monitor, FBI Certified Printer Software, Half-Day On-Site Installation and Training, 3 Year 24/7 Warranty*.
500ppi IBT Watson 2 Finger Scanner</t>
  </si>
  <si>
    <t>LS4G-FL-2F-LT</t>
  </si>
  <si>
    <t>LS4G FDLE 2 Finger Criminal LiveScan System: LiveScan Software License, Rapid ID, Submission to FDLE, Laptop Computer, FBI Certified Printer Software, Half-Day On-Site Installation and Training, 3 Year 24/7 Warranty*.
500ppi IBT Watson 2 Finger Scanner</t>
  </si>
  <si>
    <t>LS4G-FL-500-CAB</t>
  </si>
  <si>
    <r>
      <t xml:space="preserve">LS4G FDLE Criminal LiveScan System: LiveScan Software License, Criminal and Civil Type of Transactions (TOT), Submission to FDLE, High-End Desktop Computer, 20"+ Touch-Screen, Mugshot Software License, DSLR Camera, Electrical Height Ajustable Cabinet and Camera Mount, FBI Certified Printer Software, Signature Pad, Magstrip Driver's License Reader and Software, One Day On-Site Installation and Training, 3 Year 24/7 Warranty*. 
</t>
    </r>
    <r>
      <rPr>
        <b/>
        <sz val="11"/>
        <color theme="1"/>
        <rFont val="Arial"/>
        <family val="2"/>
      </rPr>
      <t>Cross Match 500 (500ppi Palm Scanner)</t>
    </r>
  </si>
  <si>
    <t>LS4G-FL-500-DT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</si>
  <si>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500 (500ppi Palm Scanner)</t>
    </r>
  </si>
  <si>
    <t>LS4G-FL-I3-DT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</si>
  <si>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I3 DigID-Mini  (500ppi Ten-Print Scanner)</t>
    </r>
  </si>
  <si>
    <t>LS4G-FL-RS10-DT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</si>
  <si>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Suprema RealScan 10  (500ppi Ten-Print Scanner)</t>
    </r>
  </si>
  <si>
    <t>LS4G-FL-200-DT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</si>
  <si>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Guardian 200 (500ppi Ten-Print Scanner)</t>
    </r>
  </si>
  <si>
    <t>LS4G-FL-200-CAB</t>
  </si>
  <si>
    <r>
      <t xml:space="preserve">LS4G FDLE Applicant LiveScan System: LiveScan Software License, Civil Type of Transactions (TOT), Submission to FDLE, Desktop Computer, 20"+ LED Monitor, Electrical Height Ajustable Cabinet, Magstrip Driver's License Reader and Software, One Day On-Site Installation and Training, 3 Year 24/7 Warranty*. 
</t>
    </r>
    <r>
      <rPr>
        <b/>
        <sz val="11"/>
        <color theme="1"/>
        <rFont val="Arial"/>
        <family val="2"/>
      </rPr>
      <t>Cross Match Guardian 200  (500ppi Ten-Print Scanner)</t>
    </r>
  </si>
  <si>
    <t>LS4G-FL-PAT-DT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</si>
  <si>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Patrol  (500ppi Ten-Print Scanner)</t>
    </r>
  </si>
  <si>
    <t>LS4G-FL-RSF-DT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</si>
  <si>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Suprema RealScan F (500ppi Palm Scanner)</t>
    </r>
  </si>
  <si>
    <t>Current Part Num</t>
  </si>
  <si>
    <t xml:space="preserve">Product/Model Number </t>
  </si>
  <si>
    <t xml:space="preserve"> Product Description </t>
  </si>
  <si>
    <t>NYS Net Price</t>
  </si>
  <si>
    <t>CMS</t>
  </si>
  <si>
    <t>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t>
  </si>
  <si>
    <t>ACC-BarC1</t>
  </si>
  <si>
    <t>ACC-BarC2</t>
  </si>
  <si>
    <t>ACC-KIOSK</t>
  </si>
  <si>
    <t>LS400 ergonomically designed all steel cabinet for any LS-Series LiveScan system.</t>
  </si>
  <si>
    <t>ACC-KIOSK-CE</t>
  </si>
  <si>
    <t>ACC-CAM</t>
  </si>
  <si>
    <t>ACC-CC-L</t>
  </si>
  <si>
    <t>Large Pelican Case for LiveScan System (laptop only), with Anti-Static Foam Padding.</t>
  </si>
  <si>
    <t>ACC-CC-S</t>
  </si>
  <si>
    <t>Small Pelican Case for TP LiveScan System (tenprint with laptop) with Anti-Static Foam Padding.</t>
  </si>
  <si>
    <t>ACC-CC-M</t>
  </si>
  <si>
    <t>Medium Pelican Case for TPP LiveScan System (laptop only), with Anti-Static Foam Padding.</t>
  </si>
  <si>
    <t>HW-HPDT</t>
  </si>
  <si>
    <t>High Performance Desktop Computer with 17" or larger LCD Monitor</t>
  </si>
  <si>
    <t>HW-UPG-HPCOMPUTER</t>
  </si>
  <si>
    <t>High Performance Computer Upgrade for LiveScan System (mandatory for 1,000ppi operation, optional for 500ppi)</t>
  </si>
  <si>
    <t>HW-DT</t>
  </si>
  <si>
    <t>Desktop Computer for LiveScan system with 17" or larger LCD Monitor</t>
  </si>
  <si>
    <t>HW-Flatbed</t>
  </si>
  <si>
    <t>HW-FBS</t>
  </si>
  <si>
    <t>Flatbed Scanner</t>
  </si>
  <si>
    <t>ACC-USB-PEDAL</t>
  </si>
  <si>
    <t>HW-HPLT</t>
  </si>
  <si>
    <t>HW-RDLT</t>
  </si>
  <si>
    <t>Rugged laptop Computer for LiveScan System Meets MIL-STD-810F, IP65</t>
  </si>
  <si>
    <t>HW-LT</t>
  </si>
  <si>
    <t>Notebook Computer for LiveScan System</t>
  </si>
  <si>
    <t>ACC-UPG-21T</t>
  </si>
  <si>
    <t>Upgrade to 21" Touch Screen LCD Monitor</t>
  </si>
  <si>
    <t>ACC-21T</t>
  </si>
  <si>
    <t>21" Touch Screen LCD Monitor</t>
  </si>
  <si>
    <t>ACC-PD</t>
  </si>
  <si>
    <t>ACC-PS</t>
  </si>
  <si>
    <t>HW-TPP-1000PPI</t>
  </si>
  <si>
    <t>1000ppi Tenprint and PalmPrint scanner: Cross Match 1000</t>
  </si>
  <si>
    <t>HW-TPP-500PPI</t>
  </si>
  <si>
    <t>500ppi Tenprint and PalmPrint scanner: Cross Match 500</t>
  </si>
  <si>
    <t>HW-TP-500PPI</t>
  </si>
  <si>
    <t>500ppi TenPrint scanner: Cross Match Guardian</t>
  </si>
  <si>
    <t>HW-CMSServer</t>
  </si>
  <si>
    <t>Server Computer with Windows Server 2003 OS (or higher version), for use with CMS software, up to 5,000 transactions storage capacity</t>
  </si>
  <si>
    <t>HW-CMSServerStorUPGR</t>
  </si>
  <si>
    <t>CMS Archive Storage Hardware Upgrade - per additional 20,000 transactions.  Must purchase in conjunction with HW-CMSServer or CMS.</t>
  </si>
  <si>
    <t>SW-LS-ADD-TOT</t>
  </si>
  <si>
    <t>SW-LS200</t>
  </si>
  <si>
    <t>LS200 Applicant LiveScan Software License: single Type of Transaction (TOT), single submission package</t>
  </si>
  <si>
    <t>SW-LS-ADD-FBS</t>
  </si>
  <si>
    <t>Additional Flatbed Scanning Software, must be combined with LS-Series LiveScan system.</t>
  </si>
  <si>
    <t>SW-LS300</t>
  </si>
  <si>
    <t>LS 300 Criminal LiveScan Software License: single Type of Transaction (TOT), single submission package</t>
  </si>
  <si>
    <t>SW-LSINT1</t>
  </si>
  <si>
    <t>LiveScan data interface with foreign systems for one way data exchange (input or output) - $3,995 license fee minimum per interface</t>
  </si>
  <si>
    <t>SW-LSINT2</t>
  </si>
  <si>
    <t>LiveScan data interface with foreign systems for two way data exchange (input and output) - $4,995 license fee minimum per interface</t>
  </si>
  <si>
    <t>SW-LSID</t>
  </si>
  <si>
    <t>Software License to process identification (Driver's License, State ID's, etc…) for any LS-Series LiveScan system.</t>
  </si>
  <si>
    <t>SW-LSCON</t>
  </si>
  <si>
    <t>Additional Connectivity and/or Submission license for any LS-Series LiveScan system.</t>
  </si>
  <si>
    <t>SW-LSPC</t>
  </si>
  <si>
    <t>Integrated Photo Capture Software License for any LS-Series LiveScan system.</t>
  </si>
  <si>
    <t>SW-LSPS</t>
  </si>
  <si>
    <t>Printer Software License for Standard Print Formats for any LS-Series LiveScan system.</t>
  </si>
  <si>
    <t>SW-LSSC</t>
  </si>
  <si>
    <t>Integrated Signature Capture Software License for any LS-Series LiveScan system.</t>
  </si>
  <si>
    <t>LS-Series LiveScan System configuration</t>
  </si>
  <si>
    <t>SCVS-CFGINSTTRCMS</t>
  </si>
  <si>
    <t>CMS Server Basic Configuration, Installation &amp; Training (3 days on-site at any Contiguous US location)</t>
  </si>
  <si>
    <t>SCVS-CFGINSTTRLSADD</t>
  </si>
  <si>
    <t>LS Livescan Series Basic Configuration, Installation &amp; Training (Additional day add-on to SCVS-CFGINSTRLS)</t>
  </si>
  <si>
    <t>SCVS-CFGINSTTRLS</t>
  </si>
  <si>
    <t>LS Livescan Series Basic Configuration, Installation &amp; Training (1 day on-site at any Contiguous US location)</t>
  </si>
  <si>
    <t>SVCS-INST</t>
  </si>
  <si>
    <t>LS-4G Lite-Ue</t>
  </si>
  <si>
    <t>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t>
  </si>
  <si>
    <t>LS-4G-Guardian</t>
  </si>
  <si>
    <t>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</si>
  <si>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HW-UPG-Ue-500P</t>
  </si>
  <si>
    <t>Upgrade the Lite-Ue scanner of any LS-G4 system to a 500P scanner. Must purchase in conjunction with LS-4G Lite-Ue.</t>
  </si>
  <si>
    <t>No Charge</t>
  </si>
  <si>
    <t>HW-UPG-Xe-Guardian</t>
  </si>
  <si>
    <t>Upgrade the Lite-Xe scanner of any LS-G4 system to a Cross Match Guardian scanner. Must purchase in conjunction with LS-4G Lite-Xe.</t>
  </si>
  <si>
    <t>LS-4G-JKLite-Ue</t>
  </si>
  <si>
    <t>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t>
  </si>
  <si>
    <t>LS-4G-JKGuardian</t>
  </si>
  <si>
    <t>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</si>
  <si>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LS-4G-Lite-Xe</t>
  </si>
  <si>
    <t>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t>
  </si>
  <si>
    <t>SVCS-SOSLS-500P-JK</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</si>
  <si>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t>
  </si>
  <si>
    <t>SVCS-SOS-LS-500P</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</si>
  <si>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t>
  </si>
  <si>
    <t>SVCS-SR-LS-TPP-JK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</si>
  <si>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t>
  </si>
  <si>
    <t>SVCS-SOS-HW-TPP-1000PPI</t>
  </si>
  <si>
    <t>12 months on-site maintenance for 1000ppi Tenprint and PalmPrint scanner: Cross Match 1000PX</t>
  </si>
  <si>
    <t>SVCS-SOS-LS-Guardian-JK</t>
  </si>
  <si>
    <t>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t>
  </si>
  <si>
    <t>SVCS-SOS-CMS</t>
  </si>
  <si>
    <t>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t>
  </si>
  <si>
    <t>SVCS-SOS-HW-TPP-500PPI</t>
  </si>
  <si>
    <t>12 months on-site maintenance for 500ppi Tenprint and PalmPrint scanner: Cross Match 500P</t>
  </si>
  <si>
    <t>SVCS-SOS-LS-Guardian</t>
  </si>
  <si>
    <t>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t>
  </si>
  <si>
    <t>SVCS-SR-LS-Tenprint-JK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</si>
  <si>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t>
  </si>
  <si>
    <t>HW-UPG-Ue-1000PX</t>
  </si>
  <si>
    <t>Upgrade the Lite-Ue scanner of any LS-G4 system to a 1000PX scanner. Must purchase in conjunction with LS-4G Lite-Ue.</t>
  </si>
  <si>
    <t>SVCS-SW-SOS-CMSINT2</t>
  </si>
  <si>
    <t>12 months on-site support for LS Series Livescan, includes: help-desk support and software upgrades for CMS data interface with foreign systems for two way data exchange (input and output)</t>
  </si>
  <si>
    <t>SVCS-SW-SOS-CMS</t>
  </si>
  <si>
    <t>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</si>
  <si>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SVCS-SR-LS-TPP</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</si>
  <si>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t>
  </si>
  <si>
    <t>SVCS-SR-HW-TPP-1000PPI</t>
  </si>
  <si>
    <t>12 months remote maintenance and cross ship support for 1000ppi Tenprint and PalmPrint scanner: Cross Match 1000PX</t>
  </si>
  <si>
    <t>SVCS-SR-CMS</t>
  </si>
  <si>
    <t>12 months remote maintenance for CMS Server, including: help-desk support, software upgrades, and hardware cross ship support
Central Management Server Solution -for process up to 1,000 transactions per month, up to 10 LS-Series LiveScan systems, and up to 5,000 transaction archive storage.</t>
  </si>
  <si>
    <t>SVCS-SR-HW-TPP-500PPI</t>
  </si>
  <si>
    <t>12 months remote maintenance and cross ship support for 500ppi Tenprint and PalmPrint scanner: Cross Match 500P</t>
  </si>
  <si>
    <t>SVCS-SOS-HW-TP-500PPI</t>
  </si>
  <si>
    <t>12 months on-site maintenance for 500ppi TenPrint scanner: Cross Match Guardian</t>
  </si>
  <si>
    <t>SVCS-SR-LS-Tenprint</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</si>
  <si>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t>
  </si>
  <si>
    <t>SVCS-SW-SOS-CMSINT1</t>
  </si>
  <si>
    <t>12 months on-site support for LS Series Livescan, includes: help-desk support and software upgrades for CMS data interface with foreign systems for one way data exchange (input or output)</t>
  </si>
  <si>
    <t>SVCS-SW-SR-CMSINT2</t>
  </si>
  <si>
    <t>12 months remote support for LS Series Livescan, includes: help-desk support and software upgrades for CMS data interface with foreign systems for two way data exchange (input and output)</t>
  </si>
  <si>
    <t>SVCS-SW-SR-CMS</t>
  </si>
  <si>
    <t>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</si>
  <si>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SVCS-SOS-HW-RDLT</t>
  </si>
  <si>
    <t>12 months on-site maintenance for Rugged laptop Computer for LiveScan System Meets MIL-STD-810F, IP65</t>
  </si>
  <si>
    <t>SVCS-ACC-SOS-KIOSK</t>
  </si>
  <si>
    <t>12 months on-site support for LS400 ergonomically designed all steel cabinet for any LS-Series LiveScan system.</t>
  </si>
  <si>
    <t>SW-LS-ADD-PC</t>
  </si>
  <si>
    <t>SVCS-SW-SOS-LS200</t>
  </si>
  <si>
    <t>12 months on-site support for LS Series Livescan, includes: help-desk support and software upgrades for LS200 Applicant LiveScan Software License: single Type of Transaction (TOT), single submission package</t>
  </si>
  <si>
    <t>SVCS-SW-SOS-LS300</t>
  </si>
  <si>
    <t>12 months on-site support for LS Series Livescan, includes: help-desk support and software upgrades for LS 300 Criminal LiveScan Software License: single Type of Transaction (TOT), single submission package</t>
  </si>
  <si>
    <t>SVCS-SOS-HW-CMSServer</t>
  </si>
  <si>
    <t>12 months on-site maintenance for Server Computer with Windows Server 2003 OS (or higher version), for use with CMS software, up to 5,000 transactions storage capacity</t>
  </si>
  <si>
    <t>SVCS-SR-HW-TP-500PPI</t>
  </si>
  <si>
    <t>12 months remote maintenance and cross ship support for 500ppi TenPrint scanner: Cross Match Guardian</t>
  </si>
  <si>
    <t>SVCS-SW-SR-CMSINT1</t>
  </si>
  <si>
    <t>12 months remote support for LS Series Livescan, includes: help-desk support and software upgrades for CMS data interface with foreign systems for one way data exchange (input or output)</t>
  </si>
  <si>
    <t>SVCS-SW-SOS-LSPC</t>
  </si>
  <si>
    <t>12 months on-site support for LS Series Livescan, includes: help-desk support and software upgrades for Integrated Photo Capture Software License for any LS-Series LiveScan system.</t>
  </si>
  <si>
    <t>SVCS-SR-HW-RDLT</t>
  </si>
  <si>
    <t>12 months remote maintenance and cross ship support for Rugged laptop Computer for LiveScan System Meets MIL-STD-810F, IP65</t>
  </si>
  <si>
    <t>SVCS-ACC-SR-KIOSK</t>
  </si>
  <si>
    <t>12 months remote maintenance and cross ship support for LS400 ergonomically designed all steel cabinet for any LS-Series LiveScan system.</t>
  </si>
  <si>
    <t>SVCS-SW-SR-LS200</t>
  </si>
  <si>
    <t>12 months remote support for LS Series Livescan, includes: help-desk support and software upgrades for LS200 Applicant LiveScan Software License: single Type of Transaction (TOT), single submission package</t>
  </si>
  <si>
    <t>SVCS-SW-SR-LS300</t>
  </si>
  <si>
    <t>12 months remote support for LS Series Livescan, includes: help-desk support and software upgrades for LS 300 Criminal LiveScan Software License: single Type of Transaction (TOT), single submission package</t>
  </si>
  <si>
    <t>SVCS-SR-HW-CMSServer</t>
  </si>
  <si>
    <t>12 months remote maintenance and cross ship support for Server Computer with Windows Server 2003 OS (or higher version), for use with CMS software, up to 5,000 transactions storage capacity</t>
  </si>
  <si>
    <t>SVCS-SW-SR-LSPC</t>
  </si>
  <si>
    <t>12 months remote support for LS Series Livescan, includes: help-desk support and software upgrades for Integrated Photo Capture Software License for any LS-Series LiveScan system.</t>
  </si>
  <si>
    <t>SVCS-ACC-SOS-PD</t>
  </si>
  <si>
    <t>12 months on-site support for FBI Certified  Fingerprint Card Printer: Dual-Sided Printer</t>
  </si>
  <si>
    <t>SVCS-SW-SOS-CMS10CON</t>
  </si>
  <si>
    <t>12 months on-site support for LS Series Livescan, includes: help-desk support and software upgrades for 10 additional LiveScan connections license for CMS Software</t>
  </si>
  <si>
    <t>SVCS-SOS-HW-HPDT</t>
  </si>
  <si>
    <t>12 months on-site maintenance for High Performance Desktop Computer with 17" or larger LCD Monitor</t>
  </si>
  <si>
    <t>SVCS-SOS-HW-HPLT</t>
  </si>
  <si>
    <t>12 months on-site maintenance for High Performance Notebook Computer for LiveScan System</t>
  </si>
  <si>
    <t>SVCS-ACC-SOS-CAM</t>
  </si>
  <si>
    <t>12 months on-site support for Commercial-of-the-Shelf (COTS) High-Resolution Still Camera, integrated with Livescan Software</t>
  </si>
  <si>
    <t>SVCS-ACC-SOS-KIOSK-CE</t>
  </si>
  <si>
    <t>12 months on-site support for All steel camera enclosure for ACC-KIOSK, includes high-output ring flash</t>
  </si>
  <si>
    <t>SVCS-SW-SOS-LS-ADD-FBS</t>
  </si>
  <si>
    <t>12 months on-site support for LS Series Livescan, includes: help-desk support and software upgrades for Flatbed Scanning, must be combined with LS-Series LiveScan system.</t>
  </si>
  <si>
    <t>SVCS-SW-SOS-LS-ADD-PC</t>
  </si>
  <si>
    <t>12 months on-site support for LS Series Livescan, includes: help-desk support and software upgrades for Photo Capture, must be combined with LS-Series LiveScan system.</t>
  </si>
  <si>
    <t>SVCS-SW-SOS-LS-ADD-TOT</t>
  </si>
  <si>
    <t>12 months on-site support for LS Series Livescan, includes: help-desk support and software upgrades for Additional Type of Transaction (TOT), must be combined with LS-Series LiveScan system.</t>
  </si>
  <si>
    <t>SVCS-ACC-SOS-CC-L</t>
  </si>
  <si>
    <t>12 months on-site support for Large Pelican Case for LiveScan System (laptop only), with Anti-Static Foam Padding.</t>
  </si>
  <si>
    <t>SVCS-SOS-HW-DT</t>
  </si>
  <si>
    <t>12 months on-site maintenance for Desktop Computer for LiveScan system with 17" or larger LCD Monitor</t>
  </si>
  <si>
    <t>SVCS-SOS-HW-LT</t>
  </si>
  <si>
    <t>12 months on-site maintenance for Notebook Computer for LiveScan System</t>
  </si>
  <si>
    <t>SVCS-ACC-SOS-PS</t>
  </si>
  <si>
    <t>12 months on-site support for FBI Certified  Fingerprint Card Printer: Single-Sided Printer</t>
  </si>
  <si>
    <t>SVCS-ACC-SR-PD</t>
  </si>
  <si>
    <t>12 months remote maintenance and cross ship support for FBI Certified  Fingerprint Card Printer: Dual-Sided Printer</t>
  </si>
  <si>
    <t>SVCS-ACC-SOS-CC-M</t>
  </si>
  <si>
    <t>12 months on-site support for Medium Pelican Case for TPP LiveScan System (laptop only), with Anti-Static Foam Padding.</t>
  </si>
  <si>
    <t>SVCS-SW-SR-CMS10CON</t>
  </si>
  <si>
    <t>12 months remote support for LS Series Livescan, includes: help-desk support and software upgrades for 10 additional LiveScan connections license for CMS Software</t>
  </si>
  <si>
    <t>SVCS-SR-HW-HPDT</t>
  </si>
  <si>
    <t>12 months remote maintenance and cross ship support for High Performance Desktop Computer with 17" or larger LCD Monitor</t>
  </si>
  <si>
    <t>SVCS-SR-HW-HPLT</t>
  </si>
  <si>
    <t>12 months remote maintenance and cross ship support for High Performance Notebook Computer for LiveScan System</t>
  </si>
  <si>
    <t>SVCS-SW-SOS-CMS1000TP</t>
  </si>
  <si>
    <t>12 months on-site support for LS Series Livescan, includes: help-desk support and software upgrades for 1,000 additional monthly transaction throughput license for CMS Software</t>
  </si>
  <si>
    <t>SVCS-ACC-SR-CAM</t>
  </si>
  <si>
    <t>12 months remote maintenance and cross ship support for Commercial-of-the-Shelf (COTS) High-Resolution Still Camera, integrated with Livescan Software</t>
  </si>
  <si>
    <t>SVCS-ACC-SR-KIOSK-CE</t>
  </si>
  <si>
    <t>12 months remote maintenance and cross ship support for All steel camera enclosure for ACC-KIOSK, includes high-output ring flash</t>
  </si>
  <si>
    <t>SVCS-SW-SR-LS-ADD-FBS</t>
  </si>
  <si>
    <t>12 months remote support for LS Series Livescan, includes: help-desk support and software upgrades for Flatbed Scanning, must be combined with LS-Series LiveScan system.</t>
  </si>
  <si>
    <t>SVCS-SW-SR-LS-ADD-PC</t>
  </si>
  <si>
    <t>12 months remote support for LS Series Livescan, includes: help-desk support and software upgrades for Photo Capture, must be combined with LS-Series LiveScan system.</t>
  </si>
  <si>
    <t>SVCS-SW-SR-LS-ADD-TOT</t>
  </si>
  <si>
    <t>12 months remote support for LS Series Livescan, includes: help-desk support and software upgrades for Additional Type of Transaction (TOT), must be combined with LS-Series LiveScan system.</t>
  </si>
  <si>
    <t>SVCS-ACC-SOS-CC-S</t>
  </si>
  <si>
    <t>12 months on-site support for Small Pelican Case for TP LiveScan System (tenprint with laptop) with Anti-Static Foam Padding.</t>
  </si>
  <si>
    <t>SVCS-ACC-SOS-UPG-21T</t>
  </si>
  <si>
    <t>12 months on-site support for Upgrade to 21" Touch Screen LCD Monitor</t>
  </si>
  <si>
    <t>SVCS-SOS-HW-CMSServerStorUPGR</t>
  </si>
  <si>
    <t>12 months on-site maintenance for CMS Archive Storage Hardware Upgrade - per additional 20,000 transactions.</t>
  </si>
  <si>
    <t>SVCS-ACC-SR-CC-L</t>
  </si>
  <si>
    <t>12 months remote maintenance and cross ship support for Large Pelican Case for LiveScan System (laptop only), with Anti-Static Foam Padding.</t>
  </si>
  <si>
    <t>SVCS-SR-HW-DT</t>
  </si>
  <si>
    <t>12 months remote maintenance and cross ship support for Desktop Computer for LiveScan system with 17" or larger LCD Monitor</t>
  </si>
  <si>
    <t>SVCS-SR-HW-LT</t>
  </si>
  <si>
    <t>12 months remote maintenance and cross ship support for Notebook Computer for LiveScan System</t>
  </si>
  <si>
    <t>SVCS-ACC-SOS-SigPad</t>
  </si>
  <si>
    <t>12 months on-site support for Digital Signature Pad</t>
  </si>
  <si>
    <t>SVCS-ACC-SR-PS</t>
  </si>
  <si>
    <t>12 months remote maintenance and cross ship support for FBI Certified  Fingerprint Card Printer: Single-Sided Printer</t>
  </si>
  <si>
    <t>SVCS-ACC-SR-CC-M</t>
  </si>
  <si>
    <t>12 months remote maintenance and cross ship support for Medium Pelican Case for TPP LiveScan System (laptop only), with Anti-Static Foam Padding.</t>
  </si>
  <si>
    <t>SVCS-SW-SOS-LSINT2</t>
  </si>
  <si>
    <t>12 months on-site support for LS Series Livescan, includes: help-desk support and software upgrades for LiveScan data interface with foreign systems for two way data exchange (input and output) - Configuration fee may apply on low volume</t>
  </si>
  <si>
    <t>SVCS-ACC-SOS-BarC2</t>
  </si>
  <si>
    <t>12 months on-site support for 2D barcode reader</t>
  </si>
  <si>
    <t>SVCS-ACC-SOS-21T</t>
  </si>
  <si>
    <t>12 months on-site support for 21" Touch Screen LCD Monitor</t>
  </si>
  <si>
    <t>SVCS-SW-SR-CMS1000TP</t>
  </si>
  <si>
    <t>12 months remote support for LS Series Livescan, includes: help-desk support and software upgrades for 1,000 additional monthly transaction throughput license for CMS Software</t>
  </si>
  <si>
    <t>SVCS-SW-SOS-LSCON</t>
  </si>
  <si>
    <t>12 months on-site support for LS Series Livescan, includes: help-desk support and software upgrades for Additional Connectivity and/or Submission license for any LS-Series LiveScan system.</t>
  </si>
  <si>
    <t>SVCS-ACC-SR-CC-S</t>
  </si>
  <si>
    <t>12 months remote maintenance and cross ship support for Small Pelican Case for TP LiveScan System (tenprint with laptop) with Anti-Static Foam Padding.</t>
  </si>
  <si>
    <t>SVCS-ACC-SR-UPG-21T</t>
  </si>
  <si>
    <t>12 months remote maintenance and cross ship support for Upgrade to 21" Touch Screen LCD Monitor</t>
  </si>
  <si>
    <t>SVCS-SR-HW-CMSServerStorUPGR</t>
  </si>
  <si>
    <t>12 months remote maintenance and cross ship support for CMS Archive Storage Hardware Upgrade - per additional 20,000 transactions.</t>
  </si>
  <si>
    <t>SVCS-SW-SOS-CMS5000S</t>
  </si>
  <si>
    <t>12 months on-site support for LS Series Livescan, includes: help-desk support and software upgrades for 5,000 additional transaction storage for CMS Software.</t>
  </si>
  <si>
    <t>SVCS-SW-SOS-LSINT1</t>
  </si>
  <si>
    <t>12 months on-site support for LS Series Livescan, includes: help-desk support and software upgrades for LiveScan data interface with foreign systems for one way data exchange (input or output) - configuration fee may apply on low volume</t>
  </si>
  <si>
    <t>SVCS-SW-SOS-LSPS</t>
  </si>
  <si>
    <t>12 months on-site support for LS Series Livescan, includes: help-desk support and software upgrades for Printer Software License for Standard Print Formats for any LS-Series LiveScan system.</t>
  </si>
  <si>
    <t>SVCS-ACC-SR-SigPad</t>
  </si>
  <si>
    <t>12 months remote maintenance and cross ship support for Digital Signature Pad</t>
  </si>
  <si>
    <t>SVCS-SW-SR-LSINT2</t>
  </si>
  <si>
    <t>12 months remote support for LS Series Livescan, includes: help-desk support and software upgrades for LiveScan data interface with foreign systems for two way data exchange (input and output) - Configuration fee may apply on low volume</t>
  </si>
  <si>
    <t>SVCS-SW-SOS-LSID</t>
  </si>
  <si>
    <t>12 months on-site support for LS Series Livescan, includes: help-desk support and software upgrades for Software License to process identification (Driver's License, State ID's, etc…) for any LS-Series LiveScan system.</t>
  </si>
  <si>
    <t>SVCS-ACC-SR-BarC2</t>
  </si>
  <si>
    <t>12 months remote maintenance and cross ship support for 2D barcode reader</t>
  </si>
  <si>
    <t>SVCS-ACC-SOS-BarC1</t>
  </si>
  <si>
    <t>12 months on-site support for 1D barcode reader</t>
  </si>
  <si>
    <t>SVCS-ACC-SR-21T</t>
  </si>
  <si>
    <t>12 months remote maintenance and cross ship support for 21" Touch Screen LCD Monitor</t>
  </si>
  <si>
    <t>SVCS-ACC-SOS-USB-PEDAL</t>
  </si>
  <si>
    <t>12 months on-site support for USB Foot Pedal for hands free operation</t>
  </si>
  <si>
    <t>SVCS-SW-SR-LSCON</t>
  </si>
  <si>
    <t>12 months remote support for LS Series Livescan, includes: help-desk support and software upgrades for Additional Connectivity and/or Submission license for any LS-Series LiveScan system.</t>
  </si>
  <si>
    <t>SVCS-SW-SR-CMS5000S</t>
  </si>
  <si>
    <t>12 months remote support for LS Series Livescan, includes: help-desk support and software upgrades for 5,000 additional transaction storage for CMS Software.</t>
  </si>
  <si>
    <t>SVCS-SW-SR-LSINT1</t>
  </si>
  <si>
    <t>12 months remote support for LS Series Livescan, includes: help-desk support and software upgrades for LiveScan data interface with foreign systems for one way data exchange (input or output) - configuration fee may apply on low volume</t>
  </si>
  <si>
    <t>SVCS-SW-SR-LSPS</t>
  </si>
  <si>
    <t>12 months remote support for LS Series Livescan, includes: help-desk support and software upgrades for Printer Software License for Standard Print Formats for any LS-Series LiveScan system.</t>
  </si>
  <si>
    <t>SVCS-SW-SR-LSID</t>
  </si>
  <si>
    <t>12 months remote support for LS Series Livescan, includes: help-desk support and software upgrades for Software License to process identification (Driver's License, State ID's, etc…) for any LS-Series LiveScan system.</t>
  </si>
  <si>
    <t>SVCS-ACC-SR-BarC1</t>
  </si>
  <si>
    <t>12 months remote maintenance and cross ship support for 1D barcode reader</t>
  </si>
  <si>
    <t>SVCS-ACC-SR-USB-PEDAL</t>
  </si>
  <si>
    <t>12 months remote maintenance and cross ship support for USB Foot Pedal for hands free operation</t>
  </si>
  <si>
    <t>SVCS-ACC-SOS-Mag</t>
  </si>
  <si>
    <t>12 months on-site support for USB Magstripe Reader for Driver License</t>
  </si>
  <si>
    <t>SVCS-SW-SOS-LSSC</t>
  </si>
  <si>
    <t>12 months on-site support for LS Series Livescan, includes: help-desk support and software upgrades for Integrated Signature Capture Software License for any LS-Series LiveScan system.</t>
  </si>
  <si>
    <t>SVCS-ACC-SR-Mag</t>
  </si>
  <si>
    <t>12 months remote maintenance and cross ship support for USB Magstripe Reader for Driver License</t>
  </si>
  <si>
    <t>SVCS-SW-SR-LSSC</t>
  </si>
  <si>
    <t>12 months remote support for LS Series Livescan, includes: help-desk support and software upgrades for Integrated Signature Capture Software License for any LS-Series LiveScan system.</t>
  </si>
  <si>
    <t>Product/Model Number</t>
  </si>
  <si>
    <t>Product Description</t>
  </si>
  <si>
    <t>Unit of Measurement</t>
  </si>
  <si>
    <t>Category / Group (identifier if applicable)</t>
  </si>
  <si>
    <t>List Price / MSRP</t>
  </si>
  <si>
    <t>Percentage Discount</t>
  </si>
  <si>
    <t>Each</t>
  </si>
  <si>
    <t>Systems</t>
  </si>
  <si>
    <t>Hardware</t>
  </si>
  <si>
    <t>LS4G - Cabinet ergonomically designed all steel cabinet for any LS-Series LiveScan system.</t>
  </si>
  <si>
    <t>Tripod to mount camera, and ring flash with software integration into LS4G mugshot SW</t>
  </si>
  <si>
    <t>Tripod to mount camera</t>
  </si>
  <si>
    <t>Small Pelican Case for TP LiveScan System (tenprint with laptop) with Anti- Static Foam Padding.</t>
  </si>
  <si>
    <t>USB Magstrip Reader for Driver License</t>
  </si>
  <si>
    <t>1000ppi Tenprint and PalmPrint scanner: Crossmatch 1000 (Palm)</t>
  </si>
  <si>
    <t>Crossmatch 500 ppi TenPrint scanner: Crossmatch Guardian</t>
  </si>
  <si>
    <t>Crossmatch 500 ppi Tenprint and PalmPrint scanner: Crossmatch 500 (Palm)</t>
  </si>
  <si>
    <t>500ppi TenPrint scanner: Suprema G10</t>
  </si>
  <si>
    <t>500ppi TenPrint scanner: IBT Kojak</t>
  </si>
  <si>
    <t xml:space="preserve">500ppi TenPrint scanner: Crossmatch Patrol (Non-TAA) </t>
  </si>
  <si>
    <t>500ppi TenPrint and PalmPrint scanner: Suprema Real Scan F</t>
  </si>
  <si>
    <t>HW-UPG-21T</t>
  </si>
  <si>
    <t>High Performance Computer Upgrade for LiveScan System (mandatory for 1,000ppi operation, optional for Crossmatch 500 ppi)</t>
  </si>
  <si>
    <t>LS-4G-1000</t>
  </si>
  <si>
    <t>LS4G LiveScan System: LiveScan software license, single Type of Transaction (TOT), descriptor entry, picklist configuration, fingerprint capture, single submission, basic user management, basic transaction management, computer (desktop or laptop), Crossmatch 1000 (Palm) scanner, system configuration and setup, and ground shipping.</t>
  </si>
  <si>
    <t>LS-4G-500</t>
  </si>
  <si>
    <t>LS4G LiveScan System: LiveScan software license, single Type of Transaction (TOT), descriptor entry, picklist configuration, fingerprint capture, single submission, basic user management, basic transaction management, computer (desktop or laptop), Crossmatch 500 (Palm) scanner, system configuration and setup, and ground shipping.</t>
  </si>
  <si>
    <t>Software</t>
  </si>
  <si>
    <t>LS4G Applicant LiveScan Software License: single Type of Transaction (TOT), single submission package</t>
  </si>
  <si>
    <t>LS4G Criminal LiveScan Software License: single Type of Transaction (TOT), single submission package</t>
  </si>
  <si>
    <t>LS4G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</si>
  <si>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LS-4G-JK-1000</t>
  </si>
  <si>
    <t>LS4G LiveScan System: LiveScan software license, single Type of Transaction (TOT), descriptor entry, picklist configuration, fingerprint capture, single submission, basic user management, basic transaction management, semi-rugged laptop computer, Crossmatch 1000 (Palm)  scanner, military grade roller case with anti-static foam, system configuration and setup, and ground shipping.</t>
  </si>
  <si>
    <t>LS-4G-JK-500</t>
  </si>
  <si>
    <t>LS4G LiveScan System: LiveScan software license, single Type of Transaction (TOT), descriptor entry, picklist configuration, fingerprint capture, single submission, basic user management, basic transaction management, semi-rugged laptop computer, Crossmatch 500 (Palm) scanner, military grade roller case with anti-static foam, system configuration and setup, and ground shipping.</t>
  </si>
  <si>
    <t>LS-4G-JK-Guardian</t>
  </si>
  <si>
    <t>LS4G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</si>
  <si>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Services</t>
  </si>
  <si>
    <t>Trip</t>
  </si>
  <si>
    <t>Session</t>
  </si>
  <si>
    <t>SCVS-SW-SR-CMS-PS-9-5-M-F</t>
  </si>
  <si>
    <t>12 months 9 to 5, Monday to Friday remote maintenance for Printer Software License for Standard Print Formats for any LS-Series LiveScan system.</t>
  </si>
  <si>
    <t>SVCS-ACC-SOS-21T-9-5-M-F</t>
  </si>
  <si>
    <t>12 months 9 to 5, Monday to Friday on-site support for 21" Touch Screen LCD Monitor</t>
  </si>
  <si>
    <t>Year</t>
  </si>
  <si>
    <t>Hardware Maint</t>
  </si>
  <si>
    <t>SVCS-ACC-SOS-BarC1-9-5-M-F</t>
  </si>
  <si>
    <t>12 months 9 to 5, Monday to Friday on-site support for 1D barcode reader</t>
  </si>
  <si>
    <t>SVCS-ACC-SOS-BarC2-9-5-M-F</t>
  </si>
  <si>
    <t>12 months 9 to 5, Monday to Friday on-site support for 2D barcode reader</t>
  </si>
  <si>
    <t>SVCS-ACC-SOS-CAM-9-5-M-F</t>
  </si>
  <si>
    <t>12 months 9 to 5, Monday to Friday on-site support for Commercial-of-the- Shelf (COTS) High-Resolution Still Camera, integrated with Livescan Software</t>
  </si>
  <si>
    <t>SVCS-ACC-SOS-CC-L-9-5-M-F</t>
  </si>
  <si>
    <t>12 months 9 to 5, Monday to Friday on-site support for Large Pelican Case for LiveScan System (laptop only), with Anti-Static Foam Padding.</t>
  </si>
  <si>
    <t>SVCS-ACC-SOS-CC-M-9-5-M-F</t>
  </si>
  <si>
    <t>12 months 9 to 5, Monday to Friday on-site support for Medium Pelican Case for TPP LiveScan System (laptop only), with Anti-Static Foam Padding.</t>
  </si>
  <si>
    <t>SVCS-ACC-SOS-CC-S-9-5-M-F</t>
  </si>
  <si>
    <t>12 months 9 to 5, Monday to Friday on-site support for Small Pelican Case for TP LiveScan System (tenprint with laptop) with Anti-Static Foam Padding.</t>
  </si>
  <si>
    <t>SVCS-ACC-SOS-KIOSK-9-5-M-F</t>
  </si>
  <si>
    <t>12 months 9 to 5, Monday to Friday on-site support for LS400 ergonomically designed all steel cabinet for any LS-Series LiveScan system.</t>
  </si>
  <si>
    <t>SVCS-ACC-SOS-KIOSK-CE-9-5-M- F</t>
  </si>
  <si>
    <t>12 months 9 to 5, Monday to Friday on-site support for All steel camera enclosure for ACC-KIOSK, includes high-output ring flash</t>
  </si>
  <si>
    <t>SVCS-ACC-SOS-Mag-9-5-M-F</t>
  </si>
  <si>
    <t>12 months 9 to 5, Monday to Friday on-site support for USB Magstripe Reader for Driver License</t>
  </si>
  <si>
    <t>SVCS-ACC-SOS-PD-9-5-M-F</t>
  </si>
  <si>
    <t>12 months 9 to 5, Monday to Friday on-site support for FBI Certified Fingerprint Card Printer: Dual-Sided Printer</t>
  </si>
  <si>
    <t>SVCS-ACC-SOS-PS-9-5-M-F</t>
  </si>
  <si>
    <t>12 months 9 to 5, Monday to Friday on-site support for FBI Certified Fingerprint Card Printer: Single-Sided Printer</t>
  </si>
  <si>
    <t>SVCS-ACC-SOS-SigPad-9-5-M-F</t>
  </si>
  <si>
    <t>12 months 9 to 5, Monday to Friday on-site support for Digital Signature Pad</t>
  </si>
  <si>
    <t>SVCS-ACC-SOS-TRI-9-5-M-F</t>
  </si>
  <si>
    <t>12 months 9 to 5, Monday to Friday on-site maintenance and cross ship support for Tripod to mount camera</t>
  </si>
  <si>
    <t>SVCS-ACC-SOS-TRI-RFL-9-5-M-F</t>
  </si>
  <si>
    <t>12 months 9 to 5, Monday to Friday on-site maintenance and cross ship support for tripod to mount camera, and ring flash with software integration into LS200 mugshot SW</t>
  </si>
  <si>
    <t>SVCS-ACC-SOS-UPG-21T-9-5-M- F</t>
  </si>
  <si>
    <t>12 months 9 to 5, Monday to Friday on-site support for Upgrade to 21" Touch Screen LCD Monitor</t>
  </si>
  <si>
    <t>SVCS-ACC-SOS-USB-PEDAL-9-5- M-F</t>
  </si>
  <si>
    <t>12 months 9 to 5, Monday to Friday on-site support for USB Foot Pedal for hands free operation</t>
  </si>
  <si>
    <t>SVCS-ACC-SR-21T-24/7</t>
  </si>
  <si>
    <t>12 months 24/7 remote maintenance and cross ship support for 21" Touch Screen LCD Monitor</t>
  </si>
  <si>
    <t>SVCS-ACC-SR-21T-9-5-M-F</t>
  </si>
  <si>
    <t>12 months 9 to 5, Monday to Friday remote maintenance and cross ship support for 21" Touch Screen LCD Monitor</t>
  </si>
  <si>
    <t>SVCS-ACC-SR-BarC1-24/7</t>
  </si>
  <si>
    <t>12 months 24/7 remote maintenance and cross ship support for 1D barcode reader</t>
  </si>
  <si>
    <t>SVCS-ACC-SR-BarC1-9-5-M-F</t>
  </si>
  <si>
    <t>12 months 9 to 5, Monday to Friday remote maintenance and cross ship support for 1D barcode reader</t>
  </si>
  <si>
    <t>SVCS-ACC-SR-BarC2-24/7</t>
  </si>
  <si>
    <t>12 months 24/7 remote maintenance and cross ship support for 2D barcode reader</t>
  </si>
  <si>
    <t>SVCS-ACC-SR-BarC2-9-5-M-F</t>
  </si>
  <si>
    <t>12 months 9 to 5, Monday to Friday remote maintenance and cross ship support for 2D barcode reader</t>
  </si>
  <si>
    <t>SVCS-ACC-SR-CAM-24/7</t>
  </si>
  <si>
    <t>12 months 24/7 remote maintenance and cross ship support for Commercial-of-the-Shelf (COTS) High-Resolution Still Camera, integrated with Livescan Software</t>
  </si>
  <si>
    <t>SVCS-ACC-SR-CAM-9-5-M-F</t>
  </si>
  <si>
    <t>12 months 9 to 5, Monday to Friday remote maintenance and cross ship support for Commercial-of-the-Shelf (COTS) High-Resolution Still Camera, integrated with Livescan Software</t>
  </si>
  <si>
    <t>SVCS-ACC-SR-CC-L-24/7</t>
  </si>
  <si>
    <t>12 months 24/7 remote maintenance and cross ship support for Large Pelican Case for LiveScan System (laptop only), with Anti-Static Foam Padding.</t>
  </si>
  <si>
    <t>SVCS-ACC-SR-CC-L-9-5-M-F</t>
  </si>
  <si>
    <t>12 months 9 to 5, Monday to Friday remote maintenance and cross ship support for Large Pelican Case for LiveScan System (laptop only), with Anti- Static Foam Padding.</t>
  </si>
  <si>
    <t>SVCS-ACC-SR-CC-M-24/7</t>
  </si>
  <si>
    <t>12 months 24/7 remote maintenance and cross ship support for Medium Pelican Case for TPP LiveScan System (laptop only), with Anti-Static Foam Padding.</t>
  </si>
  <si>
    <t>SVCS-ACC-SR-CC-M-9-5-M-F</t>
  </si>
  <si>
    <t>12 months 9 to 5, Monday to Friday remote maintenance and cross ship support for Medium Pelican Case for TPP LiveScan System (laptop only), with Anti-Static Foam Padding.</t>
  </si>
  <si>
    <t>SVCS-ACC-SR-CC-S-24/7</t>
  </si>
  <si>
    <t>12 months 24/7 remote maintenance and cross ship support for Small Pelican Case for TP LiveScan System (tenprint with laptop) with Anti-Static Foam Padding.</t>
  </si>
  <si>
    <t>SVCS-ACC-SR-CC-S-9-5-M-F</t>
  </si>
  <si>
    <t>12 months 9 to 5, Monday to Friday remote maintenance and cross ship support for Small Pelican Case for TP LiveScan System (tenprint with laptop) with Anti-Static Foam Padding.</t>
  </si>
  <si>
    <t>SVCS-ACC-SR-KIOSK-24/7</t>
  </si>
  <si>
    <t>12 months 24/7 remote maintenance and cross ship support for LS400 ergonomically designed all steel cabinet for any LS-Series LiveScan system.</t>
  </si>
  <si>
    <t>SVCS-ACC-SR-KIOSK-9-5-M-F</t>
  </si>
  <si>
    <t>12 months 9 to 5, Monday to Friday remote maintenance and cross ship support for LS400 ergonomically designed all steel cabinet for any LS-Series LiveScan system.</t>
  </si>
  <si>
    <t>SVCS-ACC-SR-KIOSK-CE-24/7</t>
  </si>
  <si>
    <t>12 months 24/7 remote maintenance and cross ship support for All steel camera enclosure for ACC-KIOSK, includes high-output ring flash</t>
  </si>
  <si>
    <t>SVCS-ACC-SR-KIOSK-CE-9-5-M-F</t>
  </si>
  <si>
    <t>12 months 9 to 5, Monday to Friday remote maintenance and cross ship support for All steel camera enclosure for ACC-KIOSK, includes high-output ring flash</t>
  </si>
  <si>
    <t>SVCS-ACC-SR-Mag-24/7</t>
  </si>
  <si>
    <t>12 months 24/7 remote maintenance and cross ship support for USB Magstripe Reader for Driver License</t>
  </si>
  <si>
    <t>SVCS-ACC-SR-Mag-9-5-M-F</t>
  </si>
  <si>
    <t>12 months 9 to 5, Monday to Friday remote maintenance and cross ship support for USB Magstripe Reader for Driver License</t>
  </si>
  <si>
    <t>SVCS-ACC-SR-PD-24/7</t>
  </si>
  <si>
    <t>12 months 24/7 remote maintenance and cross ship support for FBI Certified  Fingerprint Card Printer: Dual-Sided Printer</t>
  </si>
  <si>
    <t>SVCS-ACC-SR-PD-9-5-M-F</t>
  </si>
  <si>
    <t>12 months 9 to 5, Monday to Friday remote maintenance and cross ship support for FBI Certified  Fingerprint Card Printer: Dual-Sided Printer</t>
  </si>
  <si>
    <t>SVCS-ACC-SR-PS-24/7</t>
  </si>
  <si>
    <t>12 months 24/7 remote maintenance and cross ship support for FBI Certified  Fingerprint Card Printer: Single-Sided Printer</t>
  </si>
  <si>
    <t>SVCS-ACC-SR-PS-9-5-M-F</t>
  </si>
  <si>
    <t>12 months 9 to 5, Monday to Friday remote maintenance and cross ship support for FBI Certified  Fingerprint Card Printer: Single-Sided Printer</t>
  </si>
  <si>
    <t>SVCS-ACC-SR-SigPad-24/7</t>
  </si>
  <si>
    <t>12 months 24/7 remote maintenance and cross ship support for Digital Signature Pad</t>
  </si>
  <si>
    <t>SVCS-ACC-SR-SigPad-9-5-M-F</t>
  </si>
  <si>
    <t>12 months 9 to 5, Monday to Friday remote maintenance and cross ship support for Digital Signature Pad</t>
  </si>
  <si>
    <t>SVCS-ACC-SR-TRI-24/7</t>
  </si>
  <si>
    <t>12 months 24/7 remote maintenance and cross ship support for  Tripod to mount camera</t>
  </si>
  <si>
    <t>SVCS-ACC-SR-TRI-9-5-M-F</t>
  </si>
  <si>
    <t>12 months 9 to 5, Monday to Friday remote maintenance and cross ship support for Tripod to mount camera</t>
  </si>
  <si>
    <t>SVCS-ACC-SR-TRI-RFL-9-5-M-F</t>
  </si>
  <si>
    <t>12 months 9 to 5, Monday to Friday remote maintenance and cross ship support for Tripod to mount camera, and ring flash with software integration into LS200 mugshot SW</t>
  </si>
  <si>
    <t>SVCS-ACC-SR-UPG-21T-24/7</t>
  </si>
  <si>
    <t>12 months 24/7 remote maintenance and cross ship support for Upgrade to 21" Touch Screen LCD Monitor</t>
  </si>
  <si>
    <t>SVCS-ACC-SR-UPG-21T-9-5-M-F</t>
  </si>
  <si>
    <t>12 months 9 to 5, Monday to Friday remote maintenance and cross ship support for Upgrade to 21" Touch Screen LCD Monitor</t>
  </si>
  <si>
    <t>SVCS-ACC-SR-USB-PEDAL-24/7</t>
  </si>
  <si>
    <t>12 months 24/7 remote maintenance and cross ship support for USB Foot Pedal for hands free operation</t>
  </si>
  <si>
    <t>SVCS-ACC-SR-USB-PEDAL-9-5-M- F</t>
  </si>
  <si>
    <t>12 months 9 to 5, Monday to Friday remote maintenance and cross ship support for USB Foot Pedal for hands free operation</t>
  </si>
  <si>
    <t>Hour</t>
  </si>
  <si>
    <t>SVCS-SOS-CMS-9-5-M-F</t>
  </si>
  <si>
    <t>12 months 9 to 5, Monday to Friday on-site maintenance for CMS Server (Contiguous US), including: help-desk support, software upgrades, and hardware support</t>
  </si>
  <si>
    <t>System Maint</t>
  </si>
  <si>
    <t>SVCS-SOS-HW-CMSServer-9-5- M-F</t>
  </si>
  <si>
    <t>12 months 9 to 5, Monday to Friday on-site maintenance for Server Computer with Windows Server 2003 OS (or higher version), for use with CMS software, up to 5,000 transactions storage capacity</t>
  </si>
  <si>
    <t>SVCS-SOS-HW-CMSServerStorUPGR-9-5-M-F</t>
  </si>
  <si>
    <t>12 months 9 to 5, Monday to Friday on-site maintenance for CMS Archive Storage Hardware Upgrade - per additional 20,000 transactions.</t>
  </si>
  <si>
    <t>SVCS-SOS-HW-DT-9-5-M-F</t>
  </si>
  <si>
    <t>12 months 9 to 5, Monday to Friday on-site maintenance for Desktop Computer for LiveScan system with 17" or larger LCD Monitor</t>
  </si>
  <si>
    <t>SVCS-SOS-HW-HPDT-9-5-M-F</t>
  </si>
  <si>
    <t>12 months 9 to 5, Monday to Friday on-site maintenance for High Performance Desktop Computer with 17" or larger LCD Monitor</t>
  </si>
  <si>
    <t>SVCS-SOS-HW-HPLT-9-5-M-F</t>
  </si>
  <si>
    <t>12 months 9 to 5, Monday to Friday on-site maintenance for High Performance Notebook Computer for LiveScan System</t>
  </si>
  <si>
    <t>SVCS-SOS-HW-LT-9-5-M-F</t>
  </si>
  <si>
    <t>12 months 9 to 5, Monday to Friday on-site maintenance for Notebook Computer for LiveScan System</t>
  </si>
  <si>
    <t>SVCS-SOS-HW-RDLT-9-5-M-F</t>
  </si>
  <si>
    <t>12 months 9 to 5, Monday to Friday on-site maintenance for Rugged laptop Computer for LiveScan System Meets MIL-STD-810F, IP65</t>
  </si>
  <si>
    <t>SVCS-SOS-HW-TP-500PPI-9-5-M- F</t>
  </si>
  <si>
    <t>12 months 9 to 5, Monday to Friday on-site maintenance for 500ppi TenPrint scanner: Cross Match Guardian</t>
  </si>
  <si>
    <t>SVCS-SOS-HW-TPP-1000PPI-9-5- M-F</t>
  </si>
  <si>
    <t>12 months 9 to 5, Monday to Friday on-site maintenance for 1000ppi Tenprint and PalmPrint scanner: Cross Match 1000PX</t>
  </si>
  <si>
    <t>SVCS-SOS-HW-TPP-500PPI-9-5- M-F</t>
  </si>
  <si>
    <t>12 months 9 to 5, Monday to Friday on-site maintenance for 500ppi Tenprint and PalmPrint scanner: Cross Match 500P</t>
  </si>
  <si>
    <t>SVCS-SOS-LS-1000PX-9-5-M-F</t>
  </si>
  <si>
    <t>12 months 9 to 5, Monday to Friday on-site support for LS Series Livescan, includes: help-desk support, software upgrades, and hardware support.</t>
  </si>
  <si>
    <t>SVCS-SOS-LS-1000PX-JK-9-5-M-F</t>
  </si>
  <si>
    <t>SVCS-SOS-LS-500P-9-5-M-F</t>
  </si>
  <si>
    <t>SVCS-SOS-LS-500P-JK-9-5-M-F</t>
  </si>
  <si>
    <t>SVCS-SOS-LS-Guardian-9-5-M-F</t>
  </si>
  <si>
    <t>SVCS-SOS-LS-Guardian-JK-9-5-M- F</t>
  </si>
  <si>
    <t>SVCS-SR-CMS-24/7</t>
  </si>
  <si>
    <t>12 months 24/7 remote maintenance for CMS Server, including: help-desk support, software upgrades, and hardware cross ship support</t>
  </si>
  <si>
    <t>SVCS-SR-CMS-9-5-M-F</t>
  </si>
  <si>
    <t>12 months 9 to 5, Monday to Friday remote maintenance for CMS Server, including: help-desk support, software upgrades, and hardware cross ship support</t>
  </si>
  <si>
    <t>SVCS-SR-HW-CMSServer-24/7</t>
  </si>
  <si>
    <t>12 months 24/7 remote maintenance and cross ship support for Server Computer with Windows Server 2003 OS (or higher version), for use with CMS software, up to 5,000 transactions storage capacity</t>
  </si>
  <si>
    <t>SVCS-SR-HW-CMSServer-9-5-M- F</t>
  </si>
  <si>
    <t>12 months 9 to 5, Monday to Friday remote maintenance and cross ship support for Server Computer with Windows Server 2003 OS (or higher version), for use with CMS software, up to 5,000 transactions storage capacity</t>
  </si>
  <si>
    <t>SVCS-SR-HW-CMSServerStorUPGR-24/7</t>
  </si>
  <si>
    <t>12 months 24/7 remote maintenance and cross ship support for CMS Archive Storage Hardware Upgrade - per additional 20,000 transactions.</t>
  </si>
  <si>
    <t>SVCS-SR-HW-CMSServerStorUPGR-9-5-M-F</t>
  </si>
  <si>
    <t>12 months 9 to 5, Monday to Friday remote maintenance and cross ship support for CMS Archive Storage Hardware Upgrade - per additional 20,000 transactions.</t>
  </si>
  <si>
    <t>SVCS-SR-HW-DT-24/7</t>
  </si>
  <si>
    <t>12 months 24/7 remote maintenance and cross ship support for Desktop Computer for LiveScan system with 17" or larger LCD Monitor</t>
  </si>
  <si>
    <t>SVCS-SR-HW-DT-9-5-M-F</t>
  </si>
  <si>
    <t>12 months 9 to 5, Monday to Friday remote maintenance and cross ship support for Desktop Computer for LiveScan system with 17" or larger LCD Monitor</t>
  </si>
  <si>
    <t>SVCS-SR-HW-HPDT-24/7</t>
  </si>
  <si>
    <t>12 months 24/7 remote maintenance and cross ship support for High Performance Desktop Computer with 17" or larger LCD Monitor</t>
  </si>
  <si>
    <t>SVCS-SR-HW-HPDT-9-5-M-F</t>
  </si>
  <si>
    <t>12 months 9 to 5, Monday to Friday remote maintenance and cross ship support for High Performance Desktop Computer with 17" or larger LCD Monitor</t>
  </si>
  <si>
    <t>SVCS-SR-HW-HPLT-24/7</t>
  </si>
  <si>
    <t>12 months 24/7 remote maintenance and cross ship support for High Performance Notebook Computer for LiveScan System</t>
  </si>
  <si>
    <t>SVCS-SR-HW-HPLT-9-5-M-F</t>
  </si>
  <si>
    <t>12 months 9 to 5, Monday to Friday remote maintenance and cross ship support for High Performance Notebook Computer for LiveScan System</t>
  </si>
  <si>
    <t>SVCS-SR-HW-LT-24/7</t>
  </si>
  <si>
    <t>12 months 24/7 remote maintenance and cross ship support for Notebook Computer for LiveScan System</t>
  </si>
  <si>
    <t>SVCS-SR-HW-LT-9-5-M-F</t>
  </si>
  <si>
    <t>12 months 9 to 5, Monday to Friday remote maintenance and cross ship support for Notebook Computer for LiveScan System</t>
  </si>
  <si>
    <t>SVCS-SR-HW-RDLT-24/7</t>
  </si>
  <si>
    <t>12 months 24/7 remote maintenance and cross ship support for Rugged laptop Computer for LiveScan System Meets MIL-STD-810F, IP65</t>
  </si>
  <si>
    <t>SVCS-SR-HW-RDLT-9-5-M-F</t>
  </si>
  <si>
    <t>12 months 9 to 5, Monday to Friday remote maintenance and cross ship support for Rugged laptop Computer for LiveScan System Meets MIL-STD- 810F, IP65</t>
  </si>
  <si>
    <t>SVCS-SR-HW-TP-500PPI-24/7</t>
  </si>
  <si>
    <t>12 months 24/7 remote maintenance and cross ship support for 500ppi TenPrint scanner: Cross Match Guardian</t>
  </si>
  <si>
    <t>SVCS-SR-HW-TP-500PPI-9-5-M-F</t>
  </si>
  <si>
    <t>12 months 9 to 5, Monday to Friday remote maintenance and cross ship support for 500ppi TenPrint scanner: Cross Match Guardian</t>
  </si>
  <si>
    <t>SVCS-SR-HW-TPP-1000PPI-24/7</t>
  </si>
  <si>
    <t>12 months 24/7 remote maintenance and cross ship support for 1000ppi Tenprint and PalmPrint scanner: Cross Match 1000PX</t>
  </si>
  <si>
    <t>SVCS-SR-HW-TPP-1000PPI-9-5- M-F</t>
  </si>
  <si>
    <t>12 months 9 to 5, Monday to Friday remote maintenance and cross ship support for 1000ppi Tenprint and PalmPrint scanner: Cross Match 1000PX</t>
  </si>
  <si>
    <t>SVCS-SR-HW-TPP-1000PX-24/7</t>
  </si>
  <si>
    <t>12 months 24/7 remote support for LS Series Livescan, includes: help-desk support, software upgrades, and hardware cross ship support.</t>
  </si>
  <si>
    <t>SVCS-SR-HW-TPP-500PPI-24/7</t>
  </si>
  <si>
    <t>12 months 24/7 remote maintenance and cross ship support for 500ppi Tenprint and PalmPrint scanner: Cross Match 500P</t>
  </si>
  <si>
    <t>SVCS-SR-HW-TPP-500PPI-9-5-M- F</t>
  </si>
  <si>
    <t>12 months 9 to 5, Monday to Friday remote maintenance and cross ship support for 500ppi Tenprint and PalmPrint scanner: Cross Match 500P</t>
  </si>
  <si>
    <t>SVCS-SR-HW-TPP-JK-1000PX- 24/7</t>
  </si>
  <si>
    <t>SVCS-SR-HW-TPP-JK-1000PX-9-5 M-F</t>
  </si>
  <si>
    <t>12 months 9 to 5, Monday to Friday remote support for LS Series Livescan, includes: help-desk support, software upgrades, and hardware cross ship support.</t>
  </si>
  <si>
    <t>SVCS-SR-LS-Tenprint-24/7</t>
  </si>
  <si>
    <t>SVCS-SR-LS-Tenprint-9-5-M-F</t>
  </si>
  <si>
    <t>SVCS-SR-LS-Tenprint-JK-24/7</t>
  </si>
  <si>
    <t>SVCS-SR-LS-Tenprint-JK-9-5-M-F</t>
  </si>
  <si>
    <t>SVCS-SR-LS-TPP-1000PX-9-5-M- F</t>
  </si>
  <si>
    <t>SVCS-SR-LS-TPP-500P-24/7</t>
  </si>
  <si>
    <t>SVCS-SR-LS-TPP-500P-9-5-M-F</t>
  </si>
  <si>
    <t>SVCS-SR-LS-TPP-JK-500P-24/7</t>
  </si>
  <si>
    <t>SVCS-SR-LS-TPP-JK-500P-9-5-M- F</t>
  </si>
  <si>
    <t>SVCS-SW-SOS-CMS1000TP-9-5- M-F</t>
  </si>
  <si>
    <t>12 months 9 to 5, Monday to Friday on-site support for LS Series Livescan, includes: help-desk support and software upgrades for 1,000 additional monthly transaction throughput license for CMS Software</t>
  </si>
  <si>
    <t>Software Maint</t>
  </si>
  <si>
    <t>SVCS-SW-SOS-CMS10CON-9-5- M-F</t>
  </si>
  <si>
    <t>12 months 9 to 5, Monday to Friday on-site support for LS Series Livescan, includes: help-desk support and software upgrades for 10 additional LiveScan connections license for CMS Software</t>
  </si>
  <si>
    <t>SVCS-SW-SOS-CMS5000S-9-5-M- F</t>
  </si>
  <si>
    <t>12 months 9 to 5, Monday to Friday on-site support for LS Series Livescan, includes: help-desk support and software upgrades for 5,000 additional transaction storage for CMS Software.</t>
  </si>
  <si>
    <t>SVCS-SW-SOS-CMS-9-5-M-F</t>
  </si>
  <si>
    <t>12 months 9 to 5, Monday to Friday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</si>
  <si>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SVCS-SW-SOS-CMSINT1-9-5-M-F</t>
  </si>
  <si>
    <t>12 months 9 to 5, Monday to Friday on-site support for LS Series Livescan, includes: help-desk support and software upgrades for CMS data interface with foreign systems for one way data exchange (input or output)</t>
  </si>
  <si>
    <t>SVCS-SW-SOS-CMSINT2-9-5-M-F</t>
  </si>
  <si>
    <t>12 months 9 to 5, Monday to Friday on-site support for LS Series Livescan, includes: help-desk support and software upgrades for CMS data interface with foreign systems for two way data exchange (input and output)</t>
  </si>
  <si>
    <t>SVCS-SW-SOS-CMS-SPS-9-5-M-F</t>
  </si>
  <si>
    <t>12 months 9 to 5, Monday to Friday on-site maintenance support for Printer Software License for Standard Print Formats for any LS-Series LiveScan system.</t>
  </si>
  <si>
    <t>SVCS-SW-SOS-LS200-9-5-M-F</t>
  </si>
  <si>
    <t>12 months 9 to 5, Monday to Friday on-site support for LS Series Livescan, includes: help-desk support and software upgrades for LS200 Applicant LiveScan Software License: single Type of Transaction (TOT), single submission package</t>
  </si>
  <si>
    <t>SVCS-SW-SOS-LS300-9-5-M-F</t>
  </si>
  <si>
    <t>12 months 9 to 5, Monday to Friday on-site support for LS Series Livescan, includes: help-desk support and software upgrades for LS 300 Criminal LiveScan Software License: single Type of Transaction (TOT), single submission package</t>
  </si>
  <si>
    <t>SVCS-SW-SOS-LS-ADD-FBS-9-5- M-F</t>
  </si>
  <si>
    <t>12 months 9 to 5, Monday to Friday on-site support for LS Series Livescan, includes: help-desk support and software upgrades for Flatbed Scanning, must be combined with LS-Series LiveScan system.</t>
  </si>
  <si>
    <t>SVCS-SW-SOS-LS-ADD-PC-9-5-M- F</t>
  </si>
  <si>
    <t>12 months 9 to 5, Monday to Friday on-site support for LS Series Livescan, includes: help-desk support and software upgrades for Photo Capture, must be combined with LS-Series LiveScan system.</t>
  </si>
  <si>
    <t>SVCS-SW-SOS-LS-ADD-TOT-9-5- M-F</t>
  </si>
  <si>
    <t>12 months 9 to 5, Monday to Friday on-site support for LS Series Livescan, includes: help-desk support and software upgrades for Additional Type of Transaction (TOT), must be combined with LS-Series LiveScan system.</t>
  </si>
  <si>
    <t>SVCS-SW-SOS-LSCON-9-5-M-F</t>
  </si>
  <si>
    <t>12 months 9 to 5, Monday to Friday on-site support for LS Series Livescan, includes: help-desk support and software upgrades for Additional Connectivity and/or Submission license for any LS-Series LiveScan system.</t>
  </si>
  <si>
    <t>SVCS-SW-SOS-LSID-9-5-M-F</t>
  </si>
  <si>
    <t>12 months 9 to 5, Monday to Friday on-site support for LS Series Livescan, includes: help-desk support and software upgrades for Software License to process identification (Driver's License, State ID's, etc…) for any LS-Series LiveScan system.</t>
  </si>
  <si>
    <t>SVCS-SW-SOS-LSINT1-9-5-M-F</t>
  </si>
  <si>
    <t>12 months 9 to 5, Monday to Friday on-site support for LS Series Livescan, includes: help-desk support and software upgrades for LiveScan data interface with foreign systems for one way data exchange (input or output) - configuration fee may apply on low volume</t>
  </si>
  <si>
    <t>SVCS-SW-SOS-LSINT2-9-5-M-F</t>
  </si>
  <si>
    <t>12 months 9 to 5, Monday to Friday on-site support for LS Series Livescan, includes: help-desk support and software upgrades for LiveScan data interface with foreign systems for two way data exchange (input and output) - Configuration fee may apply on low volume</t>
  </si>
  <si>
    <t>SVCS-SW-SOS-LSPC-9-5-M-F</t>
  </si>
  <si>
    <t>12 months 9 to 5, Monday to Friday on-site support for LS Series Livescan, includes: help-desk support and software upgrades for Integrated Photo Capture Software License for any LS-Series LiveScan system.</t>
  </si>
  <si>
    <t>SVCS-SW-SOS-LSPS-9-5-M-F</t>
  </si>
  <si>
    <t>12 months 9 to 5, Monday to Friday on-site support for LS Series Livescan, includes: help-desk support and software upgrades for Printer Software License for Standard Print Formats for any LS-Series LiveScan system.</t>
  </si>
  <si>
    <t>SVCS-SW-SOS-LSSC-9-5-M-F</t>
  </si>
  <si>
    <t>12 months 9 to 5, Monday to Friday on-site support for LS Series Livescan, includes: help-desk support and software upgrades for Integrated Signature Capture Software License for any LS-Series LiveScan system.</t>
  </si>
  <si>
    <t>SVCS-SW-SR-CMS1000TP-24/7</t>
  </si>
  <si>
    <t>12 months 24/7 remote support for LS Series Livescan, includes: help-desk support and software upgrades for 1,000 additional monthly transaction throughput license for CMS Software</t>
  </si>
  <si>
    <t>SVCS-SW-SR-CMS1000TP-9-5-M- F</t>
  </si>
  <si>
    <t>12 months 9 to 5, Monday to Friday remote support for LS Series Livescan, includes: help-desk support and software upgrades for 1,000 additional monthly transaction throughput license for CMS Software</t>
  </si>
  <si>
    <t>SVCS-SW-SR-CMS10CON-24/7</t>
  </si>
  <si>
    <t>12 months 24/7 remote support for LS Series Livescan, includes: help-desk support and software upgrades for 10 additional LiveScan connections license for CMS Software</t>
  </si>
  <si>
    <t>SVCS-SW-SR-CMS10CON-9-5-M- F</t>
  </si>
  <si>
    <t>12 months 9 to 5, Monday to Friday remote support for LS Series Livescan, includes: help-desk support and software upgrades for 10 additional LiveScan connections license for CMS Software</t>
  </si>
  <si>
    <t>SVCS-SW-SR-CMS-24/7</t>
  </si>
  <si>
    <t>12 months 24/7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</si>
  <si>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SVCS-SW-SR-CMS5000S-24/7</t>
  </si>
  <si>
    <t>12 months 24/7 remote support for LS Series Livescan, includes: help-desk support and software upgrades for 5,000 additional transaction storage for CMS Software.</t>
  </si>
  <si>
    <t>SVCS-SW-SR-CMS5000S-9-5-M-F</t>
  </si>
  <si>
    <t>12 months 9 to 5, Monday to Friday remote support for LS Series Livescan, includes: help-desk support and software upgrades for 5,000 additional transaction storage for CMS Software.</t>
  </si>
  <si>
    <t>SVCS-SW-SR-CMS-9-5-M-F</t>
  </si>
  <si>
    <t>12 months 9 to 5, Monday to Friday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</si>
  <si>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SVCS-SW-SR-CMSINT1-24/7</t>
  </si>
  <si>
    <t>12 months 24/7 remote support for LS Series Livescan, includes: help-desk support and software upgrades for CMS data interface with foreign systems for one way data exchange (input or output)</t>
  </si>
  <si>
    <t>SVCS-SW-SR-CMSINT1-9-5-M-F</t>
  </si>
  <si>
    <t>12 months 9 to 5, Monday to Friday remote support for LS Series Livescan, includes: help-desk support and software upgrades for CMS data interface with foreign systems for one way data exchange (input or output)</t>
  </si>
  <si>
    <t>SVCS-SW-SR-CMSINT2-24/7</t>
  </si>
  <si>
    <t>12 months 24/7 remote support for LS Series Livescan, includes: help-desk support and software upgrades for CMS data interface with foreign systems for two way data exchange (input and output)</t>
  </si>
  <si>
    <t>SVCS-SW-SR-CMSINT2-9-5-M-F</t>
  </si>
  <si>
    <t>12 months 9 to 5, Monday to Friday remote support for LS Series Livescan, includes: help-desk support and software upgrades for CMS data interface with foreign systems for two way data exchange (input and output)</t>
  </si>
  <si>
    <t>SVCS-SW-SR-CMS-PS-24/7</t>
  </si>
  <si>
    <t>12 months 24/7 remote maintenance and cross ship support Printer Software License for Standard Print Formats for any LS-Series LiveScan system.</t>
  </si>
  <si>
    <t>SVCS-SW-SR-LS200/24/7</t>
  </si>
  <si>
    <t>12 months 24/7 remote support for LS Series Livescan, includes: help-desk support and software upgrades for LS200 Applicant LiveScan Software License: single Type of Transaction (TOT), single submission package</t>
  </si>
  <si>
    <t>SVCS-SW-SR-LS200-9-5-M-F</t>
  </si>
  <si>
    <t>12 months 9 to 5, Monday to Friday remote support for LS Series Livescan, includes: help-desk support and software upgrades for LS200 Applicant LiveScan Software License: single Type of Transaction (TOT), single submission package</t>
  </si>
  <si>
    <t>SVCS-SW-SR-LS300-24/7</t>
  </si>
  <si>
    <t>12 months 24/7 remote support for LS Series Livescan, includes: help-desk support and software upgrades for LS 300 Criminal LiveScan Software License: single Type of Transaction (TOT), single submission package</t>
  </si>
  <si>
    <t>SVCS-SW-SR-LS300-9-5-M-F</t>
  </si>
  <si>
    <t>12 months 9 to 5, Monday to Friday remote support for LS Series Livescan, includes: help-desk support and software upgrades for LS 300 Criminal LiveScan Software License: single Type of Transaction (TOT), single submission package</t>
  </si>
  <si>
    <t>SVCS-SW-SR-LS-ADD-FBS-24/7</t>
  </si>
  <si>
    <t>12 months 24/7 remote support for LS Series Livescan, includes: help-desk support and software upgrades for Flatbed Scanning, must be combined with LS-Series LiveScan system.</t>
  </si>
  <si>
    <t>SVCS-SW-SR-LS-ADD-FBS-9-5-M- F</t>
  </si>
  <si>
    <t>12 months 9 to 5, Monday to Friday remote support for LS Series Livescan, includes: help-desk support and software upgrades for Flatbed Scanning, must be combined with LS-Series LiveScan system.</t>
  </si>
  <si>
    <t>SVCS-SW-SR-LS-ADD-PC-24/7</t>
  </si>
  <si>
    <t>12 months 24/7 remote support for LS Series Livescan, includes: help-desk support and software upgrades for Photo Capture, must be combined with LS-Series LiveScan system.</t>
  </si>
  <si>
    <t>SVCS-SW-SR-LS-ADD-PC-9-5-M- F</t>
  </si>
  <si>
    <t>12 months 9 to 5, Monday to Friday remote support for LS Series Livescan, includes: help-desk support and software upgrades for Photo Capture, must be combined with LS-Series LiveScan system.</t>
  </si>
  <si>
    <t>SVCS-SW-SR-LS-ADD-TOT-24/7</t>
  </si>
  <si>
    <t>12 months 24/7 remote support for LS Series Livescan, includes: help-desk support and software upgrades for Additional Type of Transaction (TOT), must be combined with LS-Series LiveScan system.</t>
  </si>
  <si>
    <t>SVCS-SW-SR-LS-ADD-TOT-9-5-M- F</t>
  </si>
  <si>
    <t>12 months 9 to 5, Monday to Friday remote support for LS Series Livescan, includes: help-desk support and software upgrades for Additional Type of Transaction (TOT), must be combined with LS-Series LiveScan system.</t>
  </si>
  <si>
    <t>SVCS-SW-SR-LSCON-24/7</t>
  </si>
  <si>
    <t>12 months 24/7 remote support for LS Series Livescan, includes: help-desk support and software upgrades for Additional Connectivity and/or Submission license for any LS-Series LiveScan system.</t>
  </si>
  <si>
    <t>SVCS-SW-SR-LSCON-9-5-M-F</t>
  </si>
  <si>
    <t>12 months 9 to 5, Monday to Friday remote support for LS Series Livescan, includes: help-desk support and software upgrades for Additional Connectivity and/or Submission license for any LS-Series LiveScan system.</t>
  </si>
  <si>
    <t>SVCS-SW-SR-LSID-24/7</t>
  </si>
  <si>
    <t>12 months 24/7 remote support for LS Series Livescan, includes: help-desk support and software upgrades for Software License to process identification (Driver's License, State ID's, etc…) for any LS-Series LiveScan system.</t>
  </si>
  <si>
    <t>SVCS-SW-SR-LSID-9-5-M-F</t>
  </si>
  <si>
    <t>12 months 9 to 5, Monday to Friday remote support for LS Series Livescan, includes: help-desk support and software upgrades for Software License to process identification (Driver's License, State ID's, etc…) for any LS-Series LiveScan system.</t>
  </si>
  <si>
    <t>SVCS-SW-SR-LSINT1-24/7</t>
  </si>
  <si>
    <t>12 months 24/7 remote support for LS Series Livescan, includes: help-desk support and software upgrades for LiveScan data interface with foreign systems for one way data exchange (input or output) - configuration fee may apply on low volume</t>
  </si>
  <si>
    <t>SVCS-SW-SR-LSINT1-9-5-M-F</t>
  </si>
  <si>
    <t>12 months 9 to 5, Monday to Friday remote support for LS Series Livescan, includes: help-desk support and software upgrades for LiveScan data interface with foreign systems for one way data exchange (input or output)</t>
  </si>
  <si>
    <t>SVCS-SW-SR-LSINT2-24/7</t>
  </si>
  <si>
    <t>12 months 24/7 remote support for LS Series Livescan, includes: help-desk support and software upgrades for LiveScan data interface with foreign systems for two way data exchange (input and output) - Configuration fee may apply on low volume</t>
  </si>
  <si>
    <t>SVCS-SW-SR-LSINT2-9-5-M-F</t>
  </si>
  <si>
    <t>12 months 9 to 5, Monday to Friday remote support for LS Series Livescan, includes: help-desk support and software upgrades for LiveScan data interface with foreign systems for two way data exchange (input and output) - Configuration fee may apply on low volume</t>
  </si>
  <si>
    <t>SVCS-SW-SR-LSPC-24/7</t>
  </si>
  <si>
    <t>12 months 24/7 remote support for LS Series Livescan, includes: help-desk support and software upgrades for Integrated Photo Capture Software License for any LS-Series LiveScan system.</t>
  </si>
  <si>
    <t>SVCS-SW-SR-LSPC-9-5-M-F</t>
  </si>
  <si>
    <t>12 months 9 to 5, Monday to Friday remote support for LS Series Livescan, includes: help-desk support and software upgrades for Integrated Photo Capture Software License for any LS-Series LiveScan system.</t>
  </si>
  <si>
    <t>SVCS-SW-SR-LSPS-24/7</t>
  </si>
  <si>
    <t>12 months 24/7 remote support for LS Series Livescan, includes: help-desk support and software upgrades for Printer Software License for Standard Print Formats for any LS-Series LiveScan system.</t>
  </si>
  <si>
    <t>SVCS-SW-SR-LSPS-9-5-M-F</t>
  </si>
  <si>
    <t>12 months 9 to 5, Monday to Friday remote support for LS Series Livescan, includes: help-desk support and software upgrades for Printer Software License for Standard Print Formats for any LS-Series LiveScan system.</t>
  </si>
  <si>
    <t>SVCS-SW-SR-LSSC-24/7</t>
  </si>
  <si>
    <t>12 months 24/7 remote support for LS Series Livescan, includes: help-desk support and software upgrades for Integrated Signature Capture Software License for any LS-Series LiveScan system.</t>
  </si>
  <si>
    <t>SVCS-SW-SR-LSSC-9-5-M-F</t>
  </si>
  <si>
    <t>12 months 9 to 5, Monday to Friday remote support for LS Series Livescan, includes: help-desk support and software upgrades for Integrated Signature Capture Software License for any LS-Series LiveScan system.</t>
  </si>
  <si>
    <t>SW-CMS-PS</t>
  </si>
  <si>
    <t>Printer Software License for Standard Print Formats for any CMS.</t>
  </si>
  <si>
    <t>NY Contract</t>
  </si>
  <si>
    <t>FL Contract</t>
  </si>
  <si>
    <t>LA Contract</t>
  </si>
  <si>
    <t>WA Contract</t>
  </si>
  <si>
    <t>Hardware-Cabinet-Parts-Dust Filter (120mm)</t>
  </si>
  <si>
    <t>HW-Cab-Filter120</t>
  </si>
  <si>
    <t>Hardware Cabinet Parts Dust Filter (120mm)</t>
  </si>
  <si>
    <t>HW - CABINET - Fan Filters</t>
  </si>
  <si>
    <t>Hardware-Cabinet-Parts-Dust Filter (80mm)</t>
  </si>
  <si>
    <t>HW-Cab-Filter80</t>
  </si>
  <si>
    <t>Hardware Cabinet Parts Dust Filter (80mm)</t>
  </si>
  <si>
    <t>Hardware-Cabinet-Parts-Enclosure Ball Mount</t>
  </si>
  <si>
    <t>HW-Cab-CamBoxBall</t>
  </si>
  <si>
    <t>Hardware Cabinet Parts Enclosure Ball Mount</t>
  </si>
  <si>
    <t>HW - CABINET - Scanner Mounting Screws</t>
  </si>
  <si>
    <t>Hardware-Cabinet-Parts-Height Adjustment Control Panel</t>
  </si>
  <si>
    <t>HW-Cab-CtrlPanel</t>
  </si>
  <si>
    <t>Hardware Cabinet Parts Height Adjustment Control Panel</t>
  </si>
  <si>
    <t>HW - CABINET - Control Panel</t>
  </si>
  <si>
    <t>Hardware-Cabinet-Parts-Monitor Mounting Bracket</t>
  </si>
  <si>
    <t>HW-Cab-Bracket</t>
  </si>
  <si>
    <t>Hardware Cabinet Parts Monitor Mounting Bracket</t>
  </si>
  <si>
    <t>HW - CABINET - Monitor Mounting Bracket</t>
  </si>
  <si>
    <t>Hardware-Cabinet-Parts-Motor Cable</t>
  </si>
  <si>
    <t>HW-Cab-MotorCable</t>
  </si>
  <si>
    <t>Hardware Cabinet Parts Motor Cable</t>
  </si>
  <si>
    <t>HW - CABINET - Motor Cable</t>
  </si>
  <si>
    <t>Hardware-Cabinet-Parts-Mounting Screw</t>
  </si>
  <si>
    <t>HW-Cab-Screw</t>
  </si>
  <si>
    <t>Hardware Cabinet Parts Mounting Screw</t>
  </si>
  <si>
    <t>Hardware-Cabinet-Parts-Power Leg</t>
  </si>
  <si>
    <t>HW-Cab-Leg</t>
  </si>
  <si>
    <t>Hardware Cabinet Parts Power Leg</t>
  </si>
  <si>
    <t>HW - CABINET - Legs</t>
  </si>
  <si>
    <t>Hardware-Cabinet-Parts-USB Exhaust Fan (80mm)</t>
  </si>
  <si>
    <t>HW-Cab-Fan80</t>
  </si>
  <si>
    <t>Hardware Cabinet Parts USB Exhaust Fan (80mm)</t>
  </si>
  <si>
    <t>HW - CABINET - Fans</t>
  </si>
  <si>
    <t>Hardware Cable USB A to B connector  (5 6ft)</t>
  </si>
  <si>
    <t>Hardware-Camera-Monopod</t>
  </si>
  <si>
    <t>HW-CamMonoPod</t>
  </si>
  <si>
    <t>Hardware Camera Monopod</t>
  </si>
  <si>
    <t>HW - CAMERA - Monopod</t>
  </si>
  <si>
    <t>Hardware-Camera-On-Camera Close Range Ring Flash</t>
  </si>
  <si>
    <t>HW-CamFlashRingS</t>
  </si>
  <si>
    <t>Hardware Camera On Camera Close Range Ring Flash</t>
  </si>
  <si>
    <t>Hardware-Camera-Package (DSLR Camera, Power Adapter, Tripod, On-lens Ring Flash)</t>
  </si>
  <si>
    <t>Hardware-Camera-Webcam</t>
  </si>
  <si>
    <t>Hardware Camera Webcam</t>
  </si>
  <si>
    <t>Hardware-Corn Husker Lotion</t>
  </si>
  <si>
    <t>HW-CornHusker</t>
  </si>
  <si>
    <t>Hardware Corn Husker Lotion</t>
  </si>
  <si>
    <t>HW - OTHER - Corn Husker Lotion</t>
  </si>
  <si>
    <t>Hardware-Crossmatch Silicon Pad 5 Pack</t>
  </si>
  <si>
    <t>Hardware Crossmatch Silicon Pad 5 Pack</t>
  </si>
  <si>
    <t>HW - OTHER - Cross Match Silicon Pad</t>
  </si>
  <si>
    <t>Hardware-Dual Lock (1" Square)</t>
  </si>
  <si>
    <t>HW-DualLock</t>
  </si>
  <si>
    <t>Hardware Dual Lock (1" Square)</t>
  </si>
  <si>
    <t>HW - OTHER - Dual Lock Velcro (1" Square)</t>
  </si>
  <si>
    <t>Hardware-Epson Flatbed Scanner</t>
  </si>
  <si>
    <t>Hardware Epson Flatbed Scanner</t>
  </si>
  <si>
    <t>Hardware-External Modem</t>
  </si>
  <si>
    <t>HW-ModemDT</t>
  </si>
  <si>
    <t>Hardware External Modem</t>
  </si>
  <si>
    <t>HW - OTHER - Modem</t>
  </si>
  <si>
    <t>Hardware-Firewire Card for Desktops</t>
  </si>
  <si>
    <t>Hardware-Firewire Card for Desktops with PCIe 1X interface</t>
  </si>
  <si>
    <t>HW-FW-DT-PCI1x</t>
  </si>
  <si>
    <t>Hardware Firewire Card for Desktops with PCIe 1X interface</t>
  </si>
  <si>
    <t>HW - OTHER - Firewire Card (PCIe 1X)</t>
  </si>
  <si>
    <t>Hardware-Firewire Card for Laptops</t>
  </si>
  <si>
    <t>HW-FW-LT</t>
  </si>
  <si>
    <t>Hardware Firewire Card for Laptops</t>
  </si>
  <si>
    <t>HW - OTHER - Firewire Card (Laptop)</t>
  </si>
  <si>
    <t>Hardware-Microfiber Cloth</t>
  </si>
  <si>
    <t>HW-Cloth</t>
  </si>
  <si>
    <t>Hardware Microfiber Cloth</t>
  </si>
  <si>
    <t>HW - OTHER - Micro Fiber Cloth</t>
  </si>
  <si>
    <t>Hardware-Printer-Duplex</t>
  </si>
  <si>
    <t>Hardware Printer Duplex (Basic)</t>
  </si>
  <si>
    <t>Hardware-Printer-Duplex (Heavy)</t>
  </si>
  <si>
    <t>Hardware Printer Duplex (Heavy Duty)</t>
  </si>
  <si>
    <t>Hardware-Printer-Simplex (Basic)</t>
  </si>
  <si>
    <t>Hardware Printer Simplex (Basic)</t>
  </si>
  <si>
    <t>Hardware-Printer-Simplex (Heavy Duty)</t>
  </si>
  <si>
    <t>Hardware-Sample Baby Wipes (1 Pack)</t>
  </si>
  <si>
    <t>HW-BabyWipe</t>
  </si>
  <si>
    <t>Hardware Sample Baby Wipes (1 Pack)</t>
  </si>
  <si>
    <t>HW - OTHER - Baby Wipes</t>
  </si>
  <si>
    <t>Hardware Scanner Crossmatch 1000 (USB Connector)</t>
  </si>
  <si>
    <t>Hardware-Scanner-Crossmatch 1000Px</t>
  </si>
  <si>
    <t>HW-Scan-1000Px</t>
  </si>
  <si>
    <t>Hardware Scanner Crossmatch 1000Px</t>
  </si>
  <si>
    <t>HW - SCANNER - Cross Match 1000Px</t>
  </si>
  <si>
    <t>Hardware Scanner Crossmatch 500 (USB Connector)</t>
  </si>
  <si>
    <t>Hardware-Scanner-Crossmatch 500P</t>
  </si>
  <si>
    <t>HW-Scan-500P</t>
  </si>
  <si>
    <t>Hardware Scanner Crossmatch 500P</t>
  </si>
  <si>
    <t>HW - SCANNER - Cross Match 500P</t>
  </si>
  <si>
    <t>Hardware Scanner Crossmatch Guardian 200</t>
  </si>
  <si>
    <t>HW - SCANNER - Cross Match Guardian MD</t>
  </si>
  <si>
    <t>Hardware Scanner Crossmatch Guardian Module</t>
  </si>
  <si>
    <t>HW - SCANNER - Cross Match Guardian Module</t>
  </si>
  <si>
    <t>Hardware-Scanner-Crossmatch Guardian USB</t>
  </si>
  <si>
    <t>HW-Scan-Guard</t>
  </si>
  <si>
    <t>Hardware Scanner Crossmatch Guardian USB</t>
  </si>
  <si>
    <t>HW - SCANNER - Cross Match Guardian USB</t>
  </si>
  <si>
    <t>Hardware Scanner Crossmatch Patrol</t>
  </si>
  <si>
    <t>HW - SCANNER - Cross Match Patrol</t>
  </si>
  <si>
    <t>Hardware-Scanner-Crossmatch Patrol (Non-TAA)  *** Not Available Yet</t>
  </si>
  <si>
    <t>Hardware Scanner Crossmatch Patrol (Non TAA)</t>
  </si>
  <si>
    <t>Hardware-Scanner-i3 DigID Mini</t>
  </si>
  <si>
    <t>Hardware Scanner i3 DigID Mini</t>
  </si>
  <si>
    <t>HW - SCANNER - i3 DigID Mini</t>
  </si>
  <si>
    <t>Hardware-Tie Strap (Medium)</t>
  </si>
  <si>
    <t>HW-TieStrapM</t>
  </si>
  <si>
    <t>Hardware Tie Strap (Medium)</t>
  </si>
  <si>
    <t>HW - CABINET - Tie Straps</t>
  </si>
  <si>
    <t>Hardware-Tie Strap (Small)</t>
  </si>
  <si>
    <t>HW-TieStrapS</t>
  </si>
  <si>
    <t>Hardware Tie Strap (Small)</t>
  </si>
  <si>
    <t>Hardware-USB Hub</t>
  </si>
  <si>
    <t>HW-USBHub</t>
  </si>
  <si>
    <t>Hardware USB Hub</t>
  </si>
  <si>
    <t>HW - OTHER - USB Hub</t>
  </si>
  <si>
    <t>Internal-Hardware-KVM</t>
  </si>
  <si>
    <t>INT-HW-KVM</t>
  </si>
  <si>
    <t>Internal Hardware KVM</t>
  </si>
  <si>
    <t>HW - OTHER - KVM</t>
  </si>
  <si>
    <t>Internal-Hardware-Mouse Pad</t>
  </si>
  <si>
    <t>INT-HW-MousePad</t>
  </si>
  <si>
    <t>Internal Hardware Mouse Pad</t>
  </si>
  <si>
    <t>HW - OTHER - Mouse Pad</t>
  </si>
  <si>
    <t>Internal-Hardware-Power Strip</t>
  </si>
  <si>
    <t>INT-HW-PowerStrip</t>
  </si>
  <si>
    <t>Internal Hardware Power Strip</t>
  </si>
  <si>
    <t>HW - POWER - Power Strip</t>
  </si>
  <si>
    <t>Internal-Hardware-Projector</t>
  </si>
  <si>
    <t>INT-HW-Projector</t>
  </si>
  <si>
    <t>Internal Hardware Projector</t>
  </si>
  <si>
    <t>HW - OTHER - Projector</t>
  </si>
  <si>
    <t>Services-Installation Session 4hrs (see Service Method for price)</t>
  </si>
  <si>
    <t>Services-Training-4hrs (see Service Method for price) Max 3 People</t>
  </si>
  <si>
    <t>System-ALL TOTs-Crossmatch 1000 Scanner-High Performance Desktop, Touch Screen-Photo Module-Camera-Tripod-Printing Module-Printer-Signature Pad-Magstrip</t>
  </si>
  <si>
    <r>
      <t xml:space="preserve">LS4G Criminal LiveScan System: LiveScan Software License, Criminal and Civil Type of Transactions (TOT), Submission to State/County, High-End Desktop Computer, 20"+ Touch-Screen, Mugshot Software License, DSLR Camera, Tripod, FBI Certified Printer Software, Signature Pad, Magstrip Driver's License Reader and Software, One Day On-Site Installation and Training, 3 Year 24/7 Warranty*. 
</t>
    </r>
    <r>
      <rPr>
        <b/>
        <sz val="11"/>
        <color theme="1"/>
        <rFont val="Calibri"/>
        <family val="2"/>
        <scheme val="minor"/>
      </rPr>
      <t>Cross Match 1000 (1000ppi Palm Scanner)</t>
    </r>
  </si>
  <si>
    <t>System-ALL TOTs-Crossmatch 500 Scanner-High Performance Desktop, Touch Screen-Photo Module-Camera-RingFlash-Cabinet-Printing Module-Printer-Signature Pad-Magstrip</t>
  </si>
  <si>
    <r>
      <t xml:space="preserve">LS4G Criminal LiveScan System: LiveScan Software License, Criminal and Civil Type of Transactions (TOT), Submission to State/County, High-End Desktop Computer, 20"+ Touch-Screen, Mugshot Software License, DSLR Camera, Ring Flash, Cabinet, FBI Certified Printer Software, Signature Pad, Magstrip Driver's License Reader and Software.
</t>
    </r>
    <r>
      <rPr>
        <b/>
        <sz val="11"/>
        <color theme="1"/>
        <rFont val="Calibri"/>
        <family val="2"/>
        <scheme val="minor"/>
      </rPr>
      <t>Cross Match 500 (1000ppi Palm Scanner)</t>
    </r>
  </si>
  <si>
    <t>System-ALL TOTs-Crossmatch 500 Scanner-High Performance Desktop, Touch Screen-Photo Module-Camera-Tripod-Printing Module-Printer-Signature Pad-Magstrip</t>
  </si>
  <si>
    <t>LS4G LiveScan System: LiveScan Software, Criminal and Civil Type of Transactions (TOT), Submission SW, High Performance Desktop, 20"+ Touch-Screen, Mugshot SW, DSLR Camera, Tripod, FBI Certified Printer SW, Signature Pad, Magstrip Driver's License Reader and Software.
Crossmatch 500 (500ppi Palm Scanner)</t>
  </si>
  <si>
    <t>System-ALL TOTs-Suprema RealScan F Scanner-High Performance Desktop, Touch Screen-Photo Module-Camera-Tripod-Printing Module-Printer-Signature Pad-Magstrip-ID Module</t>
  </si>
  <si>
    <t>LS4G LiveScan System: LiveScan Software, Criminal and Civil Type of Transactions (TOT), Submission SW, High Performance Desktop, 20"+ Touch-Screen, Mugshot SW, DSLR Camera, Tripod, FBI Certified Printer SW, Signature Pad, Magstrip Driver's License Reader and Software.
Suprema RealScan F (500ppi Palm Scanner)</t>
  </si>
  <si>
    <t>System-Applicant-LiveScan SW-Desktop Pro-Crossmatch Guardian 200 Scanner-Magstrip-ID Module</t>
  </si>
  <si>
    <t>Sys-App-DT-Patrol</t>
  </si>
  <si>
    <t>System-Applicant-LiveScan SW-Desktop Pro-i3 DigID Mini Scanner-Magstrip-ID Module</t>
  </si>
  <si>
    <t>LS4G Applicant | Standard Desktop Pro | i3 Mini | Magstrip Reader | 21"+ LED</t>
  </si>
  <si>
    <t>LS4G Applicant | Standard Desktop Home | Guardian 200 | Magstrip Reader | 21"+ LED</t>
  </si>
  <si>
    <t>System-Applicant-LiveScan SW-Laptop Home-i3 DigID Mini Scanner-Magstrip-ID Module</t>
  </si>
  <si>
    <t>Sys-App-LT i3</t>
  </si>
  <si>
    <t>LS4G Applicant | Standard Desktop Pro| i3 Mini | Magstrip Reader | 21"+ LED</t>
  </si>
  <si>
    <t>System-Single TOT-LiveScan SW-Desktop Pro-i3 DigID Mini Scanner</t>
  </si>
  <si>
    <t>Sys-1TOT-DT i3</t>
  </si>
  <si>
    <t>Standard Desktop | i3 Mini | Magstrip Reader | 21"+ LED</t>
  </si>
  <si>
    <t>System-Single TOT-LiveScan SW-Laptop Home-i3 DigID Mini Scanner</t>
  </si>
  <si>
    <t>Sys-1TOT-LT i3</t>
  </si>
  <si>
    <t>Standard Desktop Pro| i3 Mini | Magstrip Reader | 21"+ LED</t>
  </si>
  <si>
    <t>Command International Security Services</t>
  </si>
  <si>
    <t>(747) 366-0211</t>
  </si>
  <si>
    <t>Hossain | Amira</t>
  </si>
  <si>
    <t>manny@commandinternationalsecurity.com</t>
  </si>
  <si>
    <t>MID-VALLEY PROFESSIONAL BUILDING</t>
  </si>
  <si>
    <t>6819 Sepulveda Blvd, Van Nuys, CA 91405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</si>
</sst>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dd/yyyy"/>
    <numFmt numFmtId="165" formatCode="0.000%"/>
    <numFmt numFmtId="166" formatCode="0.0%"/>
    <numFmt numFmtId="167" formatCode="_(* #,##0_);_(* \(#,##0\);_(* &quot;-&quot;??_);_(@_)"/>
    <numFmt numFmtId="168" formatCode="yyyymmddhhmms"/>
    <numFmt numFmtId="169" formatCode="\(0.0%\)"/>
    <numFmt numFmtId="170" formatCode="_(&quot;$&quot;* #,##0_);_(&quot;$&quot;* \(#,##0\);_(&quot;$&quot;* &quot;-&quot;??_);_(@_)"/>
    <numFmt numFmtId="171" formatCode="\(0.00%\)"/>
    <numFmt numFmtId="172" formatCode="\(0.000%\)"/>
    <numFmt numFmtId="173" formatCode="[&lt;=9999999]###\-####;\(###\)\ ###\-####"/>
    <numFmt numFmtId="174" formatCode="m/d/yy;@"/>
    <numFmt numFmtId="175" formatCode="mm/dd/yy;@"/>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0"/>
      <color theme="1"/>
      <name val="Calibri"/>
      <family val="2"/>
      <scheme val="minor"/>
    </font>
    <font>
      <sz val="11"/>
      <color rgb="FF000000"/>
      <name val="Calibri"/>
      <family val="2"/>
      <scheme val="minor"/>
    </font>
    <font>
      <sz val="9"/>
      <color theme="1"/>
      <name val="Calibri"/>
      <family val="2"/>
      <scheme val="minor"/>
    </font>
    <font>
      <sz val="11"/>
      <color rgb="FFFF0000"/>
      <name val="Calibri"/>
      <family val="2"/>
      <scheme val="minor"/>
    </font>
    <font>
      <sz val="7"/>
      <color theme="1"/>
      <name val="Calibri"/>
      <family val="2"/>
      <scheme val="minor"/>
    </font>
    <font>
      <b/>
      <sz val="8"/>
      <name val="Calibri"/>
      <family val="2"/>
      <scheme val="minor"/>
    </font>
    <font>
      <sz val="8"/>
      <name val="arial"/>
      <family val="2"/>
    </font>
    <font>
      <b/>
      <sz val="10"/>
      <name val="Arial"/>
      <family val="2"/>
    </font>
    <font>
      <sz val="10"/>
      <color theme="1"/>
      <name val="Calibri"/>
      <family val="2"/>
      <scheme val="minor"/>
    </font>
    <font>
      <b/>
      <sz val="8"/>
      <color indexed="81"/>
      <name val="Calibri"/>
      <family val="2"/>
      <scheme val="minor"/>
    </font>
    <font>
      <sz val="11"/>
      <name val="Calibri"/>
      <family val="2"/>
      <scheme val="minor"/>
    </font>
    <font>
      <sz val="8"/>
      <name val="Calibri"/>
      <family val="2"/>
      <scheme val="minor"/>
    </font>
    <font>
      <b/>
      <sz val="9"/>
      <color theme="1"/>
      <name val="Calibri"/>
      <family val="2"/>
      <scheme val="minor"/>
    </font>
    <font>
      <b/>
      <sz val="12"/>
      <color indexed="81"/>
      <name val="Calibri"/>
      <family val="2"/>
      <scheme val="minor"/>
    </font>
    <font>
      <b/>
      <sz val="8"/>
      <color rgb="FFFF0000"/>
      <name val="Calibri"/>
      <family val="2"/>
      <scheme val="minor"/>
    </font>
    <font>
      <b/>
      <sz val="8"/>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1"/>
      <color theme="0"/>
      <name val="Calibri"/>
      <family val="2"/>
      <scheme val="minor"/>
    </font>
    <font>
      <b/>
      <sz val="9"/>
      <color theme="0"/>
      <name val="Calibri"/>
      <family val="2"/>
      <scheme val="minor"/>
    </font>
    <font>
      <b/>
      <sz val="6"/>
      <color theme="1"/>
      <name val="Calibri"/>
      <family val="2"/>
      <scheme val="minor"/>
    </font>
    <font>
      <sz val="9"/>
      <color indexed="81"/>
      <name val="Tahoma"/>
      <family val="2"/>
    </font>
    <font>
      <b/>
      <sz val="11"/>
      <name val="Arial"/>
      <family val="2"/>
    </font>
    <font>
      <sz val="11"/>
      <color rgb="FFC00000"/>
      <name val="Arial"/>
      <family val="2"/>
    </font>
    <font>
      <sz val="11"/>
      <color theme="1"/>
      <name val="Arial"/>
      <family val="2"/>
    </font>
    <font>
      <b/>
      <sz val="11"/>
      <color theme="1"/>
      <name val="Arial"/>
      <family val="2"/>
    </font>
    <font>
      <strike/>
      <sz val="11"/>
      <color rgb="FFC00000"/>
      <name val="Arial"/>
      <family val="2"/>
    </font>
    <font>
      <strike/>
      <sz val="11"/>
      <color theme="1"/>
      <name val="Arial"/>
      <family val="2"/>
    </font>
    <font>
      <sz val="11"/>
      <color theme="0"/>
      <name val="Calibri"/>
      <family val="2"/>
      <scheme val="minor"/>
    </font>
    <font>
      <b/>
      <sz val="11"/>
      <color indexed="81"/>
      <name val="Calibri"/>
      <family val="2"/>
      <scheme val="minor"/>
    </font>
    <font>
      <sz val="11"/>
      <color theme="0" tint="-4.9989318521683403E-2"/>
      <name val="Calibri"/>
      <family val="2"/>
      <scheme val="minor"/>
    </font>
    <font>
      <b/>
      <sz val="11"/>
      <color theme="0" tint="-0.249977111117893"/>
      <name val="Calibri"/>
      <family val="2"/>
      <scheme val="minor"/>
    </font>
    <font>
      <b/>
      <sz val="16"/>
      <color theme="1"/>
      <name val="Calibri"/>
      <family val="2"/>
      <scheme val="minor"/>
    </font>
    <font>
      <sz val="11"/>
      <color rgb="FFC00000"/>
      <name val="Calibri"/>
      <family val="2"/>
      <scheme val="minor"/>
    </font>
    <font>
      <b/>
      <u/>
      <sz val="12"/>
      <color theme="1"/>
      <name val="Calibri"/>
      <family val="2"/>
      <scheme val="minor"/>
    </font>
    <font>
      <b/>
      <sz val="8"/>
      <color theme="0"/>
      <name val="Calibri"/>
      <family val="2"/>
      <scheme val="minor"/>
    </font>
    <font>
      <sz val="10"/>
      <color rgb="FF000000"/>
      <name val="Times New Roman"/>
      <family val="1"/>
    </font>
    <font>
      <u/>
      <sz val="11"/>
      <color theme="10"/>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CFFCC"/>
        <bgColor indexed="64"/>
      </patternFill>
    </fill>
    <fill>
      <patternFill patternType="solid">
        <fgColor rgb="FFE1FAFF"/>
        <bgColor indexed="64"/>
      </patternFill>
    </fill>
    <fill>
      <patternFill patternType="solid">
        <fgColor rgb="FFFFFFCC"/>
      </patternFill>
    </fill>
    <fill>
      <patternFill patternType="solid">
        <fgColor rgb="FFFFFFCC"/>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rgb="FF00B050"/>
      </left>
      <right style="thin">
        <color indexed="64"/>
      </right>
      <top style="thick">
        <color rgb="FF00B050"/>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ck">
        <color rgb="FF00B050"/>
      </right>
      <top style="thick">
        <color rgb="FF00B050"/>
      </top>
      <bottom style="thin">
        <color indexed="64"/>
      </bottom>
      <diagonal/>
    </border>
    <border>
      <left style="thick">
        <color rgb="FF00B050"/>
      </left>
      <right style="thin">
        <color indexed="64"/>
      </right>
      <top style="thin">
        <color indexed="64"/>
      </top>
      <bottom style="thin">
        <color indexed="64"/>
      </bottom>
      <diagonal/>
    </border>
    <border>
      <left style="thin">
        <color indexed="64"/>
      </left>
      <right style="thick">
        <color rgb="FF00B050"/>
      </right>
      <top style="thin">
        <color indexed="64"/>
      </top>
      <bottom style="thin">
        <color indexed="64"/>
      </bottom>
      <diagonal/>
    </border>
    <border>
      <left style="thick">
        <color rgb="FF00B050"/>
      </left>
      <right style="thin">
        <color indexed="64"/>
      </right>
      <top style="thin">
        <color indexed="64"/>
      </top>
      <bottom style="thick">
        <color rgb="FF00B050"/>
      </bottom>
      <diagonal/>
    </border>
    <border>
      <left style="thin">
        <color indexed="64"/>
      </left>
      <right style="thin">
        <color indexed="64"/>
      </right>
      <top style="thin">
        <color indexed="64"/>
      </top>
      <bottom style="thick">
        <color rgb="FF00B050"/>
      </bottom>
      <diagonal/>
    </border>
    <border>
      <left style="thin">
        <color indexed="64"/>
      </left>
      <right style="thick">
        <color rgb="FF00B050"/>
      </right>
      <top style="thin">
        <color indexed="64"/>
      </top>
      <bottom style="thick">
        <color rgb="FF00B05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B050"/>
      </left>
      <right style="thick">
        <color rgb="FF00B050"/>
      </right>
      <top style="thick">
        <color rgb="FF00B050"/>
      </top>
      <bottom style="medium">
        <color indexed="64"/>
      </bottom>
      <diagonal/>
    </border>
    <border>
      <left style="thick">
        <color rgb="FF00B050"/>
      </left>
      <right style="thick">
        <color rgb="FF00B050"/>
      </right>
      <top style="medium">
        <color indexed="64"/>
      </top>
      <bottom style="medium">
        <color indexed="64"/>
      </bottom>
      <diagonal/>
    </border>
    <border>
      <left style="thick">
        <color rgb="FF00B050"/>
      </left>
      <right style="thick">
        <color rgb="FF00B050"/>
      </right>
      <top style="medium">
        <color indexed="64"/>
      </top>
      <bottom/>
      <diagonal/>
    </border>
    <border>
      <left style="thick">
        <color rgb="FF00B050"/>
      </left>
      <right style="thick">
        <color rgb="FF00B050"/>
      </right>
      <top/>
      <bottom/>
      <diagonal/>
    </border>
    <border>
      <left style="thick">
        <color rgb="FF00B050"/>
      </left>
      <right style="thick">
        <color rgb="FF00B050"/>
      </right>
      <top/>
      <bottom style="medium">
        <color indexed="64"/>
      </bottom>
      <diagonal/>
    </border>
    <border>
      <left style="thick">
        <color rgb="FF00B050"/>
      </left>
      <right style="thick">
        <color rgb="FF00B050"/>
      </right>
      <top style="medium">
        <color indexed="64"/>
      </top>
      <bottom style="thick">
        <color rgb="FF00B050"/>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ck">
        <color rgb="FF00B050"/>
      </left>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ck">
        <color rgb="FF00B050"/>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00B050"/>
      </left>
      <right/>
      <top style="medium">
        <color indexed="64"/>
      </top>
      <bottom style="thin">
        <color indexed="64"/>
      </bottom>
      <diagonal/>
    </border>
    <border>
      <left style="thick">
        <color rgb="FF00B050"/>
      </left>
      <right/>
      <top style="thin">
        <color indexed="64"/>
      </top>
      <bottom style="medium">
        <color indexed="64"/>
      </bottom>
      <diagonal/>
    </border>
    <border>
      <left style="thick">
        <color rgb="FF00B050"/>
      </left>
      <right/>
      <top style="thin">
        <color indexed="64"/>
      </top>
      <bottom style="thin">
        <color indexed="64"/>
      </bottom>
      <diagonal/>
    </border>
    <border>
      <left style="medium">
        <color indexed="64"/>
      </left>
      <right/>
      <top style="thin">
        <color indexed="64"/>
      </top>
      <bottom style="medium">
        <color indexed="64"/>
      </bottom>
      <diagonal/>
    </border>
  </borders>
  <cellStyleXfs count="18">
    <xf numFmtId="0" fontId="0" fillId="0" borderId="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12" borderId="50" applyNumberFormat="0" applyFont="0" applyAlignment="0" applyProtection="0"/>
    <xf numFmtId="0" fontId="45" fillId="0" borderId="0"/>
    <xf numFmtId="0" fontId="46" fillId="0" borderId="0" applyNumberFormat="0" applyFill="0" applyBorder="0" applyAlignment="0" applyProtection="0"/>
  </cellStyleXfs>
  <cellXfs count="430">
    <xf numFmtId="0" fontId="0" fillId="0" borderId="0" xfId="0"/>
    <xf numFmtId="0" fontId="0" fillId="0" borderId="0" xfId="0" applyAlignment="1">
      <alignment vertical="center"/>
    </xf>
    <xf numFmtId="0" fontId="0" fillId="0" borderId="0" xfId="0" applyAlignment="1">
      <alignment horizontal="center"/>
    </xf>
    <xf numFmtId="0" fontId="15" fillId="5" borderId="1" xfId="5" applyFont="1" applyFill="1" applyBorder="1" applyAlignment="1">
      <alignment vertical="center"/>
    </xf>
    <xf numFmtId="0" fontId="14" fillId="0" borderId="1" xfId="5" applyFont="1" applyBorder="1" applyAlignment="1">
      <alignment vertical="center" wrapText="1"/>
    </xf>
    <xf numFmtId="0" fontId="3" fillId="0" borderId="0" xfId="5" applyAlignment="1">
      <alignment vertical="center"/>
    </xf>
    <xf numFmtId="0" fontId="14" fillId="0" borderId="0" xfId="5" applyFont="1" applyAlignment="1">
      <alignment vertical="center" wrapText="1"/>
    </xf>
    <xf numFmtId="0" fontId="0" fillId="7" borderId="39" xfId="0" applyFill="1" applyBorder="1" applyAlignment="1" applyProtection="1">
      <alignment horizontal="left" vertical="center"/>
      <protection locked="0"/>
    </xf>
    <xf numFmtId="0" fontId="0" fillId="7" borderId="41" xfId="0" applyFill="1" applyBorder="1" applyAlignment="1" applyProtection="1">
      <alignment horizontal="left" vertical="center"/>
      <protection locked="0"/>
    </xf>
    <xf numFmtId="0" fontId="0" fillId="7" borderId="42" xfId="0" applyFill="1" applyBorder="1" applyAlignment="1" applyProtection="1">
      <alignment horizontal="left" vertical="center"/>
      <protection locked="0"/>
    </xf>
    <xf numFmtId="0" fontId="0" fillId="7" borderId="40" xfId="0" applyFill="1" applyBorder="1" applyAlignment="1" applyProtection="1">
      <alignment horizontal="left" vertical="center"/>
      <protection locked="0"/>
    </xf>
    <xf numFmtId="0" fontId="0" fillId="7" borderId="44" xfId="0" applyFill="1" applyBorder="1" applyAlignment="1" applyProtection="1">
      <alignment horizontal="left" vertical="center"/>
      <protection locked="0"/>
    </xf>
    <xf numFmtId="0" fontId="0" fillId="0" borderId="0" xfId="0" applyProtection="1">
      <protection locked="0"/>
    </xf>
    <xf numFmtId="0" fontId="2" fillId="4" borderId="2" xfId="0" applyFont="1" applyFill="1" applyBorder="1" applyAlignment="1">
      <alignment horizontal="right" vertical="center"/>
    </xf>
    <xf numFmtId="0" fontId="0" fillId="0" borderId="39" xfId="0" applyBorder="1" applyAlignment="1">
      <alignment horizontal="left" vertical="center"/>
    </xf>
    <xf numFmtId="0" fontId="0" fillId="4" borderId="15" xfId="0" applyFill="1" applyBorder="1"/>
    <xf numFmtId="0" fontId="2" fillId="0" borderId="0" xfId="0" applyFont="1"/>
    <xf numFmtId="0" fontId="2" fillId="4" borderId="5" xfId="0" applyFont="1" applyFill="1" applyBorder="1" applyAlignment="1">
      <alignment horizontal="right" vertical="center"/>
    </xf>
    <xf numFmtId="0" fontId="0" fillId="0" borderId="41" xfId="0" applyBorder="1" applyAlignment="1">
      <alignment horizontal="left" vertical="center"/>
    </xf>
    <xf numFmtId="9" fontId="0" fillId="4" borderId="16" xfId="12" applyFont="1" applyFill="1" applyBorder="1" applyAlignment="1">
      <alignment horizontal="left"/>
    </xf>
    <xf numFmtId="0" fontId="2" fillId="4" borderId="8" xfId="0" applyFont="1" applyFill="1" applyBorder="1" applyAlignment="1">
      <alignment horizontal="right" vertical="center"/>
    </xf>
    <xf numFmtId="0" fontId="0" fillId="0" borderId="42" xfId="0" applyBorder="1" applyAlignment="1">
      <alignment horizontal="left" vertical="center"/>
    </xf>
    <xf numFmtId="0" fontId="2" fillId="0" borderId="0" xfId="0" applyFont="1" applyAlignment="1">
      <alignment horizontal="left"/>
    </xf>
    <xf numFmtId="9" fontId="0" fillId="4" borderId="18" xfId="12" applyFont="1" applyFill="1" applyBorder="1" applyAlignment="1">
      <alignment horizontal="left"/>
    </xf>
    <xf numFmtId="0" fontId="0" fillId="0" borderId="43" xfId="0" applyBorder="1" applyAlignment="1">
      <alignment horizontal="left" vertical="center"/>
    </xf>
    <xf numFmtId="0" fontId="12" fillId="0" borderId="0" xfId="0" applyFont="1" applyAlignment="1">
      <alignment vertical="top" wrapText="1"/>
    </xf>
    <xf numFmtId="0" fontId="6" fillId="0" borderId="0" xfId="0" applyFont="1"/>
    <xf numFmtId="0" fontId="2" fillId="4" borderId="10" xfId="0" applyFont="1" applyFill="1" applyBorder="1" applyAlignment="1">
      <alignment horizontal="right" vertical="center"/>
    </xf>
    <xf numFmtId="166" fontId="1" fillId="0" borderId="43" xfId="12" applyNumberFormat="1"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2" fillId="0" borderId="0" xfId="0" applyFont="1" applyAlignment="1">
      <alignment horizontal="left" vertical="center"/>
    </xf>
    <xf numFmtId="0" fontId="5" fillId="4" borderId="19" xfId="0" applyFont="1" applyFill="1" applyBorder="1" applyAlignment="1">
      <alignment vertical="center"/>
    </xf>
    <xf numFmtId="0" fontId="2" fillId="4" borderId="20" xfId="0" applyFont="1" applyFill="1" applyBorder="1" applyAlignment="1">
      <alignment horizontal="left" vertical="center"/>
    </xf>
    <xf numFmtId="0" fontId="2" fillId="4" borderId="19" xfId="0" applyFont="1" applyFill="1" applyBorder="1" applyAlignment="1">
      <alignment vertical="center"/>
    </xf>
    <xf numFmtId="0" fontId="0" fillId="0" borderId="0" xfId="0" applyAlignment="1">
      <alignment horizontal="left" indent="2"/>
    </xf>
    <xf numFmtId="0" fontId="5" fillId="5" borderId="27" xfId="0" applyFont="1" applyFill="1" applyBorder="1" applyAlignment="1">
      <alignment horizontal="center"/>
    </xf>
    <xf numFmtId="0" fontId="5" fillId="5" borderId="28" xfId="0" applyFont="1" applyFill="1" applyBorder="1" applyAlignment="1">
      <alignment horizontal="center"/>
    </xf>
    <xf numFmtId="0" fontId="2" fillId="5" borderId="29" xfId="0" applyFont="1" applyFill="1" applyBorder="1" applyAlignment="1">
      <alignment horizontal="center"/>
    </xf>
    <xf numFmtId="0" fontId="5" fillId="5" borderId="30" xfId="0" applyFont="1" applyFill="1" applyBorder="1" applyAlignment="1">
      <alignment horizontal="center"/>
    </xf>
    <xf numFmtId="0" fontId="5" fillId="3" borderId="20" xfId="0" applyFont="1" applyFill="1" applyBorder="1" applyAlignment="1">
      <alignment horizontal="center" vertical="center"/>
    </xf>
    <xf numFmtId="0" fontId="0" fillId="4" borderId="27" xfId="0" applyFill="1" applyBorder="1" applyAlignment="1">
      <alignment vertical="center"/>
    </xf>
    <xf numFmtId="0" fontId="0" fillId="0" borderId="31" xfId="0" applyBorder="1" applyAlignment="1">
      <alignment vertical="center" wrapText="1"/>
    </xf>
    <xf numFmtId="1" fontId="0" fillId="0" borderId="1" xfId="13" applyNumberFormat="1" applyFont="1" applyBorder="1" applyAlignment="1">
      <alignment horizontal="center" vertical="center"/>
    </xf>
    <xf numFmtId="44" fontId="0" fillId="0" borderId="1" xfId="1" applyFont="1" applyBorder="1" applyAlignment="1">
      <alignment horizontal="left" vertical="center"/>
    </xf>
    <xf numFmtId="0" fontId="0" fillId="0" borderId="32" xfId="0" applyBorder="1" applyAlignment="1">
      <alignment vertical="center" wrapText="1"/>
    </xf>
    <xf numFmtId="0" fontId="16" fillId="0" borderId="24" xfId="0" applyFont="1" applyBorder="1" applyAlignment="1">
      <alignment horizontal="center" vertical="center"/>
    </xf>
    <xf numFmtId="44" fontId="10" fillId="0" borderId="1" xfId="1" applyFont="1" applyBorder="1" applyAlignment="1">
      <alignment horizontal="right" vertical="center"/>
    </xf>
    <xf numFmtId="44" fontId="0" fillId="0" borderId="1" xfId="1" applyFont="1" applyBorder="1" applyAlignment="1">
      <alignment vertical="center"/>
    </xf>
    <xf numFmtId="0" fontId="16" fillId="0" borderId="16" xfId="0" applyFont="1" applyBorder="1" applyAlignment="1">
      <alignment horizontal="center" vertical="center"/>
    </xf>
    <xf numFmtId="49" fontId="0" fillId="0" borderId="32" xfId="0" applyNumberFormat="1" applyBorder="1" applyAlignment="1">
      <alignment vertical="center" wrapText="1"/>
    </xf>
    <xf numFmtId="0" fontId="0" fillId="0" borderId="33" xfId="0" applyBorder="1" applyAlignment="1">
      <alignment vertical="center" wrapText="1"/>
    </xf>
    <xf numFmtId="1" fontId="0" fillId="0" borderId="34" xfId="13" applyNumberFormat="1" applyFont="1" applyBorder="1" applyAlignment="1">
      <alignment horizontal="center" vertical="center"/>
    </xf>
    <xf numFmtId="44" fontId="0" fillId="0" borderId="34" xfId="1" applyFont="1" applyBorder="1" applyAlignment="1">
      <alignment horizontal="left" vertical="center"/>
    </xf>
    <xf numFmtId="49" fontId="0" fillId="0" borderId="35" xfId="0" applyNumberFormat="1" applyBorder="1" applyAlignment="1">
      <alignment vertical="center" wrapText="1"/>
    </xf>
    <xf numFmtId="0" fontId="16" fillId="0" borderId="18" xfId="0" applyFont="1" applyBorder="1" applyAlignment="1">
      <alignment horizontal="center" vertical="center"/>
    </xf>
    <xf numFmtId="0" fontId="8"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right" vertical="center"/>
    </xf>
    <xf numFmtId="0" fontId="2" fillId="0" borderId="7" xfId="0" applyFont="1" applyBorder="1"/>
    <xf numFmtId="0" fontId="2" fillId="0" borderId="9" xfId="0" applyFont="1" applyBorder="1"/>
    <xf numFmtId="44" fontId="0" fillId="0" borderId="1" xfId="0" applyNumberFormat="1" applyBorder="1"/>
    <xf numFmtId="0" fontId="2" fillId="0" borderId="12" xfId="0" applyFont="1" applyBorder="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wrapText="1"/>
    </xf>
    <xf numFmtId="0" fontId="4" fillId="0" borderId="8" xfId="0" applyFont="1" applyBorder="1" applyAlignment="1">
      <alignment vertical="center" wrapText="1"/>
    </xf>
    <xf numFmtId="0" fontId="2" fillId="5" borderId="19" xfId="0" applyFont="1" applyFill="1" applyBorder="1" applyAlignment="1" applyProtection="1">
      <alignment vertical="center"/>
      <protection locked="0"/>
    </xf>
    <xf numFmtId="0" fontId="2" fillId="5" borderId="25" xfId="0" applyFont="1" applyFill="1" applyBorder="1" applyAlignment="1">
      <alignment vertical="center"/>
    </xf>
    <xf numFmtId="0" fontId="2" fillId="5" borderId="25" xfId="0" applyFont="1" applyFill="1" applyBorder="1" applyAlignment="1">
      <alignment horizontal="center" vertical="center"/>
    </xf>
    <xf numFmtId="0" fontId="2" fillId="5" borderId="20" xfId="0" applyFont="1" applyFill="1" applyBorder="1" applyAlignment="1">
      <alignment vertical="center"/>
    </xf>
    <xf numFmtId="0" fontId="0" fillId="0" borderId="23" xfId="0" applyBorder="1" applyAlignment="1" applyProtection="1">
      <alignment horizontal="left" vertical="center"/>
      <protection locked="0"/>
    </xf>
    <xf numFmtId="0" fontId="0" fillId="0" borderId="23" xfId="0" applyBorder="1" applyAlignment="1">
      <alignment horizontal="left" vertical="center"/>
    </xf>
    <xf numFmtId="0" fontId="0" fillId="0" borderId="1" xfId="0" applyBorder="1" applyAlignment="1">
      <alignment horizontal="center" vertical="center"/>
    </xf>
    <xf numFmtId="9" fontId="0" fillId="0" borderId="1" xfId="12" applyFont="1" applyBorder="1" applyAlignment="1">
      <alignment horizontal="center" vertical="center"/>
    </xf>
    <xf numFmtId="9" fontId="0" fillId="0" borderId="23" xfId="0" applyNumberFormat="1" applyBorder="1" applyAlignment="1">
      <alignment horizontal="center" vertical="center"/>
    </xf>
    <xf numFmtId="167" fontId="0" fillId="0" borderId="23" xfId="13" applyNumberFormat="1" applyFont="1" applyBorder="1" applyAlignment="1">
      <alignment horizontal="center" vertical="center"/>
    </xf>
    <xf numFmtId="0" fontId="0" fillId="0" borderId="1" xfId="0" applyBorder="1" applyAlignment="1" applyProtection="1">
      <alignment horizontal="left" vertical="center"/>
      <protection locked="0"/>
    </xf>
    <xf numFmtId="0" fontId="0" fillId="0" borderId="1" xfId="0" applyBorder="1" applyAlignment="1">
      <alignment horizontal="left" vertical="center"/>
    </xf>
    <xf numFmtId="9" fontId="0" fillId="0" borderId="1" xfId="0" applyNumberFormat="1" applyBorder="1" applyAlignment="1">
      <alignment horizontal="center" vertical="center"/>
    </xf>
    <xf numFmtId="167" fontId="0" fillId="0" borderId="1" xfId="13" applyNumberFormat="1" applyFont="1" applyBorder="1" applyAlignment="1">
      <alignment horizontal="center" vertical="center"/>
    </xf>
    <xf numFmtId="0" fontId="12"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44" fontId="0" fillId="6" borderId="1" xfId="1" applyFont="1"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18" fillId="0" borderId="1" xfId="0" applyFont="1" applyBorder="1" applyAlignment="1">
      <alignment vertical="center" wrapText="1"/>
    </xf>
    <xf numFmtId="0" fontId="0" fillId="0" borderId="1" xfId="1" applyNumberFormat="1" applyFont="1" applyBorder="1" applyAlignment="1">
      <alignment vertical="center"/>
    </xf>
    <xf numFmtId="0" fontId="18" fillId="0" borderId="0" xfId="0" applyFont="1" applyAlignment="1">
      <alignment vertical="center"/>
    </xf>
    <xf numFmtId="0" fontId="18" fillId="6" borderId="1" xfId="0" applyFont="1" applyFill="1" applyBorder="1" applyAlignment="1">
      <alignment vertical="center" wrapText="1"/>
    </xf>
    <xf numFmtId="44" fontId="18" fillId="0" borderId="1" xfId="1" applyFont="1" applyBorder="1" applyAlignment="1">
      <alignment vertical="center"/>
    </xf>
    <xf numFmtId="0" fontId="18" fillId="0" borderId="1" xfId="1" applyNumberFormat="1" applyFont="1" applyBorder="1" applyAlignment="1">
      <alignment vertical="center"/>
    </xf>
    <xf numFmtId="0" fontId="18"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16" fillId="0" borderId="17" xfId="0" applyFont="1" applyBorder="1" applyAlignment="1">
      <alignment horizontal="center" vertical="center" wrapText="1" shrinkToFit="1"/>
    </xf>
    <xf numFmtId="0" fontId="5" fillId="3" borderId="25" xfId="0" applyFont="1" applyFill="1" applyBorder="1" applyAlignment="1">
      <alignment horizontal="center" vertical="center"/>
    </xf>
    <xf numFmtId="0" fontId="16" fillId="0" borderId="23"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20" fillId="8" borderId="0" xfId="0" applyFont="1" applyFill="1" applyAlignment="1">
      <alignment wrapText="1"/>
    </xf>
    <xf numFmtId="0" fontId="0" fillId="9" borderId="1" xfId="0" applyFill="1" applyBorder="1" applyAlignment="1">
      <alignment vertical="center"/>
    </xf>
    <xf numFmtId="44" fontId="0" fillId="9" borderId="1" xfId="0" applyNumberFormat="1" applyFill="1" applyBorder="1" applyAlignment="1">
      <alignment vertical="center" wrapText="1"/>
    </xf>
    <xf numFmtId="44" fontId="18" fillId="9" borderId="1" xfId="0" applyNumberFormat="1" applyFont="1" applyFill="1" applyBorder="1" applyAlignment="1">
      <alignment vertical="center" wrapText="1"/>
    </xf>
    <xf numFmtId="0" fontId="0" fillId="7" borderId="42" xfId="0" applyFill="1" applyBorder="1" applyAlignment="1" applyProtection="1">
      <alignment horizontal="left" vertical="center" wrapText="1"/>
      <protection locked="0"/>
    </xf>
    <xf numFmtId="44" fontId="0" fillId="0" borderId="0" xfId="1" applyFont="1" applyAlignment="1">
      <alignment vertical="center"/>
    </xf>
    <xf numFmtId="44" fontId="0" fillId="9" borderId="1" xfId="1" applyFont="1" applyFill="1" applyBorder="1" applyAlignment="1">
      <alignment vertical="center" wrapText="1"/>
    </xf>
    <xf numFmtId="0" fontId="0" fillId="0" borderId="23" xfId="0" applyBorder="1" applyAlignment="1">
      <alignment vertical="center" wrapText="1"/>
    </xf>
    <xf numFmtId="0" fontId="0" fillId="0" borderId="23" xfId="0" applyBorder="1" applyAlignment="1">
      <alignment vertical="center"/>
    </xf>
    <xf numFmtId="44" fontId="24" fillId="0" borderId="18" xfId="0" applyNumberFormat="1" applyFont="1" applyBorder="1" applyAlignment="1">
      <alignment horizontal="center" vertical="center" wrapText="1"/>
    </xf>
    <xf numFmtId="44" fontId="24" fillId="0" borderId="17" xfId="0" applyNumberFormat="1" applyFont="1" applyBorder="1" applyAlignment="1">
      <alignment horizontal="center" vertical="center" wrapText="1"/>
    </xf>
    <xf numFmtId="0" fontId="24" fillId="0" borderId="17" xfId="0" applyFont="1" applyBorder="1" applyAlignment="1">
      <alignment horizontal="left" vertical="center" wrapText="1"/>
    </xf>
    <xf numFmtId="0" fontId="25" fillId="0" borderId="22" xfId="0" applyFont="1" applyBorder="1" applyAlignment="1">
      <alignment horizontal="left" vertical="center" wrapText="1"/>
    </xf>
    <xf numFmtId="44" fontId="24" fillId="0" borderId="16" xfId="0" applyNumberFormat="1" applyFont="1" applyBorder="1" applyAlignment="1">
      <alignment horizontal="center" vertical="center" wrapText="1"/>
    </xf>
    <xf numFmtId="44" fontId="24" fillId="0" borderId="1" xfId="0" applyNumberFormat="1" applyFont="1" applyBorder="1" applyAlignment="1">
      <alignment horizontal="center" vertical="center" wrapText="1"/>
    </xf>
    <xf numFmtId="0" fontId="24" fillId="0" borderId="1" xfId="0" applyFont="1" applyBorder="1" applyAlignment="1">
      <alignment horizontal="left" vertical="center" wrapText="1"/>
    </xf>
    <xf numFmtId="0" fontId="25" fillId="0" borderId="21" xfId="0" applyFont="1" applyBorder="1" applyAlignment="1">
      <alignment vertical="center" wrapText="1"/>
    </xf>
    <xf numFmtId="0" fontId="25" fillId="0" borderId="21" xfId="0" applyFont="1" applyBorder="1" applyAlignment="1">
      <alignment horizontal="left" vertical="center" wrapText="1"/>
    </xf>
    <xf numFmtId="44" fontId="24" fillId="0" borderId="16" xfId="1" applyFont="1" applyBorder="1" applyAlignment="1">
      <alignment vertical="center" wrapText="1"/>
    </xf>
    <xf numFmtId="44" fontId="24" fillId="0" borderId="1" xfId="1" applyFont="1" applyBorder="1" applyAlignment="1">
      <alignment vertical="center" wrapText="1"/>
    </xf>
    <xf numFmtId="44" fontId="24" fillId="0" borderId="1" xfId="1" applyFont="1" applyBorder="1" applyAlignment="1">
      <alignment horizontal="center" vertical="center" wrapText="1"/>
    </xf>
    <xf numFmtId="44" fontId="24" fillId="0" borderId="16" xfId="1" applyFont="1" applyBorder="1" applyAlignment="1">
      <alignment horizontal="center" vertical="center" wrapText="1"/>
    </xf>
    <xf numFmtId="0" fontId="24" fillId="0" borderId="16" xfId="0" applyFont="1" applyBorder="1" applyAlignment="1">
      <alignment horizontal="center" vertical="center" wrapText="1"/>
    </xf>
    <xf numFmtId="0" fontId="24" fillId="0" borderId="1" xfId="0" applyFont="1" applyBorder="1" applyAlignment="1">
      <alignment horizontal="center" vertical="center" wrapText="1"/>
    </xf>
    <xf numFmtId="0" fontId="26" fillId="3" borderId="24" xfId="14" applyFont="1" applyFill="1" applyBorder="1" applyAlignment="1">
      <alignment horizontal="center" vertical="center" wrapText="1"/>
    </xf>
    <xf numFmtId="0" fontId="26" fillId="3" borderId="23" xfId="14" applyFont="1" applyFill="1" applyBorder="1" applyAlignment="1">
      <alignment horizontal="center" vertical="center" wrapText="1"/>
    </xf>
    <xf numFmtId="0" fontId="26" fillId="3" borderId="26" xfId="14" applyFont="1" applyFill="1" applyBorder="1" applyAlignment="1">
      <alignment horizontal="center" vertical="center" wrapText="1"/>
    </xf>
    <xf numFmtId="0" fontId="0" fillId="0" borderId="1" xfId="0" applyBorder="1" applyAlignment="1">
      <alignment horizontal="left" vertical="top" wrapText="1"/>
    </xf>
    <xf numFmtId="44" fontId="0" fillId="6" borderId="1" xfId="1" applyFont="1" applyFill="1" applyBorder="1" applyAlignment="1">
      <alignment vertical="center"/>
    </xf>
    <xf numFmtId="0" fontId="0" fillId="0" borderId="1" xfId="0" applyBorder="1" applyAlignment="1">
      <alignment horizontal="left" vertical="center" wrapText="1"/>
    </xf>
    <xf numFmtId="0" fontId="0" fillId="0" borderId="0" xfId="0" applyAlignment="1">
      <alignment vertical="center" wrapText="1"/>
    </xf>
    <xf numFmtId="44" fontId="0" fillId="0" borderId="0" xfId="0" applyNumberFormat="1" applyAlignment="1">
      <alignment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44" fontId="27" fillId="2" borderId="1" xfId="0" applyNumberFormat="1" applyFont="1" applyFill="1" applyBorder="1" applyAlignment="1">
      <alignment vertical="center" wrapText="1"/>
    </xf>
    <xf numFmtId="44" fontId="27" fillId="2" borderId="1" xfId="1" applyFont="1" applyFill="1" applyBorder="1" applyAlignment="1">
      <alignment vertical="center" wrapText="1"/>
    </xf>
    <xf numFmtId="0" fontId="16" fillId="0" borderId="14" xfId="0" applyFont="1" applyBorder="1" applyAlignment="1">
      <alignment horizontal="center" vertical="center" wrapText="1" shrinkToFit="1"/>
    </xf>
    <xf numFmtId="0" fontId="16" fillId="0" borderId="15" xfId="0" applyFont="1" applyBorder="1" applyAlignment="1">
      <alignment horizontal="center" vertical="center"/>
    </xf>
    <xf numFmtId="0" fontId="0" fillId="4" borderId="31" xfId="0" applyFill="1" applyBorder="1" applyAlignment="1">
      <alignment vertical="center" wrapText="1"/>
    </xf>
    <xf numFmtId="1" fontId="0" fillId="4" borderId="1" xfId="13" applyNumberFormat="1" applyFont="1" applyFill="1" applyBorder="1" applyAlignment="1">
      <alignment horizontal="center" vertical="center"/>
    </xf>
    <xf numFmtId="44" fontId="0" fillId="4" borderId="1" xfId="1" applyFont="1" applyFill="1" applyBorder="1" applyAlignment="1">
      <alignment horizontal="left" vertical="center"/>
    </xf>
    <xf numFmtId="0" fontId="0" fillId="4" borderId="32" xfId="0" applyFill="1" applyBorder="1" applyAlignment="1">
      <alignment vertical="center" wrapText="1"/>
    </xf>
    <xf numFmtId="0" fontId="0" fillId="4" borderId="33" xfId="0" applyFill="1" applyBorder="1" applyAlignment="1">
      <alignment vertical="center" wrapText="1"/>
    </xf>
    <xf numFmtId="1" fontId="0" fillId="4" borderId="34" xfId="13" applyNumberFormat="1" applyFont="1" applyFill="1" applyBorder="1" applyAlignment="1">
      <alignment horizontal="center" vertical="center"/>
    </xf>
    <xf numFmtId="44" fontId="0" fillId="4" borderId="34" xfId="1" applyFont="1" applyFill="1" applyBorder="1" applyAlignment="1">
      <alignment horizontal="left" vertical="center"/>
    </xf>
    <xf numFmtId="0" fontId="27" fillId="2" borderId="27" xfId="0" applyFont="1" applyFill="1" applyBorder="1" applyAlignment="1">
      <alignment vertical="center" wrapText="1"/>
    </xf>
    <xf numFmtId="44" fontId="0" fillId="9" borderId="27" xfId="0" applyNumberFormat="1" applyFill="1" applyBorder="1" applyAlignment="1">
      <alignment vertical="center" wrapText="1"/>
    </xf>
    <xf numFmtId="0" fontId="0" fillId="9" borderId="27" xfId="0" applyFill="1" applyBorder="1" applyAlignment="1">
      <alignment vertical="center"/>
    </xf>
    <xf numFmtId="44" fontId="18" fillId="9" borderId="27" xfId="0" applyNumberFormat="1" applyFont="1" applyFill="1" applyBorder="1" applyAlignment="1">
      <alignment vertical="center" wrapText="1"/>
    </xf>
    <xf numFmtId="0" fontId="0" fillId="0" borderId="37" xfId="0" applyBorder="1" applyAlignment="1">
      <alignment vertical="center"/>
    </xf>
    <xf numFmtId="44" fontId="0" fillId="0" borderId="37" xfId="1" applyFont="1" applyBorder="1" applyAlignment="1">
      <alignment vertical="center"/>
    </xf>
    <xf numFmtId="6" fontId="0" fillId="0" borderId="37" xfId="1" applyNumberFormat="1" applyFont="1" applyBorder="1" applyAlignment="1">
      <alignment vertical="center"/>
    </xf>
    <xf numFmtId="44" fontId="18" fillId="0" borderId="37" xfId="1" applyFont="1" applyBorder="1" applyAlignment="1">
      <alignment vertical="center"/>
    </xf>
    <xf numFmtId="44" fontId="0" fillId="0" borderId="37" xfId="0" applyNumberFormat="1" applyBorder="1" applyAlignment="1">
      <alignment vertical="center"/>
    </xf>
    <xf numFmtId="0" fontId="27" fillId="0" borderId="0" xfId="0" applyFont="1" applyAlignment="1">
      <alignment vertical="center" wrapText="1"/>
    </xf>
    <xf numFmtId="44" fontId="0" fillId="0" borderId="0" xfId="0" applyNumberFormat="1" applyAlignment="1">
      <alignment vertical="center" wrapText="1"/>
    </xf>
    <xf numFmtId="44" fontId="18" fillId="0" borderId="0" xfId="0" applyNumberFormat="1" applyFont="1" applyAlignment="1">
      <alignment vertical="center" wrapText="1"/>
    </xf>
    <xf numFmtId="0" fontId="0" fillId="10" borderId="31" xfId="0" applyFill="1" applyBorder="1" applyAlignment="1" applyProtection="1">
      <alignment vertical="center" wrapText="1"/>
      <protection locked="0"/>
    </xf>
    <xf numFmtId="1" fontId="0" fillId="10" borderId="1" xfId="13" applyNumberFormat="1" applyFont="1" applyFill="1" applyBorder="1" applyAlignment="1" applyProtection="1">
      <alignment horizontal="center" vertical="center"/>
      <protection locked="0"/>
    </xf>
    <xf numFmtId="0" fontId="0" fillId="10" borderId="32" xfId="0" applyFill="1" applyBorder="1" applyAlignment="1" applyProtection="1">
      <alignment vertical="center" wrapText="1"/>
      <protection locked="0"/>
    </xf>
    <xf numFmtId="0" fontId="28" fillId="2" borderId="37" xfId="0" applyFont="1" applyFill="1" applyBorder="1" applyAlignment="1">
      <alignment vertical="center" wrapText="1"/>
    </xf>
    <xf numFmtId="0" fontId="28" fillId="2" borderId="1" xfId="0" applyFont="1" applyFill="1" applyBorder="1" applyAlignment="1">
      <alignment vertical="center" wrapText="1"/>
    </xf>
    <xf numFmtId="0" fontId="29" fillId="0" borderId="1" xfId="0" applyFont="1" applyBorder="1" applyAlignment="1">
      <alignment vertical="center"/>
    </xf>
    <xf numFmtId="0" fontId="29" fillId="0" borderId="1" xfId="0" applyFont="1" applyBorder="1" applyAlignment="1">
      <alignment vertical="center" wrapText="1"/>
    </xf>
    <xf numFmtId="44" fontId="29" fillId="0" borderId="1" xfId="0" applyNumberFormat="1" applyFont="1" applyBorder="1" applyAlignment="1">
      <alignment vertical="center"/>
    </xf>
    <xf numFmtId="9" fontId="29" fillId="0" borderId="1" xfId="12" applyFont="1" applyBorder="1" applyAlignment="1">
      <alignment vertical="center" wrapText="1"/>
    </xf>
    <xf numFmtId="9" fontId="29" fillId="0" borderId="27" xfId="12" applyFont="1" applyBorder="1" applyAlignment="1">
      <alignment vertical="center" wrapText="1"/>
    </xf>
    <xf numFmtId="9" fontId="29" fillId="0" borderId="0" xfId="12" applyFont="1" applyAlignment="1">
      <alignment vertical="center" wrapText="1"/>
    </xf>
    <xf numFmtId="0" fontId="29" fillId="0" borderId="37" xfId="0" applyFont="1" applyBorder="1" applyAlignment="1">
      <alignment vertical="center" wrapText="1"/>
    </xf>
    <xf numFmtId="0" fontId="29" fillId="0" borderId="0" xfId="0" applyFont="1" applyAlignment="1">
      <alignment vertical="center"/>
    </xf>
    <xf numFmtId="0" fontId="0" fillId="7" borderId="31" xfId="0" applyFill="1" applyBorder="1" applyAlignment="1" applyProtection="1">
      <alignment vertical="center" wrapText="1"/>
      <protection locked="0"/>
    </xf>
    <xf numFmtId="1" fontId="0" fillId="7" borderId="1" xfId="13" applyNumberFormat="1" applyFont="1" applyFill="1" applyBorder="1" applyAlignment="1" applyProtection="1">
      <alignment horizontal="center" vertical="center"/>
      <protection locked="0"/>
    </xf>
    <xf numFmtId="0" fontId="0" fillId="7" borderId="32" xfId="0" applyFill="1" applyBorder="1" applyAlignment="1" applyProtection="1">
      <alignment vertical="center" wrapText="1"/>
      <protection locked="0"/>
    </xf>
    <xf numFmtId="49" fontId="0" fillId="7" borderId="32" xfId="0" applyNumberFormat="1" applyFill="1" applyBorder="1" applyAlignment="1" applyProtection="1">
      <alignment vertical="center" wrapText="1"/>
      <protection locked="0"/>
    </xf>
    <xf numFmtId="0" fontId="0" fillId="7" borderId="33" xfId="0" applyFill="1" applyBorder="1" applyAlignment="1" applyProtection="1">
      <alignment vertical="center" wrapText="1"/>
      <protection locked="0"/>
    </xf>
    <xf numFmtId="1" fontId="0" fillId="7" borderId="34" xfId="13" applyNumberFormat="1" applyFont="1" applyFill="1" applyBorder="1" applyAlignment="1" applyProtection="1">
      <alignment horizontal="center" vertical="center"/>
      <protection locked="0"/>
    </xf>
    <xf numFmtId="4" fontId="0" fillId="7" borderId="1" xfId="1" applyNumberFormat="1" applyFont="1" applyFill="1" applyBorder="1" applyAlignment="1" applyProtection="1">
      <alignment horizontal="right" vertical="center"/>
      <protection locked="0"/>
    </xf>
    <xf numFmtId="4" fontId="0" fillId="10" borderId="1" xfId="1" applyNumberFormat="1" applyFont="1" applyFill="1" applyBorder="1" applyAlignment="1" applyProtection="1">
      <alignment horizontal="right" vertical="center"/>
      <protection locked="0"/>
    </xf>
    <xf numFmtId="4" fontId="0" fillId="7" borderId="34" xfId="1" applyNumberFormat="1" applyFont="1" applyFill="1" applyBorder="1" applyAlignment="1" applyProtection="1">
      <alignment horizontal="right" vertical="center"/>
      <protection locked="0"/>
    </xf>
    <xf numFmtId="7" fontId="0" fillId="0" borderId="1" xfId="1" applyNumberFormat="1" applyFont="1" applyBorder="1" applyAlignment="1">
      <alignment vertical="center"/>
    </xf>
    <xf numFmtId="0" fontId="10" fillId="0" borderId="0" xfId="0" applyFont="1"/>
    <xf numFmtId="0" fontId="20" fillId="3" borderId="25" xfId="0" applyFont="1" applyFill="1" applyBorder="1" applyAlignment="1">
      <alignment horizontal="center" vertical="center"/>
    </xf>
    <xf numFmtId="44" fontId="10" fillId="0" borderId="1" xfId="1" applyFont="1" applyBorder="1" applyAlignment="1">
      <alignment vertical="center"/>
    </xf>
    <xf numFmtId="44" fontId="10" fillId="0" borderId="1" xfId="0" applyNumberFormat="1" applyFont="1" applyBorder="1"/>
    <xf numFmtId="0" fontId="0" fillId="11" borderId="27" xfId="0" applyFill="1" applyBorder="1" applyAlignment="1">
      <alignment vertical="center"/>
    </xf>
    <xf numFmtId="0" fontId="0" fillId="11" borderId="31" xfId="0" applyFill="1" applyBorder="1" applyAlignment="1">
      <alignment vertical="center" wrapText="1"/>
    </xf>
    <xf numFmtId="1" fontId="0" fillId="11" borderId="1" xfId="13" applyNumberFormat="1" applyFont="1" applyFill="1" applyBorder="1" applyAlignment="1">
      <alignment horizontal="center" vertical="center"/>
    </xf>
    <xf numFmtId="44" fontId="0" fillId="11" borderId="1" xfId="1" applyFont="1" applyFill="1" applyBorder="1" applyAlignment="1">
      <alignment horizontal="left" vertical="center"/>
    </xf>
    <xf numFmtId="0" fontId="0" fillId="11" borderId="32" xfId="0" applyFill="1" applyBorder="1" applyAlignment="1">
      <alignment vertical="center" wrapText="1"/>
    </xf>
    <xf numFmtId="0" fontId="0" fillId="11" borderId="0" xfId="0" applyFill="1"/>
    <xf numFmtId="0" fontId="16" fillId="11" borderId="1" xfId="0" applyFont="1" applyFill="1" applyBorder="1" applyAlignment="1">
      <alignment horizontal="center" vertical="center" wrapText="1" shrinkToFit="1"/>
    </xf>
    <xf numFmtId="0" fontId="16" fillId="11" borderId="16" xfId="0" applyFont="1" applyFill="1" applyBorder="1" applyAlignment="1">
      <alignment horizontal="center" vertical="center"/>
    </xf>
    <xf numFmtId="0" fontId="0" fillId="4" borderId="35" xfId="0" applyFill="1" applyBorder="1" applyAlignment="1">
      <alignment vertical="center" wrapText="1"/>
    </xf>
    <xf numFmtId="8" fontId="10" fillId="8" borderId="0" xfId="0" applyNumberFormat="1" applyFont="1" applyFill="1" applyAlignment="1" applyProtection="1">
      <alignment vertical="center"/>
      <protection locked="0"/>
    </xf>
    <xf numFmtId="44" fontId="10" fillId="0" borderId="0" xfId="0" applyNumberFormat="1" applyFont="1"/>
    <xf numFmtId="8" fontId="10" fillId="0" borderId="0" xfId="0" applyNumberFormat="1" applyFont="1"/>
    <xf numFmtId="7" fontId="10" fillId="0" borderId="0" xfId="0" applyNumberFormat="1" applyFont="1"/>
    <xf numFmtId="166" fontId="10" fillId="0" borderId="0" xfId="0" applyNumberFormat="1" applyFont="1"/>
    <xf numFmtId="7" fontId="10" fillId="0" borderId="1" xfId="1" applyNumberFormat="1" applyFont="1" applyBorder="1" applyAlignment="1">
      <alignment vertical="center" wrapText="1"/>
    </xf>
    <xf numFmtId="7" fontId="10" fillId="0" borderId="1" xfId="1" applyNumberFormat="1" applyFont="1" applyBorder="1" applyAlignment="1">
      <alignment vertical="center"/>
    </xf>
    <xf numFmtId="0" fontId="2" fillId="0" borderId="7" xfId="0" applyFont="1" applyBorder="1" applyAlignment="1">
      <alignment horizontal="center"/>
    </xf>
    <xf numFmtId="169" fontId="13" fillId="0" borderId="20" xfId="0" applyNumberFormat="1" applyFont="1" applyBorder="1" applyAlignment="1">
      <alignment horizontal="center" vertical="center"/>
    </xf>
    <xf numFmtId="0" fontId="2" fillId="0" borderId="12" xfId="0" applyFont="1" applyBorder="1" applyAlignment="1">
      <alignment horizontal="center"/>
    </xf>
    <xf numFmtId="169" fontId="13" fillId="0" borderId="4" xfId="0" applyNumberFormat="1" applyFont="1" applyBorder="1" applyAlignment="1">
      <alignment horizontal="center" vertical="center"/>
    </xf>
    <xf numFmtId="44" fontId="0" fillId="9" borderId="1" xfId="0" applyNumberFormat="1" applyFill="1" applyBorder="1" applyAlignment="1">
      <alignment vertical="top" wrapText="1"/>
    </xf>
    <xf numFmtId="0" fontId="31" fillId="3" borderId="1" xfId="14" applyFont="1" applyFill="1" applyBorder="1" applyAlignment="1">
      <alignment horizontal="center"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2" fillId="0" borderId="1" xfId="0" applyFont="1" applyBorder="1" applyAlignment="1">
      <alignment vertical="center"/>
    </xf>
    <xf numFmtId="0" fontId="33" fillId="0" borderId="0" xfId="0" applyFont="1" applyAlignment="1">
      <alignment wrapText="1"/>
    </xf>
    <xf numFmtId="0" fontId="33" fillId="0" borderId="1" xfId="0" applyFont="1" applyBorder="1" applyAlignment="1">
      <alignment horizontal="center" vertical="center"/>
    </xf>
    <xf numFmtId="0" fontId="33" fillId="0" borderId="1" xfId="0" applyFont="1" applyBorder="1" applyAlignment="1">
      <alignment horizontal="left" vertical="top" wrapText="1"/>
    </xf>
    <xf numFmtId="0" fontId="33" fillId="0" borderId="0" xfId="0" applyFont="1"/>
    <xf numFmtId="0" fontId="32" fillId="0" borderId="1" xfId="0" applyFont="1" applyBorder="1" applyAlignment="1">
      <alignment vertical="center" wrapText="1"/>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center" vertical="center"/>
    </xf>
    <xf numFmtId="44" fontId="33" fillId="0" borderId="0" xfId="0" applyNumberFormat="1" applyFont="1" applyAlignment="1">
      <alignment horizontal="center" vertical="center"/>
    </xf>
    <xf numFmtId="9" fontId="33" fillId="0" borderId="0" xfId="0" applyNumberFormat="1" applyFont="1" applyAlignment="1">
      <alignment horizontal="center" vertical="center"/>
    </xf>
    <xf numFmtId="44" fontId="33" fillId="0" borderId="0" xfId="1" applyFont="1" applyAlignment="1">
      <alignment horizontal="center" vertical="center"/>
    </xf>
    <xf numFmtId="0" fontId="33" fillId="0" borderId="0" xfId="0" applyFont="1" applyAlignment="1">
      <alignment horizontal="left" vertical="center"/>
    </xf>
    <xf numFmtId="0" fontId="35" fillId="0" borderId="1" xfId="0" applyFont="1" applyBorder="1" applyAlignment="1">
      <alignment vertical="center"/>
    </xf>
    <xf numFmtId="0" fontId="36" fillId="0" borderId="1" xfId="0" applyFont="1" applyBorder="1" applyAlignment="1">
      <alignment horizontal="left" vertical="center" wrapText="1"/>
    </xf>
    <xf numFmtId="0" fontId="32" fillId="0" borderId="0" xfId="0" applyFont="1"/>
    <xf numFmtId="0" fontId="0" fillId="0" borderId="0" xfId="0" applyAlignment="1">
      <alignment wrapText="1"/>
    </xf>
    <xf numFmtId="0" fontId="37" fillId="2" borderId="0" xfId="0" applyFont="1" applyFill="1" applyAlignment="1">
      <alignment wrapText="1"/>
    </xf>
    <xf numFmtId="44" fontId="0" fillId="9" borderId="0" xfId="0" applyNumberFormat="1" applyFill="1" applyAlignment="1">
      <alignment vertical="center" wrapText="1"/>
    </xf>
    <xf numFmtId="0" fontId="0" fillId="0" borderId="1" xfId="0" applyBorder="1" applyAlignment="1">
      <alignment wrapText="1"/>
    </xf>
    <xf numFmtId="44" fontId="37" fillId="2" borderId="0" xfId="1" applyFont="1" applyFill="1" applyAlignment="1">
      <alignment wrapText="1"/>
    </xf>
    <xf numFmtId="44" fontId="0" fillId="0" borderId="0" xfId="1" applyFont="1" applyAlignment="1">
      <alignment wrapText="1"/>
    </xf>
    <xf numFmtId="0" fontId="20" fillId="3" borderId="19" xfId="0" applyFont="1" applyFill="1" applyBorder="1" applyAlignment="1">
      <alignment horizontal="center" vertical="center"/>
    </xf>
    <xf numFmtId="44" fontId="10" fillId="0" borderId="21" xfId="1" applyFont="1" applyBorder="1" applyAlignment="1">
      <alignment horizontal="right" vertical="center"/>
    </xf>
    <xf numFmtId="44" fontId="10" fillId="0" borderId="16" xfId="1" applyFont="1" applyBorder="1" applyAlignment="1">
      <alignment vertical="center"/>
    </xf>
    <xf numFmtId="44" fontId="10" fillId="0" borderId="22" xfId="1" applyFont="1" applyBorder="1" applyAlignment="1">
      <alignment horizontal="right" vertical="center"/>
    </xf>
    <xf numFmtId="7" fontId="10" fillId="0" borderId="17" xfId="1" applyNumberFormat="1" applyFont="1" applyBorder="1" applyAlignment="1">
      <alignment vertical="center"/>
    </xf>
    <xf numFmtId="44" fontId="10" fillId="0" borderId="17" xfId="1" applyFont="1" applyBorder="1" applyAlignment="1">
      <alignment horizontal="right" vertical="center"/>
    </xf>
    <xf numFmtId="44" fontId="10" fillId="0" borderId="17" xfId="1" applyFont="1" applyBorder="1" applyAlignment="1">
      <alignment vertical="center"/>
    </xf>
    <xf numFmtId="44" fontId="10" fillId="0" borderId="18" xfId="1" applyFont="1" applyBorder="1" applyAlignment="1">
      <alignment vertical="center"/>
    </xf>
    <xf numFmtId="44" fontId="10" fillId="0" borderId="26" xfId="1" applyFont="1" applyBorder="1" applyAlignment="1">
      <alignment horizontal="right" vertical="center"/>
    </xf>
    <xf numFmtId="7" fontId="10" fillId="0" borderId="23" xfId="1" applyNumberFormat="1" applyFont="1" applyBorder="1" applyAlignment="1">
      <alignment vertical="center" wrapText="1"/>
    </xf>
    <xf numFmtId="44" fontId="10" fillId="0" borderId="23" xfId="1" applyFont="1" applyBorder="1" applyAlignment="1">
      <alignment horizontal="right" vertical="center"/>
    </xf>
    <xf numFmtId="44" fontId="10" fillId="0" borderId="23" xfId="1" applyFont="1" applyBorder="1" applyAlignment="1">
      <alignment vertical="center"/>
    </xf>
    <xf numFmtId="44" fontId="10" fillId="0" borderId="24" xfId="1" applyFont="1" applyBorder="1" applyAlignment="1">
      <alignment vertical="center"/>
    </xf>
    <xf numFmtId="0" fontId="20" fillId="3" borderId="20" xfId="0" applyFont="1" applyFill="1" applyBorder="1" applyAlignment="1">
      <alignment horizontal="center" vertical="center"/>
    </xf>
    <xf numFmtId="9" fontId="39" fillId="4" borderId="16" xfId="12" applyFont="1" applyFill="1" applyBorder="1" applyAlignment="1" applyProtection="1">
      <alignment horizontal="left"/>
      <protection hidden="1"/>
    </xf>
    <xf numFmtId="9" fontId="39" fillId="4" borderId="18" xfId="12" applyFont="1" applyFill="1" applyBorder="1" applyAlignment="1" applyProtection="1">
      <alignment horizontal="left"/>
      <protection hidden="1"/>
    </xf>
    <xf numFmtId="0" fontId="0" fillId="4" borderId="15" xfId="0" applyFill="1" applyBorder="1" applyProtection="1">
      <protection hidden="1"/>
    </xf>
    <xf numFmtId="0" fontId="0" fillId="4" borderId="27" xfId="0" applyFill="1" applyBorder="1" applyAlignment="1" applyProtection="1">
      <alignment vertical="center"/>
      <protection locked="0"/>
    </xf>
    <xf numFmtId="0" fontId="4" fillId="0" borderId="0" xfId="0" applyFont="1" applyAlignment="1">
      <alignment vertical="top" wrapText="1"/>
    </xf>
    <xf numFmtId="0" fontId="0" fillId="7" borderId="43" xfId="0" applyFill="1" applyBorder="1" applyAlignment="1" applyProtection="1">
      <alignment horizontal="left" vertical="center"/>
      <protection locked="0"/>
    </xf>
    <xf numFmtId="170" fontId="0" fillId="0" borderId="0" xfId="1" applyNumberFormat="1" applyFont="1" applyAlignment="1">
      <alignment vertical="center"/>
    </xf>
    <xf numFmtId="9" fontId="39" fillId="4" borderId="16" xfId="12" applyFont="1" applyFill="1" applyBorder="1" applyAlignment="1">
      <alignment horizontal="left"/>
    </xf>
    <xf numFmtId="171" fontId="13" fillId="0" borderId="4" xfId="0" applyNumberFormat="1" applyFont="1" applyBorder="1" applyAlignment="1">
      <alignment horizontal="center" vertical="center"/>
    </xf>
    <xf numFmtId="172" fontId="13" fillId="0" borderId="4" xfId="0" applyNumberFormat="1" applyFont="1" applyBorder="1" applyAlignment="1">
      <alignment horizontal="center" vertical="center"/>
    </xf>
    <xf numFmtId="172" fontId="13" fillId="0" borderId="20" xfId="0" applyNumberFormat="1" applyFont="1" applyBorder="1" applyAlignment="1">
      <alignment horizontal="left" vertical="center"/>
    </xf>
    <xf numFmtId="171" fontId="13" fillId="0" borderId="20" xfId="0" applyNumberFormat="1" applyFont="1" applyBorder="1" applyAlignment="1">
      <alignment horizontal="center" vertical="center"/>
    </xf>
    <xf numFmtId="172" fontId="13" fillId="0" borderId="20" xfId="0" applyNumberFormat="1" applyFont="1" applyBorder="1" applyAlignment="1">
      <alignment horizontal="center" vertical="center"/>
    </xf>
    <xf numFmtId="171" fontId="19" fillId="0" borderId="20" xfId="0" applyNumberFormat="1" applyFont="1" applyBorder="1" applyAlignment="1">
      <alignment horizontal="center" vertical="center"/>
    </xf>
    <xf numFmtId="165" fontId="1" fillId="0" borderId="43" xfId="12" applyNumberFormat="1" applyBorder="1" applyAlignment="1">
      <alignment horizontal="left" vertical="center"/>
    </xf>
    <xf numFmtId="44" fontId="29" fillId="0" borderId="37" xfId="1" applyFont="1" applyBorder="1" applyAlignment="1">
      <alignment vertical="center" wrapText="1"/>
    </xf>
    <xf numFmtId="44" fontId="28" fillId="2" borderId="37" xfId="1" applyFont="1" applyFill="1" applyBorder="1" applyAlignment="1">
      <alignment vertical="center" wrapText="1"/>
    </xf>
    <xf numFmtId="0" fontId="0" fillId="7" borderId="54" xfId="0" applyFill="1" applyBorder="1" applyAlignment="1" applyProtection="1">
      <alignment horizontal="left" vertical="center"/>
      <protection locked="0"/>
    </xf>
    <xf numFmtId="0" fontId="0" fillId="7" borderId="55" xfId="0" applyFill="1" applyBorder="1" applyAlignment="1" applyProtection="1">
      <alignment horizontal="left" vertical="center" wrapText="1"/>
      <protection locked="0"/>
    </xf>
    <xf numFmtId="0" fontId="5" fillId="0" borderId="0" xfId="0" applyFont="1" applyAlignment="1">
      <alignment horizontal="center"/>
    </xf>
    <xf numFmtId="0" fontId="43" fillId="0" borderId="0" xfId="0" applyFont="1" applyAlignment="1">
      <alignment horizontal="center"/>
    </xf>
    <xf numFmtId="14" fontId="44" fillId="2" borderId="1" xfId="0" applyNumberFormat="1" applyFont="1" applyFill="1" applyBorder="1" applyAlignment="1" applyProtection="1">
      <alignment horizontal="left" vertical="center" wrapText="1"/>
      <protection locked="0"/>
    </xf>
    <xf numFmtId="0" fontId="44" fillId="2" borderId="27" xfId="0" applyFont="1" applyFill="1" applyBorder="1" applyAlignment="1">
      <alignment horizontal="left" vertical="center" wrapText="1"/>
    </xf>
    <xf numFmtId="0" fontId="44" fillId="2" borderId="1" xfId="0" applyFont="1" applyFill="1" applyBorder="1" applyAlignment="1" applyProtection="1">
      <alignment horizontal="left" vertical="center" wrapText="1"/>
      <protection locked="0"/>
    </xf>
    <xf numFmtId="173" fontId="44" fillId="2" borderId="1" xfId="0" applyNumberFormat="1" applyFont="1" applyFill="1" applyBorder="1" applyAlignment="1" applyProtection="1">
      <alignment horizontal="left" vertical="center" wrapText="1"/>
      <protection locked="0"/>
    </xf>
    <xf numFmtId="0" fontId="44" fillId="2" borderId="57" xfId="0" applyFont="1" applyFill="1" applyBorder="1" applyAlignment="1" applyProtection="1">
      <alignment horizontal="left" vertical="center" wrapText="1"/>
      <protection locked="0"/>
    </xf>
    <xf numFmtId="174" fontId="44" fillId="2" borderId="23" xfId="0" applyNumberFormat="1" applyFont="1" applyFill="1" applyBorder="1" applyAlignment="1">
      <alignment horizontal="left" vertical="center" wrapText="1"/>
    </xf>
    <xf numFmtId="14" fontId="44" fillId="2" borderId="58" xfId="0" applyNumberFormat="1" applyFont="1" applyFill="1" applyBorder="1" applyAlignment="1">
      <alignment horizontal="left" vertical="center" wrapText="1"/>
    </xf>
    <xf numFmtId="0" fontId="4" fillId="0" borderId="0" xfId="0" applyFont="1" applyProtection="1">
      <protection locked="0"/>
    </xf>
    <xf numFmtId="49" fontId="44" fillId="2" borderId="37" xfId="0" applyNumberFormat="1" applyFont="1" applyFill="1" applyBorder="1" applyAlignment="1" applyProtection="1">
      <alignment horizontal="left" vertical="center" wrapText="1"/>
      <protection locked="0"/>
    </xf>
    <xf numFmtId="44" fontId="44" fillId="2" borderId="1" xfId="1" applyFont="1" applyFill="1" applyBorder="1" applyAlignment="1" applyProtection="1">
      <alignment horizontal="left" vertical="center" wrapText="1"/>
      <protection locked="0"/>
    </xf>
    <xf numFmtId="174" fontId="44" fillId="2" borderId="1" xfId="0" applyNumberFormat="1" applyFont="1" applyFill="1" applyBorder="1" applyAlignment="1" applyProtection="1">
      <alignment horizontal="left" vertical="center" wrapText="1"/>
      <protection locked="0"/>
    </xf>
    <xf numFmtId="18" fontId="44" fillId="2" borderId="23" xfId="0" applyNumberFormat="1" applyFont="1" applyFill="1" applyBorder="1" applyAlignment="1" applyProtection="1">
      <alignment horizontal="left" vertical="center" wrapText="1"/>
      <protection locked="0"/>
    </xf>
    <xf numFmtId="170" fontId="44" fillId="2" borderId="1" xfId="1" applyNumberFormat="1" applyFont="1" applyFill="1" applyBorder="1" applyAlignment="1" applyProtection="1">
      <alignment horizontal="left" vertical="center" wrapText="1"/>
      <protection locked="0"/>
    </xf>
    <xf numFmtId="166" fontId="44" fillId="2" borderId="1" xfId="12" applyNumberFormat="1" applyFont="1" applyFill="1" applyBorder="1" applyAlignment="1" applyProtection="1">
      <alignment horizontal="left" vertical="center" wrapText="1"/>
      <protection locked="0"/>
    </xf>
    <xf numFmtId="175" fontId="44" fillId="2" borderId="1" xfId="0" applyNumberFormat="1" applyFont="1" applyFill="1" applyBorder="1" applyAlignment="1" applyProtection="1">
      <alignment horizontal="left" vertical="center" wrapText="1"/>
      <protection locked="0"/>
    </xf>
    <xf numFmtId="19" fontId="44" fillId="2" borderId="1" xfId="0" applyNumberFormat="1" applyFont="1" applyFill="1" applyBorder="1" applyAlignment="1" applyProtection="1">
      <alignment horizontal="left" vertical="center" wrapText="1"/>
      <protection locked="0"/>
    </xf>
    <xf numFmtId="0" fontId="19" fillId="0" borderId="1" xfId="0" applyFont="1" applyBorder="1" applyAlignment="1">
      <alignment horizontal="left" vertical="center" wrapText="1"/>
    </xf>
    <xf numFmtId="0" fontId="0" fillId="7" borderId="41" xfId="0" applyFill="1" applyBorder="1" applyAlignment="1" applyProtection="1">
      <alignment horizontal="left" vertical="center" wrapText="1"/>
      <protection locked="0"/>
    </xf>
    <xf numFmtId="0" fontId="45" fillId="0" borderId="0" xfId="16" applyAlignment="1">
      <alignment horizontal="left" vertical="top"/>
    </xf>
    <xf numFmtId="0" fontId="0" fillId="13" borderId="0" xfId="0" applyFill="1" applyAlignment="1">
      <alignment wrapText="1"/>
    </xf>
    <xf numFmtId="175" fontId="0" fillId="13" borderId="0" xfId="0" applyNumberFormat="1" applyFill="1"/>
    <xf numFmtId="0" fontId="46" fillId="13" borderId="0" xfId="17" applyFill="1"/>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2" fillId="4" borderId="19" xfId="0" applyFont="1" applyFill="1" applyBorder="1" applyAlignment="1">
      <alignment horizontal="center" vertical="center"/>
    </xf>
    <xf numFmtId="0" fontId="2" fillId="4" borderId="56" xfId="0" applyFont="1" applyFill="1" applyBorder="1" applyAlignment="1">
      <alignment horizontal="center" vertical="center"/>
    </xf>
    <xf numFmtId="0" fontId="5" fillId="3" borderId="2" xfId="0" applyFont="1" applyFill="1" applyBorder="1" applyAlignment="1">
      <alignment horizontal="center"/>
    </xf>
    <xf numFmtId="0" fontId="5" fillId="3" borderId="4" xfId="0" applyFont="1" applyFill="1"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2" fillId="0" borderId="47" xfId="0" applyFont="1" applyBorder="1" applyAlignment="1">
      <alignment horizontal="left" vertical="center" wrapText="1"/>
    </xf>
    <xf numFmtId="0" fontId="22" fillId="0" borderId="0" xfId="0" applyFont="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16" fillId="0" borderId="21"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16" fillId="0" borderId="1" xfId="0" applyFont="1" applyBorder="1" applyAlignment="1">
      <alignment horizontal="left" vertical="center" wrapText="1" shrinkToFit="1"/>
    </xf>
    <xf numFmtId="8" fontId="16" fillId="0" borderId="1" xfId="1" applyNumberFormat="1" applyFont="1" applyBorder="1" applyAlignment="1">
      <alignment horizontal="right" vertical="center" wrapText="1" shrinkToFit="1"/>
    </xf>
    <xf numFmtId="8" fontId="16" fillId="0" borderId="23" xfId="1" applyNumberFormat="1" applyFont="1" applyBorder="1" applyAlignment="1">
      <alignment horizontal="right" vertical="center" wrapText="1" shrinkToFit="1"/>
    </xf>
    <xf numFmtId="8" fontId="5" fillId="0" borderId="10" xfId="1" applyNumberFormat="1" applyFont="1" applyBorder="1" applyAlignment="1">
      <alignment vertical="center"/>
    </xf>
    <xf numFmtId="8" fontId="5" fillId="0" borderId="11" xfId="1" applyNumberFormat="1" applyFont="1" applyBorder="1" applyAlignment="1">
      <alignment vertical="center"/>
    </xf>
    <xf numFmtId="8" fontId="5" fillId="0" borderId="12" xfId="1" applyNumberFormat="1" applyFont="1" applyBorder="1" applyAlignment="1">
      <alignment vertical="center"/>
    </xf>
    <xf numFmtId="8" fontId="5" fillId="0" borderId="5" xfId="1" applyNumberFormat="1" applyFont="1" applyBorder="1" applyAlignment="1">
      <alignment vertical="center"/>
    </xf>
    <xf numFmtId="8" fontId="5" fillId="0" borderId="6" xfId="1" applyNumberFormat="1" applyFont="1" applyBorder="1" applyAlignment="1">
      <alignment vertical="center"/>
    </xf>
    <xf numFmtId="8" fontId="5" fillId="0" borderId="7" xfId="1" applyNumberFormat="1" applyFont="1" applyBorder="1" applyAlignment="1">
      <alignment vertical="center"/>
    </xf>
    <xf numFmtId="8" fontId="5" fillId="0" borderId="2" xfId="1" applyNumberFormat="1" applyFont="1" applyBorder="1" applyAlignment="1">
      <alignment vertical="center"/>
    </xf>
    <xf numFmtId="8" fontId="5" fillId="0" borderId="3" xfId="1" applyNumberFormat="1" applyFont="1" applyBorder="1" applyAlignment="1">
      <alignment vertical="center"/>
    </xf>
    <xf numFmtId="8" fontId="5" fillId="0" borderId="4" xfId="1" applyNumberFormat="1"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40" fillId="5" borderId="45" xfId="0" applyFont="1" applyFill="1" applyBorder="1" applyAlignment="1" applyProtection="1">
      <alignment horizontal="right" vertical="center"/>
      <protection hidden="1"/>
    </xf>
    <xf numFmtId="0" fontId="40" fillId="5" borderId="38" xfId="0" applyFont="1" applyFill="1" applyBorder="1" applyAlignment="1" applyProtection="1">
      <alignment horizontal="right" vertical="center"/>
      <protection hidden="1"/>
    </xf>
    <xf numFmtId="0" fontId="23" fillId="0" borderId="47" xfId="0" applyFont="1" applyBorder="1" applyAlignment="1">
      <alignment horizontal="left" vertical="top" wrapText="1"/>
    </xf>
    <xf numFmtId="0" fontId="23" fillId="0" borderId="0" xfId="0" applyFont="1" applyAlignment="1">
      <alignment horizontal="left" vertical="top" wrapText="1"/>
    </xf>
    <xf numFmtId="0" fontId="5" fillId="3" borderId="2"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25" xfId="0" applyFont="1" applyFill="1" applyBorder="1" applyAlignment="1">
      <alignment horizontal="center" vertical="center"/>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6" fillId="0" borderId="0" xfId="0" applyFont="1" applyAlignment="1">
      <alignment horizontal="left" vertical="center"/>
    </xf>
    <xf numFmtId="0" fontId="2" fillId="5" borderId="36" xfId="0" applyFont="1" applyFill="1" applyBorder="1" applyAlignment="1" applyProtection="1">
      <alignment horizontal="right"/>
      <protection hidden="1"/>
    </xf>
    <xf numFmtId="0" fontId="2" fillId="5" borderId="14" xfId="0" applyFont="1" applyFill="1" applyBorder="1" applyAlignment="1" applyProtection="1">
      <alignment horizontal="right"/>
      <protection hidden="1"/>
    </xf>
    <xf numFmtId="0" fontId="40" fillId="5" borderId="37" xfId="0" applyFont="1" applyFill="1" applyBorder="1" applyAlignment="1" applyProtection="1">
      <alignment horizontal="right" vertical="center"/>
      <protection hidden="1"/>
    </xf>
    <xf numFmtId="0" fontId="40" fillId="5" borderId="1" xfId="0" applyFont="1" applyFill="1" applyBorder="1" applyAlignment="1" applyProtection="1">
      <alignment horizontal="right" vertical="center"/>
      <protection hidden="1"/>
    </xf>
    <xf numFmtId="0" fontId="5" fillId="3" borderId="3" xfId="0" applyFont="1" applyFill="1" applyBorder="1" applyAlignment="1">
      <alignment horizont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8" fontId="0" fillId="0" borderId="2" xfId="0" applyNumberFormat="1" applyBorder="1" applyAlignment="1">
      <alignment horizontal="center" vertical="center"/>
    </xf>
    <xf numFmtId="168" fontId="0" fillId="0" borderId="3" xfId="0" applyNumberFormat="1" applyBorder="1" applyAlignment="1">
      <alignment horizontal="center" vertical="center"/>
    </xf>
    <xf numFmtId="168" fontId="0" fillId="0" borderId="4" xfId="0" applyNumberFormat="1" applyBorder="1" applyAlignment="1">
      <alignment horizontal="center" vertical="center"/>
    </xf>
    <xf numFmtId="0" fontId="2" fillId="0" borderId="13" xfId="0" applyFont="1" applyBorder="1" applyAlignment="1">
      <alignment horizontal="left"/>
    </xf>
    <xf numFmtId="0" fontId="2" fillId="0" borderId="0" xfId="0" applyFont="1" applyAlignment="1">
      <alignment horizontal="left"/>
    </xf>
    <xf numFmtId="0" fontId="16" fillId="0" borderId="22" xfId="0" applyFont="1" applyBorder="1" applyAlignment="1">
      <alignment horizontal="center" vertical="center" wrapText="1" shrinkToFit="1"/>
    </xf>
    <xf numFmtId="0" fontId="16" fillId="0" borderId="17" xfId="0" applyFont="1" applyBorder="1" applyAlignment="1">
      <alignment horizontal="center" vertical="center" wrapText="1" shrinkToFit="1"/>
    </xf>
    <xf numFmtId="0" fontId="16" fillId="0" borderId="17" xfId="0" applyFont="1" applyBorder="1" applyAlignment="1">
      <alignment horizontal="left" vertical="center" wrapText="1" shrinkToFit="1"/>
    </xf>
    <xf numFmtId="8" fontId="16" fillId="0" borderId="51" xfId="1" applyNumberFormat="1" applyFont="1" applyBorder="1" applyAlignment="1">
      <alignment horizontal="right" vertical="center" wrapText="1" shrinkToFit="1"/>
    </xf>
    <xf numFmtId="8" fontId="16" fillId="0" borderId="17" xfId="1" applyNumberFormat="1" applyFont="1" applyBorder="1" applyAlignment="1">
      <alignment horizontal="right" vertical="center" wrapText="1" shrinkToFit="1"/>
    </xf>
    <xf numFmtId="0" fontId="16" fillId="0" borderId="26" xfId="0" applyFont="1" applyBorder="1" applyAlignment="1">
      <alignment horizontal="center" vertical="center" wrapText="1" shrinkToFit="1"/>
    </xf>
    <xf numFmtId="0" fontId="16" fillId="0" borderId="23" xfId="0" applyFont="1" applyBorder="1" applyAlignment="1">
      <alignment horizontal="center" vertical="center" wrapText="1" shrinkToFit="1"/>
    </xf>
    <xf numFmtId="0" fontId="16" fillId="0" borderId="23" xfId="0" applyFont="1" applyBorder="1" applyAlignment="1">
      <alignment horizontal="left" vertical="center" wrapText="1" shrinkToFit="1"/>
    </xf>
    <xf numFmtId="44" fontId="0" fillId="0" borderId="1" xfId="1" applyFont="1" applyBorder="1" applyAlignment="1">
      <alignment horizontal="right" vertical="center"/>
    </xf>
    <xf numFmtId="8" fontId="10" fillId="0" borderId="23" xfId="1" applyNumberFormat="1" applyFont="1" applyBorder="1" applyAlignment="1">
      <alignment horizontal="right" vertical="center" wrapText="1" shrinkToFit="1"/>
    </xf>
    <xf numFmtId="8" fontId="10" fillId="0" borderId="48" xfId="1" applyNumberFormat="1" applyFont="1" applyBorder="1" applyAlignment="1">
      <alignment horizontal="right" vertical="center" wrapText="1" shrinkToFit="1"/>
    </xf>
    <xf numFmtId="8" fontId="10" fillId="0" borderId="38" xfId="1" applyNumberFormat="1" applyFont="1" applyBorder="1" applyAlignment="1">
      <alignment horizontal="right" vertical="center" wrapText="1" shrinkToFit="1"/>
    </xf>
    <xf numFmtId="44" fontId="0" fillId="0" borderId="17" xfId="1" applyFont="1" applyBorder="1" applyAlignment="1">
      <alignment horizontal="right" vertical="center"/>
    </xf>
    <xf numFmtId="8" fontId="10" fillId="0" borderId="27" xfId="1" applyNumberFormat="1" applyFont="1" applyBorder="1" applyAlignment="1">
      <alignment horizontal="right" vertical="center" wrapText="1" shrinkToFit="1"/>
    </xf>
    <xf numFmtId="8" fontId="10" fillId="0" borderId="37" xfId="1" applyNumberFormat="1" applyFont="1" applyBorder="1" applyAlignment="1">
      <alignment horizontal="right" vertical="center" wrapText="1" shrinkToFit="1"/>
    </xf>
    <xf numFmtId="8" fontId="10" fillId="0" borderId="1" xfId="1" applyNumberFormat="1" applyFont="1" applyBorder="1" applyAlignment="1">
      <alignment horizontal="right" vertical="center" wrapText="1" shrinkToFit="1"/>
    </xf>
    <xf numFmtId="0" fontId="20" fillId="3" borderId="25" xfId="0" applyFont="1" applyFill="1" applyBorder="1" applyAlignment="1">
      <alignment horizontal="center" vertical="center"/>
    </xf>
    <xf numFmtId="0" fontId="16" fillId="0" borderId="49" xfId="0" applyFont="1" applyBorder="1" applyAlignment="1">
      <alignment horizontal="center" vertical="center" wrapText="1" shrinkToFit="1"/>
    </xf>
    <xf numFmtId="0" fontId="16" fillId="0" borderId="14" xfId="0" applyFont="1" applyBorder="1" applyAlignment="1">
      <alignment horizontal="center" vertical="center" wrapText="1" shrinkToFit="1"/>
    </xf>
    <xf numFmtId="0" fontId="16" fillId="0" borderId="14" xfId="0" applyFont="1" applyBorder="1" applyAlignment="1">
      <alignment horizontal="left" vertical="center" wrapText="1" shrinkToFit="1"/>
    </xf>
    <xf numFmtId="44" fontId="0" fillId="0" borderId="14" xfId="1" applyFont="1" applyBorder="1" applyAlignment="1">
      <alignment horizontal="right" vertical="center"/>
    </xf>
    <xf numFmtId="0" fontId="2" fillId="5" borderId="45" xfId="0" applyFont="1" applyFill="1" applyBorder="1" applyAlignment="1">
      <alignment horizontal="right" vertical="center"/>
    </xf>
    <xf numFmtId="0" fontId="2" fillId="5" borderId="38" xfId="0" applyFont="1" applyFill="1" applyBorder="1" applyAlignment="1">
      <alignment horizontal="right" vertical="center"/>
    </xf>
    <xf numFmtId="0" fontId="2" fillId="5" borderId="36" xfId="0" applyFont="1" applyFill="1" applyBorder="1" applyAlignment="1">
      <alignment horizontal="right"/>
    </xf>
    <xf numFmtId="0" fontId="2" fillId="5" borderId="14" xfId="0" applyFont="1" applyFill="1" applyBorder="1" applyAlignment="1">
      <alignment horizontal="right"/>
    </xf>
    <xf numFmtId="0" fontId="2" fillId="5" borderId="37" xfId="0" applyFont="1" applyFill="1" applyBorder="1" applyAlignment="1">
      <alignment horizontal="right" vertical="center"/>
    </xf>
    <xf numFmtId="0" fontId="2" fillId="5" borderId="1" xfId="0" applyFont="1" applyFill="1" applyBorder="1" applyAlignment="1">
      <alignment horizontal="right" vertical="center"/>
    </xf>
    <xf numFmtId="0" fontId="2" fillId="5" borderId="59" xfId="0" applyFont="1" applyFill="1" applyBorder="1" applyAlignment="1">
      <alignment horizontal="right"/>
    </xf>
    <xf numFmtId="0" fontId="2" fillId="5" borderId="61" xfId="0" applyFont="1" applyFill="1" applyBorder="1" applyAlignment="1">
      <alignment horizontal="right" vertical="center"/>
    </xf>
    <xf numFmtId="0" fontId="41" fillId="0" borderId="0" xfId="0" applyFont="1" applyAlignment="1">
      <alignment horizontal="left" vertical="center"/>
    </xf>
    <xf numFmtId="0" fontId="2" fillId="5" borderId="60" xfId="0" applyFont="1" applyFill="1" applyBorder="1" applyAlignment="1">
      <alignment horizontal="right" vertical="center"/>
    </xf>
    <xf numFmtId="0" fontId="16" fillId="0" borderId="53" xfId="0" applyFont="1" applyBorder="1" applyAlignment="1">
      <alignment horizontal="center" vertical="center" wrapText="1" shrinkToFit="1"/>
    </xf>
    <xf numFmtId="0" fontId="16" fillId="0" borderId="37" xfId="0" applyFont="1" applyBorder="1" applyAlignment="1">
      <alignment horizontal="center" vertical="center" wrapText="1" shrinkToFit="1"/>
    </xf>
    <xf numFmtId="0" fontId="16" fillId="0" borderId="27" xfId="0" applyFont="1" applyBorder="1" applyAlignment="1">
      <alignment horizontal="left" vertical="center" wrapText="1" shrinkToFit="1"/>
    </xf>
    <xf numFmtId="0" fontId="16" fillId="0" borderId="52" xfId="0" applyFont="1" applyBorder="1" applyAlignment="1">
      <alignment horizontal="left" vertical="center" wrapText="1" shrinkToFit="1"/>
    </xf>
    <xf numFmtId="0" fontId="16" fillId="0" borderId="37" xfId="0" applyFont="1" applyBorder="1" applyAlignment="1">
      <alignment horizontal="left" vertical="center" wrapText="1" shrinkToFit="1"/>
    </xf>
    <xf numFmtId="8" fontId="16" fillId="0" borderId="27" xfId="1" applyNumberFormat="1" applyFont="1" applyBorder="1" applyAlignment="1">
      <alignment horizontal="right" vertical="center" wrapText="1" shrinkToFit="1"/>
    </xf>
    <xf numFmtId="8" fontId="16" fillId="0" borderId="37" xfId="1" applyNumberFormat="1" applyFont="1" applyBorder="1" applyAlignment="1">
      <alignment horizontal="right" vertical="center" wrapText="1" shrinkToFit="1"/>
    </xf>
    <xf numFmtId="0" fontId="16" fillId="11" borderId="53" xfId="0" applyFont="1" applyFill="1" applyBorder="1" applyAlignment="1">
      <alignment horizontal="center" vertical="center" wrapText="1" shrinkToFit="1"/>
    </xf>
    <xf numFmtId="0" fontId="16" fillId="11" borderId="37" xfId="0" applyFont="1" applyFill="1" applyBorder="1" applyAlignment="1">
      <alignment horizontal="center" vertical="center" wrapText="1" shrinkToFit="1"/>
    </xf>
    <xf numFmtId="0" fontId="16" fillId="11" borderId="27" xfId="0" applyFont="1" applyFill="1" applyBorder="1" applyAlignment="1">
      <alignment horizontal="left" vertical="center" wrapText="1" shrinkToFit="1"/>
    </xf>
    <xf numFmtId="0" fontId="16" fillId="11" borderId="52" xfId="0" applyFont="1" applyFill="1" applyBorder="1" applyAlignment="1">
      <alignment horizontal="left" vertical="center" wrapText="1" shrinkToFit="1"/>
    </xf>
    <xf numFmtId="0" fontId="16" fillId="11" borderId="37" xfId="0" applyFont="1" applyFill="1" applyBorder="1" applyAlignment="1">
      <alignment horizontal="left" vertical="center" wrapText="1" shrinkToFit="1"/>
    </xf>
    <xf numFmtId="8" fontId="16" fillId="11" borderId="27" xfId="1" applyNumberFormat="1" applyFont="1" applyFill="1" applyBorder="1" applyAlignment="1">
      <alignment horizontal="right" vertical="center" wrapText="1" shrinkToFit="1"/>
    </xf>
    <xf numFmtId="8" fontId="16" fillId="11" borderId="37" xfId="1" applyNumberFormat="1" applyFont="1" applyFill="1" applyBorder="1" applyAlignment="1">
      <alignment horizontal="right" vertical="center" wrapText="1" shrinkToFit="1"/>
    </xf>
    <xf numFmtId="44" fontId="16" fillId="0" borderId="1" xfId="1" applyFont="1" applyBorder="1" applyAlignment="1">
      <alignment horizontal="right" vertical="center" wrapText="1" shrinkToFit="1"/>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9" xfId="0" applyFont="1" applyFill="1" applyBorder="1" applyAlignment="1">
      <alignment horizontal="left" vertical="center" wrapText="1"/>
    </xf>
    <xf numFmtId="0" fontId="16" fillId="11" borderId="21" xfId="0" applyFont="1" applyFill="1" applyBorder="1" applyAlignment="1">
      <alignment horizontal="center" vertical="center" wrapText="1" shrinkToFit="1"/>
    </xf>
    <xf numFmtId="0" fontId="16" fillId="11" borderId="1" xfId="0" applyFont="1" applyFill="1" applyBorder="1" applyAlignment="1">
      <alignment horizontal="center" vertical="center" wrapText="1" shrinkToFit="1"/>
    </xf>
    <xf numFmtId="0" fontId="16" fillId="11" borderId="1" xfId="0" applyFont="1" applyFill="1" applyBorder="1" applyAlignment="1">
      <alignment horizontal="left" vertical="center" wrapText="1" shrinkToFit="1"/>
    </xf>
    <xf numFmtId="8" fontId="16" fillId="11" borderId="1" xfId="1" applyNumberFormat="1" applyFont="1" applyFill="1" applyBorder="1" applyAlignment="1">
      <alignment horizontal="right" vertical="center" wrapText="1" shrinkToFit="1"/>
    </xf>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16" fillId="0" borderId="62" xfId="0" applyFont="1" applyBorder="1" applyAlignment="1">
      <alignment horizontal="center" vertical="center" wrapText="1" shrinkToFit="1"/>
    </xf>
    <xf numFmtId="0" fontId="16" fillId="0" borderId="38" xfId="0" applyFont="1" applyBorder="1" applyAlignment="1">
      <alignment horizontal="center" vertical="center" wrapText="1" shrinkToFit="1"/>
    </xf>
  </cellXfs>
  <cellStyles count="18">
    <cellStyle name="Comma" xfId="13" builtinId="3"/>
    <cellStyle name="Comma 2" xfId="2" xr:uid="{00000000-0005-0000-0000-000001000000}"/>
    <cellStyle name="Comma 3" xfId="3" xr:uid="{00000000-0005-0000-0000-000002000000}"/>
    <cellStyle name="Currency" xfId="1" builtinId="4"/>
    <cellStyle name="Currency 2" xfId="4" xr:uid="{00000000-0005-0000-0000-000004000000}"/>
    <cellStyle name="Hyperlink" xfId="17" builtinId="8"/>
    <cellStyle name="Normal" xfId="0" builtinId="0"/>
    <cellStyle name="Normal 2" xfId="5" xr:uid="{00000000-0005-0000-0000-000006000000}"/>
    <cellStyle name="Normal 3" xfId="6" xr:uid="{00000000-0005-0000-0000-000007000000}"/>
    <cellStyle name="Normal 3 2" xfId="7" xr:uid="{00000000-0005-0000-0000-000008000000}"/>
    <cellStyle name="Normal 3 3" xfId="14" xr:uid="{00000000-0005-0000-0000-000009000000}"/>
    <cellStyle name="Normal 4" xfId="8" xr:uid="{00000000-0005-0000-0000-00000A000000}"/>
    <cellStyle name="Normal 4 2" xfId="9" xr:uid="{00000000-0005-0000-0000-00000B000000}"/>
    <cellStyle name="Normal 5" xfId="10" xr:uid="{00000000-0005-0000-0000-00000C000000}"/>
    <cellStyle name="Normal 6" xfId="16" xr:uid="{EDCEA505-DDB6-4A29-BB5E-874BAF6EC69D}"/>
    <cellStyle name="Note 2" xfId="15" xr:uid="{00000000-0005-0000-0000-00000D000000}"/>
    <cellStyle name="Percent" xfId="12" builtinId="5"/>
    <cellStyle name="Percent 2" xfId="11" xr:uid="{00000000-0005-0000-0000-00000F000000}"/>
  </cellStyles>
  <dxfs count="6">
    <dxf>
      <fill>
        <patternFill>
          <bgColor rgb="FFFFFF00"/>
        </patternFill>
      </fill>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s>
  <tableStyles count="0" defaultTableStyle="TableStyleMedium2" defaultPivotStyle="PivotStyleLight16"/>
  <colors>
    <mruColors>
      <color rgb="FF0000CC"/>
      <color rgb="FFE1FAFF"/>
      <color rgb="FFCCFFCC"/>
      <color rgb="FFFFFF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23720</xdr:colOff>
      <xdr:row>1</xdr:row>
      <xdr:rowOff>13606</xdr:rowOff>
    </xdr:from>
    <xdr:to>
      <xdr:col>9</xdr:col>
      <xdr:colOff>508748</xdr:colOff>
      <xdr:row>3</xdr:row>
      <xdr:rowOff>94456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31649" y="231320"/>
          <a:ext cx="2358368" cy="512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23719</xdr:colOff>
      <xdr:row>1</xdr:row>
      <xdr:rowOff>2523</xdr:rowOff>
    </xdr:from>
    <xdr:to>
      <xdr:col>9</xdr:col>
      <xdr:colOff>552450</xdr:colOff>
      <xdr:row>3</xdr:row>
      <xdr:rowOff>90646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1419" y="221598"/>
          <a:ext cx="2414681" cy="526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23719</xdr:colOff>
      <xdr:row>106</xdr:row>
      <xdr:rowOff>171450</xdr:rowOff>
    </xdr:from>
    <xdr:to>
      <xdr:col>10</xdr:col>
      <xdr:colOff>153898</xdr:colOff>
      <xdr:row>109</xdr:row>
      <xdr:rowOff>27545</xdr:rowOff>
    </xdr:to>
    <xdr:pic>
      <xdr:nvPicPr>
        <xdr:cNvPr id="2" name="Picture 1">
          <a:extLst>
            <a:ext uri="{FF2B5EF4-FFF2-40B4-BE49-F238E27FC236}">
              <a16:creationId xmlns:a16="http://schemas.microsoft.com/office/drawing/2014/main" id="{EB67E3F8-97AE-4DCF-8F14-0792F7B3A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71450"/>
          <a:ext cx="2644778" cy="576422"/>
        </a:xfrm>
        <a:prstGeom prst="rect">
          <a:avLst/>
        </a:prstGeom>
      </xdr:spPr>
    </xdr:pic>
    <xdr:clientData/>
  </xdr:twoCellAnchor>
  <xdr:oneCellAnchor>
    <xdr:from>
      <xdr:col>6</xdr:col>
      <xdr:colOff>23719</xdr:colOff>
      <xdr:row>0</xdr:row>
      <xdr:rowOff>171450</xdr:rowOff>
    </xdr:from>
    <xdr:ext cx="2716360" cy="577288"/>
    <xdr:pic>
      <xdr:nvPicPr>
        <xdr:cNvPr id="3" name="Picture 2">
          <a:extLst>
            <a:ext uri="{FF2B5EF4-FFF2-40B4-BE49-F238E27FC236}">
              <a16:creationId xmlns:a16="http://schemas.microsoft.com/office/drawing/2014/main" id="{03B964AA-1D3C-4A0B-9FCE-8BD2A70BF2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3992225"/>
          <a:ext cx="2716360" cy="577288"/>
        </a:xfrm>
        <a:prstGeom prst="rect">
          <a:avLst/>
        </a:prstGeom>
      </xdr:spPr>
    </xdr:pic>
    <xdr:clientData/>
  </xdr:oneCellAnchor>
  <xdr:oneCellAnchor>
    <xdr:from>
      <xdr:col>6</xdr:col>
      <xdr:colOff>23719</xdr:colOff>
      <xdr:row>53</xdr:row>
      <xdr:rowOff>171450</xdr:rowOff>
    </xdr:from>
    <xdr:ext cx="2554723" cy="594606"/>
    <xdr:pic>
      <xdr:nvPicPr>
        <xdr:cNvPr id="4" name="Picture 3">
          <a:extLst>
            <a:ext uri="{FF2B5EF4-FFF2-40B4-BE49-F238E27FC236}">
              <a16:creationId xmlns:a16="http://schemas.microsoft.com/office/drawing/2014/main" id="{C216BFB7-CC47-41A4-BA4D-483B50F8BD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27784425"/>
          <a:ext cx="2554723" cy="59460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23719</xdr:colOff>
      <xdr:row>109</xdr:row>
      <xdr:rowOff>0</xdr:rowOff>
    </xdr:from>
    <xdr:to>
      <xdr:col>10</xdr:col>
      <xdr:colOff>153896</xdr:colOff>
      <xdr:row>111</xdr:row>
      <xdr:rowOff>72867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587500"/>
          <a:ext cx="2873377" cy="606267"/>
        </a:xfrm>
        <a:prstGeom prst="rect">
          <a:avLst/>
        </a:prstGeom>
      </xdr:spPr>
    </xdr:pic>
    <xdr:clientData/>
  </xdr:twoCellAnchor>
  <xdr:oneCellAnchor>
    <xdr:from>
      <xdr:col>6</xdr:col>
      <xdr:colOff>23719</xdr:colOff>
      <xdr:row>0</xdr:row>
      <xdr:rowOff>24556</xdr:rowOff>
    </xdr:from>
    <xdr:ext cx="2716360" cy="577288"/>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9582556"/>
          <a:ext cx="2716360" cy="577288"/>
        </a:xfrm>
        <a:prstGeom prst="rect">
          <a:avLst/>
        </a:prstGeom>
      </xdr:spPr>
    </xdr:pic>
    <xdr:clientData/>
  </xdr:oneCellAnchor>
  <xdr:oneCellAnchor>
    <xdr:from>
      <xdr:col>6</xdr:col>
      <xdr:colOff>23719</xdr:colOff>
      <xdr:row>54</xdr:row>
      <xdr:rowOff>171450</xdr:rowOff>
    </xdr:from>
    <xdr:ext cx="2554723" cy="594606"/>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33242250"/>
          <a:ext cx="2554723" cy="59460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4ALLCHRIS/AppData/Local/Microsoft/Windows/Temporary%20Internet%20Files/Content.Outlook/GF43LEW0/Blank%20Livescan%20Quote%20Form%20after%20price%20chang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Piet/AppData/Local/Microsoft/Windows/Temporary%20Internet%20Files/Content.Outlook/O11JSMA1/Standard%20Forms%20for%20use%20with%20Applicant%20Providors/Quotes%20send/FDLE%20LS4G%20Cabinet%20Tenprint%20LiveScan%20with%20500P,%20Quote%202015723891-7414.xlsm?7B173F01" TargetMode="External"/><Relationship Id="rId1" Type="http://schemas.openxmlformats.org/officeDocument/2006/relationships/externalLinkPath" Target="file:///\\7B173F01\FDLE%20LS4G%20Cabinet%20Tenprint%20LiveScan%20with%20500P,%20Quote%202015723891-74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ward%20Chen/AppData/Local/Microsoft/Windows/INetCache/Content.Outlook/HTJQ2ZXI/Cost%20Based%20Quoting%20Draft%2020151105%20PH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iet/AppData/Local/Microsoft/Windows/Temporary%20Internet%20Files/Content.Outlook/O11JSMA1/Approved%20Upgrade%20Pricing%20SAM%20progra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dward/Documents/Sales/Sales%20Activity%20Sheet/2017%20Sales%20Activity%20Edwar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ales/WA%20Sales%20Ta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les/CA%20Sales%20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
      <sheetName val="Input Sheet"/>
      <sheetName val="CA"/>
      <sheetName val="Non-CA"/>
      <sheetName val="Non-GSA"/>
      <sheetName val="GSA"/>
      <sheetName val="Product"/>
      <sheetName val="GSA Price List"/>
      <sheetName val="2012 Product Price List"/>
      <sheetName val="2012 Maintenance Price List"/>
      <sheetName val="Ts&amp;Cs"/>
      <sheetName val="Trade-In Program"/>
      <sheetName val="Discount Programs"/>
      <sheetName val="Salesperson"/>
      <sheetName val="Comments"/>
      <sheetName val="Blank Livescan Quote Form after"/>
      <sheetName val="Raw BOM"/>
    </sheetNames>
    <sheetDataSet>
      <sheetData sheetId="0"/>
      <sheetData sheetId="1"/>
      <sheetData sheetId="2"/>
      <sheetData sheetId="3"/>
      <sheetData sheetId="4"/>
      <sheetData sheetId="5"/>
      <sheetData sheetId="6">
        <row r="6">
          <cell r="A6">
            <v>0</v>
          </cell>
        </row>
        <row r="20">
          <cell r="A20" t="str">
            <v>SW LS200 APP CA</v>
          </cell>
        </row>
        <row r="21">
          <cell r="A21" t="str">
            <v>SW LS-4G APP FL</v>
          </cell>
        </row>
        <row r="22">
          <cell r="A22" t="str">
            <v>SW LS-4G APP NY</v>
          </cell>
        </row>
        <row r="23">
          <cell r="A23" t="str">
            <v>SW LS200 APP</v>
          </cell>
        </row>
        <row r="24">
          <cell r="A24" t="str">
            <v>SW LS200 APP EFTS</v>
          </cell>
        </row>
        <row r="25">
          <cell r="A25" t="str">
            <v>SW LS200 APP OPM</v>
          </cell>
        </row>
        <row r="26">
          <cell r="A26" t="str">
            <v>SW LS200 APP DSS</v>
          </cell>
        </row>
        <row r="27">
          <cell r="A27" t="str">
            <v>SW LS200 APP FBI</v>
          </cell>
        </row>
        <row r="28">
          <cell r="A28" t="str">
            <v>SW LS200 APP NIGC</v>
          </cell>
        </row>
        <row r="29">
          <cell r="A29" t="str">
            <v>SW LS200 APP AAAE</v>
          </cell>
        </row>
        <row r="30">
          <cell r="A30" t="str">
            <v>SW CS200 with SW LS200</v>
          </cell>
        </row>
        <row r="31">
          <cell r="A31" t="str">
            <v>SW CS200</v>
          </cell>
        </row>
        <row r="32">
          <cell r="A32">
            <v>0</v>
          </cell>
        </row>
        <row r="33">
          <cell r="A33" t="str">
            <v>SW LS300 Criminal LS 100R</v>
          </cell>
        </row>
        <row r="34">
          <cell r="A34" t="str">
            <v>SW LS300 SPEX Criminal</v>
          </cell>
        </row>
        <row r="35">
          <cell r="A35" t="str">
            <v>SW LS300 EFTS Criminal</v>
          </cell>
        </row>
        <row r="36">
          <cell r="A36" t="str">
            <v>SW LS300</v>
          </cell>
        </row>
        <row r="37">
          <cell r="A37" t="str">
            <v>SW LS200/300</v>
          </cell>
        </row>
        <row r="38">
          <cell r="A38" t="str">
            <v>SW LS300 REG</v>
          </cell>
        </row>
        <row r="39">
          <cell r="A39" t="str">
            <v>SW LS300 DNS</v>
          </cell>
        </row>
        <row r="41">
          <cell r="A41" t="str">
            <v>SW Mugshot</v>
          </cell>
        </row>
        <row r="43">
          <cell r="A43" t="str">
            <v>SW Store &amp; Forward</v>
          </cell>
        </row>
        <row r="48">
          <cell r="B48" t="str">
            <v>Guardian Scanner</v>
          </cell>
        </row>
        <row r="49">
          <cell r="B49" t="str">
            <v>Patrol Scanner</v>
          </cell>
        </row>
        <row r="50">
          <cell r="B50" t="str">
            <v>I3 DigID Mini Scanner</v>
          </cell>
        </row>
        <row r="51">
          <cell r="B51" t="str">
            <v>TP4100 Scanner</v>
          </cell>
        </row>
        <row r="52">
          <cell r="B52" t="str">
            <v>1000T Scanner</v>
          </cell>
        </row>
        <row r="54">
          <cell r="B54" t="str">
            <v>500P Scanner</v>
          </cell>
        </row>
        <row r="55">
          <cell r="B55" t="str">
            <v>1000PX Scanner</v>
          </cell>
        </row>
        <row r="57">
          <cell r="B57" t="str">
            <v>ID500 Scanner</v>
          </cell>
        </row>
        <row r="58">
          <cell r="B58" t="str">
            <v>ID1000 Scanner</v>
          </cell>
        </row>
        <row r="59">
          <cell r="B59" t="str">
            <v>TP3100 Scanner</v>
          </cell>
        </row>
        <row r="60">
          <cell r="B60" t="str">
            <v>LS 100 R</v>
          </cell>
        </row>
        <row r="61">
          <cell r="B61">
            <v>0</v>
          </cell>
        </row>
        <row r="69">
          <cell r="A69" t="str">
            <v>PC-Desktop</v>
          </cell>
        </row>
        <row r="70">
          <cell r="A70" t="str">
            <v>PC-Desktop for 1000ppi</v>
          </cell>
        </row>
        <row r="71">
          <cell r="A71" t="str">
            <v>PC-Laptop</v>
          </cell>
        </row>
        <row r="72">
          <cell r="A72" t="str">
            <v>CA PC-Laptop</v>
          </cell>
        </row>
        <row r="73">
          <cell r="A73" t="str">
            <v>PC-Rugged Laptop</v>
          </cell>
        </row>
        <row r="75">
          <cell r="A75" t="str">
            <v>PC-Server 5000 transactions/mo, 60 day storage</v>
          </cell>
        </row>
        <row r="76">
          <cell r="A76" t="str">
            <v>PC-Server 5000 transactions/mo, 2 yr storage</v>
          </cell>
        </row>
        <row r="81">
          <cell r="A81" t="str">
            <v>Acc-Signature Pad</v>
          </cell>
        </row>
        <row r="82">
          <cell r="A82" t="str">
            <v>Acc-USB Foot Pedal</v>
          </cell>
        </row>
        <row r="83">
          <cell r="A83" t="str">
            <v>Acc-Magstripe</v>
          </cell>
        </row>
        <row r="84">
          <cell r="A84" t="str">
            <v>Acc-1D Barcode Scanner</v>
          </cell>
        </row>
        <row r="85">
          <cell r="A85" t="str">
            <v>Acc-2D Barcode Scanner</v>
          </cell>
        </row>
        <row r="86">
          <cell r="A86" t="str">
            <v>Camera</v>
          </cell>
        </row>
        <row r="87">
          <cell r="A87">
            <v>0</v>
          </cell>
        </row>
        <row r="88">
          <cell r="A88" t="str">
            <v>Acc-Carry Case Guardian</v>
          </cell>
        </row>
        <row r="89">
          <cell r="A89" t="str">
            <v>Acc-Small Pelican Case</v>
          </cell>
        </row>
        <row r="90">
          <cell r="A90" t="str">
            <v>Acc-Medium Pelican Case</v>
          </cell>
        </row>
        <row r="91">
          <cell r="A91" t="str">
            <v>Acc-Large Pelican Case</v>
          </cell>
        </row>
        <row r="93">
          <cell r="A93" t="str">
            <v>Acc -  Battery for Livescan system 250Wh</v>
          </cell>
        </row>
        <row r="94">
          <cell r="A94" t="str">
            <v>Acc -  Battery for Livescan system 500Wh</v>
          </cell>
        </row>
        <row r="101">
          <cell r="A101" t="str">
            <v>Svcs-LAC CA Peer Service</v>
          </cell>
        </row>
        <row r="102">
          <cell r="A102" t="str">
            <v>Svcs-CA Peer Set-Up, LAC</v>
          </cell>
        </row>
        <row r="103">
          <cell r="A103" t="str">
            <v>Svcs-CA Peer Set-Up</v>
          </cell>
        </row>
        <row r="104">
          <cell r="A104" t="str">
            <v>Svcs-CA Peer Set-Up Software Conversion</v>
          </cell>
        </row>
        <row r="105">
          <cell r="A105" t="str">
            <v>Svcs-State Peer Set-Up Software Conversion</v>
          </cell>
        </row>
        <row r="106">
          <cell r="A106" t="str">
            <v>SAC County, Peer Service</v>
          </cell>
        </row>
        <row r="107">
          <cell r="A107" t="str">
            <v>Svcs-Peer Set-Up NOT CA</v>
          </cell>
        </row>
        <row r="108">
          <cell r="A108" t="str">
            <v>Svcs-CA Peer Service</v>
          </cell>
        </row>
        <row r="109">
          <cell r="A109" t="str">
            <v>Svcs-Scanner Reconfiguration Fee</v>
          </cell>
        </row>
        <row r="110">
          <cell r="A110" t="str">
            <v>Svcs-State Connectivity</v>
          </cell>
        </row>
        <row r="111">
          <cell r="A111" t="str">
            <v>Svcs-FDLE Connectivity</v>
          </cell>
        </row>
        <row r="112">
          <cell r="A112" t="str">
            <v>Svcs-NY DCJS Connectivity</v>
          </cell>
        </row>
        <row r="113">
          <cell r="A113" t="str">
            <v>Svcs-OPM Connectivity</v>
          </cell>
        </row>
        <row r="114">
          <cell r="A114" t="str">
            <v>Svcs-DSS Connectivity</v>
          </cell>
        </row>
        <row r="115">
          <cell r="A115" t="str">
            <v>Svcs-AAAE Connectivity</v>
          </cell>
        </row>
        <row r="116">
          <cell r="A116" t="str">
            <v>Svcs-NIGC Connectivity</v>
          </cell>
        </row>
        <row r="117">
          <cell r="A117" t="str">
            <v>Svcs-County Connectivity</v>
          </cell>
        </row>
        <row r="118">
          <cell r="A118" t="str">
            <v>Svcs-SPEX Connectivity</v>
          </cell>
        </row>
        <row r="119">
          <cell r="A119" t="str">
            <v>Svcs-AFIS Connectivity</v>
          </cell>
        </row>
        <row r="124">
          <cell r="A124" t="str">
            <v>Svcs-Install &amp; Tr…CA On-site</v>
          </cell>
        </row>
        <row r="125">
          <cell r="A125" t="str">
            <v>Svcs-Install &amp; Tr…CA In the B4All office</v>
          </cell>
        </row>
        <row r="126">
          <cell r="A126" t="str">
            <v>Svcs-Install &amp; Tr…CA Existing Customer</v>
          </cell>
        </row>
        <row r="127">
          <cell r="A127">
            <v>0</v>
          </cell>
        </row>
        <row r="128">
          <cell r="A128" t="str">
            <v>Svcs-Remote Install &amp; Tr…</v>
          </cell>
        </row>
        <row r="129">
          <cell r="A129" t="str">
            <v>Svcs-On-Site Install &amp; Tr…East Coast</v>
          </cell>
        </row>
        <row r="130">
          <cell r="A130">
            <v>0</v>
          </cell>
        </row>
        <row r="131">
          <cell r="A131" t="str">
            <v>Svcs-Install &amp; Tr…West Coast</v>
          </cell>
        </row>
        <row r="132">
          <cell r="A132" t="str">
            <v>Svcs-Install &amp; Tr…Mountains</v>
          </cell>
        </row>
        <row r="133">
          <cell r="A133" t="str">
            <v>Svcs-Install &amp; Tr…South</v>
          </cell>
        </row>
        <row r="134">
          <cell r="A134" t="str">
            <v>Svcs-Install &amp; Tr…South East</v>
          </cell>
        </row>
        <row r="135">
          <cell r="A135" t="str">
            <v>Svcs-Install &amp; Tr…East</v>
          </cell>
        </row>
        <row r="136">
          <cell r="A136" t="str">
            <v>Svcs-Install &amp; Tr… FED</v>
          </cell>
        </row>
        <row r="137">
          <cell r="A137" t="str">
            <v>Svcs-Install &amp; Tr… Foreign</v>
          </cell>
        </row>
        <row r="138">
          <cell r="A138" t="str">
            <v>Svcs-On-Site Install &amp; Tr…West Coast</v>
          </cell>
        </row>
        <row r="139">
          <cell r="A139" t="str">
            <v>Svcs-On-Site Install &amp; Tr…Mountains</v>
          </cell>
        </row>
        <row r="140">
          <cell r="A140" t="str">
            <v>Svcs-On-Site Install &amp; Tr…South</v>
          </cell>
        </row>
        <row r="141">
          <cell r="A141" t="str">
            <v>Svcs-On-Site Install &amp; Trr…South East</v>
          </cell>
        </row>
        <row r="142">
          <cell r="A142" t="str">
            <v>Svcs-On-Site Install &amp; Trr…East</v>
          </cell>
        </row>
        <row r="143">
          <cell r="A143" t="str">
            <v>Svcs-On-Site Install &amp; Trr… Foreign</v>
          </cell>
        </row>
        <row r="144">
          <cell r="A144" t="str">
            <v>LA County Install</v>
          </cell>
        </row>
        <row r="145">
          <cell r="A145" t="str">
            <v>LA County Training</v>
          </cell>
        </row>
        <row r="146">
          <cell r="A146" t="str">
            <v>SAC County Install &amp; Training</v>
          </cell>
        </row>
        <row r="147">
          <cell r="A147" t="str">
            <v>Svcs-Configuration &amp; Upgrade</v>
          </cell>
        </row>
        <row r="182">
          <cell r="A182" t="str">
            <v>Printer Card Configuration</v>
          </cell>
        </row>
        <row r="183">
          <cell r="A183" t="str">
            <v>SW Printer</v>
          </cell>
        </row>
        <row r="185">
          <cell r="A185" t="str">
            <v>Kiosk</v>
          </cell>
        </row>
        <row r="186">
          <cell r="A186" t="str">
            <v>Camera Enclosure</v>
          </cell>
        </row>
        <row r="187">
          <cell r="A187" t="str">
            <v>Printer Simplex</v>
          </cell>
        </row>
        <row r="188">
          <cell r="A188" t="str">
            <v>Printer Duplex</v>
          </cell>
        </row>
        <row r="189">
          <cell r="A189" t="str">
            <v>Optional Laptop</v>
          </cell>
        </row>
        <row r="190">
          <cell r="A190" t="str">
            <v>Optional Desktop</v>
          </cell>
        </row>
        <row r="191">
          <cell r="A191" t="str">
            <v>LCD 17 Touch U</v>
          </cell>
        </row>
        <row r="192">
          <cell r="A192" t="str">
            <v>LCD 17 Touch S</v>
          </cell>
        </row>
        <row r="197">
          <cell r="A197" t="str">
            <v>Shipping CA</v>
          </cell>
        </row>
        <row r="198">
          <cell r="A198" t="str">
            <v>Shipping Printer</v>
          </cell>
        </row>
        <row r="199">
          <cell r="A199" t="str">
            <v>Shipping FED</v>
          </cell>
        </row>
        <row r="200">
          <cell r="A200" t="str">
            <v>Shipping FED, outside US</v>
          </cell>
        </row>
        <row r="201">
          <cell r="A201" t="str">
            <v>Shipping Foreign</v>
          </cell>
        </row>
        <row r="202">
          <cell r="A202" t="str">
            <v>Shipping Not CA</v>
          </cell>
        </row>
      </sheetData>
      <sheetData sheetId="7"/>
      <sheetData sheetId="8">
        <row r="1">
          <cell r="A1" t="str">
            <v>Part Number</v>
          </cell>
          <cell r="B1" t="str">
            <v>Model Name</v>
          </cell>
          <cell r="C1" t="str">
            <v>Description</v>
          </cell>
          <cell r="D1" t="str">
            <v>Tax</v>
          </cell>
          <cell r="E1" t="str">
            <v>List</v>
          </cell>
          <cell r="F1" t="str">
            <v>Private</v>
          </cell>
          <cell r="G1" t="str">
            <v>DSS Private</v>
          </cell>
          <cell r="H1" t="str">
            <v>CA Private</v>
          </cell>
          <cell r="I1" t="str">
            <v>FL Private</v>
          </cell>
          <cell r="J1" t="str">
            <v>Local Gov</v>
          </cell>
          <cell r="K1" t="str">
            <v>CA Local
Gov</v>
          </cell>
          <cell r="L1" t="str">
            <v>LA County
Contract</v>
          </cell>
          <cell r="M1" t="str">
            <v>SAC County
Contract</v>
          </cell>
          <cell r="N1" t="str">
            <v>State</v>
          </cell>
          <cell r="O1" t="str">
            <v>NYS</v>
          </cell>
          <cell r="P1" t="str">
            <v>Federal</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row>
        <row r="3">
          <cell r="A3" t="str">
            <v>LS - LiveScan Systems</v>
          </cell>
          <cell r="B3">
            <v>0</v>
          </cell>
          <cell r="C3">
            <v>0</v>
          </cell>
          <cell r="D3">
            <v>0</v>
          </cell>
          <cell r="E3">
            <v>0</v>
          </cell>
          <cell r="F3">
            <v>0</v>
          </cell>
          <cell r="G3">
            <v>0</v>
          </cell>
          <cell r="H3">
            <v>0</v>
          </cell>
          <cell r="I3">
            <v>0</v>
          </cell>
          <cell r="J3">
            <v>0</v>
          </cell>
          <cell r="K3">
            <v>0</v>
          </cell>
          <cell r="L3">
            <v>0</v>
          </cell>
          <cell r="M3">
            <v>0</v>
          </cell>
          <cell r="N3">
            <v>0</v>
          </cell>
          <cell r="O3">
            <v>0</v>
          </cell>
          <cell r="P3">
            <v>0</v>
          </cell>
        </row>
        <row r="4">
          <cell r="A4" t="str">
            <v>LS-4G-Lite-Xe</v>
          </cell>
          <cell r="B4" t="str">
            <v>LS - 4G LiveScan System with Lite-Xe scanner</v>
          </cell>
          <cell r="C4" t="str">
            <v>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v>
          </cell>
          <cell r="D4" t="str">
            <v>T</v>
          </cell>
          <cell r="E4">
            <v>0</v>
          </cell>
          <cell r="F4">
            <v>11695</v>
          </cell>
          <cell r="G4">
            <v>11695</v>
          </cell>
          <cell r="H4">
            <v>0</v>
          </cell>
          <cell r="I4">
            <v>0</v>
          </cell>
          <cell r="J4">
            <v>10759</v>
          </cell>
          <cell r="K4" t="e">
            <v>#VALUE!</v>
          </cell>
          <cell r="L4" t="e">
            <v>#VALUE!</v>
          </cell>
          <cell r="M4">
            <v>0</v>
          </cell>
          <cell r="N4">
            <v>10759</v>
          </cell>
          <cell r="O4">
            <v>9940</v>
          </cell>
          <cell r="P4" t="str">
            <v>N/A</v>
          </cell>
          <cell r="Q4">
            <v>0</v>
          </cell>
          <cell r="R4">
            <v>0</v>
          </cell>
          <cell r="S4">
            <v>8.0034202650705377E-2</v>
          </cell>
          <cell r="T4">
            <v>0</v>
          </cell>
          <cell r="U4">
            <v>0</v>
          </cell>
          <cell r="V4">
            <v>0</v>
          </cell>
          <cell r="W4">
            <v>0.08</v>
          </cell>
          <cell r="X4">
            <v>0.15</v>
          </cell>
          <cell r="Y4">
            <v>0.15</v>
          </cell>
          <cell r="Z4" t="str">
            <v>Systems</v>
          </cell>
          <cell r="AA4" t="str">
            <v>Each</v>
          </cell>
          <cell r="AB4">
            <v>0</v>
          </cell>
          <cell r="AC4">
            <v>0</v>
          </cell>
          <cell r="AD4" t="e">
            <v>#VALUE!</v>
          </cell>
          <cell r="AE4">
            <v>0.1</v>
          </cell>
          <cell r="AF4" t="e">
            <v>#VALUE!</v>
          </cell>
          <cell r="AG4" t="e">
            <v>#VALUE!</v>
          </cell>
        </row>
        <row r="5">
          <cell r="A5" t="str">
            <v>LS-4G-Guardian</v>
          </cell>
          <cell r="B5" t="str">
            <v>LS - 4G LiveScan System with Guardian scanner</v>
          </cell>
          <cell r="C5" t="str">
            <v>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v>
          </cell>
          <cell r="D5" t="str">
            <v>T</v>
          </cell>
          <cell r="E5">
            <v>0</v>
          </cell>
          <cell r="F5">
            <v>7495</v>
          </cell>
          <cell r="G5">
            <v>6415</v>
          </cell>
          <cell r="H5">
            <v>0</v>
          </cell>
          <cell r="I5">
            <v>0</v>
          </cell>
          <cell r="J5">
            <v>6895</v>
          </cell>
          <cell r="K5">
            <v>0</v>
          </cell>
          <cell r="L5" t="str">
            <v>N/A</v>
          </cell>
          <cell r="M5" t="str">
            <v>N/A</v>
          </cell>
          <cell r="N5">
            <v>6895</v>
          </cell>
          <cell r="O5">
            <v>6370</v>
          </cell>
          <cell r="P5">
            <v>6370</v>
          </cell>
          <cell r="Q5">
            <v>764.4</v>
          </cell>
          <cell r="R5">
            <v>0</v>
          </cell>
          <cell r="S5">
            <v>8.0053368912608391E-2</v>
          </cell>
          <cell r="T5">
            <v>0</v>
          </cell>
          <cell r="U5">
            <v>0</v>
          </cell>
          <cell r="V5">
            <v>0</v>
          </cell>
          <cell r="W5">
            <v>0.08</v>
          </cell>
          <cell r="X5">
            <v>0.15</v>
          </cell>
          <cell r="Y5">
            <v>0.15</v>
          </cell>
          <cell r="Z5" t="str">
            <v>Systems</v>
          </cell>
          <cell r="AA5" t="str">
            <v>Each</v>
          </cell>
          <cell r="AB5">
            <v>0</v>
          </cell>
          <cell r="AC5">
            <v>0</v>
          </cell>
          <cell r="AD5">
            <v>0</v>
          </cell>
          <cell r="AE5">
            <v>0.1</v>
          </cell>
          <cell r="AF5">
            <v>5733</v>
          </cell>
          <cell r="AG5">
            <v>0</v>
          </cell>
        </row>
        <row r="6">
          <cell r="A6" t="str">
            <v>LS-4G-I3</v>
          </cell>
          <cell r="B6" t="str">
            <v>LS - 4G LiveScan System with I3 DigID Mini scanner</v>
          </cell>
          <cell r="C6" t="str">
            <v>LS200 LiveScan System: LiveScan software license, single Type of Transaction (TOT), descriptor entry, picklist configuration, fingerprint capture, single submission, basic user management, basic transaction management, computer (desktop or laptop), I3 DigID Mini scanner, system configuration and setup, and ground shipping.</v>
          </cell>
          <cell r="D6" t="str">
            <v>T</v>
          </cell>
          <cell r="E6">
            <v>0</v>
          </cell>
          <cell r="F6">
            <v>5995</v>
          </cell>
          <cell r="G6">
            <v>4915</v>
          </cell>
          <cell r="H6">
            <v>0</v>
          </cell>
          <cell r="I6">
            <v>0</v>
          </cell>
          <cell r="J6">
            <v>5515</v>
          </cell>
          <cell r="K6">
            <v>0</v>
          </cell>
          <cell r="L6" t="str">
            <v>N/A</v>
          </cell>
          <cell r="M6" t="str">
            <v>N/A</v>
          </cell>
          <cell r="N6">
            <v>5515</v>
          </cell>
          <cell r="O6" t="str">
            <v>N/A</v>
          </cell>
          <cell r="P6">
            <v>5095</v>
          </cell>
          <cell r="Q6">
            <v>0</v>
          </cell>
          <cell r="R6">
            <v>0</v>
          </cell>
          <cell r="S6">
            <v>8.0066722268557156E-2</v>
          </cell>
          <cell r="T6">
            <v>0</v>
          </cell>
          <cell r="U6">
            <v>0</v>
          </cell>
          <cell r="V6">
            <v>0</v>
          </cell>
          <cell r="W6">
            <v>0.08</v>
          </cell>
          <cell r="X6">
            <v>0.15</v>
          </cell>
          <cell r="Y6">
            <v>0.15</v>
          </cell>
          <cell r="Z6" t="str">
            <v>Systems</v>
          </cell>
          <cell r="AA6" t="str">
            <v>Each</v>
          </cell>
          <cell r="AB6">
            <v>0</v>
          </cell>
          <cell r="AC6">
            <v>0</v>
          </cell>
          <cell r="AD6">
            <v>0</v>
          </cell>
          <cell r="AE6">
            <v>0.1</v>
          </cell>
          <cell r="AF6">
            <v>4585.5</v>
          </cell>
          <cell r="AG6">
            <v>0</v>
          </cell>
        </row>
        <row r="7">
          <cell r="A7" t="str">
            <v>LS-4G-Lite-Ue</v>
          </cell>
          <cell r="B7" t="str">
            <v>LS - 4G LiveScan System with Lite-Ue scanner</v>
          </cell>
          <cell r="C7" t="str">
            <v>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v>
          </cell>
          <cell r="D7" t="str">
            <v>T</v>
          </cell>
          <cell r="E7">
            <v>0</v>
          </cell>
          <cell r="F7">
            <v>16495</v>
          </cell>
          <cell r="G7" t="str">
            <v>N/a</v>
          </cell>
          <cell r="H7">
            <v>0</v>
          </cell>
          <cell r="I7">
            <v>0</v>
          </cell>
          <cell r="J7">
            <v>15175</v>
          </cell>
          <cell r="K7">
            <v>0</v>
          </cell>
          <cell r="L7" t="str">
            <v>N/A</v>
          </cell>
          <cell r="M7" t="str">
            <v>N/A</v>
          </cell>
          <cell r="N7">
            <v>15175</v>
          </cell>
          <cell r="O7">
            <v>14020</v>
          </cell>
          <cell r="P7" t="str">
            <v>N/A</v>
          </cell>
          <cell r="Q7">
            <v>0</v>
          </cell>
          <cell r="R7">
            <v>0</v>
          </cell>
          <cell r="S7">
            <v>8.0024249772658429E-2</v>
          </cell>
          <cell r="T7">
            <v>0</v>
          </cell>
          <cell r="U7">
            <v>0</v>
          </cell>
          <cell r="V7">
            <v>0</v>
          </cell>
          <cell r="W7">
            <v>0.08</v>
          </cell>
          <cell r="X7">
            <v>0.15</v>
          </cell>
          <cell r="Y7">
            <v>0.15</v>
          </cell>
          <cell r="Z7" t="str">
            <v>Systems</v>
          </cell>
          <cell r="AA7" t="str">
            <v>Each</v>
          </cell>
          <cell r="AB7">
            <v>0</v>
          </cell>
          <cell r="AC7">
            <v>60</v>
          </cell>
          <cell r="AD7" t="e">
            <v>#VALUE!</v>
          </cell>
          <cell r="AE7">
            <v>0.1</v>
          </cell>
          <cell r="AF7" t="e">
            <v>#VALUE!</v>
          </cell>
          <cell r="AG7" t="e">
            <v>#VALUE!</v>
          </cell>
        </row>
        <row r="8">
          <cell r="A8" t="str">
            <v>LS-4G-500P</v>
          </cell>
          <cell r="B8" t="str">
            <v>LS - 4G LiveScan System with 500P scanner</v>
          </cell>
          <cell r="C8" t="str">
            <v>LS300 LiveScan System: LiveScan software license, single Type of Transaction (TOT), descriptor entry, picklist configuration, fingerprint capture, single submission, basic user management, basic transaction management, computer (desktop or laptop), 500P (500ppi) scanner, system configuration and setup, and ground shipping.</v>
          </cell>
          <cell r="D8" t="str">
            <v>T</v>
          </cell>
          <cell r="E8">
            <v>0</v>
          </cell>
          <cell r="F8">
            <v>16495</v>
          </cell>
          <cell r="G8">
            <v>16495</v>
          </cell>
          <cell r="H8">
            <v>0</v>
          </cell>
          <cell r="I8">
            <v>0</v>
          </cell>
          <cell r="J8">
            <v>15175</v>
          </cell>
          <cell r="K8">
            <v>0</v>
          </cell>
          <cell r="L8" t="str">
            <v>N/A</v>
          </cell>
          <cell r="M8" t="str">
            <v>N/A</v>
          </cell>
          <cell r="N8">
            <v>15175</v>
          </cell>
          <cell r="O8" t="str">
            <v>N/A</v>
          </cell>
          <cell r="P8">
            <v>14020</v>
          </cell>
          <cell r="Q8">
            <v>0</v>
          </cell>
          <cell r="R8">
            <v>0</v>
          </cell>
          <cell r="S8">
            <v>8.0024249772658429E-2</v>
          </cell>
          <cell r="T8">
            <v>0</v>
          </cell>
          <cell r="U8">
            <v>0</v>
          </cell>
          <cell r="V8">
            <v>0</v>
          </cell>
          <cell r="W8">
            <v>0.08</v>
          </cell>
          <cell r="X8">
            <v>0.15</v>
          </cell>
          <cell r="Y8">
            <v>0.15</v>
          </cell>
          <cell r="Z8" t="str">
            <v>Systems</v>
          </cell>
          <cell r="AA8" t="str">
            <v>Each</v>
          </cell>
          <cell r="AB8">
            <v>0</v>
          </cell>
          <cell r="AC8">
            <v>60</v>
          </cell>
          <cell r="AD8">
            <v>841200</v>
          </cell>
          <cell r="AE8">
            <v>0.1</v>
          </cell>
          <cell r="AF8">
            <v>12618</v>
          </cell>
          <cell r="AG8">
            <v>757080</v>
          </cell>
        </row>
        <row r="9">
          <cell r="A9" t="str">
            <v>LS-4G-1000PX</v>
          </cell>
          <cell r="B9" t="str">
            <v>LS - 4G LiveScan System with1000PX scanner</v>
          </cell>
          <cell r="C9" t="str">
            <v>LS300 LiveScan System: LiveScan software license, single Type of Transaction (TOT), descriptor entry, picklist configuration, fingerprint capture, single submission, basic user management, basic transaction management, computer (desktop or laptop), 1000PX (1000ppi) scanner, system configuration and setup, and ground shipping.</v>
          </cell>
          <cell r="D9" t="str">
            <v>T</v>
          </cell>
          <cell r="E9">
            <v>0</v>
          </cell>
          <cell r="F9">
            <v>18690</v>
          </cell>
          <cell r="G9">
            <v>18690</v>
          </cell>
          <cell r="H9">
            <v>0</v>
          </cell>
          <cell r="I9">
            <v>0</v>
          </cell>
          <cell r="J9">
            <v>17194</v>
          </cell>
          <cell r="K9">
            <v>0</v>
          </cell>
          <cell r="L9" t="str">
            <v>N/A</v>
          </cell>
          <cell r="M9" t="str">
            <v>N/A</v>
          </cell>
          <cell r="N9">
            <v>17194</v>
          </cell>
          <cell r="O9" t="str">
            <v>N/A</v>
          </cell>
          <cell r="P9">
            <v>15886</v>
          </cell>
          <cell r="Q9">
            <v>0</v>
          </cell>
          <cell r="R9">
            <v>0</v>
          </cell>
          <cell r="S9">
            <v>8.004280363830929E-2</v>
          </cell>
          <cell r="T9">
            <v>0</v>
          </cell>
          <cell r="U9">
            <v>0</v>
          </cell>
          <cell r="V9">
            <v>0</v>
          </cell>
          <cell r="W9">
            <v>0.08</v>
          </cell>
          <cell r="X9">
            <v>0.15</v>
          </cell>
          <cell r="Y9">
            <v>0.15</v>
          </cell>
          <cell r="Z9" t="str">
            <v>Systems</v>
          </cell>
          <cell r="AA9" t="str">
            <v>Each</v>
          </cell>
          <cell r="AB9">
            <v>0</v>
          </cell>
          <cell r="AC9">
            <v>60</v>
          </cell>
          <cell r="AD9">
            <v>953160</v>
          </cell>
          <cell r="AE9">
            <v>0.1</v>
          </cell>
          <cell r="AF9">
            <v>14297.4</v>
          </cell>
          <cell r="AG9">
            <v>857844</v>
          </cell>
        </row>
        <row r="10">
          <cell r="A10" t="str">
            <v>LS-4G-JKGuardian</v>
          </cell>
          <cell r="B10" t="str">
            <v>LS - 4G LiveScan Jump Kit System with Guardian scanner</v>
          </cell>
          <cell r="C10" t="str">
            <v>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v>
          </cell>
          <cell r="D10" t="str">
            <v>T</v>
          </cell>
          <cell r="E10">
            <v>0</v>
          </cell>
          <cell r="F10">
            <v>14495</v>
          </cell>
          <cell r="G10">
            <v>14495</v>
          </cell>
          <cell r="H10">
            <v>0</v>
          </cell>
          <cell r="I10">
            <v>0</v>
          </cell>
          <cell r="J10">
            <v>13335</v>
          </cell>
          <cell r="K10">
            <v>0</v>
          </cell>
          <cell r="L10" t="str">
            <v>N/A</v>
          </cell>
          <cell r="M10" t="str">
            <v>N/A</v>
          </cell>
          <cell r="N10">
            <v>13335</v>
          </cell>
          <cell r="O10">
            <v>12320</v>
          </cell>
          <cell r="P10">
            <v>12320</v>
          </cell>
          <cell r="Q10">
            <v>0</v>
          </cell>
          <cell r="R10">
            <v>0</v>
          </cell>
          <cell r="S10">
            <v>8.0027595722662936E-2</v>
          </cell>
          <cell r="T10">
            <v>0</v>
          </cell>
          <cell r="U10">
            <v>0</v>
          </cell>
          <cell r="V10">
            <v>0</v>
          </cell>
          <cell r="W10">
            <v>0.08</v>
          </cell>
          <cell r="X10">
            <v>0.15</v>
          </cell>
          <cell r="Y10">
            <v>0.15</v>
          </cell>
          <cell r="Z10" t="str">
            <v>Systems</v>
          </cell>
          <cell r="AA10" t="str">
            <v>Each</v>
          </cell>
          <cell r="AB10">
            <v>0</v>
          </cell>
          <cell r="AC10">
            <v>0</v>
          </cell>
          <cell r="AD10">
            <v>0</v>
          </cell>
          <cell r="AE10">
            <v>0.1</v>
          </cell>
          <cell r="AF10">
            <v>11088</v>
          </cell>
          <cell r="AG10">
            <v>0</v>
          </cell>
        </row>
        <row r="11">
          <cell r="A11" t="str">
            <v>LS-4G-JKLite-Ue</v>
          </cell>
          <cell r="B11" t="str">
            <v>LS - 4G LiveScan Jump Kit System with Lite-Ue scanner</v>
          </cell>
          <cell r="C11" t="str">
            <v>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v>
          </cell>
          <cell r="D11" t="str">
            <v>T</v>
          </cell>
          <cell r="E11">
            <v>0</v>
          </cell>
          <cell r="F11">
            <v>19495</v>
          </cell>
          <cell r="G11">
            <v>19495</v>
          </cell>
          <cell r="H11">
            <v>0</v>
          </cell>
          <cell r="I11">
            <v>0</v>
          </cell>
          <cell r="J11">
            <v>17935</v>
          </cell>
          <cell r="K11">
            <v>0</v>
          </cell>
          <cell r="L11" t="str">
            <v>N/A</v>
          </cell>
          <cell r="M11" t="str">
            <v>N/A</v>
          </cell>
          <cell r="N11">
            <v>17935</v>
          </cell>
          <cell r="O11">
            <v>16570</v>
          </cell>
          <cell r="P11" t="str">
            <v>N/A</v>
          </cell>
          <cell r="Q11">
            <v>0</v>
          </cell>
          <cell r="R11">
            <v>0</v>
          </cell>
          <cell r="S11">
            <v>8.0020518081559411E-2</v>
          </cell>
          <cell r="T11">
            <v>0</v>
          </cell>
          <cell r="U11">
            <v>0</v>
          </cell>
          <cell r="V11">
            <v>0</v>
          </cell>
          <cell r="W11">
            <v>0.08</v>
          </cell>
          <cell r="X11">
            <v>0.15</v>
          </cell>
          <cell r="Y11">
            <v>0.15</v>
          </cell>
          <cell r="Z11" t="str">
            <v>Systems</v>
          </cell>
          <cell r="AA11" t="str">
            <v>Each</v>
          </cell>
          <cell r="AB11">
            <v>0</v>
          </cell>
          <cell r="AC11">
            <v>0</v>
          </cell>
          <cell r="AD11" t="e">
            <v>#VALUE!</v>
          </cell>
          <cell r="AE11">
            <v>0.1</v>
          </cell>
          <cell r="AF11" t="e">
            <v>#VALUE!</v>
          </cell>
          <cell r="AG11" t="e">
            <v>#VALUE!</v>
          </cell>
        </row>
        <row r="12">
          <cell r="A12" t="str">
            <v>LS-4G-JKLite-500P</v>
          </cell>
          <cell r="B12" t="str">
            <v>LS - 4G LiveScan Jump Kit System with 500P scanner</v>
          </cell>
          <cell r="C12" t="str">
            <v>LS300 LiveScan System: LiveScan software license, single Type of Transaction (TOT), descriptor entry, picklist configuration, fingerprint capture, single submission, basic user management, basic transaction management, semi-rugged laptop computer, 500P scanner, military grade roller case with anti-static foam, system configuration and setup, and ground shipping.</v>
          </cell>
          <cell r="D12" t="str">
            <v>T</v>
          </cell>
          <cell r="E12">
            <v>0</v>
          </cell>
          <cell r="F12">
            <v>19495</v>
          </cell>
          <cell r="G12">
            <v>19495</v>
          </cell>
          <cell r="H12">
            <v>0</v>
          </cell>
          <cell r="I12">
            <v>0</v>
          </cell>
          <cell r="J12">
            <v>17935</v>
          </cell>
          <cell r="K12">
            <v>0</v>
          </cell>
          <cell r="L12" t="str">
            <v>N/A</v>
          </cell>
          <cell r="M12" t="str">
            <v>N/A</v>
          </cell>
          <cell r="N12">
            <v>17935</v>
          </cell>
          <cell r="O12" t="str">
            <v>N/A</v>
          </cell>
          <cell r="P12">
            <v>16570</v>
          </cell>
          <cell r="Q12">
            <v>0</v>
          </cell>
          <cell r="R12">
            <v>0</v>
          </cell>
          <cell r="S12">
            <v>8.0020518081559411E-2</v>
          </cell>
          <cell r="T12">
            <v>0</v>
          </cell>
          <cell r="U12">
            <v>0</v>
          </cell>
          <cell r="V12">
            <v>0</v>
          </cell>
          <cell r="W12">
            <v>0.08</v>
          </cell>
          <cell r="X12">
            <v>0.15</v>
          </cell>
          <cell r="Y12">
            <v>0.15</v>
          </cell>
          <cell r="Z12" t="str">
            <v>Systems</v>
          </cell>
          <cell r="AA12" t="str">
            <v>Each</v>
          </cell>
          <cell r="AB12">
            <v>0</v>
          </cell>
          <cell r="AC12">
            <v>0</v>
          </cell>
          <cell r="AD12">
            <v>0</v>
          </cell>
          <cell r="AE12">
            <v>0.1</v>
          </cell>
          <cell r="AF12">
            <v>14913</v>
          </cell>
          <cell r="AG12">
            <v>0</v>
          </cell>
        </row>
        <row r="13">
          <cell r="A13" t="str">
            <v>LS-4G-JKLite-1000PX</v>
          </cell>
          <cell r="B13" t="str">
            <v>LS - 4G LiveScan Jump Kit System with 1000PX scanner</v>
          </cell>
          <cell r="C13" t="str">
            <v>LS300 LiveScan System: LiveScan software license, single Type of Transaction (TOT), descriptor entry, picklist configuration, fingerprint capture, single submission, basic user management, basic transaction management, semi-rugged laptop computer, 1000PX scanner, military grade roller case with anti-static foam, system configuration and setup, and ground shipping.</v>
          </cell>
          <cell r="D13" t="str">
            <v>T</v>
          </cell>
          <cell r="E13">
            <v>0</v>
          </cell>
          <cell r="F13">
            <v>29930</v>
          </cell>
          <cell r="G13">
            <v>29795</v>
          </cell>
          <cell r="H13">
            <v>0</v>
          </cell>
          <cell r="I13">
            <v>0</v>
          </cell>
          <cell r="J13">
            <v>27535</v>
          </cell>
          <cell r="K13">
            <v>0</v>
          </cell>
          <cell r="L13" t="str">
            <v>N/A</v>
          </cell>
          <cell r="M13" t="str">
            <v>N/A</v>
          </cell>
          <cell r="N13">
            <v>27535</v>
          </cell>
          <cell r="O13" t="str">
            <v>N/A</v>
          </cell>
          <cell r="P13">
            <v>25440</v>
          </cell>
          <cell r="Q13">
            <v>0</v>
          </cell>
          <cell r="R13">
            <v>0</v>
          </cell>
          <cell r="S13">
            <v>8.0020046775810205E-2</v>
          </cell>
          <cell r="T13">
            <v>0</v>
          </cell>
          <cell r="U13">
            <v>0</v>
          </cell>
          <cell r="V13">
            <v>0</v>
          </cell>
          <cell r="W13">
            <v>0.08</v>
          </cell>
          <cell r="X13">
            <v>0.15</v>
          </cell>
          <cell r="Y13">
            <v>0.15</v>
          </cell>
          <cell r="Z13" t="str">
            <v>Systems</v>
          </cell>
          <cell r="AA13" t="str">
            <v>Each</v>
          </cell>
          <cell r="AB13">
            <v>0</v>
          </cell>
          <cell r="AC13">
            <v>0</v>
          </cell>
          <cell r="AD13">
            <v>0</v>
          </cell>
          <cell r="AE13">
            <v>0.1</v>
          </cell>
          <cell r="AF13">
            <v>22896</v>
          </cell>
          <cell r="AG13">
            <v>0</v>
          </cell>
        </row>
        <row r="14">
          <cell r="A14" t="str">
            <v>LAC-LS200-Guardian, laptop, no printer</v>
          </cell>
          <cell r="B14" t="str">
            <v>680-48-00-046916</v>
          </cell>
          <cell r="C14" t="str">
            <v>Fingerprint-laptop-drivers license scanner, without printer:
LS200/Guardian scanner, Laptop Computer LSPC200-L</v>
          </cell>
          <cell r="D14" t="str">
            <v>T</v>
          </cell>
          <cell r="E14">
            <v>0</v>
          </cell>
          <cell r="F14" t="str">
            <v>N/A</v>
          </cell>
          <cell r="G14" t="str">
            <v>N/A</v>
          </cell>
          <cell r="H14" t="str">
            <v>N/A</v>
          </cell>
          <cell r="I14" t="str">
            <v>N/A</v>
          </cell>
          <cell r="J14" t="str">
            <v>N/A</v>
          </cell>
          <cell r="K14" t="str">
            <v>N/A</v>
          </cell>
          <cell r="L14">
            <v>7050</v>
          </cell>
          <cell r="M14" t="str">
            <v>N/A</v>
          </cell>
          <cell r="N14" t="str">
            <v>N/A</v>
          </cell>
          <cell r="O14" t="str">
            <v>N/A</v>
          </cell>
          <cell r="P14" t="str">
            <v>N/A</v>
          </cell>
          <cell r="Q14">
            <v>0</v>
          </cell>
          <cell r="R14">
            <v>0</v>
          </cell>
          <cell r="S14">
            <v>0</v>
          </cell>
          <cell r="T14">
            <v>0</v>
          </cell>
          <cell r="U14">
            <v>0</v>
          </cell>
          <cell r="V14">
            <v>0</v>
          </cell>
          <cell r="W14">
            <v>0</v>
          </cell>
          <cell r="X14">
            <v>0</v>
          </cell>
          <cell r="Y14">
            <v>0</v>
          </cell>
          <cell r="Z14" t="str">
            <v>Systems</v>
          </cell>
          <cell r="AA14" t="str">
            <v>Each</v>
          </cell>
          <cell r="AB14">
            <v>0</v>
          </cell>
          <cell r="AC14">
            <v>0</v>
          </cell>
          <cell r="AD14">
            <v>0</v>
          </cell>
          <cell r="AE14">
            <v>0</v>
          </cell>
          <cell r="AF14">
            <v>0</v>
          </cell>
          <cell r="AG14">
            <v>0</v>
          </cell>
        </row>
        <row r="15">
          <cell r="A15" t="str">
            <v>LAC-LS200-1000T, desktop, printer</v>
          </cell>
          <cell r="B15" t="str">
            <v>680-48-035640</v>
          </cell>
          <cell r="C15" t="str">
            <v>Fingerprinter-desktop-with printer and drivers license scanner:
LS200/1000T scanner, Desktop Computer LSPC200-D, 1200 ppi Printer Lexmark C534N</v>
          </cell>
          <cell r="D15" t="str">
            <v>T</v>
          </cell>
          <cell r="E15">
            <v>0</v>
          </cell>
          <cell r="F15" t="str">
            <v>N/A</v>
          </cell>
          <cell r="G15" t="str">
            <v>N/A</v>
          </cell>
          <cell r="H15" t="str">
            <v>N/A</v>
          </cell>
          <cell r="I15" t="str">
            <v>N/A</v>
          </cell>
          <cell r="J15" t="str">
            <v>N/A</v>
          </cell>
          <cell r="K15" t="str">
            <v>N/A</v>
          </cell>
          <cell r="L15">
            <v>8930</v>
          </cell>
          <cell r="M15" t="str">
            <v>N/A</v>
          </cell>
          <cell r="N15" t="str">
            <v>N/A</v>
          </cell>
          <cell r="O15" t="str">
            <v>N/A</v>
          </cell>
          <cell r="P15" t="str">
            <v>N/A</v>
          </cell>
          <cell r="Q15">
            <v>0</v>
          </cell>
          <cell r="R15">
            <v>0</v>
          </cell>
          <cell r="S15">
            <v>0</v>
          </cell>
          <cell r="T15">
            <v>0</v>
          </cell>
          <cell r="U15">
            <v>0</v>
          </cell>
          <cell r="V15">
            <v>0</v>
          </cell>
          <cell r="W15">
            <v>0</v>
          </cell>
          <cell r="X15">
            <v>0</v>
          </cell>
          <cell r="Y15">
            <v>0</v>
          </cell>
          <cell r="Z15" t="str">
            <v>Systems</v>
          </cell>
          <cell r="AA15" t="str">
            <v>Each</v>
          </cell>
          <cell r="AB15">
            <v>0</v>
          </cell>
          <cell r="AC15">
            <v>0</v>
          </cell>
          <cell r="AD15">
            <v>0</v>
          </cell>
          <cell r="AE15">
            <v>0</v>
          </cell>
          <cell r="AF15">
            <v>0</v>
          </cell>
          <cell r="AG15">
            <v>0</v>
          </cell>
        </row>
        <row r="16">
          <cell r="A16" t="str">
            <v>LAC-LS200-1000T, desktop, no printer</v>
          </cell>
          <cell r="B16" t="str">
            <v>680-48-035641</v>
          </cell>
          <cell r="C16" t="str">
            <v>Fingerprinter-desktop-drivers license scanner:
LS200/1000T scanner, Desktop Computer LSPC200-D</v>
          </cell>
          <cell r="D16" t="str">
            <v>T</v>
          </cell>
          <cell r="E16">
            <v>0</v>
          </cell>
          <cell r="F16" t="str">
            <v>N/A</v>
          </cell>
          <cell r="G16" t="str">
            <v>N/A</v>
          </cell>
          <cell r="H16" t="str">
            <v>N/A</v>
          </cell>
          <cell r="I16" t="str">
            <v>N/A</v>
          </cell>
          <cell r="J16" t="str">
            <v>N/A</v>
          </cell>
          <cell r="K16" t="str">
            <v>N/A</v>
          </cell>
          <cell r="L16">
            <v>7520</v>
          </cell>
          <cell r="M16" t="str">
            <v>N/A</v>
          </cell>
          <cell r="N16" t="str">
            <v>N/A</v>
          </cell>
          <cell r="O16" t="str">
            <v>N/A</v>
          </cell>
          <cell r="P16" t="str">
            <v>N/A</v>
          </cell>
          <cell r="Q16">
            <v>0</v>
          </cell>
          <cell r="R16">
            <v>0</v>
          </cell>
          <cell r="S16">
            <v>0</v>
          </cell>
          <cell r="T16">
            <v>0</v>
          </cell>
          <cell r="U16">
            <v>0</v>
          </cell>
          <cell r="V16">
            <v>0</v>
          </cell>
          <cell r="W16">
            <v>0</v>
          </cell>
          <cell r="X16">
            <v>0</v>
          </cell>
          <cell r="Y16">
            <v>0</v>
          </cell>
          <cell r="Z16" t="str">
            <v>Systems</v>
          </cell>
          <cell r="AA16" t="str">
            <v>Each</v>
          </cell>
          <cell r="AB16">
            <v>0</v>
          </cell>
          <cell r="AC16">
            <v>0</v>
          </cell>
          <cell r="AD16">
            <v>0</v>
          </cell>
          <cell r="AE16">
            <v>0</v>
          </cell>
          <cell r="AF16">
            <v>0</v>
          </cell>
          <cell r="AG16">
            <v>0</v>
          </cell>
        </row>
        <row r="17">
          <cell r="A17" t="str">
            <v>LAC-LS200-1000T, laptop, printer</v>
          </cell>
          <cell r="B17" t="str">
            <v>680-48-046915</v>
          </cell>
          <cell r="C17" t="str">
            <v>Fingerprinter-laptop-with printer and drivers license scanner:
LS200/1000T scanner, Laptop Computer LSOC200-L, 1200 ppi Printer Lexmark C534N</v>
          </cell>
          <cell r="D17" t="str">
            <v>T</v>
          </cell>
          <cell r="E17">
            <v>0</v>
          </cell>
          <cell r="F17" t="str">
            <v>N/A</v>
          </cell>
          <cell r="G17" t="str">
            <v>N/A</v>
          </cell>
          <cell r="H17" t="str">
            <v>N/A</v>
          </cell>
          <cell r="I17" t="str">
            <v>N/A</v>
          </cell>
          <cell r="J17" t="str">
            <v>N/A</v>
          </cell>
          <cell r="K17" t="str">
            <v>N/A</v>
          </cell>
          <cell r="L17">
            <v>8930</v>
          </cell>
          <cell r="M17" t="str">
            <v>N/A</v>
          </cell>
          <cell r="N17" t="str">
            <v>N/A</v>
          </cell>
          <cell r="O17" t="str">
            <v>N/A</v>
          </cell>
          <cell r="P17" t="str">
            <v>N/A</v>
          </cell>
          <cell r="Q17">
            <v>0</v>
          </cell>
          <cell r="R17">
            <v>0</v>
          </cell>
          <cell r="S17">
            <v>0</v>
          </cell>
          <cell r="T17">
            <v>0</v>
          </cell>
          <cell r="U17">
            <v>0</v>
          </cell>
          <cell r="V17">
            <v>0</v>
          </cell>
          <cell r="W17">
            <v>0</v>
          </cell>
          <cell r="X17">
            <v>0</v>
          </cell>
          <cell r="Y17">
            <v>0</v>
          </cell>
          <cell r="Z17" t="str">
            <v>Systems</v>
          </cell>
          <cell r="AA17" t="str">
            <v>Each</v>
          </cell>
          <cell r="AB17">
            <v>0</v>
          </cell>
          <cell r="AC17">
            <v>0</v>
          </cell>
          <cell r="AD17">
            <v>0</v>
          </cell>
          <cell r="AE17">
            <v>0</v>
          </cell>
          <cell r="AF17">
            <v>0</v>
          </cell>
          <cell r="AG17">
            <v>0</v>
          </cell>
        </row>
        <row r="18">
          <cell r="A18" t="str">
            <v>LAC-LS200-1000T, laptop, no printer</v>
          </cell>
          <cell r="B18" t="str">
            <v>680-48-046916</v>
          </cell>
          <cell r="C18" t="str">
            <v>Fingerprinter-laptop-drivers license scanner:
LS200/1000T scanner, Laptop Computer LSPC200-L</v>
          </cell>
          <cell r="D18" t="str">
            <v>T</v>
          </cell>
          <cell r="E18">
            <v>0</v>
          </cell>
          <cell r="F18" t="str">
            <v>N/A</v>
          </cell>
          <cell r="G18" t="str">
            <v>N/A</v>
          </cell>
          <cell r="H18" t="str">
            <v>N/A</v>
          </cell>
          <cell r="I18" t="str">
            <v>N/A</v>
          </cell>
          <cell r="J18" t="str">
            <v>N/A</v>
          </cell>
          <cell r="K18" t="str">
            <v>N/A</v>
          </cell>
          <cell r="L18">
            <v>7520</v>
          </cell>
          <cell r="M18" t="str">
            <v>N/A</v>
          </cell>
          <cell r="N18" t="str">
            <v>N/A</v>
          </cell>
          <cell r="O18" t="str">
            <v>N/A</v>
          </cell>
          <cell r="P18" t="str">
            <v>N/A</v>
          </cell>
          <cell r="Q18">
            <v>0</v>
          </cell>
          <cell r="R18">
            <v>0</v>
          </cell>
          <cell r="S18">
            <v>0</v>
          </cell>
          <cell r="T18">
            <v>0</v>
          </cell>
          <cell r="U18">
            <v>0</v>
          </cell>
          <cell r="V18">
            <v>0</v>
          </cell>
          <cell r="W18">
            <v>0</v>
          </cell>
          <cell r="X18">
            <v>0</v>
          </cell>
          <cell r="Y18">
            <v>0</v>
          </cell>
          <cell r="Z18" t="str">
            <v>Systems</v>
          </cell>
          <cell r="AA18" t="str">
            <v>Each</v>
          </cell>
          <cell r="AB18">
            <v>0</v>
          </cell>
          <cell r="AC18">
            <v>0</v>
          </cell>
          <cell r="AD18">
            <v>0</v>
          </cell>
          <cell r="AE18">
            <v>0</v>
          </cell>
          <cell r="AF18">
            <v>0</v>
          </cell>
          <cell r="AG18">
            <v>0</v>
          </cell>
        </row>
        <row r="19">
          <cell r="A19" t="str">
            <v>SAC-LS200-Guardian, Laptop</v>
          </cell>
          <cell r="B19" t="str">
            <v>A1-LS200UPCG</v>
          </cell>
          <cell r="C19" t="str">
            <v>Laptop computer, Guardian scanner, CALDOJ approved Livescan4ALL applicant Software, Driver License Reader</v>
          </cell>
          <cell r="D19" t="str">
            <v>T</v>
          </cell>
          <cell r="E19">
            <v>0</v>
          </cell>
          <cell r="F19" t="str">
            <v>N/A</v>
          </cell>
          <cell r="G19" t="str">
            <v>N/A</v>
          </cell>
          <cell r="H19" t="str">
            <v>N/A</v>
          </cell>
          <cell r="I19" t="str">
            <v>N/A</v>
          </cell>
          <cell r="J19" t="str">
            <v>N/A</v>
          </cell>
          <cell r="K19" t="str">
            <v>N/A</v>
          </cell>
          <cell r="L19" t="str">
            <v>N/A</v>
          </cell>
          <cell r="M19">
            <v>7734</v>
          </cell>
          <cell r="N19" t="str">
            <v>N/A</v>
          </cell>
          <cell r="O19" t="str">
            <v>N/A</v>
          </cell>
          <cell r="P19" t="str">
            <v>N/A</v>
          </cell>
          <cell r="Q19">
            <v>0</v>
          </cell>
          <cell r="R19">
            <v>0</v>
          </cell>
          <cell r="S19">
            <v>0</v>
          </cell>
          <cell r="T19">
            <v>0</v>
          </cell>
          <cell r="U19">
            <v>0</v>
          </cell>
          <cell r="V19">
            <v>0</v>
          </cell>
          <cell r="W19">
            <v>0</v>
          </cell>
          <cell r="X19">
            <v>0</v>
          </cell>
          <cell r="Y19">
            <v>0</v>
          </cell>
          <cell r="Z19" t="str">
            <v>Systems</v>
          </cell>
          <cell r="AA19" t="str">
            <v>Each</v>
          </cell>
          <cell r="AB19">
            <v>0</v>
          </cell>
          <cell r="AC19">
            <v>0</v>
          </cell>
          <cell r="AD19">
            <v>0</v>
          </cell>
          <cell r="AE19">
            <v>0</v>
          </cell>
          <cell r="AF19">
            <v>0</v>
          </cell>
          <cell r="AG19">
            <v>0</v>
          </cell>
        </row>
        <row r="20">
          <cell r="A20" t="str">
            <v>SAC-LS200-Guardian, Desktop</v>
          </cell>
          <cell r="B20" t="str">
            <v>A2-LS200DTCG</v>
          </cell>
          <cell r="C20" t="str">
            <v>Desktop computer, Guardian scanner, CALDOJ approved Livescan4ALL applicant Software, Driver License Reader</v>
          </cell>
          <cell r="D20" t="str">
            <v>T</v>
          </cell>
          <cell r="E20">
            <v>0</v>
          </cell>
          <cell r="F20" t="str">
            <v>N/A</v>
          </cell>
          <cell r="G20" t="str">
            <v>N/A</v>
          </cell>
          <cell r="H20" t="str">
            <v>N/A</v>
          </cell>
          <cell r="I20" t="str">
            <v>N/A</v>
          </cell>
          <cell r="J20" t="str">
            <v>N/A</v>
          </cell>
          <cell r="K20" t="str">
            <v>N/A</v>
          </cell>
          <cell r="L20" t="str">
            <v>N/A</v>
          </cell>
          <cell r="M20">
            <v>7734</v>
          </cell>
          <cell r="N20" t="str">
            <v>N/A</v>
          </cell>
          <cell r="O20" t="str">
            <v>N/A</v>
          </cell>
          <cell r="P20" t="str">
            <v>N/A</v>
          </cell>
          <cell r="Q20">
            <v>0</v>
          </cell>
          <cell r="R20">
            <v>0</v>
          </cell>
          <cell r="S20">
            <v>0</v>
          </cell>
          <cell r="T20">
            <v>0</v>
          </cell>
          <cell r="U20">
            <v>0</v>
          </cell>
          <cell r="V20">
            <v>0</v>
          </cell>
          <cell r="W20">
            <v>0</v>
          </cell>
          <cell r="X20">
            <v>0</v>
          </cell>
          <cell r="Y20">
            <v>0</v>
          </cell>
          <cell r="Z20" t="str">
            <v>Systems</v>
          </cell>
          <cell r="AA20" t="str">
            <v>Each</v>
          </cell>
          <cell r="AB20">
            <v>0</v>
          </cell>
          <cell r="AC20">
            <v>0</v>
          </cell>
          <cell r="AD20">
            <v>0</v>
          </cell>
          <cell r="AE20">
            <v>0</v>
          </cell>
          <cell r="AF20">
            <v>0</v>
          </cell>
          <cell r="AG20">
            <v>0</v>
          </cell>
        </row>
        <row r="21">
          <cell r="A21" t="str">
            <v>SAC-LS200-TP4100, Laptop</v>
          </cell>
          <cell r="B21" t="str">
            <v>A3-LS200UPIT4</v>
          </cell>
          <cell r="C21" t="str">
            <v>Laptop computer, TP4100 scanner, CALDOJ approved Livescan4ALL applicant Software, Driver License Reader</v>
          </cell>
          <cell r="D21" t="str">
            <v>T</v>
          </cell>
          <cell r="E21">
            <v>0</v>
          </cell>
          <cell r="F21" t="str">
            <v>N/A</v>
          </cell>
          <cell r="G21" t="str">
            <v>N/A</v>
          </cell>
          <cell r="H21" t="str">
            <v>N/A</v>
          </cell>
          <cell r="I21" t="str">
            <v>N/A</v>
          </cell>
          <cell r="J21" t="str">
            <v>N/A</v>
          </cell>
          <cell r="K21" t="str">
            <v>N/A</v>
          </cell>
          <cell r="L21" t="str">
            <v>N/A</v>
          </cell>
          <cell r="M21">
            <v>6234</v>
          </cell>
          <cell r="N21" t="str">
            <v>N/A</v>
          </cell>
          <cell r="O21" t="str">
            <v>N/A</v>
          </cell>
          <cell r="P21" t="str">
            <v>N/A</v>
          </cell>
          <cell r="Q21">
            <v>0</v>
          </cell>
          <cell r="R21">
            <v>0</v>
          </cell>
          <cell r="S21">
            <v>0</v>
          </cell>
          <cell r="T21">
            <v>0</v>
          </cell>
          <cell r="U21">
            <v>0</v>
          </cell>
          <cell r="V21">
            <v>0</v>
          </cell>
          <cell r="W21">
            <v>0</v>
          </cell>
          <cell r="X21">
            <v>0</v>
          </cell>
          <cell r="Y21">
            <v>0</v>
          </cell>
          <cell r="Z21" t="str">
            <v>Systems</v>
          </cell>
          <cell r="AA21" t="str">
            <v>Each</v>
          </cell>
          <cell r="AB21">
            <v>0</v>
          </cell>
          <cell r="AC21">
            <v>0</v>
          </cell>
          <cell r="AD21">
            <v>0</v>
          </cell>
          <cell r="AE21">
            <v>0</v>
          </cell>
          <cell r="AF21">
            <v>0</v>
          </cell>
          <cell r="AG21">
            <v>0</v>
          </cell>
        </row>
        <row r="22">
          <cell r="A22" t="str">
            <v>SAC-LS200-TP4100, Desktop</v>
          </cell>
          <cell r="B22" t="str">
            <v>A4-LS200DTIT4</v>
          </cell>
          <cell r="C22" t="str">
            <v>Desktop computer, TP4100 scanner, CALDOJ approved Livescan4ALL applicant Software, Driver License Reader</v>
          </cell>
          <cell r="D22" t="str">
            <v>T</v>
          </cell>
          <cell r="E22">
            <v>0</v>
          </cell>
          <cell r="F22" t="str">
            <v>N/A</v>
          </cell>
          <cell r="G22" t="str">
            <v>N/A</v>
          </cell>
          <cell r="H22" t="str">
            <v>N/A</v>
          </cell>
          <cell r="I22" t="str">
            <v>N/A</v>
          </cell>
          <cell r="J22" t="str">
            <v>N/A</v>
          </cell>
          <cell r="K22" t="str">
            <v>N/A</v>
          </cell>
          <cell r="L22" t="str">
            <v>N/A</v>
          </cell>
          <cell r="M22">
            <v>6234</v>
          </cell>
          <cell r="N22" t="str">
            <v>N/A</v>
          </cell>
          <cell r="O22" t="str">
            <v>N/A</v>
          </cell>
          <cell r="P22" t="str">
            <v>N/A</v>
          </cell>
          <cell r="Q22">
            <v>0</v>
          </cell>
          <cell r="R22">
            <v>0</v>
          </cell>
          <cell r="S22">
            <v>0</v>
          </cell>
          <cell r="T22">
            <v>0</v>
          </cell>
          <cell r="U22">
            <v>0</v>
          </cell>
          <cell r="V22">
            <v>0</v>
          </cell>
          <cell r="W22">
            <v>0</v>
          </cell>
          <cell r="X22">
            <v>0</v>
          </cell>
          <cell r="Y22">
            <v>0</v>
          </cell>
          <cell r="Z22" t="str">
            <v>Systems</v>
          </cell>
          <cell r="AA22" t="str">
            <v>Each</v>
          </cell>
          <cell r="AB22">
            <v>0</v>
          </cell>
          <cell r="AC22">
            <v>0</v>
          </cell>
          <cell r="AD22">
            <v>0</v>
          </cell>
          <cell r="AE22">
            <v>0</v>
          </cell>
          <cell r="AF22">
            <v>0</v>
          </cell>
          <cell r="AG22">
            <v>0</v>
          </cell>
        </row>
        <row r="23">
          <cell r="A23">
            <v>0</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row>
        <row r="24">
          <cell r="A24">
            <v>0</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row>
        <row r="25">
          <cell r="A25" t="str">
            <v>CMS - Central Management Server</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row>
        <row r="26">
          <cell r="A26" t="str">
            <v>CMS</v>
          </cell>
          <cell r="B26" t="str">
            <v>CMS - Central Management Server</v>
          </cell>
          <cell r="C26" t="str">
            <v>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v>
          </cell>
          <cell r="D26" t="str">
            <v>T</v>
          </cell>
          <cell r="E26">
            <v>0</v>
          </cell>
          <cell r="F26">
            <v>12995</v>
          </cell>
          <cell r="G26">
            <v>12995</v>
          </cell>
          <cell r="H26">
            <v>0</v>
          </cell>
          <cell r="I26">
            <v>0</v>
          </cell>
          <cell r="J26">
            <v>11955.4</v>
          </cell>
          <cell r="K26">
            <v>0</v>
          </cell>
          <cell r="L26">
            <v>0</v>
          </cell>
          <cell r="M26">
            <v>0</v>
          </cell>
          <cell r="N26">
            <v>11955.4</v>
          </cell>
          <cell r="O26">
            <v>11045.75</v>
          </cell>
          <cell r="P26">
            <v>11045.75</v>
          </cell>
          <cell r="Q26">
            <v>0</v>
          </cell>
          <cell r="R26">
            <v>0</v>
          </cell>
          <cell r="S26">
            <v>8.0000000000000071E-2</v>
          </cell>
          <cell r="T26">
            <v>0</v>
          </cell>
          <cell r="U26">
            <v>0</v>
          </cell>
          <cell r="V26">
            <v>0</v>
          </cell>
          <cell r="W26">
            <v>0.08</v>
          </cell>
          <cell r="X26">
            <v>0</v>
          </cell>
          <cell r="Y26">
            <v>0.15</v>
          </cell>
          <cell r="Z26" t="str">
            <v>Systems</v>
          </cell>
          <cell r="AA26" t="str">
            <v>Each</v>
          </cell>
          <cell r="AB26">
            <v>0</v>
          </cell>
          <cell r="AC26">
            <v>1</v>
          </cell>
          <cell r="AD26">
            <v>11045.75</v>
          </cell>
          <cell r="AE26">
            <v>0.1</v>
          </cell>
          <cell r="AF26">
            <v>9941.1750000000011</v>
          </cell>
          <cell r="AG26">
            <v>9941.1750000000011</v>
          </cell>
        </row>
        <row r="27">
          <cell r="A27">
            <v>0</v>
          </cell>
          <cell r="B27">
            <v>0</v>
          </cell>
          <cell r="C27">
            <v>0</v>
          </cell>
          <cell r="D27">
            <v>0</v>
          </cell>
          <cell r="E27">
            <v>0</v>
          </cell>
          <cell r="F27">
            <v>0</v>
          </cell>
          <cell r="G27">
            <v>0</v>
          </cell>
          <cell r="H27">
            <v>0</v>
          </cell>
          <cell r="I27">
            <v>0</v>
          </cell>
          <cell r="J27">
            <v>0</v>
          </cell>
          <cell r="K27">
            <v>0</v>
          </cell>
          <cell r="L27">
            <v>0</v>
          </cell>
          <cell r="M27">
            <v>0</v>
          </cell>
          <cell r="N27">
            <v>0</v>
          </cell>
          <cell r="O27" t="str">
            <v xml:space="preserve"> </v>
          </cell>
          <cell r="P27" t="str">
            <v xml:space="preserve"> </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row>
        <row r="28">
          <cell r="A28" t="str">
            <v>Hardware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row>
        <row r="29">
          <cell r="A29" t="str">
            <v>HW-DT</v>
          </cell>
          <cell r="B29" t="str">
            <v>HW - Desktop Computer</v>
          </cell>
          <cell r="C29" t="str">
            <v>Desktop Computer for LiveScan system with 17" or larger LCD Monitor</v>
          </cell>
          <cell r="D29" t="str">
            <v>T</v>
          </cell>
          <cell r="E29">
            <v>725</v>
          </cell>
          <cell r="F29">
            <v>590</v>
          </cell>
          <cell r="G29">
            <v>725</v>
          </cell>
          <cell r="H29">
            <v>690</v>
          </cell>
          <cell r="I29">
            <v>690</v>
          </cell>
          <cell r="J29">
            <v>560</v>
          </cell>
          <cell r="K29">
            <v>690</v>
          </cell>
          <cell r="L29">
            <v>0</v>
          </cell>
          <cell r="M29">
            <v>0</v>
          </cell>
          <cell r="N29">
            <v>560</v>
          </cell>
          <cell r="O29">
            <v>542</v>
          </cell>
          <cell r="P29">
            <v>542</v>
          </cell>
          <cell r="Q29">
            <v>-0.16949152542372881</v>
          </cell>
          <cell r="R29">
            <v>-0.16949152542372881</v>
          </cell>
          <cell r="S29">
            <v>5.084745762711862E-2</v>
          </cell>
          <cell r="T29">
            <v>-0.16949152542372881</v>
          </cell>
          <cell r="U29"/>
          <cell r="V29"/>
          <cell r="W29">
            <v>0.05</v>
          </cell>
          <cell r="X29">
            <v>0</v>
          </cell>
          <cell r="Y29">
            <v>0.08</v>
          </cell>
          <cell r="Z29" t="str">
            <v>Hardware</v>
          </cell>
          <cell r="AA29" t="str">
            <v>Each</v>
          </cell>
          <cell r="AB29">
            <v>0</v>
          </cell>
          <cell r="AC29">
            <v>150</v>
          </cell>
          <cell r="AD29">
            <v>81300</v>
          </cell>
          <cell r="AE29">
            <v>0.02</v>
          </cell>
          <cell r="AF29">
            <v>531.16</v>
          </cell>
          <cell r="AG29">
            <v>79674</v>
          </cell>
        </row>
        <row r="30">
          <cell r="A30" t="str">
            <v>HW-HPDT</v>
          </cell>
          <cell r="B30" t="str">
            <v>HW - High performance Desktop Computer</v>
          </cell>
          <cell r="C30" t="str">
            <v>High Performance Desktop Computer with 17" or larger LCD Monitor</v>
          </cell>
          <cell r="D30" t="str">
            <v>T</v>
          </cell>
          <cell r="E30">
            <v>1025</v>
          </cell>
          <cell r="F30">
            <v>1025</v>
          </cell>
          <cell r="G30">
            <v>1025</v>
          </cell>
          <cell r="H30">
            <v>1025</v>
          </cell>
          <cell r="I30">
            <v>1025</v>
          </cell>
          <cell r="J30">
            <v>973</v>
          </cell>
          <cell r="K30">
            <v>1025</v>
          </cell>
          <cell r="L30">
            <v>0</v>
          </cell>
          <cell r="M30">
            <v>0</v>
          </cell>
          <cell r="N30">
            <v>973</v>
          </cell>
          <cell r="O30">
            <v>943</v>
          </cell>
          <cell r="P30">
            <v>943</v>
          </cell>
          <cell r="Q30">
            <v>0</v>
          </cell>
          <cell r="R30">
            <v>0</v>
          </cell>
          <cell r="S30">
            <v>5.0731707317073216E-2</v>
          </cell>
          <cell r="T30">
            <v>0</v>
          </cell>
          <cell r="U30"/>
          <cell r="V30"/>
          <cell r="W30">
            <v>0.05</v>
          </cell>
          <cell r="X30">
            <v>0</v>
          </cell>
          <cell r="Y30">
            <v>0.08</v>
          </cell>
          <cell r="Z30" t="str">
            <v>Hardware</v>
          </cell>
          <cell r="AA30" t="str">
            <v>Each</v>
          </cell>
          <cell r="AB30">
            <v>0</v>
          </cell>
          <cell r="AC30">
            <v>0</v>
          </cell>
          <cell r="AD30">
            <v>0</v>
          </cell>
          <cell r="AE30">
            <v>0.02</v>
          </cell>
          <cell r="AF30">
            <v>924.14</v>
          </cell>
          <cell r="AG30">
            <v>0</v>
          </cell>
        </row>
        <row r="31">
          <cell r="A31" t="str">
            <v>HW-LT</v>
          </cell>
          <cell r="B31" t="str">
            <v>HW - Laptop Computer</v>
          </cell>
          <cell r="C31" t="str">
            <v>Notebook Computer for LiveScan System</v>
          </cell>
          <cell r="D31" t="str">
            <v>T</v>
          </cell>
          <cell r="E31">
            <v>725</v>
          </cell>
          <cell r="F31">
            <v>590</v>
          </cell>
          <cell r="G31">
            <v>725</v>
          </cell>
          <cell r="H31">
            <v>690</v>
          </cell>
          <cell r="I31">
            <v>690</v>
          </cell>
          <cell r="J31">
            <v>560</v>
          </cell>
          <cell r="K31">
            <v>690</v>
          </cell>
          <cell r="L31">
            <v>0</v>
          </cell>
          <cell r="M31">
            <v>0</v>
          </cell>
          <cell r="N31">
            <v>560</v>
          </cell>
          <cell r="O31">
            <v>542</v>
          </cell>
          <cell r="P31">
            <v>542</v>
          </cell>
          <cell r="Q31">
            <v>-0.16949152542372881</v>
          </cell>
          <cell r="R31">
            <v>-0.16949152542372881</v>
          </cell>
          <cell r="S31">
            <v>5.084745762711862E-2</v>
          </cell>
          <cell r="T31">
            <v>-0.16949152542372881</v>
          </cell>
          <cell r="U31"/>
          <cell r="V31"/>
          <cell r="W31">
            <v>0.05</v>
          </cell>
          <cell r="X31">
            <v>0</v>
          </cell>
          <cell r="Y31">
            <v>0.08</v>
          </cell>
          <cell r="Z31" t="str">
            <v>Hardware</v>
          </cell>
          <cell r="AA31" t="str">
            <v>Each</v>
          </cell>
          <cell r="AB31">
            <v>0</v>
          </cell>
          <cell r="AC31">
            <v>0</v>
          </cell>
          <cell r="AD31">
            <v>0</v>
          </cell>
          <cell r="AE31">
            <v>0.02</v>
          </cell>
          <cell r="AF31">
            <v>531.16</v>
          </cell>
          <cell r="AG31">
            <v>0</v>
          </cell>
        </row>
        <row r="32">
          <cell r="A32" t="str">
            <v>HW-HPLT</v>
          </cell>
          <cell r="B32" t="str">
            <v>HW - High Performance Laptop Computer</v>
          </cell>
          <cell r="C32" t="str">
            <v>High Performance Notebook Computer for LiveScan System</v>
          </cell>
          <cell r="D32" t="str">
            <v>T</v>
          </cell>
          <cell r="E32">
            <v>0</v>
          </cell>
          <cell r="F32">
            <v>1025</v>
          </cell>
          <cell r="G32">
            <v>1025</v>
          </cell>
          <cell r="H32">
            <v>1025</v>
          </cell>
          <cell r="I32">
            <v>1025</v>
          </cell>
          <cell r="J32">
            <v>973</v>
          </cell>
          <cell r="K32">
            <v>1025</v>
          </cell>
          <cell r="L32">
            <v>0</v>
          </cell>
          <cell r="M32">
            <v>0</v>
          </cell>
          <cell r="N32">
            <v>973</v>
          </cell>
          <cell r="O32">
            <v>943</v>
          </cell>
          <cell r="P32">
            <v>943</v>
          </cell>
          <cell r="Q32">
            <v>0</v>
          </cell>
          <cell r="R32">
            <v>0</v>
          </cell>
          <cell r="S32">
            <v>5.0731707317073216E-2</v>
          </cell>
          <cell r="T32">
            <v>0</v>
          </cell>
          <cell r="U32"/>
          <cell r="V32"/>
          <cell r="W32">
            <v>0.05</v>
          </cell>
          <cell r="X32">
            <v>0</v>
          </cell>
          <cell r="Y32">
            <v>0.08</v>
          </cell>
          <cell r="Z32" t="str">
            <v>Hardware</v>
          </cell>
          <cell r="AA32" t="str">
            <v>Each</v>
          </cell>
          <cell r="AB32">
            <v>0</v>
          </cell>
          <cell r="AC32">
            <v>0</v>
          </cell>
          <cell r="AD32">
            <v>0</v>
          </cell>
          <cell r="AE32">
            <v>0.02</v>
          </cell>
          <cell r="AF32">
            <v>924.14</v>
          </cell>
          <cell r="AG32">
            <v>0</v>
          </cell>
        </row>
        <row r="33">
          <cell r="A33" t="str">
            <v>HW-RDLT</v>
          </cell>
          <cell r="B33" t="str">
            <v>HW - Rugged Laptop Computer</v>
          </cell>
          <cell r="C33" t="str">
            <v>Rugged laptop Computer for LiveScan System Meets MIL-STD-810F, IP65</v>
          </cell>
          <cell r="D33" t="str">
            <v>T</v>
          </cell>
          <cell r="E33">
            <v>3995</v>
          </cell>
          <cell r="F33">
            <v>3995</v>
          </cell>
          <cell r="G33">
            <v>3995</v>
          </cell>
          <cell r="H33">
            <v>3995</v>
          </cell>
          <cell r="I33">
            <v>3995</v>
          </cell>
          <cell r="J33">
            <v>3795</v>
          </cell>
          <cell r="K33">
            <v>3995</v>
          </cell>
          <cell r="L33">
            <v>0</v>
          </cell>
          <cell r="M33">
            <v>0</v>
          </cell>
          <cell r="N33">
            <v>3795</v>
          </cell>
          <cell r="O33">
            <v>3675</v>
          </cell>
          <cell r="P33">
            <v>3675</v>
          </cell>
          <cell r="Q33">
            <v>0</v>
          </cell>
          <cell r="R33">
            <v>0</v>
          </cell>
          <cell r="S33">
            <v>5.0062578222778487E-2</v>
          </cell>
          <cell r="T33">
            <v>0</v>
          </cell>
          <cell r="U33"/>
          <cell r="V33"/>
          <cell r="W33">
            <v>0.05</v>
          </cell>
          <cell r="X33">
            <v>0</v>
          </cell>
          <cell r="Y33">
            <v>0.08</v>
          </cell>
          <cell r="Z33" t="str">
            <v>Hardware</v>
          </cell>
          <cell r="AA33" t="str">
            <v>Each</v>
          </cell>
          <cell r="AB33">
            <v>0</v>
          </cell>
          <cell r="AC33">
            <v>0</v>
          </cell>
          <cell r="AD33">
            <v>0</v>
          </cell>
          <cell r="AE33">
            <v>0.02</v>
          </cell>
          <cell r="AF33">
            <v>3601.5</v>
          </cell>
          <cell r="AG33">
            <v>0</v>
          </cell>
        </row>
        <row r="34">
          <cell r="A34" t="str">
            <v>HW-UPG-HPCOMPUTER</v>
          </cell>
          <cell r="B34" t="str">
            <v>HW - High Performance Computer Upgrade</v>
          </cell>
          <cell r="C34" t="str">
            <v>High Performance Computer Upgrade for LiveScan System (mandatory for 1,000ppi operation, optional for 500ppi)</v>
          </cell>
          <cell r="D34" t="str">
            <v>T</v>
          </cell>
          <cell r="E34">
            <v>300</v>
          </cell>
          <cell r="F34">
            <v>300</v>
          </cell>
          <cell r="G34">
            <v>300</v>
          </cell>
          <cell r="H34">
            <v>300</v>
          </cell>
          <cell r="I34">
            <v>300</v>
          </cell>
          <cell r="J34">
            <v>285</v>
          </cell>
          <cell r="K34">
            <v>300</v>
          </cell>
          <cell r="L34">
            <v>0</v>
          </cell>
          <cell r="M34">
            <v>0</v>
          </cell>
          <cell r="N34">
            <v>285</v>
          </cell>
          <cell r="O34">
            <v>276</v>
          </cell>
          <cell r="P34">
            <v>276</v>
          </cell>
          <cell r="Q34">
            <v>0</v>
          </cell>
          <cell r="R34">
            <v>0</v>
          </cell>
          <cell r="S34">
            <v>5.0000000000000044E-2</v>
          </cell>
          <cell r="T34">
            <v>0</v>
          </cell>
          <cell r="U34"/>
          <cell r="V34"/>
          <cell r="W34">
            <v>0.05</v>
          </cell>
          <cell r="X34">
            <v>0</v>
          </cell>
          <cell r="Y34">
            <v>0.08</v>
          </cell>
          <cell r="Z34" t="str">
            <v>Hardware</v>
          </cell>
          <cell r="AA34" t="str">
            <v>Each</v>
          </cell>
          <cell r="AB34">
            <v>0</v>
          </cell>
          <cell r="AC34">
            <v>100</v>
          </cell>
          <cell r="AD34">
            <v>27600</v>
          </cell>
          <cell r="AE34">
            <v>0.02</v>
          </cell>
          <cell r="AF34">
            <v>270.48</v>
          </cell>
          <cell r="AG34">
            <v>27048</v>
          </cell>
        </row>
        <row r="35">
          <cell r="A35" t="str">
            <v>HW-CMSServer</v>
          </cell>
          <cell r="B35" t="str">
            <v>HW - CMS Server</v>
          </cell>
          <cell r="C35" t="str">
            <v>Server Computer with Windows Server 2003 OS (or higher version), for use with CMS software, up to 5,000 transactions storage capacity</v>
          </cell>
          <cell r="D35" t="str">
            <v>T</v>
          </cell>
          <cell r="E35">
            <v>0</v>
          </cell>
          <cell r="F35">
            <v>3495</v>
          </cell>
          <cell r="G35">
            <v>3495</v>
          </cell>
          <cell r="H35">
            <v>0</v>
          </cell>
          <cell r="I35">
            <v>0</v>
          </cell>
          <cell r="J35">
            <v>3320</v>
          </cell>
          <cell r="K35">
            <v>0</v>
          </cell>
          <cell r="L35">
            <v>0</v>
          </cell>
          <cell r="M35">
            <v>0</v>
          </cell>
          <cell r="N35">
            <v>3320</v>
          </cell>
          <cell r="O35">
            <v>3215</v>
          </cell>
          <cell r="P35">
            <v>3215</v>
          </cell>
          <cell r="Q35"/>
          <cell r="R35"/>
          <cell r="S35">
            <v>5.0071530758226013E-2</v>
          </cell>
          <cell r="T35"/>
          <cell r="U35"/>
          <cell r="V35"/>
          <cell r="W35">
            <v>0.05</v>
          </cell>
          <cell r="X35">
            <v>0</v>
          </cell>
          <cell r="Y35">
            <v>0.08</v>
          </cell>
          <cell r="Z35" t="str">
            <v>Hardware</v>
          </cell>
          <cell r="AA35" t="str">
            <v>Each</v>
          </cell>
          <cell r="AB35">
            <v>0</v>
          </cell>
          <cell r="AC35">
            <v>0</v>
          </cell>
          <cell r="AD35">
            <v>0</v>
          </cell>
          <cell r="AE35">
            <v>0.02</v>
          </cell>
          <cell r="AF35">
            <v>3150.7</v>
          </cell>
          <cell r="AG35">
            <v>0</v>
          </cell>
        </row>
        <row r="36">
          <cell r="A36" t="str">
            <v>HW-CMSServerStorUPGR</v>
          </cell>
          <cell r="B36" t="str">
            <v>HW - CMS Server storage upgrade</v>
          </cell>
          <cell r="C36" t="str">
            <v>CMS Archive Storage Hardware Upgrade - per additional 20,000 transactions.  Must purchase in conjunction with HW-CMSServer or CMS.</v>
          </cell>
          <cell r="D36" t="str">
            <v>T</v>
          </cell>
          <cell r="E36">
            <v>0</v>
          </cell>
          <cell r="F36">
            <v>425</v>
          </cell>
          <cell r="G36">
            <v>425</v>
          </cell>
          <cell r="H36">
            <v>0</v>
          </cell>
          <cell r="I36">
            <v>0</v>
          </cell>
          <cell r="J36">
            <v>403</v>
          </cell>
          <cell r="K36">
            <v>0</v>
          </cell>
          <cell r="L36">
            <v>0</v>
          </cell>
          <cell r="M36">
            <v>0</v>
          </cell>
          <cell r="N36">
            <v>403</v>
          </cell>
          <cell r="O36">
            <v>391</v>
          </cell>
          <cell r="P36">
            <v>391</v>
          </cell>
          <cell r="Q36"/>
          <cell r="R36"/>
          <cell r="S36">
            <v>5.1764705882352935E-2</v>
          </cell>
          <cell r="T36"/>
          <cell r="U36"/>
          <cell r="V36"/>
          <cell r="W36">
            <v>0.05</v>
          </cell>
          <cell r="X36">
            <v>0</v>
          </cell>
          <cell r="Y36">
            <v>0.08</v>
          </cell>
          <cell r="Z36" t="str">
            <v>Hardware</v>
          </cell>
          <cell r="AA36" t="str">
            <v>Each</v>
          </cell>
          <cell r="AB36">
            <v>0</v>
          </cell>
          <cell r="AC36">
            <v>6</v>
          </cell>
          <cell r="AD36">
            <v>2346</v>
          </cell>
          <cell r="AE36">
            <v>0.02</v>
          </cell>
          <cell r="AF36">
            <v>383.18</v>
          </cell>
          <cell r="AG36">
            <v>2299.08</v>
          </cell>
        </row>
        <row r="37">
          <cell r="A37" t="str">
            <v>HW-UPG-Xe-Guardian</v>
          </cell>
          <cell r="B37" t="str">
            <v>HW-Upgrade from Lite-Xe to Guardian</v>
          </cell>
          <cell r="C37" t="str">
            <v>Upgrade the Lite-Xe scanner of any LS-G4 system to a Cross Match Guardian scanner. Must purchase in conjunction with LS-4G Lite-Xe.</v>
          </cell>
          <cell r="D37" t="str">
            <v>T</v>
          </cell>
          <cell r="E37">
            <v>0</v>
          </cell>
          <cell r="F37" t="str">
            <v>N/A</v>
          </cell>
          <cell r="G37" t="str">
            <v>N/A</v>
          </cell>
          <cell r="H37">
            <v>0</v>
          </cell>
          <cell r="I37">
            <v>0</v>
          </cell>
          <cell r="J37" t="str">
            <v>N/A</v>
          </cell>
          <cell r="K37">
            <v>0</v>
          </cell>
          <cell r="L37">
            <v>0</v>
          </cell>
          <cell r="M37">
            <v>0</v>
          </cell>
          <cell r="N37" t="str">
            <v>N/A</v>
          </cell>
          <cell r="O37" t="str">
            <v>No Charge</v>
          </cell>
          <cell r="P37" t="str">
            <v>N/A</v>
          </cell>
          <cell r="Q37"/>
          <cell r="R37"/>
          <cell r="S37" t="str">
            <v>N/A</v>
          </cell>
          <cell r="T37"/>
          <cell r="U37"/>
          <cell r="V37"/>
          <cell r="W37" t="str">
            <v>N/A</v>
          </cell>
          <cell r="X37">
            <v>0</v>
          </cell>
          <cell r="Y37" t="str">
            <v>N/A</v>
          </cell>
          <cell r="Z37" t="str">
            <v>Hardware</v>
          </cell>
          <cell r="AA37" t="str">
            <v>Each</v>
          </cell>
          <cell r="AB37">
            <v>0</v>
          </cell>
          <cell r="AC37">
            <v>0</v>
          </cell>
          <cell r="AD37">
            <v>0</v>
          </cell>
          <cell r="AE37">
            <v>0.02</v>
          </cell>
          <cell r="AF37">
            <v>0</v>
          </cell>
          <cell r="AG37">
            <v>0</v>
          </cell>
        </row>
        <row r="38">
          <cell r="A38" t="str">
            <v>HW-UPG-Ue-500P</v>
          </cell>
          <cell r="B38" t="str">
            <v>HW-Upgrade from Lite-Ue to 500P</v>
          </cell>
          <cell r="C38" t="str">
            <v>Upgrade the Lite-Ue scanner of any LS-G4 system to a 500P scanner. Must purchase in conjunction with LS-4G Lite-Ue.</v>
          </cell>
          <cell r="D38" t="str">
            <v>T</v>
          </cell>
          <cell r="E38">
            <v>0</v>
          </cell>
          <cell r="F38" t="str">
            <v>N/A</v>
          </cell>
          <cell r="G38" t="str">
            <v>N/A</v>
          </cell>
          <cell r="H38">
            <v>0</v>
          </cell>
          <cell r="I38">
            <v>0</v>
          </cell>
          <cell r="J38" t="str">
            <v>N/A</v>
          </cell>
          <cell r="K38">
            <v>0</v>
          </cell>
          <cell r="L38">
            <v>0</v>
          </cell>
          <cell r="M38">
            <v>0</v>
          </cell>
          <cell r="N38" t="str">
            <v>N/A</v>
          </cell>
          <cell r="O38" t="str">
            <v>No Charge</v>
          </cell>
          <cell r="P38" t="str">
            <v>N/A</v>
          </cell>
          <cell r="Q38"/>
          <cell r="R38"/>
          <cell r="S38" t="str">
            <v>N/A</v>
          </cell>
          <cell r="T38"/>
          <cell r="U38"/>
          <cell r="V38"/>
          <cell r="W38" t="str">
            <v>N/A</v>
          </cell>
          <cell r="X38">
            <v>0</v>
          </cell>
          <cell r="Y38" t="str">
            <v>N/A</v>
          </cell>
          <cell r="Z38" t="str">
            <v>Hardware</v>
          </cell>
          <cell r="AA38" t="str">
            <v>Each</v>
          </cell>
          <cell r="AB38">
            <v>0</v>
          </cell>
          <cell r="AC38">
            <v>0</v>
          </cell>
          <cell r="AD38">
            <v>0</v>
          </cell>
          <cell r="AE38">
            <v>0.02</v>
          </cell>
          <cell r="AF38">
            <v>0</v>
          </cell>
          <cell r="AG38">
            <v>0</v>
          </cell>
        </row>
        <row r="39">
          <cell r="A39" t="str">
            <v>HW-UPG-Ue-1000PX</v>
          </cell>
          <cell r="B39" t="str">
            <v>HW-Upgrade from Lite-Ue to 1000PX</v>
          </cell>
          <cell r="C39" t="str">
            <v>Upgrade the Lite-Ue scanner of any LS-G4 system to a 1000PX scanner. Must purchase in conjunction with LS-4G Lite-Ue.</v>
          </cell>
          <cell r="D39" t="str">
            <v>T</v>
          </cell>
          <cell r="E39">
            <v>0</v>
          </cell>
          <cell r="F39">
            <v>2195</v>
          </cell>
          <cell r="G39">
            <v>2195</v>
          </cell>
          <cell r="H39">
            <v>0</v>
          </cell>
          <cell r="I39">
            <v>0</v>
          </cell>
          <cell r="J39">
            <v>2085</v>
          </cell>
          <cell r="K39">
            <v>0</v>
          </cell>
          <cell r="L39">
            <v>0</v>
          </cell>
          <cell r="M39">
            <v>0</v>
          </cell>
          <cell r="N39">
            <v>2085</v>
          </cell>
          <cell r="O39">
            <v>2019</v>
          </cell>
          <cell r="P39" t="str">
            <v>N/A</v>
          </cell>
          <cell r="Q39"/>
          <cell r="R39"/>
          <cell r="S39">
            <v>5.0113895216400861E-2</v>
          </cell>
          <cell r="T39"/>
          <cell r="U39"/>
          <cell r="V39"/>
          <cell r="W39">
            <v>0.05</v>
          </cell>
          <cell r="X39">
            <v>0</v>
          </cell>
          <cell r="Y39">
            <v>0.08</v>
          </cell>
          <cell r="Z39" t="str">
            <v>Hardware</v>
          </cell>
          <cell r="AA39" t="str">
            <v>Each</v>
          </cell>
          <cell r="AB39">
            <v>0</v>
          </cell>
          <cell r="AC39">
            <v>60</v>
          </cell>
          <cell r="AD39" t="e">
            <v>#VALUE!</v>
          </cell>
          <cell r="AE39">
            <v>0.02</v>
          </cell>
          <cell r="AF39" t="e">
            <v>#VALUE!</v>
          </cell>
          <cell r="AG39" t="e">
            <v>#VALUE!</v>
          </cell>
        </row>
        <row r="40">
          <cell r="A40" t="str">
            <v>HW-TP-500PPI-CMT</v>
          </cell>
          <cell r="B40" t="str">
            <v>HW-TenPrint Scanner 500ppi Guardian</v>
          </cell>
          <cell r="C40" t="str">
            <v>500ppi TenPrint scanner: Cross Match Guardian</v>
          </cell>
          <cell r="D40" t="str">
            <v>T</v>
          </cell>
          <cell r="E40">
            <v>7649</v>
          </cell>
          <cell r="F40">
            <v>3420</v>
          </cell>
          <cell r="G40">
            <v>3237</v>
          </cell>
          <cell r="H40">
            <v>5395</v>
          </cell>
          <cell r="I40">
            <v>5395</v>
          </cell>
          <cell r="J40">
            <v>3249</v>
          </cell>
          <cell r="K40">
            <v>5345</v>
          </cell>
          <cell r="L40">
            <v>0</v>
          </cell>
          <cell r="M40">
            <v>0</v>
          </cell>
          <cell r="N40">
            <v>3249</v>
          </cell>
          <cell r="O40">
            <v>3146</v>
          </cell>
          <cell r="P40">
            <v>3146</v>
          </cell>
          <cell r="Q40">
            <v>-0.57748538011695905</v>
          </cell>
          <cell r="R40">
            <v>-0.57748538011695905</v>
          </cell>
          <cell r="S40">
            <v>5.0000000000000044E-2</v>
          </cell>
          <cell r="T40">
            <v>-0.5628654970760234</v>
          </cell>
          <cell r="U40"/>
          <cell r="V40"/>
          <cell r="W40">
            <v>0.05</v>
          </cell>
          <cell r="X40">
            <v>8.0116959064327475E-2</v>
          </cell>
          <cell r="Y40">
            <v>0.08</v>
          </cell>
          <cell r="Z40" t="str">
            <v>Hardware</v>
          </cell>
          <cell r="AA40" t="str">
            <v>Each</v>
          </cell>
          <cell r="AB40">
            <v>0</v>
          </cell>
          <cell r="AC40">
            <v>0</v>
          </cell>
          <cell r="AD40">
            <v>0</v>
          </cell>
          <cell r="AE40">
            <v>0.02</v>
          </cell>
          <cell r="AF40">
            <v>3083.08</v>
          </cell>
          <cell r="AG40">
            <v>0</v>
          </cell>
        </row>
        <row r="41">
          <cell r="A41" t="str">
            <v>HW-TP-500PPI-I3</v>
          </cell>
          <cell r="B41" t="str">
            <v>HW-TenPrint Scanner 500ppi DigID Mini</v>
          </cell>
          <cell r="C41" t="str">
            <v>500ppi TenPrint scanner: I3 DigID Mini</v>
          </cell>
          <cell r="D41" t="str">
            <v>T</v>
          </cell>
          <cell r="E41">
            <v>4999</v>
          </cell>
          <cell r="F41">
            <v>1920</v>
          </cell>
          <cell r="G41">
            <v>1737</v>
          </cell>
          <cell r="H41">
            <v>2710</v>
          </cell>
          <cell r="I41">
            <v>2710</v>
          </cell>
          <cell r="J41">
            <v>1824</v>
          </cell>
          <cell r="K41">
            <v>2675</v>
          </cell>
          <cell r="L41">
            <v>0</v>
          </cell>
          <cell r="M41">
            <v>0</v>
          </cell>
          <cell r="N41">
            <v>1824</v>
          </cell>
          <cell r="O41">
            <v>1766</v>
          </cell>
          <cell r="P41">
            <v>1766</v>
          </cell>
          <cell r="Q41">
            <v>-0.41145833333333326</v>
          </cell>
          <cell r="R41">
            <v>-0.41145833333333326</v>
          </cell>
          <cell r="S41">
            <v>5.0000000000000044E-2</v>
          </cell>
          <cell r="T41">
            <v>-0.39322916666666674</v>
          </cell>
          <cell r="U41"/>
          <cell r="V41"/>
          <cell r="W41">
            <v>0.05</v>
          </cell>
          <cell r="X41">
            <v>8.0208333333333326E-2</v>
          </cell>
          <cell r="Y41">
            <v>0.08</v>
          </cell>
          <cell r="Z41" t="str">
            <v>Hardware</v>
          </cell>
          <cell r="AA41" t="str">
            <v>Each</v>
          </cell>
          <cell r="AB41">
            <v>0</v>
          </cell>
          <cell r="AC41">
            <v>0</v>
          </cell>
          <cell r="AD41">
            <v>0</v>
          </cell>
          <cell r="AE41">
            <v>0.02</v>
          </cell>
          <cell r="AF41">
            <v>1730.68</v>
          </cell>
          <cell r="AG41">
            <v>0</v>
          </cell>
        </row>
        <row r="42">
          <cell r="A42" t="str">
            <v>HW-TP-500PPI-IDX</v>
          </cell>
          <cell r="B42" t="str">
            <v>HW-TenPrint Scanner 500ppi TP4100</v>
          </cell>
          <cell r="C42" t="str">
            <v>500ppi TenPrint scanner: Identix TP-4100</v>
          </cell>
          <cell r="D42" t="str">
            <v>T</v>
          </cell>
          <cell r="E42">
            <v>7800</v>
          </cell>
          <cell r="F42">
            <v>3995</v>
          </cell>
          <cell r="G42">
            <v>3995</v>
          </cell>
          <cell r="H42">
            <v>3915</v>
          </cell>
          <cell r="I42" t="str">
            <v>N/A</v>
          </cell>
          <cell r="J42">
            <v>3795</v>
          </cell>
          <cell r="K42">
            <v>3875</v>
          </cell>
          <cell r="L42">
            <v>0</v>
          </cell>
          <cell r="M42">
            <v>0</v>
          </cell>
          <cell r="N42">
            <v>3795</v>
          </cell>
          <cell r="O42">
            <v>3675</v>
          </cell>
          <cell r="P42" t="str">
            <v>N/A</v>
          </cell>
          <cell r="Q42">
            <v>2.0025031289111372E-2</v>
          </cell>
          <cell r="R42" t="e">
            <v>#VALUE!</v>
          </cell>
          <cell r="S42">
            <v>5.0062578222778487E-2</v>
          </cell>
          <cell r="T42">
            <v>3.0037546933667114E-2</v>
          </cell>
          <cell r="U42"/>
          <cell r="V42"/>
          <cell r="W42">
            <v>0.05</v>
          </cell>
          <cell r="X42">
            <v>8.0100125156445601E-2</v>
          </cell>
          <cell r="Y42">
            <v>0.08</v>
          </cell>
          <cell r="Z42" t="str">
            <v>Hardware</v>
          </cell>
          <cell r="AA42" t="str">
            <v>Each</v>
          </cell>
          <cell r="AB42">
            <v>0</v>
          </cell>
          <cell r="AC42">
            <v>0</v>
          </cell>
          <cell r="AD42" t="e">
            <v>#VALUE!</v>
          </cell>
          <cell r="AE42">
            <v>0.02</v>
          </cell>
          <cell r="AF42" t="e">
            <v>#VALUE!</v>
          </cell>
          <cell r="AG42" t="e">
            <v>#VALUE!</v>
          </cell>
        </row>
        <row r="43">
          <cell r="A43" t="str">
            <v>HW-TPP-500PPI-CMT</v>
          </cell>
          <cell r="B43" t="str">
            <v>HW-Tenprint and PalmPrint Scanner 500ppi</v>
          </cell>
          <cell r="C43" t="str">
            <v>500ppi Tenprint and PalmPrint scanner: Cross Match 500P</v>
          </cell>
          <cell r="D43" t="str">
            <v>T</v>
          </cell>
          <cell r="E43">
            <v>11995</v>
          </cell>
          <cell r="F43">
            <v>11995</v>
          </cell>
          <cell r="G43">
            <v>11995</v>
          </cell>
          <cell r="H43">
            <v>11995</v>
          </cell>
          <cell r="I43">
            <v>11995</v>
          </cell>
          <cell r="J43">
            <v>11395</v>
          </cell>
          <cell r="K43">
            <v>10192</v>
          </cell>
          <cell r="L43">
            <v>0</v>
          </cell>
          <cell r="M43">
            <v>0</v>
          </cell>
          <cell r="N43">
            <v>11395</v>
          </cell>
          <cell r="O43">
            <v>11035</v>
          </cell>
          <cell r="P43">
            <v>11035</v>
          </cell>
          <cell r="Q43">
            <v>0</v>
          </cell>
          <cell r="R43">
            <v>0</v>
          </cell>
          <cell r="S43">
            <v>5.0020842017507339E-2</v>
          </cell>
          <cell r="T43">
            <v>0.15031263026260944</v>
          </cell>
          <cell r="U43"/>
          <cell r="V43"/>
          <cell r="W43">
            <v>0.05</v>
          </cell>
          <cell r="X43">
            <v>8.0033347228011698E-2</v>
          </cell>
          <cell r="Y43">
            <v>0.08</v>
          </cell>
          <cell r="Z43" t="str">
            <v>Hardware</v>
          </cell>
          <cell r="AA43" t="str">
            <v>Each</v>
          </cell>
          <cell r="AB43">
            <v>0</v>
          </cell>
          <cell r="AC43">
            <v>0</v>
          </cell>
          <cell r="AD43">
            <v>0</v>
          </cell>
          <cell r="AE43">
            <v>0.02</v>
          </cell>
          <cell r="AF43">
            <v>10814.3</v>
          </cell>
          <cell r="AG43">
            <v>0</v>
          </cell>
        </row>
        <row r="44">
          <cell r="A44" t="str">
            <v>HW-TPP-1000PPI-CMT</v>
          </cell>
          <cell r="B44" t="str">
            <v>HW-Tenprint and PalmPrint Scanner 1000ppi</v>
          </cell>
          <cell r="C44" t="str">
            <v>1000ppi Tenprint and PalmPrint scanner: Cross Match 1000PX</v>
          </cell>
          <cell r="D44" t="str">
            <v>T</v>
          </cell>
          <cell r="E44">
            <v>13995</v>
          </cell>
          <cell r="F44">
            <v>13995</v>
          </cell>
          <cell r="G44">
            <v>13995</v>
          </cell>
          <cell r="H44">
            <v>13995</v>
          </cell>
          <cell r="I44">
            <v>13995</v>
          </cell>
          <cell r="J44">
            <v>13295</v>
          </cell>
          <cell r="K44">
            <v>12995</v>
          </cell>
          <cell r="L44">
            <v>0</v>
          </cell>
          <cell r="M44">
            <v>0</v>
          </cell>
          <cell r="N44">
            <v>13295</v>
          </cell>
          <cell r="O44">
            <v>12875</v>
          </cell>
          <cell r="P44">
            <v>12875</v>
          </cell>
          <cell r="Q44">
            <v>0</v>
          </cell>
          <cell r="R44">
            <v>0</v>
          </cell>
          <cell r="S44">
            <v>5.0017863522686667E-2</v>
          </cell>
          <cell r="T44">
            <v>7.1454090746695287E-2</v>
          </cell>
          <cell r="U44"/>
          <cell r="V44"/>
          <cell r="W44">
            <v>0.05</v>
          </cell>
          <cell r="X44">
            <v>8.0028581636298668E-2</v>
          </cell>
          <cell r="Y44">
            <v>0.08</v>
          </cell>
          <cell r="Z44" t="str">
            <v>Hardware</v>
          </cell>
          <cell r="AA44" t="str">
            <v>Each</v>
          </cell>
          <cell r="AB44">
            <v>0</v>
          </cell>
          <cell r="AC44">
            <v>0</v>
          </cell>
          <cell r="AD44">
            <v>0</v>
          </cell>
          <cell r="AE44">
            <v>0.02</v>
          </cell>
          <cell r="AF44">
            <v>12617.5</v>
          </cell>
          <cell r="AG44">
            <v>0</v>
          </cell>
        </row>
        <row r="45">
          <cell r="A45" t="str">
            <v>HW-FBS</v>
          </cell>
          <cell r="B45" t="str">
            <v>HW-Flatbed Scanner</v>
          </cell>
          <cell r="C45" t="str">
            <v>Flatbed Scanner</v>
          </cell>
          <cell r="D45" t="str">
            <v>T</v>
          </cell>
          <cell r="E45">
            <v>0</v>
          </cell>
          <cell r="F45">
            <v>250</v>
          </cell>
          <cell r="G45">
            <v>250</v>
          </cell>
          <cell r="H45">
            <v>0</v>
          </cell>
          <cell r="I45">
            <v>0</v>
          </cell>
          <cell r="J45">
            <v>237</v>
          </cell>
          <cell r="K45">
            <v>0</v>
          </cell>
          <cell r="L45">
            <v>0</v>
          </cell>
          <cell r="M45">
            <v>0</v>
          </cell>
          <cell r="N45">
            <v>237</v>
          </cell>
          <cell r="O45">
            <v>230</v>
          </cell>
          <cell r="P45">
            <v>230</v>
          </cell>
          <cell r="Q45"/>
          <cell r="R45"/>
          <cell r="S45">
            <v>5.2000000000000046E-2</v>
          </cell>
          <cell r="T45"/>
          <cell r="U45"/>
          <cell r="V45"/>
          <cell r="W45">
            <v>0.05</v>
          </cell>
          <cell r="X45">
            <v>7.999999999999996E-2</v>
          </cell>
          <cell r="Y45">
            <v>0.08</v>
          </cell>
          <cell r="Z45" t="str">
            <v>Hardware</v>
          </cell>
          <cell r="AA45" t="str">
            <v>Each</v>
          </cell>
          <cell r="AB45">
            <v>0</v>
          </cell>
          <cell r="AC45">
            <v>50</v>
          </cell>
          <cell r="AD45">
            <v>11500</v>
          </cell>
          <cell r="AE45">
            <v>0.02</v>
          </cell>
          <cell r="AF45">
            <v>225.4</v>
          </cell>
          <cell r="AG45">
            <v>11270</v>
          </cell>
        </row>
        <row r="46">
          <cell r="A46">
            <v>0</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A47" t="str">
            <v>Accessories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A48" t="str">
            <v>ACC-CAM</v>
          </cell>
          <cell r="B48" t="str">
            <v>Acc - Camera</v>
          </cell>
          <cell r="C48" t="str">
            <v>Commercial-of-the-Shelf (COTS) High-Resolution Still Camera, integrated with LiveScan Software</v>
          </cell>
          <cell r="D48" t="str">
            <v>T</v>
          </cell>
          <cell r="E48">
            <v>890</v>
          </cell>
          <cell r="F48">
            <v>890</v>
          </cell>
          <cell r="G48">
            <v>890</v>
          </cell>
          <cell r="H48">
            <v>890</v>
          </cell>
          <cell r="I48">
            <v>890</v>
          </cell>
          <cell r="J48">
            <v>863.3</v>
          </cell>
          <cell r="K48">
            <v>865</v>
          </cell>
          <cell r="L48">
            <v>0</v>
          </cell>
          <cell r="M48" t="str">
            <v xml:space="preserve"> </v>
          </cell>
          <cell r="N48">
            <v>845</v>
          </cell>
          <cell r="O48">
            <v>818</v>
          </cell>
          <cell r="P48">
            <v>818</v>
          </cell>
          <cell r="Q48">
            <v>0</v>
          </cell>
          <cell r="R48">
            <v>0</v>
          </cell>
          <cell r="S48">
            <v>3.0000000000000027E-2</v>
          </cell>
          <cell r="T48">
            <v>2.8089887640449396E-2</v>
          </cell>
          <cell r="U48"/>
          <cell r="V48" t="e">
            <v>#VALUE!</v>
          </cell>
          <cell r="W48">
            <v>0.05</v>
          </cell>
          <cell r="X48">
            <v>8.0898876404494335E-2</v>
          </cell>
          <cell r="Y48">
            <v>0.08</v>
          </cell>
          <cell r="Z48" t="str">
            <v>Hardware</v>
          </cell>
          <cell r="AA48" t="str">
            <v>Each</v>
          </cell>
          <cell r="AB48">
            <v>0</v>
          </cell>
          <cell r="AC48">
            <v>150</v>
          </cell>
          <cell r="AD48">
            <v>122700</v>
          </cell>
          <cell r="AE48">
            <v>0.02</v>
          </cell>
          <cell r="AF48">
            <v>801.64</v>
          </cell>
          <cell r="AG48">
            <v>120246</v>
          </cell>
        </row>
        <row r="49">
          <cell r="A49" t="str">
            <v>ACC-CAMPOW</v>
          </cell>
          <cell r="B49" t="str">
            <v>Acc- Camera Power Supply</v>
          </cell>
          <cell r="C49" t="str">
            <v>Power Supply for Camera</v>
          </cell>
          <cell r="D49" t="str">
            <v>T</v>
          </cell>
          <cell r="E49">
            <v>55</v>
          </cell>
          <cell r="F49">
            <v>55</v>
          </cell>
          <cell r="G49">
            <v>55</v>
          </cell>
          <cell r="H49">
            <v>55</v>
          </cell>
          <cell r="I49">
            <v>55</v>
          </cell>
          <cell r="J49">
            <v>53.35</v>
          </cell>
          <cell r="K49">
            <v>53</v>
          </cell>
          <cell r="L49">
            <v>0</v>
          </cell>
          <cell r="M49">
            <v>0</v>
          </cell>
          <cell r="N49">
            <v>52</v>
          </cell>
          <cell r="O49">
            <v>0</v>
          </cell>
          <cell r="P49">
            <v>50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A50" t="str">
            <v>ACC-SigPad</v>
          </cell>
          <cell r="B50" t="str">
            <v>Acc -  Signature Pad</v>
          </cell>
          <cell r="C50" t="str">
            <v>Digital Signature Pad</v>
          </cell>
          <cell r="D50" t="str">
            <v>T</v>
          </cell>
          <cell r="E50">
            <v>390</v>
          </cell>
          <cell r="F50">
            <v>390</v>
          </cell>
          <cell r="G50">
            <v>390</v>
          </cell>
          <cell r="H50">
            <v>390</v>
          </cell>
          <cell r="I50">
            <v>390</v>
          </cell>
          <cell r="J50">
            <v>378.3</v>
          </cell>
          <cell r="K50">
            <v>375</v>
          </cell>
          <cell r="L50">
            <v>0</v>
          </cell>
          <cell r="M50" t="str">
            <v xml:space="preserve"> </v>
          </cell>
          <cell r="N50">
            <v>370</v>
          </cell>
          <cell r="O50">
            <v>358</v>
          </cell>
          <cell r="P50">
            <v>358</v>
          </cell>
          <cell r="Q50">
            <v>0</v>
          </cell>
          <cell r="R50">
            <v>0</v>
          </cell>
          <cell r="S50">
            <v>2.9999999999999916E-2</v>
          </cell>
          <cell r="T50">
            <v>3.8461538461538436E-2</v>
          </cell>
          <cell r="U50"/>
          <cell r="V50" t="e">
            <v>#VALUE!</v>
          </cell>
          <cell r="W50">
            <v>0.05</v>
          </cell>
          <cell r="X50">
            <v>8.2051282051282093E-2</v>
          </cell>
          <cell r="Y50">
            <v>0.08</v>
          </cell>
          <cell r="Z50" t="str">
            <v>Hardware</v>
          </cell>
          <cell r="AA50" t="str">
            <v>Each</v>
          </cell>
          <cell r="AB50">
            <v>0</v>
          </cell>
          <cell r="AC50">
            <v>0</v>
          </cell>
          <cell r="AD50">
            <v>0</v>
          </cell>
          <cell r="AE50">
            <v>0.02</v>
          </cell>
          <cell r="AF50">
            <v>350.84</v>
          </cell>
          <cell r="AG50">
            <v>0</v>
          </cell>
        </row>
        <row r="51">
          <cell r="A51" t="str">
            <v>ACC-Mag</v>
          </cell>
          <cell r="B51" t="str">
            <v>Acc -  Magstripe</v>
          </cell>
          <cell r="C51" t="str">
            <v>USB Magstripe Reader for Driver License</v>
          </cell>
          <cell r="D51" t="str">
            <v>T</v>
          </cell>
          <cell r="E51">
            <v>75</v>
          </cell>
          <cell r="F51">
            <v>75</v>
          </cell>
          <cell r="G51">
            <v>75</v>
          </cell>
          <cell r="H51">
            <v>75</v>
          </cell>
          <cell r="I51">
            <v>75</v>
          </cell>
          <cell r="J51">
            <v>72.75</v>
          </cell>
          <cell r="K51">
            <v>50</v>
          </cell>
          <cell r="L51">
            <v>0</v>
          </cell>
          <cell r="M51" t="str">
            <v xml:space="preserve"> </v>
          </cell>
          <cell r="N51">
            <v>71</v>
          </cell>
          <cell r="O51">
            <v>69</v>
          </cell>
          <cell r="P51">
            <v>69</v>
          </cell>
          <cell r="Q51">
            <v>0</v>
          </cell>
          <cell r="R51">
            <v>0</v>
          </cell>
          <cell r="S51">
            <v>3.0000000000000027E-2</v>
          </cell>
          <cell r="T51">
            <v>0.33333333333333337</v>
          </cell>
          <cell r="U51"/>
          <cell r="V51" t="e">
            <v>#VALUE!</v>
          </cell>
          <cell r="W51">
            <v>0.05</v>
          </cell>
          <cell r="X51">
            <v>7.999999999999996E-2</v>
          </cell>
          <cell r="Y51">
            <v>0.08</v>
          </cell>
          <cell r="Z51" t="str">
            <v>Hardware</v>
          </cell>
          <cell r="AA51" t="str">
            <v>Each</v>
          </cell>
          <cell r="AB51">
            <v>0</v>
          </cell>
          <cell r="AC51">
            <v>0</v>
          </cell>
          <cell r="AD51">
            <v>0</v>
          </cell>
          <cell r="AE51">
            <v>0.02</v>
          </cell>
          <cell r="AF51">
            <v>67.62</v>
          </cell>
          <cell r="AG51">
            <v>0</v>
          </cell>
        </row>
        <row r="52">
          <cell r="A52" t="str">
            <v>ACC-BarC1</v>
          </cell>
          <cell r="B52" t="str">
            <v>Acc -  Barcode reader 1D</v>
          </cell>
          <cell r="C52" t="str">
            <v>1D barcode reader</v>
          </cell>
          <cell r="D52" t="str">
            <v>T</v>
          </cell>
          <cell r="E52">
            <v>0</v>
          </cell>
          <cell r="F52">
            <v>175</v>
          </cell>
          <cell r="G52">
            <v>175</v>
          </cell>
          <cell r="H52">
            <v>0</v>
          </cell>
          <cell r="I52">
            <v>0</v>
          </cell>
          <cell r="J52">
            <v>169.75</v>
          </cell>
          <cell r="K52">
            <v>0</v>
          </cell>
          <cell r="L52">
            <v>0</v>
          </cell>
          <cell r="M52">
            <v>0</v>
          </cell>
          <cell r="N52">
            <v>166</v>
          </cell>
          <cell r="O52">
            <v>161</v>
          </cell>
          <cell r="P52">
            <v>161</v>
          </cell>
          <cell r="Q52"/>
          <cell r="R52"/>
          <cell r="S52">
            <v>3.0000000000000027E-2</v>
          </cell>
          <cell r="T52"/>
          <cell r="U52"/>
          <cell r="V52"/>
          <cell r="W52">
            <v>0.05</v>
          </cell>
          <cell r="X52">
            <v>7.999999999999996E-2</v>
          </cell>
          <cell r="Y52">
            <v>0.08</v>
          </cell>
          <cell r="Z52" t="str">
            <v>Hardware</v>
          </cell>
          <cell r="AA52" t="str">
            <v>Each</v>
          </cell>
          <cell r="AB52">
            <v>0</v>
          </cell>
          <cell r="AC52">
            <v>0</v>
          </cell>
          <cell r="AD52">
            <v>0</v>
          </cell>
          <cell r="AE52">
            <v>0.02</v>
          </cell>
          <cell r="AF52">
            <v>157.78</v>
          </cell>
          <cell r="AG52">
            <v>0</v>
          </cell>
        </row>
        <row r="53">
          <cell r="A53" t="str">
            <v>ACC-BarC2</v>
          </cell>
          <cell r="B53" t="str">
            <v>Acc -  Barcode reader 2D</v>
          </cell>
          <cell r="C53" t="str">
            <v>2D barcode reader</v>
          </cell>
          <cell r="D53" t="str">
            <v>T</v>
          </cell>
          <cell r="E53">
            <v>0</v>
          </cell>
          <cell r="F53">
            <v>325</v>
          </cell>
          <cell r="G53">
            <v>325</v>
          </cell>
          <cell r="H53">
            <v>0</v>
          </cell>
          <cell r="I53">
            <v>0</v>
          </cell>
          <cell r="J53">
            <v>315.25</v>
          </cell>
          <cell r="K53">
            <v>0</v>
          </cell>
          <cell r="L53">
            <v>0</v>
          </cell>
          <cell r="M53">
            <v>0</v>
          </cell>
          <cell r="N53">
            <v>308</v>
          </cell>
          <cell r="O53">
            <v>299</v>
          </cell>
          <cell r="P53">
            <v>299</v>
          </cell>
          <cell r="Q53"/>
          <cell r="R53"/>
          <cell r="S53">
            <v>3.0000000000000027E-2</v>
          </cell>
          <cell r="T53"/>
          <cell r="U53"/>
          <cell r="V53"/>
          <cell r="W53">
            <v>0.05</v>
          </cell>
          <cell r="X53">
            <v>7.999999999999996E-2</v>
          </cell>
          <cell r="Y53">
            <v>0.08</v>
          </cell>
          <cell r="Z53" t="str">
            <v>Hardware</v>
          </cell>
          <cell r="AA53" t="str">
            <v>Each</v>
          </cell>
          <cell r="AB53">
            <v>0</v>
          </cell>
          <cell r="AC53">
            <v>0</v>
          </cell>
          <cell r="AD53">
            <v>0</v>
          </cell>
          <cell r="AE53">
            <v>0.02</v>
          </cell>
          <cell r="AF53">
            <v>293.02</v>
          </cell>
          <cell r="AG53">
            <v>0</v>
          </cell>
        </row>
        <row r="54">
          <cell r="A54" t="str">
            <v>ACC-PS</v>
          </cell>
          <cell r="B54" t="str">
            <v>Acc -  Printer Simplex</v>
          </cell>
          <cell r="C54" t="str">
            <v>FBI Certified  Fingerprint Card Printer: Single-Sided Printer</v>
          </cell>
          <cell r="D54" t="str">
            <v>T</v>
          </cell>
          <cell r="E54">
            <v>0</v>
          </cell>
          <cell r="F54">
            <v>690</v>
          </cell>
          <cell r="G54">
            <v>690</v>
          </cell>
          <cell r="H54">
            <v>0</v>
          </cell>
          <cell r="I54">
            <v>0</v>
          </cell>
          <cell r="J54">
            <v>669.3</v>
          </cell>
          <cell r="K54">
            <v>0</v>
          </cell>
          <cell r="L54">
            <v>0</v>
          </cell>
          <cell r="M54">
            <v>0</v>
          </cell>
          <cell r="N54">
            <v>655</v>
          </cell>
          <cell r="O54">
            <v>634</v>
          </cell>
          <cell r="P54">
            <v>634</v>
          </cell>
          <cell r="Q54"/>
          <cell r="R54"/>
          <cell r="S54">
            <v>3.0000000000000027E-2</v>
          </cell>
          <cell r="T54"/>
          <cell r="U54"/>
          <cell r="V54"/>
          <cell r="W54">
            <v>0.05</v>
          </cell>
          <cell r="X54">
            <v>8.1159420289855122E-2</v>
          </cell>
          <cell r="Y54">
            <v>0.08</v>
          </cell>
          <cell r="Z54" t="str">
            <v>Hardware</v>
          </cell>
          <cell r="AA54" t="str">
            <v>Each</v>
          </cell>
          <cell r="AB54">
            <v>0</v>
          </cell>
          <cell r="AC54">
            <v>0</v>
          </cell>
          <cell r="AD54">
            <v>0</v>
          </cell>
          <cell r="AE54">
            <v>0.02</v>
          </cell>
          <cell r="AF54">
            <v>621.31999999999994</v>
          </cell>
          <cell r="AG54">
            <v>0</v>
          </cell>
        </row>
        <row r="55">
          <cell r="A55" t="str">
            <v>ACC-PD</v>
          </cell>
          <cell r="B55" t="str">
            <v>Acc -  Printer Duplex</v>
          </cell>
          <cell r="C55" t="str">
            <v>FBI Certified  Fingerprint Card Printer: Dual-Sided Printer</v>
          </cell>
          <cell r="D55" t="str">
            <v>T</v>
          </cell>
          <cell r="E55">
            <v>0</v>
          </cell>
          <cell r="F55">
            <v>1190</v>
          </cell>
          <cell r="G55">
            <v>1190</v>
          </cell>
          <cell r="H55">
            <v>0</v>
          </cell>
          <cell r="I55">
            <v>0</v>
          </cell>
          <cell r="J55">
            <v>1154.3</v>
          </cell>
          <cell r="K55">
            <v>0</v>
          </cell>
          <cell r="L55">
            <v>0</v>
          </cell>
          <cell r="M55">
            <v>0</v>
          </cell>
          <cell r="N55">
            <v>1130</v>
          </cell>
          <cell r="O55">
            <v>1094</v>
          </cell>
          <cell r="P55">
            <v>1094</v>
          </cell>
          <cell r="Q55"/>
          <cell r="R55"/>
          <cell r="S55">
            <v>3.0000000000000027E-2</v>
          </cell>
          <cell r="T55"/>
          <cell r="U55"/>
          <cell r="V55"/>
          <cell r="W55">
            <v>0.05</v>
          </cell>
          <cell r="X55">
            <v>8.0672268907563072E-2</v>
          </cell>
          <cell r="Y55">
            <v>0.08</v>
          </cell>
          <cell r="Z55" t="str">
            <v>Hardware</v>
          </cell>
          <cell r="AA55" t="str">
            <v>Each</v>
          </cell>
          <cell r="AB55">
            <v>0</v>
          </cell>
          <cell r="AC55">
            <v>0</v>
          </cell>
          <cell r="AD55">
            <v>0</v>
          </cell>
          <cell r="AE55">
            <v>0.02</v>
          </cell>
          <cell r="AF55">
            <v>1072.1199999999999</v>
          </cell>
          <cell r="AG55">
            <v>0</v>
          </cell>
        </row>
        <row r="56">
          <cell r="A56" t="str">
            <v>ACC-21T</v>
          </cell>
          <cell r="B56" t="str">
            <v>Acc -  21" LCD Touch</v>
          </cell>
          <cell r="C56" t="str">
            <v>21" Touch Screen LCD Monitor</v>
          </cell>
          <cell r="D56" t="str">
            <v>T</v>
          </cell>
          <cell r="E56">
            <v>0</v>
          </cell>
          <cell r="F56">
            <v>315</v>
          </cell>
          <cell r="G56">
            <v>315</v>
          </cell>
          <cell r="H56">
            <v>0</v>
          </cell>
          <cell r="I56">
            <v>0</v>
          </cell>
          <cell r="J56">
            <v>305.55</v>
          </cell>
          <cell r="K56">
            <v>0</v>
          </cell>
          <cell r="L56">
            <v>0</v>
          </cell>
          <cell r="M56">
            <v>0</v>
          </cell>
          <cell r="N56">
            <v>299</v>
          </cell>
          <cell r="O56">
            <v>289</v>
          </cell>
          <cell r="P56">
            <v>289</v>
          </cell>
          <cell r="Q56"/>
          <cell r="R56"/>
          <cell r="S56">
            <v>2.9999999999999916E-2</v>
          </cell>
          <cell r="T56"/>
          <cell r="U56"/>
          <cell r="V56"/>
          <cell r="W56">
            <v>0.05</v>
          </cell>
          <cell r="X56">
            <v>8.253968253968258E-2</v>
          </cell>
          <cell r="Y56">
            <v>0.08</v>
          </cell>
          <cell r="Z56" t="str">
            <v>Hardware</v>
          </cell>
          <cell r="AA56" t="str">
            <v>Each</v>
          </cell>
          <cell r="AB56">
            <v>0</v>
          </cell>
          <cell r="AC56">
            <v>60</v>
          </cell>
          <cell r="AD56">
            <v>17340</v>
          </cell>
          <cell r="AE56">
            <v>0.02</v>
          </cell>
          <cell r="AF56">
            <v>283.21999999999997</v>
          </cell>
          <cell r="AG56">
            <v>16993.2</v>
          </cell>
        </row>
        <row r="57">
          <cell r="A57" t="str">
            <v>ACC-UPG-21T</v>
          </cell>
          <cell r="B57" t="str">
            <v>Acc -  Upgrade to 21" LCD Touch</v>
          </cell>
          <cell r="C57" t="str">
            <v>Upgrade to 21" Touch Screen LCD Monitor</v>
          </cell>
          <cell r="D57" t="str">
            <v>T</v>
          </cell>
          <cell r="E57">
            <v>0</v>
          </cell>
          <cell r="F57">
            <v>425</v>
          </cell>
          <cell r="G57">
            <v>425</v>
          </cell>
          <cell r="H57">
            <v>0</v>
          </cell>
          <cell r="I57">
            <v>0</v>
          </cell>
          <cell r="J57">
            <v>412.25</v>
          </cell>
          <cell r="K57">
            <v>0</v>
          </cell>
          <cell r="L57">
            <v>0</v>
          </cell>
          <cell r="M57">
            <v>0</v>
          </cell>
          <cell r="N57">
            <v>403</v>
          </cell>
          <cell r="O57">
            <v>391</v>
          </cell>
          <cell r="P57">
            <v>391</v>
          </cell>
          <cell r="Q57"/>
          <cell r="R57"/>
          <cell r="S57">
            <v>3.0000000000000027E-2</v>
          </cell>
          <cell r="T57"/>
          <cell r="U57"/>
          <cell r="V57"/>
          <cell r="W57">
            <v>0.05</v>
          </cell>
          <cell r="X57">
            <v>7.999999999999996E-2</v>
          </cell>
          <cell r="Y57">
            <v>0.08</v>
          </cell>
          <cell r="Z57" t="str">
            <v>Hardware</v>
          </cell>
          <cell r="AA57" t="str">
            <v>Each</v>
          </cell>
          <cell r="AB57">
            <v>0</v>
          </cell>
          <cell r="AC57">
            <v>0</v>
          </cell>
          <cell r="AD57">
            <v>0</v>
          </cell>
          <cell r="AE57">
            <v>0.02</v>
          </cell>
          <cell r="AF57">
            <v>383.18</v>
          </cell>
          <cell r="AG57">
            <v>0</v>
          </cell>
        </row>
        <row r="58">
          <cell r="A58" t="str">
            <v>ACC-USB-PEDAL</v>
          </cell>
          <cell r="B58" t="str">
            <v>Acc -  USB Foot Pedal</v>
          </cell>
          <cell r="C58" t="str">
            <v>USB Foot Pedal for hands free operation</v>
          </cell>
          <cell r="D58" t="str">
            <v>T</v>
          </cell>
          <cell r="E58">
            <v>0</v>
          </cell>
          <cell r="F58">
            <v>165</v>
          </cell>
          <cell r="G58">
            <v>165</v>
          </cell>
          <cell r="H58">
            <v>0</v>
          </cell>
          <cell r="I58">
            <v>0</v>
          </cell>
          <cell r="J58">
            <v>160.04999999999998</v>
          </cell>
          <cell r="K58">
            <v>0</v>
          </cell>
          <cell r="L58">
            <v>0</v>
          </cell>
          <cell r="M58">
            <v>0</v>
          </cell>
          <cell r="N58">
            <v>156</v>
          </cell>
          <cell r="O58">
            <v>151</v>
          </cell>
          <cell r="P58">
            <v>151</v>
          </cell>
          <cell r="Q58"/>
          <cell r="R58"/>
          <cell r="S58">
            <v>3.0000000000000138E-2</v>
          </cell>
          <cell r="T58"/>
          <cell r="U58"/>
          <cell r="V58"/>
          <cell r="W58">
            <v>0.05</v>
          </cell>
          <cell r="X58">
            <v>8.484848484848484E-2</v>
          </cell>
          <cell r="Y58">
            <v>0.08</v>
          </cell>
          <cell r="Z58" t="str">
            <v>Hardware</v>
          </cell>
          <cell r="AA58" t="str">
            <v>Each</v>
          </cell>
          <cell r="AB58">
            <v>0</v>
          </cell>
          <cell r="AC58">
            <v>0</v>
          </cell>
          <cell r="AD58">
            <v>0</v>
          </cell>
          <cell r="AE58">
            <v>0.02</v>
          </cell>
          <cell r="AF58">
            <v>147.97999999999999</v>
          </cell>
          <cell r="AG58">
            <v>0</v>
          </cell>
        </row>
        <row r="59">
          <cell r="A59" t="str">
            <v>ACC-CC-S</v>
          </cell>
          <cell r="B59" t="str">
            <v>Acc -  Carry Case Small</v>
          </cell>
          <cell r="C59" t="str">
            <v>Small Military Style Case for TP LiveScan System (tenprint with laptop) with Anti-Static Foam Padding.</v>
          </cell>
          <cell r="D59" t="str">
            <v>T</v>
          </cell>
          <cell r="E59">
            <v>0</v>
          </cell>
          <cell r="F59">
            <v>445</v>
          </cell>
          <cell r="G59">
            <v>445</v>
          </cell>
          <cell r="H59">
            <v>0</v>
          </cell>
          <cell r="I59">
            <v>0</v>
          </cell>
          <cell r="J59">
            <v>431.65</v>
          </cell>
          <cell r="K59">
            <v>0</v>
          </cell>
          <cell r="L59">
            <v>0</v>
          </cell>
          <cell r="M59">
            <v>0</v>
          </cell>
          <cell r="N59">
            <v>422</v>
          </cell>
          <cell r="O59">
            <v>409</v>
          </cell>
          <cell r="P59">
            <v>409</v>
          </cell>
          <cell r="Q59"/>
          <cell r="R59"/>
          <cell r="S59">
            <v>3.0000000000000027E-2</v>
          </cell>
          <cell r="T59"/>
          <cell r="U59"/>
          <cell r="V59"/>
          <cell r="W59">
            <v>0.05</v>
          </cell>
          <cell r="X59">
            <v>8.0898876404494335E-2</v>
          </cell>
          <cell r="Y59">
            <v>0.08</v>
          </cell>
          <cell r="Z59" t="str">
            <v>Hardware</v>
          </cell>
          <cell r="AA59" t="str">
            <v>Each</v>
          </cell>
          <cell r="AB59">
            <v>0</v>
          </cell>
          <cell r="AC59">
            <v>0</v>
          </cell>
          <cell r="AD59">
            <v>0</v>
          </cell>
          <cell r="AE59">
            <v>0.02</v>
          </cell>
          <cell r="AF59">
            <v>400.82</v>
          </cell>
          <cell r="AG59">
            <v>0</v>
          </cell>
        </row>
        <row r="60">
          <cell r="A60" t="str">
            <v>ACC-CC-M</v>
          </cell>
          <cell r="B60" t="str">
            <v>Acc -  Carry Case Medium</v>
          </cell>
          <cell r="C60" t="str">
            <v>Medium Military Style Case for TPP LiveScan System (laptop only), with Anti-Static Foam Padding.</v>
          </cell>
          <cell r="D60" t="str">
            <v>T</v>
          </cell>
          <cell r="E60">
            <v>0</v>
          </cell>
          <cell r="F60">
            <v>625</v>
          </cell>
          <cell r="G60">
            <v>625</v>
          </cell>
          <cell r="H60">
            <v>0</v>
          </cell>
          <cell r="I60">
            <v>0</v>
          </cell>
          <cell r="J60">
            <v>606.25</v>
          </cell>
          <cell r="K60">
            <v>0</v>
          </cell>
          <cell r="L60">
            <v>0</v>
          </cell>
          <cell r="M60">
            <v>0</v>
          </cell>
          <cell r="N60">
            <v>593</v>
          </cell>
          <cell r="O60">
            <v>575</v>
          </cell>
          <cell r="P60">
            <v>575</v>
          </cell>
          <cell r="Q60"/>
          <cell r="R60"/>
          <cell r="S60">
            <v>3.0000000000000027E-2</v>
          </cell>
          <cell r="T60"/>
          <cell r="U60"/>
          <cell r="V60"/>
          <cell r="W60">
            <v>0.05</v>
          </cell>
          <cell r="X60">
            <v>7.999999999999996E-2</v>
          </cell>
          <cell r="Y60">
            <v>0.08</v>
          </cell>
          <cell r="Z60" t="str">
            <v>Hardware</v>
          </cell>
          <cell r="AA60" t="str">
            <v>Each</v>
          </cell>
          <cell r="AB60">
            <v>0</v>
          </cell>
          <cell r="AC60">
            <v>0</v>
          </cell>
          <cell r="AD60">
            <v>0</v>
          </cell>
          <cell r="AE60">
            <v>0.02</v>
          </cell>
          <cell r="AF60">
            <v>563.5</v>
          </cell>
          <cell r="AG60">
            <v>0</v>
          </cell>
        </row>
        <row r="61">
          <cell r="A61" t="str">
            <v>ACC-CC-L</v>
          </cell>
          <cell r="B61" t="str">
            <v>Acc -  Carry Case Large</v>
          </cell>
          <cell r="C61" t="str">
            <v>Large Military Style Case for LiveScan System (laptop only), with Anti-Static Foam Padding.</v>
          </cell>
          <cell r="D61" t="str">
            <v>T</v>
          </cell>
          <cell r="E61">
            <v>0</v>
          </cell>
          <cell r="F61">
            <v>745</v>
          </cell>
          <cell r="G61">
            <v>745</v>
          </cell>
          <cell r="H61">
            <v>0</v>
          </cell>
          <cell r="I61">
            <v>0</v>
          </cell>
          <cell r="J61">
            <v>722.65</v>
          </cell>
          <cell r="K61">
            <v>0</v>
          </cell>
          <cell r="L61">
            <v>0</v>
          </cell>
          <cell r="M61">
            <v>0</v>
          </cell>
          <cell r="N61">
            <v>707</v>
          </cell>
          <cell r="O61">
            <v>685</v>
          </cell>
          <cell r="P61">
            <v>685</v>
          </cell>
          <cell r="Q61"/>
          <cell r="R61"/>
          <cell r="S61">
            <v>3.0000000000000027E-2</v>
          </cell>
          <cell r="T61"/>
          <cell r="U61"/>
          <cell r="V61"/>
          <cell r="W61">
            <v>0.05</v>
          </cell>
          <cell r="X61">
            <v>8.0536912751677847E-2</v>
          </cell>
          <cell r="Y61">
            <v>0.08</v>
          </cell>
          <cell r="Z61" t="str">
            <v>Hardware</v>
          </cell>
          <cell r="AA61" t="str">
            <v>Each</v>
          </cell>
          <cell r="AB61">
            <v>0</v>
          </cell>
          <cell r="AC61">
            <v>0</v>
          </cell>
          <cell r="AD61">
            <v>0</v>
          </cell>
          <cell r="AE61">
            <v>0.02</v>
          </cell>
          <cell r="AF61">
            <v>671.3</v>
          </cell>
          <cell r="AG61">
            <v>0</v>
          </cell>
        </row>
        <row r="62">
          <cell r="A62" t="str">
            <v>ACC-KIOSK</v>
          </cell>
          <cell r="B62" t="str">
            <v>Acc -  Kiosk</v>
          </cell>
          <cell r="C62" t="str">
            <v>LS400 ergonomically designed all steel cabinet for any LS-Series LiveScan system.</v>
          </cell>
          <cell r="D62" t="str">
            <v>T</v>
          </cell>
          <cell r="E62">
            <v>0</v>
          </cell>
          <cell r="F62">
            <v>3795</v>
          </cell>
          <cell r="G62">
            <v>3795</v>
          </cell>
          <cell r="H62">
            <v>0</v>
          </cell>
          <cell r="I62">
            <v>0</v>
          </cell>
          <cell r="J62">
            <v>3681.15</v>
          </cell>
          <cell r="K62">
            <v>0</v>
          </cell>
          <cell r="L62">
            <v>0</v>
          </cell>
          <cell r="M62">
            <v>0</v>
          </cell>
          <cell r="N62">
            <v>3605</v>
          </cell>
          <cell r="O62">
            <v>3491</v>
          </cell>
          <cell r="P62">
            <v>3491</v>
          </cell>
          <cell r="Q62"/>
          <cell r="R62"/>
          <cell r="S62">
            <v>3.0000000000000027E-2</v>
          </cell>
          <cell r="T62"/>
          <cell r="U62"/>
          <cell r="V62"/>
          <cell r="W62">
            <v>0.05</v>
          </cell>
          <cell r="X62">
            <v>8.0105401844532298E-2</v>
          </cell>
          <cell r="Y62">
            <v>0.08</v>
          </cell>
          <cell r="Z62" t="str">
            <v>Hardware</v>
          </cell>
          <cell r="AA62" t="str">
            <v>Each</v>
          </cell>
          <cell r="AB62">
            <v>0</v>
          </cell>
          <cell r="AC62">
            <v>0</v>
          </cell>
          <cell r="AD62">
            <v>0</v>
          </cell>
          <cell r="AE62">
            <v>0.3</v>
          </cell>
          <cell r="AF62">
            <v>2443.6999999999998</v>
          </cell>
          <cell r="AG62">
            <v>0</v>
          </cell>
        </row>
        <row r="63">
          <cell r="A63" t="str">
            <v>ACC-KIOSK-EHA</v>
          </cell>
          <cell r="B63" t="str">
            <v>Acc -  Kiosk- EHA</v>
          </cell>
          <cell r="C63" t="str">
            <v>LS400 ergonomically designed all steel cabinet for any LS-Series LiveScan system, with electronic height Adjustment.</v>
          </cell>
          <cell r="D63" t="str">
            <v>T</v>
          </cell>
          <cell r="E63">
            <v>0</v>
          </cell>
          <cell r="F63">
            <v>5250</v>
          </cell>
          <cell r="G63">
            <v>5250</v>
          </cell>
          <cell r="H63">
            <v>0</v>
          </cell>
          <cell r="I63">
            <v>0</v>
          </cell>
          <cell r="J63">
            <v>5092.5</v>
          </cell>
          <cell r="K63">
            <v>0</v>
          </cell>
          <cell r="L63">
            <v>0</v>
          </cell>
          <cell r="M63">
            <v>0</v>
          </cell>
          <cell r="N63">
            <v>4987</v>
          </cell>
          <cell r="O63">
            <v>4830</v>
          </cell>
          <cell r="P63">
            <v>4830</v>
          </cell>
          <cell r="Q63"/>
          <cell r="R63"/>
          <cell r="S63">
            <v>3.0000000000000027E-2</v>
          </cell>
          <cell r="T63"/>
          <cell r="U63"/>
          <cell r="V63"/>
          <cell r="W63">
            <v>0.05</v>
          </cell>
          <cell r="X63">
            <v>7.999999999999996E-2</v>
          </cell>
          <cell r="Y63">
            <v>0.08</v>
          </cell>
          <cell r="Z63" t="str">
            <v>Hardware</v>
          </cell>
          <cell r="AA63" t="str">
            <v>Each</v>
          </cell>
          <cell r="AB63">
            <v>0</v>
          </cell>
          <cell r="AC63">
            <v>0</v>
          </cell>
          <cell r="AD63">
            <v>0</v>
          </cell>
          <cell r="AE63">
            <v>0.3</v>
          </cell>
          <cell r="AF63">
            <v>3381</v>
          </cell>
          <cell r="AG63">
            <v>0</v>
          </cell>
        </row>
        <row r="64">
          <cell r="A64" t="str">
            <v>ACC-KIOSK-CE</v>
          </cell>
          <cell r="B64" t="str">
            <v>Acc -  Kiosk - Camera Enclosure</v>
          </cell>
          <cell r="C64" t="str">
            <v>All steel camera enclosure for ACC-KIOSK, includes high-output ring flash</v>
          </cell>
          <cell r="D64" t="str">
            <v>T</v>
          </cell>
          <cell r="E64">
            <v>0</v>
          </cell>
          <cell r="F64">
            <v>825</v>
          </cell>
          <cell r="G64">
            <v>825</v>
          </cell>
          <cell r="H64">
            <v>0</v>
          </cell>
          <cell r="I64">
            <v>0</v>
          </cell>
          <cell r="J64">
            <v>800.25</v>
          </cell>
          <cell r="K64">
            <v>0</v>
          </cell>
          <cell r="L64">
            <v>0</v>
          </cell>
          <cell r="M64">
            <v>0</v>
          </cell>
          <cell r="N64">
            <v>783</v>
          </cell>
          <cell r="O64">
            <v>759</v>
          </cell>
          <cell r="P64">
            <v>759</v>
          </cell>
          <cell r="Q64"/>
          <cell r="R64"/>
          <cell r="S64">
            <v>3.0000000000000027E-2</v>
          </cell>
          <cell r="T64"/>
          <cell r="U64"/>
          <cell r="V64"/>
          <cell r="W64">
            <v>0.05</v>
          </cell>
          <cell r="X64">
            <v>7.999999999999996E-2</v>
          </cell>
          <cell r="Y64">
            <v>0.08</v>
          </cell>
          <cell r="Z64" t="str">
            <v>Hardware</v>
          </cell>
          <cell r="AA64" t="str">
            <v>Each</v>
          </cell>
          <cell r="AB64">
            <v>0</v>
          </cell>
          <cell r="AC64">
            <v>0</v>
          </cell>
          <cell r="AD64">
            <v>0</v>
          </cell>
          <cell r="AE64">
            <v>0.3</v>
          </cell>
          <cell r="AF64">
            <v>531.29999999999995</v>
          </cell>
          <cell r="AG64">
            <v>0</v>
          </cell>
        </row>
        <row r="65">
          <cell r="A65">
            <v>0</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A66" t="str">
            <v>SOFTWARE</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A67" t="str">
            <v>SW-LS200</v>
          </cell>
          <cell r="B67" t="str">
            <v>SW - LS - LS200 LiveScan Software License</v>
          </cell>
          <cell r="C67" t="str">
            <v>LS200 Applicant LiveScan Software License: single Type of Transaction (TOT), single submission package</v>
          </cell>
          <cell r="D67">
            <v>0</v>
          </cell>
          <cell r="E67">
            <v>4495</v>
          </cell>
          <cell r="F67">
            <v>2145</v>
          </cell>
          <cell r="G67">
            <v>2345</v>
          </cell>
          <cell r="H67">
            <v>3995</v>
          </cell>
          <cell r="I67">
            <v>3995</v>
          </cell>
          <cell r="J67">
            <v>3750</v>
          </cell>
          <cell r="K67">
            <v>3750</v>
          </cell>
          <cell r="L67" t="str">
            <v>N/A</v>
          </cell>
          <cell r="M67" t="str">
            <v>N/A</v>
          </cell>
          <cell r="N67">
            <v>1823</v>
          </cell>
          <cell r="O67">
            <v>1630</v>
          </cell>
          <cell r="P67">
            <v>1630</v>
          </cell>
          <cell r="Q67">
            <v>-0.86247086247086258</v>
          </cell>
          <cell r="R67">
            <v>-0.86247086247086258</v>
          </cell>
          <cell r="S67">
            <v>-0.74825174825174834</v>
          </cell>
          <cell r="T67">
            <v>-0.74825174825174834</v>
          </cell>
          <cell r="U67" t="e">
            <v>#VALUE!</v>
          </cell>
          <cell r="V67" t="e">
            <v>#VALUE!</v>
          </cell>
          <cell r="W67">
            <v>0.15</v>
          </cell>
          <cell r="X67">
            <v>0.24009324009324007</v>
          </cell>
          <cell r="Y67">
            <v>0.24</v>
          </cell>
          <cell r="Z67" t="str">
            <v>Software</v>
          </cell>
          <cell r="AA67" t="str">
            <v>Each</v>
          </cell>
          <cell r="AB67">
            <v>0</v>
          </cell>
          <cell r="AC67">
            <v>0</v>
          </cell>
          <cell r="AD67">
            <v>0</v>
          </cell>
          <cell r="AE67">
            <v>0.3</v>
          </cell>
          <cell r="AF67">
            <v>1141</v>
          </cell>
          <cell r="AG67">
            <v>0</v>
          </cell>
        </row>
        <row r="68">
          <cell r="A68" t="str">
            <v>SW-LS300</v>
          </cell>
          <cell r="B68" t="str">
            <v>SW - LS - LS300  LiveScan Software License</v>
          </cell>
          <cell r="C68" t="str">
            <v>LS 300 Criminal LiveScan Software License: single Type of Transaction (TOT), single submission package</v>
          </cell>
          <cell r="D68">
            <v>0</v>
          </cell>
          <cell r="E68">
            <v>4495</v>
          </cell>
          <cell r="F68">
            <v>4295</v>
          </cell>
          <cell r="G68">
            <v>4295</v>
          </cell>
          <cell r="H68" t="str">
            <v>N/A</v>
          </cell>
          <cell r="I68" t="str">
            <v>N/A</v>
          </cell>
          <cell r="J68">
            <v>3750</v>
          </cell>
          <cell r="K68">
            <v>3750</v>
          </cell>
          <cell r="L68" t="str">
            <v>N/A</v>
          </cell>
          <cell r="M68" t="str">
            <v>N/A</v>
          </cell>
          <cell r="N68">
            <v>3650</v>
          </cell>
          <cell r="O68">
            <v>3264</v>
          </cell>
          <cell r="P68">
            <v>3264</v>
          </cell>
          <cell r="Q68"/>
          <cell r="R68"/>
          <cell r="S68">
            <v>0.12689173457508729</v>
          </cell>
          <cell r="T68">
            <v>0.12689173457508729</v>
          </cell>
          <cell r="U68" t="e">
            <v>#VALUE!</v>
          </cell>
          <cell r="V68" t="e">
            <v>#VALUE!</v>
          </cell>
          <cell r="W68">
            <v>0.15</v>
          </cell>
          <cell r="X68">
            <v>0.24004656577415595</v>
          </cell>
          <cell r="Y68">
            <v>0.24</v>
          </cell>
          <cell r="Z68" t="str">
            <v>Software</v>
          </cell>
          <cell r="AA68" t="str">
            <v>Each</v>
          </cell>
          <cell r="AB68">
            <v>0</v>
          </cell>
          <cell r="AC68">
            <v>90</v>
          </cell>
          <cell r="AD68">
            <v>293760</v>
          </cell>
          <cell r="AE68">
            <v>0.3</v>
          </cell>
          <cell r="AF68">
            <v>2284.7999999999997</v>
          </cell>
          <cell r="AG68">
            <v>205632</v>
          </cell>
        </row>
        <row r="69">
          <cell r="A69" t="str">
            <v>SW-LSPC</v>
          </cell>
          <cell r="B69" t="str">
            <v>SW - LS - Photo Capture Software License</v>
          </cell>
          <cell r="C69" t="str">
            <v>Integrated Photo Capture Software License for any LS-Series LiveScan system.</v>
          </cell>
          <cell r="D69">
            <v>0</v>
          </cell>
          <cell r="E69">
            <v>0</v>
          </cell>
          <cell r="F69">
            <v>3495</v>
          </cell>
          <cell r="G69">
            <v>3495</v>
          </cell>
          <cell r="H69">
            <v>0</v>
          </cell>
          <cell r="I69">
            <v>0</v>
          </cell>
          <cell r="J69">
            <v>2995</v>
          </cell>
          <cell r="K69">
            <v>0</v>
          </cell>
          <cell r="L69">
            <v>0</v>
          </cell>
          <cell r="M69">
            <v>0</v>
          </cell>
          <cell r="N69">
            <v>2970</v>
          </cell>
          <cell r="O69">
            <v>2656</v>
          </cell>
          <cell r="P69">
            <v>2656</v>
          </cell>
          <cell r="Q69"/>
          <cell r="R69"/>
          <cell r="S69">
            <v>0.14306151645207443</v>
          </cell>
          <cell r="T69"/>
          <cell r="U69"/>
          <cell r="V69"/>
          <cell r="W69">
            <v>0.15</v>
          </cell>
          <cell r="X69">
            <v>0.24005722460658085</v>
          </cell>
          <cell r="Y69">
            <v>0.24</v>
          </cell>
          <cell r="Z69" t="str">
            <v>Software</v>
          </cell>
          <cell r="AA69" t="str">
            <v>Each</v>
          </cell>
          <cell r="AB69">
            <v>0</v>
          </cell>
          <cell r="AC69">
            <v>0</v>
          </cell>
          <cell r="AD69">
            <v>0</v>
          </cell>
          <cell r="AE69">
            <v>0.3</v>
          </cell>
          <cell r="AF69">
            <v>1859.1999999999998</v>
          </cell>
          <cell r="AG69">
            <v>0</v>
          </cell>
        </row>
        <row r="70">
          <cell r="A70" t="str">
            <v>SW-LS-ADD-TOT</v>
          </cell>
          <cell r="B70" t="str">
            <v>SW - LS - Additional LiveScan TOT License</v>
          </cell>
          <cell r="C70" t="str">
            <v>Additional Type of Transaction (TOT), must be combined with LS-Series LiveScan system.</v>
          </cell>
          <cell r="D70">
            <v>0</v>
          </cell>
          <cell r="E70">
            <v>1500</v>
          </cell>
          <cell r="F70">
            <v>995</v>
          </cell>
          <cell r="G70">
            <v>995</v>
          </cell>
          <cell r="H70">
            <v>995</v>
          </cell>
          <cell r="I70">
            <v>995</v>
          </cell>
          <cell r="J70">
            <v>945</v>
          </cell>
          <cell r="K70">
            <v>945</v>
          </cell>
          <cell r="L70">
            <v>0</v>
          </cell>
          <cell r="M70" t="str">
            <v xml:space="preserve"> </v>
          </cell>
          <cell r="N70">
            <v>845</v>
          </cell>
          <cell r="O70">
            <v>756</v>
          </cell>
          <cell r="P70">
            <v>756</v>
          </cell>
          <cell r="Q70">
            <v>0</v>
          </cell>
          <cell r="R70">
            <v>0</v>
          </cell>
          <cell r="S70">
            <v>5.0251256281407031E-2</v>
          </cell>
          <cell r="T70">
            <v>5.0251256281407031E-2</v>
          </cell>
          <cell r="U70"/>
          <cell r="V70" t="e">
            <v>#VALUE!</v>
          </cell>
          <cell r="W70">
            <v>0.15</v>
          </cell>
          <cell r="X70">
            <v>0.24020100502512565</v>
          </cell>
          <cell r="Y70">
            <v>0.24</v>
          </cell>
          <cell r="Z70" t="str">
            <v>Software</v>
          </cell>
          <cell r="AA70" t="str">
            <v>Each</v>
          </cell>
          <cell r="AB70">
            <v>0</v>
          </cell>
          <cell r="AC70">
            <v>60</v>
          </cell>
          <cell r="AD70">
            <v>45360</v>
          </cell>
          <cell r="AE70">
            <v>0.3</v>
          </cell>
          <cell r="AF70">
            <v>529.19999999999993</v>
          </cell>
          <cell r="AG70">
            <v>31751.999999999996</v>
          </cell>
        </row>
        <row r="71">
          <cell r="A71" t="str">
            <v>SW-LS-ADD-PC</v>
          </cell>
          <cell r="B71" t="str">
            <v>SW - LS - Additional LiveScan Photo Capture License</v>
          </cell>
          <cell r="C71" t="str">
            <v>Additional Photo Capture Software, must be combined with LS-Series LiveScan system.</v>
          </cell>
          <cell r="D71">
            <v>0</v>
          </cell>
          <cell r="E71">
            <v>1395</v>
          </cell>
          <cell r="F71">
            <v>995</v>
          </cell>
          <cell r="G71">
            <v>995</v>
          </cell>
          <cell r="H71">
            <v>995</v>
          </cell>
          <cell r="I71">
            <v>995</v>
          </cell>
          <cell r="J71">
            <v>945</v>
          </cell>
          <cell r="K71">
            <v>945</v>
          </cell>
          <cell r="L71">
            <v>0</v>
          </cell>
          <cell r="M71" t="str">
            <v xml:space="preserve"> </v>
          </cell>
          <cell r="N71">
            <v>845</v>
          </cell>
          <cell r="O71">
            <v>756</v>
          </cell>
          <cell r="P71">
            <v>756</v>
          </cell>
          <cell r="Q71">
            <v>0</v>
          </cell>
          <cell r="R71">
            <v>0</v>
          </cell>
          <cell r="S71">
            <v>5.0251256281407031E-2</v>
          </cell>
          <cell r="T71">
            <v>5.0251256281407031E-2</v>
          </cell>
          <cell r="U71"/>
          <cell r="V71" t="e">
            <v>#VALUE!</v>
          </cell>
          <cell r="W71">
            <v>0.15</v>
          </cell>
          <cell r="X71">
            <v>0.24020100502512565</v>
          </cell>
          <cell r="Y71">
            <v>0.24</v>
          </cell>
          <cell r="Z71" t="str">
            <v>Software</v>
          </cell>
          <cell r="AA71" t="str">
            <v>Each</v>
          </cell>
          <cell r="AB71">
            <v>0</v>
          </cell>
          <cell r="AC71">
            <v>150</v>
          </cell>
          <cell r="AD71">
            <v>113400</v>
          </cell>
          <cell r="AE71">
            <v>0.3</v>
          </cell>
          <cell r="AF71">
            <v>529.19999999999993</v>
          </cell>
          <cell r="AG71">
            <v>79380</v>
          </cell>
        </row>
        <row r="72">
          <cell r="A72" t="str">
            <v>SW-LS-ADD-FBS</v>
          </cell>
          <cell r="B72" t="str">
            <v>SW - LS - Additional Flatbed Scanning License</v>
          </cell>
          <cell r="C72" t="str">
            <v>Additional Flatbed Scanning Software, must be combined with LS-Series LiveScan system.</v>
          </cell>
          <cell r="D72">
            <v>0</v>
          </cell>
          <cell r="E72">
            <v>995</v>
          </cell>
          <cell r="F72">
            <v>995</v>
          </cell>
          <cell r="G72">
            <v>995</v>
          </cell>
          <cell r="H72">
            <v>995</v>
          </cell>
          <cell r="I72">
            <v>995</v>
          </cell>
          <cell r="J72">
            <v>895</v>
          </cell>
          <cell r="K72">
            <v>895</v>
          </cell>
          <cell r="L72">
            <v>0</v>
          </cell>
          <cell r="M72" t="str">
            <v xml:space="preserve"> </v>
          </cell>
          <cell r="N72">
            <v>845</v>
          </cell>
          <cell r="O72">
            <v>756</v>
          </cell>
          <cell r="P72">
            <v>756</v>
          </cell>
          <cell r="Q72">
            <v>0</v>
          </cell>
          <cell r="R72">
            <v>0</v>
          </cell>
          <cell r="S72">
            <v>0.10050251256281406</v>
          </cell>
          <cell r="T72">
            <v>0.10050251256281406</v>
          </cell>
          <cell r="U72"/>
          <cell r="V72" t="e">
            <v>#VALUE!</v>
          </cell>
          <cell r="W72">
            <v>0.15</v>
          </cell>
          <cell r="X72">
            <v>0.24020100502512565</v>
          </cell>
          <cell r="Y72">
            <v>0.24</v>
          </cell>
          <cell r="Z72" t="str">
            <v>Software</v>
          </cell>
          <cell r="AA72" t="str">
            <v>Each</v>
          </cell>
          <cell r="AB72">
            <v>0</v>
          </cell>
          <cell r="AC72">
            <v>90</v>
          </cell>
          <cell r="AD72">
            <v>68040</v>
          </cell>
          <cell r="AE72">
            <v>0.3</v>
          </cell>
          <cell r="AF72">
            <v>529.19999999999993</v>
          </cell>
          <cell r="AG72">
            <v>47628</v>
          </cell>
        </row>
        <row r="73">
          <cell r="A73" t="str">
            <v>SW-LSCON</v>
          </cell>
          <cell r="B73" t="str">
            <v>SW - LS - Additional Connectivity License</v>
          </cell>
          <cell r="C73" t="str">
            <v>Additional Connectivity and/or Submission license for any LS-Series LiveScan system.</v>
          </cell>
          <cell r="D73">
            <v>0</v>
          </cell>
          <cell r="E73">
            <v>350</v>
          </cell>
          <cell r="F73">
            <v>325</v>
          </cell>
          <cell r="G73">
            <v>325</v>
          </cell>
          <cell r="H73">
            <v>325</v>
          </cell>
          <cell r="I73">
            <v>325</v>
          </cell>
          <cell r="J73">
            <v>295</v>
          </cell>
          <cell r="K73">
            <v>295</v>
          </cell>
          <cell r="L73">
            <v>0</v>
          </cell>
          <cell r="M73" t="str">
            <v xml:space="preserve"> </v>
          </cell>
          <cell r="N73">
            <v>276</v>
          </cell>
          <cell r="O73">
            <v>247</v>
          </cell>
          <cell r="P73">
            <v>247</v>
          </cell>
          <cell r="Q73">
            <v>0</v>
          </cell>
          <cell r="R73">
            <v>0</v>
          </cell>
          <cell r="S73">
            <v>9.2307692307692313E-2</v>
          </cell>
          <cell r="T73">
            <v>9.2307692307692313E-2</v>
          </cell>
          <cell r="U73"/>
          <cell r="V73" t="e">
            <v>#VALUE!</v>
          </cell>
          <cell r="W73">
            <v>0.15</v>
          </cell>
          <cell r="X73">
            <v>0.24</v>
          </cell>
          <cell r="Y73">
            <v>0.24</v>
          </cell>
          <cell r="Z73" t="str">
            <v>Software</v>
          </cell>
          <cell r="AA73" t="str">
            <v>Each</v>
          </cell>
          <cell r="AB73">
            <v>0</v>
          </cell>
          <cell r="AC73">
            <v>0</v>
          </cell>
          <cell r="AD73">
            <v>0</v>
          </cell>
          <cell r="AE73">
            <v>0.3</v>
          </cell>
          <cell r="AF73">
            <v>172.89999999999998</v>
          </cell>
          <cell r="AG73">
            <v>0</v>
          </cell>
        </row>
        <row r="74">
          <cell r="A74" t="str">
            <v>SW-LSINT1</v>
          </cell>
          <cell r="B74" t="str">
            <v>SW - LS - Foreign System Data Interface (one way)</v>
          </cell>
          <cell r="C74" t="str">
            <v>LiveScan data interface with foreign systems for one way data exchange (input or output) - $3,995 license fee minimum per interface</v>
          </cell>
          <cell r="D74">
            <v>0</v>
          </cell>
          <cell r="E74">
            <v>0</v>
          </cell>
          <cell r="F74">
            <v>260</v>
          </cell>
          <cell r="G74">
            <v>260</v>
          </cell>
          <cell r="H74">
            <v>0</v>
          </cell>
          <cell r="I74">
            <v>0</v>
          </cell>
          <cell r="J74">
            <v>0</v>
          </cell>
          <cell r="K74">
            <v>0</v>
          </cell>
          <cell r="L74">
            <v>0</v>
          </cell>
          <cell r="M74">
            <v>0</v>
          </cell>
          <cell r="N74">
            <v>221</v>
          </cell>
          <cell r="O74">
            <v>197</v>
          </cell>
          <cell r="P74">
            <v>197</v>
          </cell>
          <cell r="Q74"/>
          <cell r="R74"/>
          <cell r="S74"/>
          <cell r="T74"/>
          <cell r="U74"/>
          <cell r="V74"/>
          <cell r="W74">
            <v>0.15</v>
          </cell>
          <cell r="X74">
            <v>0.24230769230769234</v>
          </cell>
          <cell r="Y74">
            <v>0.24</v>
          </cell>
          <cell r="Z74" t="str">
            <v>Software</v>
          </cell>
          <cell r="AA74" t="str">
            <v>Each</v>
          </cell>
          <cell r="AB74">
            <v>0</v>
          </cell>
          <cell r="AC74">
            <v>150</v>
          </cell>
          <cell r="AD74">
            <v>29550</v>
          </cell>
          <cell r="AE74">
            <v>0.3</v>
          </cell>
          <cell r="AF74">
            <v>137.89999999999998</v>
          </cell>
          <cell r="AG74">
            <v>20685</v>
          </cell>
        </row>
        <row r="75">
          <cell r="A75" t="str">
            <v>SW-LSINT2</v>
          </cell>
          <cell r="B75" t="str">
            <v>SW - LS - Foreign System Data Interface (two way)</v>
          </cell>
          <cell r="C75" t="str">
            <v>LiveScan data interface with foreign systems for two way data exchange (input and output) - $4,995 license fee minimum per interface</v>
          </cell>
          <cell r="D75">
            <v>0</v>
          </cell>
          <cell r="E75">
            <v>0</v>
          </cell>
          <cell r="F75">
            <v>395</v>
          </cell>
          <cell r="G75">
            <v>395</v>
          </cell>
          <cell r="H75">
            <v>0</v>
          </cell>
          <cell r="I75">
            <v>0</v>
          </cell>
          <cell r="J75">
            <v>0</v>
          </cell>
          <cell r="K75">
            <v>0</v>
          </cell>
          <cell r="L75">
            <v>0</v>
          </cell>
          <cell r="M75">
            <v>0</v>
          </cell>
          <cell r="N75">
            <v>335</v>
          </cell>
          <cell r="O75">
            <v>300</v>
          </cell>
          <cell r="P75">
            <v>300</v>
          </cell>
          <cell r="Q75"/>
          <cell r="R75"/>
          <cell r="S75"/>
          <cell r="T75"/>
          <cell r="U75"/>
          <cell r="V75"/>
          <cell r="W75">
            <v>0.15</v>
          </cell>
          <cell r="X75">
            <v>0.240506329113924</v>
          </cell>
          <cell r="Y75">
            <v>0.24</v>
          </cell>
          <cell r="Z75" t="str">
            <v>Software</v>
          </cell>
          <cell r="AA75" t="str">
            <v>Each</v>
          </cell>
          <cell r="AB75">
            <v>0</v>
          </cell>
          <cell r="AC75">
            <v>0</v>
          </cell>
          <cell r="AD75">
            <v>0</v>
          </cell>
          <cell r="AE75">
            <v>0.3</v>
          </cell>
          <cell r="AF75">
            <v>210</v>
          </cell>
          <cell r="AG75">
            <v>0</v>
          </cell>
        </row>
        <row r="76">
          <cell r="A76" t="str">
            <v>SW-LSID</v>
          </cell>
          <cell r="B76" t="str">
            <v>SW - LS - ID Processing Software License</v>
          </cell>
          <cell r="C76" t="str">
            <v>Software License to process identification (Driver's License, State ID's, etc…) for any LS-Series LiveScan system.</v>
          </cell>
          <cell r="D76">
            <v>0</v>
          </cell>
          <cell r="E76">
            <v>250</v>
          </cell>
          <cell r="F76">
            <v>215</v>
          </cell>
          <cell r="G76">
            <v>215</v>
          </cell>
          <cell r="H76">
            <v>195</v>
          </cell>
          <cell r="I76">
            <v>195</v>
          </cell>
          <cell r="J76">
            <v>195</v>
          </cell>
          <cell r="K76">
            <v>195</v>
          </cell>
          <cell r="L76">
            <v>0</v>
          </cell>
          <cell r="M76" t="str">
            <v xml:space="preserve"> </v>
          </cell>
          <cell r="N76">
            <v>182</v>
          </cell>
          <cell r="O76">
            <v>163</v>
          </cell>
          <cell r="P76">
            <v>163</v>
          </cell>
          <cell r="Q76">
            <v>9.3023255813953543E-2</v>
          </cell>
          <cell r="R76">
            <v>9.3023255813953543E-2</v>
          </cell>
          <cell r="S76">
            <v>9.3023255813953543E-2</v>
          </cell>
          <cell r="T76">
            <v>9.3023255813953543E-2</v>
          </cell>
          <cell r="U76"/>
          <cell r="V76" t="e">
            <v>#VALUE!</v>
          </cell>
          <cell r="W76">
            <v>0.15</v>
          </cell>
          <cell r="X76">
            <v>0.24186046511627912</v>
          </cell>
          <cell r="Y76">
            <v>0.24</v>
          </cell>
          <cell r="Z76" t="str">
            <v>Software</v>
          </cell>
          <cell r="AA76" t="str">
            <v>Each</v>
          </cell>
          <cell r="AB76">
            <v>0</v>
          </cell>
          <cell r="AC76">
            <v>0</v>
          </cell>
          <cell r="AD76">
            <v>0</v>
          </cell>
          <cell r="AE76">
            <v>0.3</v>
          </cell>
          <cell r="AF76">
            <v>114.1</v>
          </cell>
          <cell r="AG76">
            <v>0</v>
          </cell>
        </row>
        <row r="77">
          <cell r="A77" t="str">
            <v>SW-LSSC</v>
          </cell>
          <cell r="B77" t="str">
            <v>SW - LS - Signature Capture Software License</v>
          </cell>
          <cell r="C77" t="str">
            <v>Integrated Signature Capture Software License for any LS-Series LiveScan system.</v>
          </cell>
          <cell r="D77">
            <v>0</v>
          </cell>
          <cell r="E77">
            <v>0</v>
          </cell>
          <cell r="F77">
            <v>85</v>
          </cell>
          <cell r="G77">
            <v>85</v>
          </cell>
          <cell r="H77">
            <v>85</v>
          </cell>
          <cell r="I77">
            <v>85</v>
          </cell>
          <cell r="J77">
            <v>80</v>
          </cell>
          <cell r="K77">
            <v>80</v>
          </cell>
          <cell r="L77">
            <v>0</v>
          </cell>
          <cell r="M77" t="str">
            <v xml:space="preserve"> </v>
          </cell>
          <cell r="N77">
            <v>72</v>
          </cell>
          <cell r="O77">
            <v>64</v>
          </cell>
          <cell r="P77">
            <v>64</v>
          </cell>
          <cell r="Q77">
            <v>0</v>
          </cell>
          <cell r="R77">
            <v>0</v>
          </cell>
          <cell r="S77">
            <v>5.8823529411764719E-2</v>
          </cell>
          <cell r="T77">
            <v>5.8823529411764719E-2</v>
          </cell>
          <cell r="U77"/>
          <cell r="V77" t="e">
            <v>#VALUE!</v>
          </cell>
          <cell r="W77">
            <v>0.15</v>
          </cell>
          <cell r="X77">
            <v>0.24705882352941178</v>
          </cell>
          <cell r="Y77">
            <v>0.24</v>
          </cell>
          <cell r="Z77" t="str">
            <v>Software</v>
          </cell>
          <cell r="AA77" t="str">
            <v>Each</v>
          </cell>
          <cell r="AB77">
            <v>0</v>
          </cell>
          <cell r="AC77">
            <v>0</v>
          </cell>
          <cell r="AD77">
            <v>0</v>
          </cell>
          <cell r="AE77">
            <v>0.3</v>
          </cell>
          <cell r="AF77">
            <v>44.8</v>
          </cell>
          <cell r="AG77">
            <v>0</v>
          </cell>
        </row>
        <row r="78">
          <cell r="A78" t="str">
            <v>SW-LSPS</v>
          </cell>
          <cell r="B78" t="str">
            <v>SW - LS - Printer Software</v>
          </cell>
          <cell r="C78" t="str">
            <v>Printer Software License for Standard Print Formats for any LS-Series LiveScan system.</v>
          </cell>
          <cell r="D78">
            <v>0</v>
          </cell>
          <cell r="E78">
            <v>349</v>
          </cell>
          <cell r="F78">
            <v>260</v>
          </cell>
          <cell r="G78">
            <v>260</v>
          </cell>
          <cell r="H78">
            <v>260</v>
          </cell>
          <cell r="I78">
            <v>260</v>
          </cell>
          <cell r="J78">
            <v>235</v>
          </cell>
          <cell r="K78">
            <v>235</v>
          </cell>
          <cell r="L78">
            <v>0</v>
          </cell>
          <cell r="M78" t="str">
            <v xml:space="preserve"> </v>
          </cell>
          <cell r="N78">
            <v>221</v>
          </cell>
          <cell r="O78">
            <v>197</v>
          </cell>
          <cell r="P78">
            <v>197</v>
          </cell>
          <cell r="Q78">
            <v>0</v>
          </cell>
          <cell r="R78">
            <v>0</v>
          </cell>
          <cell r="S78">
            <v>9.6153846153846145E-2</v>
          </cell>
          <cell r="T78">
            <v>9.6153846153846145E-2</v>
          </cell>
          <cell r="U78"/>
          <cell r="V78" t="e">
            <v>#VALUE!</v>
          </cell>
          <cell r="W78">
            <v>0.15</v>
          </cell>
          <cell r="X78">
            <v>0.24230769230769234</v>
          </cell>
          <cell r="Y78">
            <v>0.24</v>
          </cell>
          <cell r="Z78" t="str">
            <v>Software</v>
          </cell>
          <cell r="AA78" t="str">
            <v>Each</v>
          </cell>
          <cell r="AB78">
            <v>0</v>
          </cell>
          <cell r="AC78">
            <v>0</v>
          </cell>
          <cell r="AD78">
            <v>0</v>
          </cell>
          <cell r="AE78">
            <v>0.3</v>
          </cell>
          <cell r="AF78">
            <v>137.89999999999998</v>
          </cell>
          <cell r="AG78">
            <v>0</v>
          </cell>
        </row>
        <row r="79">
          <cell r="A79" t="str">
            <v>SW-CMS</v>
          </cell>
          <cell r="B79" t="str">
            <v>SW - CMS - Software License</v>
          </cell>
          <cell r="C79" t="str">
            <v>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79">
            <v>0</v>
          </cell>
          <cell r="E79">
            <v>0</v>
          </cell>
          <cell r="F79">
            <v>10125</v>
          </cell>
          <cell r="G79">
            <v>10125</v>
          </cell>
          <cell r="H79">
            <v>0</v>
          </cell>
          <cell r="I79">
            <v>0</v>
          </cell>
          <cell r="J79">
            <v>0</v>
          </cell>
          <cell r="K79">
            <v>0</v>
          </cell>
          <cell r="L79">
            <v>0</v>
          </cell>
          <cell r="M79">
            <v>0</v>
          </cell>
          <cell r="N79">
            <v>8606</v>
          </cell>
          <cell r="O79">
            <v>7695</v>
          </cell>
          <cell r="P79">
            <v>7695</v>
          </cell>
          <cell r="Q79"/>
          <cell r="R79"/>
          <cell r="S79"/>
          <cell r="T79"/>
          <cell r="U79"/>
          <cell r="V79"/>
          <cell r="W79">
            <v>0.15</v>
          </cell>
          <cell r="X79">
            <v>0.24</v>
          </cell>
          <cell r="Y79">
            <v>0.24</v>
          </cell>
          <cell r="Z79" t="str">
            <v>Software</v>
          </cell>
          <cell r="AA79" t="str">
            <v>Each</v>
          </cell>
          <cell r="AB79">
            <v>0</v>
          </cell>
          <cell r="AC79">
            <v>0</v>
          </cell>
          <cell r="AD79">
            <v>0</v>
          </cell>
          <cell r="AE79">
            <v>0.3</v>
          </cell>
          <cell r="AF79">
            <v>5386.5</v>
          </cell>
          <cell r="AG79">
            <v>0</v>
          </cell>
        </row>
        <row r="80">
          <cell r="A80" t="str">
            <v>SW-CMS10CON</v>
          </cell>
          <cell r="B80" t="str">
            <v>SW - CMS - Add-On 10 Connection License</v>
          </cell>
          <cell r="C80" t="str">
            <v>10 additional LiveScan connections license for CMS Software</v>
          </cell>
          <cell r="D80">
            <v>0</v>
          </cell>
          <cell r="E80">
            <v>0</v>
          </cell>
          <cell r="F80">
            <v>1295</v>
          </cell>
          <cell r="G80">
            <v>1295</v>
          </cell>
          <cell r="H80">
            <v>0</v>
          </cell>
          <cell r="I80">
            <v>0</v>
          </cell>
          <cell r="J80">
            <v>0</v>
          </cell>
          <cell r="K80">
            <v>0</v>
          </cell>
          <cell r="L80">
            <v>0</v>
          </cell>
          <cell r="M80">
            <v>0</v>
          </cell>
          <cell r="N80">
            <v>1100</v>
          </cell>
          <cell r="O80">
            <v>984</v>
          </cell>
          <cell r="P80">
            <v>984</v>
          </cell>
          <cell r="Q80"/>
          <cell r="R80"/>
          <cell r="S80"/>
          <cell r="T80"/>
          <cell r="U80"/>
          <cell r="V80"/>
          <cell r="W80">
            <v>0.15</v>
          </cell>
          <cell r="X80">
            <v>0.24015444015444021</v>
          </cell>
          <cell r="Y80">
            <v>0.24</v>
          </cell>
          <cell r="Z80" t="str">
            <v>Software</v>
          </cell>
          <cell r="AA80" t="str">
            <v>Each</v>
          </cell>
          <cell r="AB80">
            <v>0</v>
          </cell>
          <cell r="AC80">
            <v>0</v>
          </cell>
          <cell r="AD80">
            <v>0</v>
          </cell>
          <cell r="AE80">
            <v>0.3</v>
          </cell>
          <cell r="AF80">
            <v>688.8</v>
          </cell>
          <cell r="AG80">
            <v>0</v>
          </cell>
        </row>
        <row r="81">
          <cell r="A81" t="str">
            <v>SW-CMS1000TP</v>
          </cell>
          <cell r="B81" t="str">
            <v>SW - CMS - Add-On 1,000 Throughput License</v>
          </cell>
          <cell r="C81" t="str">
            <v>1,000 additional monthly transaction throughput license for CMS Software</v>
          </cell>
          <cell r="D81">
            <v>0</v>
          </cell>
          <cell r="E81">
            <v>0</v>
          </cell>
          <cell r="F81">
            <v>660</v>
          </cell>
          <cell r="G81">
            <v>660</v>
          </cell>
          <cell r="H81">
            <v>0</v>
          </cell>
          <cell r="I81">
            <v>0</v>
          </cell>
          <cell r="J81">
            <v>0</v>
          </cell>
          <cell r="K81">
            <v>0</v>
          </cell>
          <cell r="L81">
            <v>0</v>
          </cell>
          <cell r="M81">
            <v>0</v>
          </cell>
          <cell r="N81">
            <v>561</v>
          </cell>
          <cell r="O81">
            <v>501</v>
          </cell>
          <cell r="P81">
            <v>501</v>
          </cell>
          <cell r="Q81"/>
          <cell r="R81"/>
          <cell r="S81"/>
          <cell r="T81"/>
          <cell r="U81"/>
          <cell r="V81"/>
          <cell r="W81">
            <v>0.15</v>
          </cell>
          <cell r="X81">
            <v>0.24090909090909096</v>
          </cell>
          <cell r="Y81">
            <v>0.24</v>
          </cell>
          <cell r="Z81" t="str">
            <v>Software</v>
          </cell>
          <cell r="AA81" t="str">
            <v>Each</v>
          </cell>
          <cell r="AB81">
            <v>0</v>
          </cell>
          <cell r="AC81">
            <v>9</v>
          </cell>
          <cell r="AD81">
            <v>4509</v>
          </cell>
          <cell r="AE81">
            <v>0.3</v>
          </cell>
          <cell r="AF81">
            <v>350.7</v>
          </cell>
          <cell r="AG81">
            <v>3156.2999999999997</v>
          </cell>
        </row>
        <row r="82">
          <cell r="A82" t="str">
            <v>SW-CMS5000S</v>
          </cell>
          <cell r="B82" t="str">
            <v>SW - CMS - Add-On 5,000 Archive Storage License</v>
          </cell>
          <cell r="C82" t="str">
            <v>5,000 additional transaction storage for CMS Software.</v>
          </cell>
          <cell r="D82">
            <v>0</v>
          </cell>
          <cell r="E82">
            <v>0</v>
          </cell>
          <cell r="F82">
            <v>260</v>
          </cell>
          <cell r="G82">
            <v>260</v>
          </cell>
          <cell r="H82">
            <v>0</v>
          </cell>
          <cell r="I82">
            <v>0</v>
          </cell>
          <cell r="J82">
            <v>0</v>
          </cell>
          <cell r="K82">
            <v>0</v>
          </cell>
          <cell r="L82">
            <v>0</v>
          </cell>
          <cell r="M82">
            <v>0</v>
          </cell>
          <cell r="N82">
            <v>221</v>
          </cell>
          <cell r="O82">
            <v>197</v>
          </cell>
          <cell r="P82">
            <v>197</v>
          </cell>
          <cell r="Q82"/>
          <cell r="R82"/>
          <cell r="S82"/>
          <cell r="T82"/>
          <cell r="U82"/>
          <cell r="V82"/>
          <cell r="W82">
            <v>0.15</v>
          </cell>
          <cell r="X82">
            <v>0.24230769230769234</v>
          </cell>
          <cell r="Y82">
            <v>0.24</v>
          </cell>
          <cell r="Z82" t="str">
            <v>Software</v>
          </cell>
          <cell r="AA82" t="str">
            <v>Each</v>
          </cell>
          <cell r="AB82">
            <v>0</v>
          </cell>
          <cell r="AC82">
            <v>23</v>
          </cell>
          <cell r="AD82">
            <v>4531</v>
          </cell>
          <cell r="AE82">
            <v>0.3</v>
          </cell>
          <cell r="AF82">
            <v>137.89999999999998</v>
          </cell>
          <cell r="AG82">
            <v>3171.7</v>
          </cell>
        </row>
        <row r="83">
          <cell r="A83" t="str">
            <v>SW-CMSINT1</v>
          </cell>
          <cell r="B83" t="str">
            <v>SW - CMS - Foreign System Data Interface (one way)</v>
          </cell>
          <cell r="C83" t="str">
            <v>CMS data interface with foreign systems for one way data exchange (input or output)</v>
          </cell>
          <cell r="D83">
            <v>0</v>
          </cell>
          <cell r="E83">
            <v>0</v>
          </cell>
          <cell r="F83">
            <v>6495</v>
          </cell>
          <cell r="G83">
            <v>6495</v>
          </cell>
          <cell r="H83">
            <v>0</v>
          </cell>
          <cell r="I83">
            <v>0</v>
          </cell>
          <cell r="J83">
            <v>0</v>
          </cell>
          <cell r="K83">
            <v>0</v>
          </cell>
          <cell r="L83">
            <v>0</v>
          </cell>
          <cell r="M83">
            <v>0</v>
          </cell>
          <cell r="N83">
            <v>5520</v>
          </cell>
          <cell r="O83">
            <v>4936</v>
          </cell>
          <cell r="P83">
            <v>4936</v>
          </cell>
          <cell r="Q83"/>
          <cell r="R83"/>
          <cell r="S83"/>
          <cell r="T83"/>
          <cell r="U83"/>
          <cell r="V83"/>
          <cell r="W83">
            <v>0.15</v>
          </cell>
          <cell r="X83">
            <v>0.24003079291762897</v>
          </cell>
          <cell r="Y83">
            <v>0.24</v>
          </cell>
          <cell r="Z83" t="str">
            <v>Software</v>
          </cell>
          <cell r="AA83" t="str">
            <v>Each</v>
          </cell>
          <cell r="AB83">
            <v>0</v>
          </cell>
          <cell r="AC83">
            <v>0</v>
          </cell>
          <cell r="AD83">
            <v>0</v>
          </cell>
          <cell r="AE83">
            <v>0.3</v>
          </cell>
          <cell r="AF83">
            <v>3455.2</v>
          </cell>
          <cell r="AG83">
            <v>0</v>
          </cell>
        </row>
        <row r="84">
          <cell r="A84" t="str">
            <v>SW-CMSINT2</v>
          </cell>
          <cell r="B84" t="str">
            <v>SW - CMS - Foreign System Data Interface (two way)</v>
          </cell>
          <cell r="C84" t="str">
            <v>CMS data interface with foreign systems for two way data exchange (input and output)</v>
          </cell>
          <cell r="D84">
            <v>0</v>
          </cell>
          <cell r="E84">
            <v>0</v>
          </cell>
          <cell r="F84">
            <v>11495</v>
          </cell>
          <cell r="G84">
            <v>11495</v>
          </cell>
          <cell r="H84">
            <v>0</v>
          </cell>
          <cell r="I84">
            <v>0</v>
          </cell>
          <cell r="J84">
            <v>0</v>
          </cell>
          <cell r="K84">
            <v>0</v>
          </cell>
          <cell r="L84">
            <v>0</v>
          </cell>
          <cell r="M84">
            <v>0</v>
          </cell>
          <cell r="N84">
            <v>9770</v>
          </cell>
          <cell r="O84">
            <v>8736</v>
          </cell>
          <cell r="P84">
            <v>8736</v>
          </cell>
          <cell r="Q84"/>
          <cell r="R84"/>
          <cell r="S84"/>
          <cell r="T84"/>
          <cell r="U84"/>
          <cell r="V84"/>
          <cell r="W84">
            <v>0.15</v>
          </cell>
          <cell r="X84">
            <v>0.24001739886907347</v>
          </cell>
          <cell r="Y84">
            <v>0.24</v>
          </cell>
          <cell r="Z84" t="str">
            <v>Software</v>
          </cell>
          <cell r="AA84" t="str">
            <v>Each</v>
          </cell>
          <cell r="AB84">
            <v>0</v>
          </cell>
          <cell r="AC84">
            <v>0</v>
          </cell>
          <cell r="AD84">
            <v>0</v>
          </cell>
          <cell r="AE84">
            <v>0.3</v>
          </cell>
          <cell r="AF84">
            <v>6115.2</v>
          </cell>
          <cell r="AG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A86" t="str">
            <v>Services</v>
          </cell>
          <cell r="B86">
            <v>0</v>
          </cell>
          <cell r="C86">
            <v>0</v>
          </cell>
          <cell r="D86">
            <v>0</v>
          </cell>
          <cell r="E86">
            <v>0</v>
          </cell>
          <cell r="F86">
            <v>0</v>
          </cell>
          <cell r="G86">
            <v>0</v>
          </cell>
          <cell r="H86">
            <v>0</v>
          </cell>
          <cell r="I86">
            <v>0</v>
          </cell>
          <cell r="J86">
            <v>0</v>
          </cell>
          <cell r="K86">
            <v>0</v>
          </cell>
          <cell r="L86">
            <v>0</v>
          </cell>
          <cell r="M86">
            <v>0</v>
          </cell>
          <cell r="N86">
            <v>0</v>
          </cell>
          <cell r="O86" t="str">
            <v xml:space="preserve"> </v>
          </cell>
          <cell r="P86" t="str">
            <v xml:space="preserve"> </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A87" t="str">
            <v>SCVS-CFGINSTTRLS</v>
          </cell>
          <cell r="B87" t="str">
            <v>Svcs - Config /Phone Train - LS Series LiveScan</v>
          </cell>
          <cell r="C87" t="str">
            <v>LS Livescan Series Basic Configuration, Installation &amp; Training (1 day on-site at any Contiguous US location)</v>
          </cell>
          <cell r="D87">
            <v>0</v>
          </cell>
          <cell r="E87">
            <v>0</v>
          </cell>
          <cell r="F87">
            <v>2095</v>
          </cell>
          <cell r="G87">
            <v>2095</v>
          </cell>
          <cell r="H87">
            <v>0</v>
          </cell>
          <cell r="I87">
            <v>0</v>
          </cell>
          <cell r="J87">
            <v>0</v>
          </cell>
          <cell r="K87">
            <v>0</v>
          </cell>
          <cell r="L87">
            <v>0</v>
          </cell>
          <cell r="M87">
            <v>0</v>
          </cell>
          <cell r="N87">
            <v>1780</v>
          </cell>
          <cell r="O87">
            <v>1592</v>
          </cell>
          <cell r="P87">
            <v>1592</v>
          </cell>
          <cell r="Q87">
            <v>0</v>
          </cell>
          <cell r="R87">
            <v>0</v>
          </cell>
          <cell r="S87">
            <v>0</v>
          </cell>
          <cell r="T87">
            <v>0</v>
          </cell>
          <cell r="U87">
            <v>0</v>
          </cell>
          <cell r="V87">
            <v>0</v>
          </cell>
          <cell r="W87">
            <v>0.15</v>
          </cell>
          <cell r="X87">
            <v>0</v>
          </cell>
          <cell r="Y87">
            <v>0.24</v>
          </cell>
          <cell r="Z87" t="str">
            <v>Services</v>
          </cell>
          <cell r="AA87" t="str">
            <v>Trip</v>
          </cell>
          <cell r="AB87">
            <v>0</v>
          </cell>
          <cell r="AC87">
            <v>3</v>
          </cell>
          <cell r="AD87">
            <v>4776</v>
          </cell>
          <cell r="AE87">
            <v>0.1</v>
          </cell>
          <cell r="AF87">
            <v>1432.8</v>
          </cell>
          <cell r="AG87">
            <v>4298.4000000000005</v>
          </cell>
        </row>
        <row r="88">
          <cell r="A88" t="str">
            <v>SCVS-CFGPHTRLS</v>
          </cell>
          <cell r="B88" t="str">
            <v>Svcs - Config / Install / Train - LS Series LiveScan</v>
          </cell>
          <cell r="C88" t="str">
            <v xml:space="preserve">LS Livescan Series Basic Configuration, PhoneTraining </v>
          </cell>
          <cell r="D88">
            <v>0</v>
          </cell>
          <cell r="E88">
            <v>0</v>
          </cell>
          <cell r="F88">
            <v>1230</v>
          </cell>
          <cell r="G88">
            <v>1230</v>
          </cell>
          <cell r="H88">
            <v>0</v>
          </cell>
          <cell r="I88">
            <v>1230</v>
          </cell>
          <cell r="J88">
            <v>0</v>
          </cell>
          <cell r="K88">
            <v>0</v>
          </cell>
          <cell r="L88">
            <v>0</v>
          </cell>
          <cell r="M88">
            <v>0</v>
          </cell>
          <cell r="N88">
            <v>1045</v>
          </cell>
          <cell r="O88">
            <v>934</v>
          </cell>
          <cell r="P88">
            <v>934</v>
          </cell>
          <cell r="Q88">
            <v>0</v>
          </cell>
          <cell r="R88">
            <v>0</v>
          </cell>
          <cell r="S88">
            <v>0</v>
          </cell>
          <cell r="T88">
            <v>0</v>
          </cell>
          <cell r="U88">
            <v>0</v>
          </cell>
          <cell r="V88">
            <v>0</v>
          </cell>
          <cell r="W88">
            <v>0.15</v>
          </cell>
          <cell r="X88">
            <v>0</v>
          </cell>
          <cell r="Y88">
            <v>0.24</v>
          </cell>
          <cell r="Z88" t="str">
            <v>Services</v>
          </cell>
          <cell r="AA88" t="str">
            <v>Trip</v>
          </cell>
          <cell r="AB88">
            <v>0</v>
          </cell>
          <cell r="AC88">
            <v>3</v>
          </cell>
          <cell r="AD88">
            <v>2802</v>
          </cell>
          <cell r="AE88">
            <v>0.1</v>
          </cell>
          <cell r="AF88">
            <v>840.6</v>
          </cell>
          <cell r="AG88">
            <v>2521.8000000000002</v>
          </cell>
        </row>
        <row r="89">
          <cell r="A89" t="str">
            <v>SCVS-CFGINSTTRLS-CA</v>
          </cell>
          <cell r="B89" t="str">
            <v>Svcs - Config / Install / Train - LS Series LiveScan - California</v>
          </cell>
          <cell r="C89" t="str">
            <v>LS Livescan Series Basic Configuration, Installation &amp; Training (1 day on-site at any California location)</v>
          </cell>
          <cell r="D89">
            <v>0</v>
          </cell>
          <cell r="E89">
            <v>0</v>
          </cell>
          <cell r="F89" t="str">
            <v>N/A</v>
          </cell>
          <cell r="G89" t="str">
            <v>N/A</v>
          </cell>
          <cell r="H89">
            <v>990</v>
          </cell>
          <cell r="I89" t="str">
            <v>N/A</v>
          </cell>
          <cell r="J89" t="str">
            <v>N/A</v>
          </cell>
          <cell r="K89">
            <v>990</v>
          </cell>
          <cell r="L89" t="str">
            <v>N/A</v>
          </cell>
          <cell r="M89" t="str">
            <v>N/A</v>
          </cell>
          <cell r="N89" t="str">
            <v>N/A</v>
          </cell>
          <cell r="O89" t="str">
            <v>N/A</v>
          </cell>
          <cell r="P89" t="str">
            <v>N/A</v>
          </cell>
          <cell r="Q89">
            <v>0</v>
          </cell>
          <cell r="R89">
            <v>0</v>
          </cell>
          <cell r="S89">
            <v>0</v>
          </cell>
          <cell r="T89">
            <v>0</v>
          </cell>
          <cell r="U89">
            <v>0</v>
          </cell>
          <cell r="V89">
            <v>0</v>
          </cell>
          <cell r="W89">
            <v>0.15</v>
          </cell>
          <cell r="X89">
            <v>0</v>
          </cell>
          <cell r="Y89">
            <v>0.24</v>
          </cell>
          <cell r="Z89" t="str">
            <v>Services</v>
          </cell>
          <cell r="AA89" t="str">
            <v>Trip</v>
          </cell>
          <cell r="AB89">
            <v>0</v>
          </cell>
          <cell r="AC89">
            <v>3</v>
          </cell>
          <cell r="AD89" t="e">
            <v>#VALUE!</v>
          </cell>
          <cell r="AE89">
            <v>0.1</v>
          </cell>
          <cell r="AF89" t="e">
            <v>#VALUE!</v>
          </cell>
          <cell r="AG89" t="e">
            <v>#VALUE!</v>
          </cell>
        </row>
        <row r="90">
          <cell r="A90" t="str">
            <v>SCVS-CFGINSTTRLS-US</v>
          </cell>
          <cell r="B90" t="str">
            <v>Svcs - Config / Install / Train - LS Series LiveScan - US</v>
          </cell>
          <cell r="C90" t="str">
            <v>Optional LS Livescan Series Basic Configuration, Installation &amp; Training (1 day on-site at any US location), needs to be purchased with basic configuration</v>
          </cell>
          <cell r="D90">
            <v>0</v>
          </cell>
          <cell r="E90">
            <v>0</v>
          </cell>
          <cell r="F90">
            <v>950</v>
          </cell>
          <cell r="G90">
            <v>950</v>
          </cell>
          <cell r="H90">
            <v>0</v>
          </cell>
          <cell r="I90">
            <v>1980</v>
          </cell>
          <cell r="J90">
            <v>0</v>
          </cell>
          <cell r="K90">
            <v>0</v>
          </cell>
          <cell r="L90">
            <v>0</v>
          </cell>
          <cell r="M90">
            <v>0</v>
          </cell>
          <cell r="N90">
            <v>807</v>
          </cell>
          <cell r="O90">
            <v>722</v>
          </cell>
          <cell r="P90">
            <v>722</v>
          </cell>
          <cell r="Q90">
            <v>0</v>
          </cell>
          <cell r="R90">
            <v>0</v>
          </cell>
          <cell r="S90">
            <v>0</v>
          </cell>
          <cell r="T90">
            <v>0</v>
          </cell>
          <cell r="U90">
            <v>0</v>
          </cell>
          <cell r="V90">
            <v>0</v>
          </cell>
          <cell r="W90">
            <v>0.15</v>
          </cell>
          <cell r="X90">
            <v>0</v>
          </cell>
          <cell r="Y90">
            <v>0.24</v>
          </cell>
          <cell r="Z90" t="str">
            <v>Services</v>
          </cell>
          <cell r="AA90" t="str">
            <v>Trip</v>
          </cell>
          <cell r="AB90">
            <v>0</v>
          </cell>
          <cell r="AC90">
            <v>3</v>
          </cell>
          <cell r="AD90">
            <v>2166</v>
          </cell>
          <cell r="AE90">
            <v>0.1</v>
          </cell>
          <cell r="AF90">
            <v>649.80000000000007</v>
          </cell>
          <cell r="AG90">
            <v>1949.4</v>
          </cell>
        </row>
        <row r="91">
          <cell r="A91" t="str">
            <v>SCVS-CFGINSTTRLSADD</v>
          </cell>
          <cell r="B91" t="str">
            <v>Svcs - Config / Install / Train - LS Series LiveScan Add-on</v>
          </cell>
          <cell r="C91" t="str">
            <v>LS Livescan Series Basic Configuration, Installation &amp; Training (Additional day add-on to SCVS-CFGINSTRLS)</v>
          </cell>
          <cell r="D91">
            <v>0</v>
          </cell>
          <cell r="E91">
            <v>0</v>
          </cell>
          <cell r="F91">
            <v>1190</v>
          </cell>
          <cell r="G91">
            <v>1190</v>
          </cell>
          <cell r="H91">
            <v>0</v>
          </cell>
          <cell r="I91">
            <v>0</v>
          </cell>
          <cell r="J91">
            <v>0</v>
          </cell>
          <cell r="K91">
            <v>0</v>
          </cell>
          <cell r="L91">
            <v>0</v>
          </cell>
          <cell r="M91">
            <v>0</v>
          </cell>
          <cell r="N91">
            <v>1011</v>
          </cell>
          <cell r="O91">
            <v>904</v>
          </cell>
          <cell r="P91">
            <v>904</v>
          </cell>
          <cell r="Q91">
            <v>0</v>
          </cell>
          <cell r="R91">
            <v>0</v>
          </cell>
          <cell r="S91">
            <v>0</v>
          </cell>
          <cell r="T91">
            <v>0</v>
          </cell>
          <cell r="U91">
            <v>0</v>
          </cell>
          <cell r="V91">
            <v>0</v>
          </cell>
          <cell r="W91">
            <v>0.15</v>
          </cell>
          <cell r="X91">
            <v>0</v>
          </cell>
          <cell r="Y91">
            <v>0.24</v>
          </cell>
          <cell r="Z91" t="str">
            <v>Services</v>
          </cell>
          <cell r="AA91" t="str">
            <v>Session</v>
          </cell>
          <cell r="AB91">
            <v>0</v>
          </cell>
          <cell r="AC91">
            <v>10</v>
          </cell>
          <cell r="AD91">
            <v>9040</v>
          </cell>
          <cell r="AE91">
            <v>0.1</v>
          </cell>
          <cell r="AF91">
            <v>813.6</v>
          </cell>
          <cell r="AG91">
            <v>8136</v>
          </cell>
        </row>
        <row r="92">
          <cell r="A92" t="str">
            <v>SCVS-CFGINSTTRCMS</v>
          </cell>
          <cell r="B92" t="str">
            <v>Svcs - Config / Install / Train - CMS</v>
          </cell>
          <cell r="C92" t="str">
            <v>CMS Server Basic Configuration, Installation &amp; Training (3 days on-site at any Contiguous US location)</v>
          </cell>
          <cell r="D92">
            <v>0</v>
          </cell>
          <cell r="E92">
            <v>0</v>
          </cell>
          <cell r="F92">
            <v>4395</v>
          </cell>
          <cell r="G92">
            <v>4395</v>
          </cell>
          <cell r="H92">
            <v>0</v>
          </cell>
          <cell r="I92">
            <v>0</v>
          </cell>
          <cell r="J92">
            <v>0</v>
          </cell>
          <cell r="K92">
            <v>0</v>
          </cell>
          <cell r="L92">
            <v>0</v>
          </cell>
          <cell r="M92">
            <v>0</v>
          </cell>
          <cell r="N92">
            <v>3735</v>
          </cell>
          <cell r="O92">
            <v>3340</v>
          </cell>
          <cell r="P92">
            <v>3340</v>
          </cell>
          <cell r="Q92">
            <v>0</v>
          </cell>
          <cell r="R92">
            <v>0</v>
          </cell>
          <cell r="S92">
            <v>0</v>
          </cell>
          <cell r="T92">
            <v>0</v>
          </cell>
          <cell r="U92">
            <v>0</v>
          </cell>
          <cell r="V92">
            <v>0</v>
          </cell>
          <cell r="W92">
            <v>0.15</v>
          </cell>
          <cell r="X92">
            <v>0</v>
          </cell>
          <cell r="Y92">
            <v>0.24</v>
          </cell>
          <cell r="Z92" t="str">
            <v>Services</v>
          </cell>
          <cell r="AA92" t="str">
            <v>Each</v>
          </cell>
          <cell r="AB92">
            <v>0</v>
          </cell>
          <cell r="AC92">
            <v>1</v>
          </cell>
          <cell r="AD92">
            <v>3340</v>
          </cell>
          <cell r="AE92">
            <v>0.1</v>
          </cell>
          <cell r="AF92">
            <v>3006</v>
          </cell>
          <cell r="AG92">
            <v>3006</v>
          </cell>
        </row>
        <row r="93">
          <cell r="A93" t="str">
            <v>SVCS-CFG</v>
          </cell>
          <cell r="B93" t="str">
            <v xml:space="preserve">Svcs - Config </v>
          </cell>
          <cell r="C93" t="str">
            <v>LS-Series LiveScan System configuration</v>
          </cell>
          <cell r="D93">
            <v>0</v>
          </cell>
          <cell r="E93">
            <v>0</v>
          </cell>
          <cell r="F93">
            <v>395</v>
          </cell>
          <cell r="G93">
            <v>395</v>
          </cell>
          <cell r="H93">
            <v>0</v>
          </cell>
          <cell r="I93">
            <v>0</v>
          </cell>
          <cell r="J93">
            <v>0</v>
          </cell>
          <cell r="K93">
            <v>0</v>
          </cell>
          <cell r="L93">
            <v>0</v>
          </cell>
          <cell r="M93">
            <v>0</v>
          </cell>
          <cell r="N93">
            <v>335</v>
          </cell>
          <cell r="O93">
            <v>300</v>
          </cell>
          <cell r="P93">
            <v>300</v>
          </cell>
          <cell r="Q93">
            <v>0</v>
          </cell>
          <cell r="R93">
            <v>0</v>
          </cell>
          <cell r="S93">
            <v>0</v>
          </cell>
          <cell r="T93">
            <v>0</v>
          </cell>
          <cell r="U93">
            <v>0</v>
          </cell>
          <cell r="V93">
            <v>0</v>
          </cell>
          <cell r="W93">
            <v>0.15</v>
          </cell>
          <cell r="X93">
            <v>0</v>
          </cell>
          <cell r="Y93">
            <v>0.24</v>
          </cell>
          <cell r="Z93" t="str">
            <v>Services</v>
          </cell>
          <cell r="AA93" t="str">
            <v>Each</v>
          </cell>
          <cell r="AB93">
            <v>0</v>
          </cell>
          <cell r="AC93">
            <v>0</v>
          </cell>
          <cell r="AD93">
            <v>0</v>
          </cell>
          <cell r="AE93">
            <v>0.1</v>
          </cell>
          <cell r="AF93">
            <v>270</v>
          </cell>
          <cell r="AG93">
            <v>0</v>
          </cell>
        </row>
        <row r="94">
          <cell r="A94" t="str">
            <v>SVCS-INST</v>
          </cell>
          <cell r="B94" t="str">
            <v>Svcs - Install</v>
          </cell>
          <cell r="C94" t="str">
            <v>LS-Series LiveScan System Installation  (1 day on-site at any Contiguous US location)</v>
          </cell>
          <cell r="D94">
            <v>0</v>
          </cell>
          <cell r="E94">
            <v>0</v>
          </cell>
          <cell r="F94">
            <v>2095</v>
          </cell>
          <cell r="G94">
            <v>2095</v>
          </cell>
          <cell r="H94">
            <v>0</v>
          </cell>
          <cell r="I94">
            <v>0</v>
          </cell>
          <cell r="J94">
            <v>0</v>
          </cell>
          <cell r="K94">
            <v>0</v>
          </cell>
          <cell r="L94">
            <v>0</v>
          </cell>
          <cell r="M94">
            <v>0</v>
          </cell>
          <cell r="N94">
            <v>1780</v>
          </cell>
          <cell r="O94">
            <v>1592</v>
          </cell>
          <cell r="P94">
            <v>1592</v>
          </cell>
          <cell r="Q94">
            <v>0</v>
          </cell>
          <cell r="R94">
            <v>0</v>
          </cell>
          <cell r="S94">
            <v>0</v>
          </cell>
          <cell r="T94">
            <v>0</v>
          </cell>
          <cell r="U94">
            <v>0</v>
          </cell>
          <cell r="V94">
            <v>0</v>
          </cell>
          <cell r="W94">
            <v>0.15</v>
          </cell>
          <cell r="X94">
            <v>0</v>
          </cell>
          <cell r="Y94">
            <v>0.24</v>
          </cell>
          <cell r="Z94" t="str">
            <v>Services</v>
          </cell>
          <cell r="AA94" t="str">
            <v>Trip</v>
          </cell>
          <cell r="AB94">
            <v>0</v>
          </cell>
          <cell r="AC94">
            <v>0</v>
          </cell>
          <cell r="AD94">
            <v>0</v>
          </cell>
          <cell r="AE94">
            <v>0.1</v>
          </cell>
          <cell r="AF94">
            <v>1432.8</v>
          </cell>
          <cell r="AG94">
            <v>0</v>
          </cell>
        </row>
        <row r="95">
          <cell r="A95" t="str">
            <v>SVCS-PROF</v>
          </cell>
          <cell r="B95" t="str">
            <v>Svcs - Professional Services</v>
          </cell>
          <cell r="C95" t="str">
            <v>Professional Services</v>
          </cell>
          <cell r="D95">
            <v>0</v>
          </cell>
          <cell r="E95">
            <v>0</v>
          </cell>
          <cell r="F95">
            <v>120</v>
          </cell>
          <cell r="G95">
            <v>120</v>
          </cell>
          <cell r="H95">
            <v>0</v>
          </cell>
          <cell r="I95">
            <v>0</v>
          </cell>
          <cell r="J95">
            <v>0</v>
          </cell>
          <cell r="K95">
            <v>0</v>
          </cell>
          <cell r="L95">
            <v>0</v>
          </cell>
          <cell r="M95">
            <v>0</v>
          </cell>
          <cell r="N95">
            <v>102</v>
          </cell>
          <cell r="O95">
            <v>91</v>
          </cell>
          <cell r="P95">
            <v>91</v>
          </cell>
          <cell r="Q95">
            <v>0</v>
          </cell>
          <cell r="R95">
            <v>0</v>
          </cell>
          <cell r="S95">
            <v>0</v>
          </cell>
          <cell r="T95">
            <v>0</v>
          </cell>
          <cell r="U95">
            <v>0</v>
          </cell>
          <cell r="V95">
            <v>0</v>
          </cell>
          <cell r="W95">
            <v>0.15</v>
          </cell>
          <cell r="X95">
            <v>0</v>
          </cell>
          <cell r="Y95">
            <v>0.24</v>
          </cell>
          <cell r="Z95" t="str">
            <v>Services</v>
          </cell>
          <cell r="AA95" t="str">
            <v>Hour</v>
          </cell>
          <cell r="AB95">
            <v>0</v>
          </cell>
          <cell r="AC95">
            <v>0</v>
          </cell>
          <cell r="AD95">
            <v>0</v>
          </cell>
          <cell r="AE95">
            <v>0.1</v>
          </cell>
          <cell r="AF95">
            <v>81.900000000000006</v>
          </cell>
          <cell r="AG95">
            <v>0</v>
          </cell>
        </row>
        <row r="96">
          <cell r="A96" t="str">
            <v>SVCS-WAR</v>
          </cell>
          <cell r="B96" t="str">
            <v>Svcs - Warranty</v>
          </cell>
          <cell r="C96" t="str">
            <v>12 months warranty 9am to 5pm M-F (PST) Support and Hardware Cross Ship Warranty Free software updates (All Versions)</v>
          </cell>
          <cell r="D96">
            <v>0</v>
          </cell>
          <cell r="E96">
            <v>0</v>
          </cell>
          <cell r="F96">
            <v>0</v>
          </cell>
          <cell r="G96">
            <v>0</v>
          </cell>
          <cell r="H96">
            <v>0</v>
          </cell>
          <cell r="I96">
            <v>0</v>
          </cell>
          <cell r="J96">
            <v>0</v>
          </cell>
          <cell r="K96">
            <v>0</v>
          </cell>
          <cell r="L96" t="str">
            <v>N/A</v>
          </cell>
          <cell r="M96">
            <v>0</v>
          </cell>
          <cell r="N96">
            <v>0</v>
          </cell>
          <cell r="O96">
            <v>0</v>
          </cell>
          <cell r="P96">
            <v>0</v>
          </cell>
        </row>
        <row r="97">
          <cell r="A97" t="str">
            <v>SVCS-LAC-CFGINSTLS</v>
          </cell>
          <cell r="B97" t="str">
            <v>962-46-00-039542</v>
          </cell>
          <cell r="C97" t="str">
            <v>Installation Labor Charge</v>
          </cell>
          <cell r="D97">
            <v>0</v>
          </cell>
          <cell r="E97">
            <v>0</v>
          </cell>
          <cell r="F97">
            <v>0</v>
          </cell>
          <cell r="G97">
            <v>0</v>
          </cell>
          <cell r="H97">
            <v>0</v>
          </cell>
          <cell r="I97">
            <v>0</v>
          </cell>
          <cell r="J97">
            <v>0</v>
          </cell>
          <cell r="K97">
            <v>0</v>
          </cell>
          <cell r="L97">
            <v>282</v>
          </cell>
          <cell r="M97">
            <v>0</v>
          </cell>
          <cell r="N97">
            <v>0</v>
          </cell>
          <cell r="O97">
            <v>0</v>
          </cell>
          <cell r="P97">
            <v>0</v>
          </cell>
        </row>
        <row r="98">
          <cell r="A98" t="str">
            <v>SVCS-LAC-TRLS</v>
          </cell>
          <cell r="B98" t="str">
            <v>962-35-00-035649</v>
          </cell>
          <cell r="C98" t="str">
            <v>Training at County Facility</v>
          </cell>
          <cell r="D98">
            <v>0</v>
          </cell>
          <cell r="E98">
            <v>0</v>
          </cell>
          <cell r="F98">
            <v>0</v>
          </cell>
          <cell r="G98">
            <v>0</v>
          </cell>
          <cell r="H98">
            <v>0</v>
          </cell>
          <cell r="I98">
            <v>0</v>
          </cell>
          <cell r="J98">
            <v>0</v>
          </cell>
          <cell r="K98">
            <v>0</v>
          </cell>
          <cell r="L98">
            <v>564</v>
          </cell>
          <cell r="M98">
            <v>0</v>
          </cell>
          <cell r="N98">
            <v>0</v>
          </cell>
          <cell r="O98">
            <v>0</v>
          </cell>
          <cell r="P98">
            <v>0</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t="str">
            <v xml:space="preserve"> </v>
          </cell>
          <cell r="B103" t="str">
            <v xml:space="preserve"> </v>
          </cell>
          <cell r="C103" t="str">
            <v xml:space="preserve"> </v>
          </cell>
          <cell r="D103" t="str">
            <v xml:space="preserve"> </v>
          </cell>
          <cell r="E103" t="str">
            <v xml:space="preserve"> </v>
          </cell>
          <cell r="F103" t="str">
            <v xml:space="preserve"> </v>
          </cell>
          <cell r="G103" t="str">
            <v xml:space="preserve"> </v>
          </cell>
          <cell r="H103">
            <v>0</v>
          </cell>
          <cell r="I103">
            <v>0</v>
          </cell>
          <cell r="J103">
            <v>0</v>
          </cell>
          <cell r="K103">
            <v>0</v>
          </cell>
          <cell r="L103" t="str">
            <v>N/A</v>
          </cell>
          <cell r="M103">
            <v>0</v>
          </cell>
          <cell r="N103" t="str">
            <v xml:space="preserve"> </v>
          </cell>
          <cell r="O103" t="str">
            <v xml:space="preserve"> </v>
          </cell>
          <cell r="P103" t="str">
            <v xml:space="preserve"> </v>
          </cell>
        </row>
        <row r="104">
          <cell r="A104" t="str">
            <v>Channeler Services</v>
          </cell>
          <cell r="B104">
            <v>0</v>
          </cell>
          <cell r="C104">
            <v>0</v>
          </cell>
          <cell r="D104">
            <v>0</v>
          </cell>
          <cell r="E104">
            <v>0</v>
          </cell>
          <cell r="F104">
            <v>0</v>
          </cell>
          <cell r="G104">
            <v>0</v>
          </cell>
          <cell r="H104">
            <v>0</v>
          </cell>
          <cell r="I104">
            <v>0</v>
          </cell>
          <cell r="J104">
            <v>0</v>
          </cell>
          <cell r="K104">
            <v>0</v>
          </cell>
          <cell r="L104">
            <v>0</v>
          </cell>
          <cell r="M104">
            <v>0</v>
          </cell>
          <cell r="N104">
            <v>0</v>
          </cell>
          <cell r="O104" t="str">
            <v xml:space="preserve"> </v>
          </cell>
          <cell r="P104" t="str">
            <v xml:space="preserve"> </v>
          </cell>
        </row>
        <row r="105">
          <cell r="A105" t="str">
            <v>CHSV-PS (LAC)</v>
          </cell>
          <cell r="B105" t="str">
            <v>961-30-00-048521</v>
          </cell>
          <cell r="C105" t="str">
            <v>CAL DOJ Communication Peer Services
$0.71 per transaction with a monthly cap of $150</v>
          </cell>
          <cell r="D105">
            <v>0</v>
          </cell>
          <cell r="E105">
            <v>0</v>
          </cell>
          <cell r="F105">
            <v>0</v>
          </cell>
          <cell r="G105">
            <v>0</v>
          </cell>
          <cell r="H105">
            <v>0</v>
          </cell>
          <cell r="I105">
            <v>0</v>
          </cell>
          <cell r="J105">
            <v>0</v>
          </cell>
          <cell r="K105">
            <v>0</v>
          </cell>
          <cell r="L105">
            <v>0.71</v>
          </cell>
          <cell r="M105">
            <v>0</v>
          </cell>
          <cell r="N105">
            <v>0</v>
          </cell>
          <cell r="O105">
            <v>0</v>
          </cell>
          <cell r="P105">
            <v>0</v>
          </cell>
        </row>
        <row r="106">
          <cell r="A106" t="str">
            <v>CHSV-PS-CA</v>
          </cell>
          <cell r="B106" t="str">
            <v>Peer Services</v>
          </cell>
          <cell r="C106" t="str">
            <v>CAL DOJ Communication Peer Services
$0.75 per transaction with a monthly cap of $150</v>
          </cell>
          <cell r="D106">
            <v>0</v>
          </cell>
          <cell r="E106">
            <v>0</v>
          </cell>
          <cell r="F106">
            <v>0</v>
          </cell>
          <cell r="G106">
            <v>0</v>
          </cell>
          <cell r="H106">
            <v>0.75</v>
          </cell>
          <cell r="I106">
            <v>0.75</v>
          </cell>
          <cell r="J106">
            <v>0</v>
          </cell>
          <cell r="K106">
            <v>0.75</v>
          </cell>
          <cell r="L106">
            <v>0</v>
          </cell>
          <cell r="M106">
            <v>0</v>
          </cell>
          <cell r="N106">
            <v>0</v>
          </cell>
          <cell r="O106">
            <v>0</v>
          </cell>
          <cell r="P106">
            <v>0</v>
          </cell>
        </row>
        <row r="108">
          <cell r="A108" t="str">
            <v>Shipping Services</v>
          </cell>
          <cell r="B108">
            <v>0</v>
          </cell>
          <cell r="C108">
            <v>0</v>
          </cell>
          <cell r="D108">
            <v>0</v>
          </cell>
          <cell r="E108">
            <v>0</v>
          </cell>
          <cell r="F108">
            <v>0</v>
          </cell>
          <cell r="G108">
            <v>0</v>
          </cell>
          <cell r="H108">
            <v>0</v>
          </cell>
          <cell r="I108">
            <v>0</v>
          </cell>
          <cell r="J108">
            <v>0</v>
          </cell>
          <cell r="K108">
            <v>0</v>
          </cell>
          <cell r="L108">
            <v>0</v>
          </cell>
          <cell r="M108">
            <v>0</v>
          </cell>
          <cell r="N108">
            <v>0</v>
          </cell>
          <cell r="O108" t="str">
            <v xml:space="preserve"> </v>
          </cell>
          <cell r="P108" t="str">
            <v xml:space="preserve"> </v>
          </cell>
        </row>
        <row r="109">
          <cell r="A109" t="str">
            <v>Shipping-CA</v>
          </cell>
          <cell r="B109" t="str">
            <v>Shipping</v>
          </cell>
          <cell r="C109" t="str">
            <v>Shipping</v>
          </cell>
          <cell r="D109">
            <v>0</v>
          </cell>
          <cell r="E109">
            <v>0</v>
          </cell>
          <cell r="F109">
            <v>0</v>
          </cell>
          <cell r="G109">
            <v>0</v>
          </cell>
          <cell r="H109">
            <v>60</v>
          </cell>
          <cell r="I109">
            <v>0</v>
          </cell>
          <cell r="J109">
            <v>0</v>
          </cell>
          <cell r="K109">
            <v>0</v>
          </cell>
          <cell r="L109" t="str">
            <v>N/A</v>
          </cell>
          <cell r="M109">
            <v>0</v>
          </cell>
          <cell r="N109">
            <v>0</v>
          </cell>
          <cell r="O109">
            <v>0</v>
          </cell>
          <cell r="P109">
            <v>0</v>
          </cell>
        </row>
        <row r="110">
          <cell r="A110" t="str">
            <v>Shipping-Not CA</v>
          </cell>
          <cell r="B110" t="str">
            <v>Shipping</v>
          </cell>
          <cell r="C110" t="str">
            <v>Shipping</v>
          </cell>
          <cell r="D110">
            <v>0</v>
          </cell>
          <cell r="E110">
            <v>0</v>
          </cell>
          <cell r="F110">
            <v>110</v>
          </cell>
          <cell r="G110">
            <v>0</v>
          </cell>
          <cell r="H110" t="str">
            <v xml:space="preserve"> </v>
          </cell>
          <cell r="I110">
            <v>108</v>
          </cell>
          <cell r="J110">
            <v>0</v>
          </cell>
          <cell r="K110">
            <v>0.75</v>
          </cell>
          <cell r="L110" t="str">
            <v>N/A</v>
          </cell>
          <cell r="M110">
            <v>0</v>
          </cell>
          <cell r="N110">
            <v>0</v>
          </cell>
          <cell r="O110">
            <v>0</v>
          </cell>
          <cell r="P110">
            <v>0</v>
          </cell>
        </row>
        <row r="111">
          <cell r="A111" t="str">
            <v>Shipping-Not CA</v>
          </cell>
          <cell r="B111" t="str">
            <v>Shipping</v>
          </cell>
          <cell r="C111" t="str">
            <v>Shipping</v>
          </cell>
          <cell r="D111">
            <v>0</v>
          </cell>
          <cell r="E111">
            <v>0</v>
          </cell>
          <cell r="F111">
            <v>0</v>
          </cell>
          <cell r="G111">
            <v>0</v>
          </cell>
          <cell r="H111" t="str">
            <v xml:space="preserve"> </v>
          </cell>
          <cell r="I111">
            <v>0</v>
          </cell>
          <cell r="J111">
            <v>0</v>
          </cell>
          <cell r="K111">
            <v>0.75</v>
          </cell>
          <cell r="L111" t="str">
            <v>N/A</v>
          </cell>
          <cell r="M111">
            <v>0</v>
          </cell>
          <cell r="N111">
            <v>0</v>
          </cell>
          <cell r="O111">
            <v>0</v>
          </cell>
          <cell r="P111">
            <v>0</v>
          </cell>
        </row>
        <row r="112">
          <cell r="A112">
            <v>0</v>
          </cell>
          <cell r="B112">
            <v>0</v>
          </cell>
          <cell r="C112">
            <v>0</v>
          </cell>
          <cell r="D112">
            <v>0</v>
          </cell>
          <cell r="E112">
            <v>0</v>
          </cell>
          <cell r="F112">
            <v>0</v>
          </cell>
          <cell r="G112">
            <v>0</v>
          </cell>
          <cell r="N112">
            <v>0</v>
          </cell>
          <cell r="O112">
            <v>0</v>
          </cell>
          <cell r="P112">
            <v>0</v>
          </cell>
        </row>
        <row r="113">
          <cell r="A113">
            <v>0</v>
          </cell>
          <cell r="B113">
            <v>0</v>
          </cell>
          <cell r="C113">
            <v>0</v>
          </cell>
          <cell r="D113">
            <v>0</v>
          </cell>
          <cell r="E113">
            <v>0</v>
          </cell>
          <cell r="F113">
            <v>0</v>
          </cell>
          <cell r="G113">
            <v>0</v>
          </cell>
          <cell r="N113">
            <v>0</v>
          </cell>
          <cell r="O113">
            <v>0</v>
          </cell>
          <cell r="P113">
            <v>0</v>
          </cell>
        </row>
      </sheetData>
      <sheetData sheetId="9">
        <row r="1">
          <cell r="A1" t="str">
            <v>Part Number</v>
          </cell>
          <cell r="B1" t="str">
            <v>Model Name</v>
          </cell>
          <cell r="C1" t="str">
            <v>Description</v>
          </cell>
          <cell r="D1" t="str">
            <v>Private</v>
          </cell>
          <cell r="E1" t="str">
            <v>DSS Private</v>
          </cell>
          <cell r="F1" t="str">
            <v>CA Private</v>
          </cell>
          <cell r="G1" t="str">
            <v>FL Private</v>
          </cell>
          <cell r="H1" t="str">
            <v>State</v>
          </cell>
          <cell r="I1" t="str">
            <v>NYS</v>
          </cell>
          <cell r="J1" t="str">
            <v>Federal</v>
          </cell>
          <cell r="K1" t="str">
            <v>GSA Disc.</v>
          </cell>
          <cell r="L1" t="str">
            <v>Disc. Category</v>
          </cell>
          <cell r="M1" t="str">
            <v>UOM</v>
          </cell>
        </row>
        <row r="2">
          <cell r="A2">
            <v>1</v>
          </cell>
          <cell r="B2">
            <v>2</v>
          </cell>
          <cell r="C2">
            <v>3</v>
          </cell>
          <cell r="D2">
            <v>4</v>
          </cell>
          <cell r="E2">
            <v>5</v>
          </cell>
          <cell r="F2">
            <v>5</v>
          </cell>
          <cell r="G2">
            <v>6</v>
          </cell>
          <cell r="H2">
            <v>7</v>
          </cell>
          <cell r="I2">
            <v>9</v>
          </cell>
          <cell r="J2">
            <v>10</v>
          </cell>
          <cell r="K2">
            <v>11</v>
          </cell>
          <cell r="L2">
            <v>12</v>
          </cell>
          <cell r="M2">
            <v>13</v>
          </cell>
        </row>
        <row r="3">
          <cell r="A3" t="str">
            <v>LS - LiveScan Systems</v>
          </cell>
          <cell r="B3">
            <v>0</v>
          </cell>
          <cell r="C3">
            <v>0</v>
          </cell>
          <cell r="D3">
            <v>0</v>
          </cell>
          <cell r="E3">
            <v>0</v>
          </cell>
          <cell r="F3">
            <v>0</v>
          </cell>
          <cell r="G3">
            <v>0</v>
          </cell>
          <cell r="H3">
            <v>0</v>
          </cell>
          <cell r="I3">
            <v>0</v>
          </cell>
          <cell r="J3">
            <v>0</v>
          </cell>
          <cell r="K3">
            <v>0</v>
          </cell>
          <cell r="L3">
            <v>0</v>
          </cell>
          <cell r="M3">
            <v>0</v>
          </cell>
        </row>
        <row r="4">
          <cell r="A4" t="str">
            <v>SVCS-SR-LS-Tenprint</v>
          </cell>
          <cell r="B4" t="str">
            <v>Svcs - Support - Remote - LS Tenprint</v>
          </cell>
          <cell r="C4"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v>
          </cell>
          <cell r="D4">
            <v>899.4</v>
          </cell>
          <cell r="E4">
            <v>769.8</v>
          </cell>
          <cell r="F4">
            <v>0</v>
          </cell>
          <cell r="G4">
            <v>0</v>
          </cell>
          <cell r="H4">
            <v>827.4</v>
          </cell>
          <cell r="I4">
            <v>1192.8900000000001</v>
          </cell>
          <cell r="J4">
            <v>764.4</v>
          </cell>
          <cell r="K4">
            <v>0.15</v>
          </cell>
          <cell r="L4" t="str">
            <v>System</v>
          </cell>
          <cell r="M4" t="str">
            <v>Year</v>
          </cell>
        </row>
        <row r="5">
          <cell r="A5" t="str">
            <v>SVCS-SR-LS-TPP</v>
          </cell>
          <cell r="B5" t="str">
            <v>Svcs - Support - Remote - LS Tenprint and Palmprint</v>
          </cell>
          <cell r="C5"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v>
          </cell>
          <cell r="D5">
            <v>1979.3999999999999</v>
          </cell>
          <cell r="E5" t="e">
            <v>#VALUE!</v>
          </cell>
          <cell r="F5">
            <v>0</v>
          </cell>
          <cell r="G5">
            <v>0</v>
          </cell>
          <cell r="H5">
            <v>1821</v>
          </cell>
          <cell r="I5">
            <v>1682.3999999999999</v>
          </cell>
          <cell r="J5">
            <v>1682.3999999999999</v>
          </cell>
          <cell r="K5">
            <v>0.15</v>
          </cell>
          <cell r="L5" t="str">
            <v>System</v>
          </cell>
          <cell r="M5" t="str">
            <v>Year</v>
          </cell>
        </row>
        <row r="6">
          <cell r="A6" t="str">
            <v>SVCS-SR-LS-Tenprint-JK</v>
          </cell>
          <cell r="B6" t="str">
            <v>Svcs - Support - Remote - LS - Tenprint Jump Kit</v>
          </cell>
          <cell r="C6"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v>
          </cell>
          <cell r="D6">
            <v>1739.3999999999999</v>
          </cell>
          <cell r="E6">
            <v>1739.3999999999999</v>
          </cell>
          <cell r="F6">
            <v>0</v>
          </cell>
          <cell r="G6">
            <v>0</v>
          </cell>
          <cell r="H6">
            <v>1600.2</v>
          </cell>
          <cell r="I6">
            <v>1478.3999999999999</v>
          </cell>
          <cell r="J6">
            <v>1478.3999999999999</v>
          </cell>
          <cell r="K6">
            <v>0.15</v>
          </cell>
          <cell r="L6" t="str">
            <v>System</v>
          </cell>
          <cell r="M6" t="str">
            <v>Year</v>
          </cell>
        </row>
        <row r="7">
          <cell r="A7" t="str">
            <v>SVCS-SR-LS-TPP-JK</v>
          </cell>
          <cell r="B7" t="str">
            <v>Svcs - Support - Remote - LS - Tenprint and Palmprint Jump Kit</v>
          </cell>
          <cell r="C7"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v>
          </cell>
          <cell r="D7">
            <v>2339.4</v>
          </cell>
          <cell r="E7">
            <v>2339.4</v>
          </cell>
          <cell r="F7">
            <v>0</v>
          </cell>
          <cell r="G7">
            <v>0</v>
          </cell>
          <cell r="H7">
            <v>2152.1999999999998</v>
          </cell>
          <cell r="I7">
            <v>1988.3999999999999</v>
          </cell>
          <cell r="J7">
            <v>1988.3999999999999</v>
          </cell>
          <cell r="K7">
            <v>0.15</v>
          </cell>
          <cell r="L7" t="str">
            <v>System</v>
          </cell>
          <cell r="M7" t="str">
            <v>Year</v>
          </cell>
        </row>
        <row r="8">
          <cell r="A8">
            <v>0</v>
          </cell>
          <cell r="B8">
            <v>0</v>
          </cell>
          <cell r="C8">
            <v>0</v>
          </cell>
          <cell r="D8">
            <v>0</v>
          </cell>
          <cell r="E8">
            <v>0</v>
          </cell>
          <cell r="F8">
            <v>0</v>
          </cell>
          <cell r="G8">
            <v>0</v>
          </cell>
          <cell r="H8">
            <v>0</v>
          </cell>
          <cell r="I8">
            <v>0</v>
          </cell>
          <cell r="J8">
            <v>0</v>
          </cell>
          <cell r="K8">
            <v>0</v>
          </cell>
          <cell r="L8">
            <v>0</v>
          </cell>
          <cell r="M8">
            <v>0</v>
          </cell>
        </row>
        <row r="9">
          <cell r="A9" t="str">
            <v>SVCS-SOS-LS-Guardian</v>
          </cell>
          <cell r="B9" t="str">
            <v>Svcs - Support - On Site - LS Guardian scanner</v>
          </cell>
          <cell r="C9" t="str">
            <v>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v>
          </cell>
          <cell r="D9">
            <v>1648.9</v>
          </cell>
          <cell r="E9">
            <v>1411.3</v>
          </cell>
          <cell r="F9">
            <v>0</v>
          </cell>
          <cell r="G9">
            <v>0</v>
          </cell>
          <cell r="H9">
            <v>1516.9</v>
          </cell>
          <cell r="I9">
            <v>1401.4</v>
          </cell>
          <cell r="J9">
            <v>1401.4</v>
          </cell>
          <cell r="K9">
            <v>0.15</v>
          </cell>
          <cell r="L9" t="str">
            <v>System</v>
          </cell>
          <cell r="M9" t="str">
            <v>Year</v>
          </cell>
        </row>
        <row r="10">
          <cell r="A10" t="str">
            <v>SVCS-SOS-LS-I3</v>
          </cell>
          <cell r="B10" t="str">
            <v>Svcs - Support - On Site - LS I3 scanner</v>
          </cell>
          <cell r="C10" t="str">
            <v>13 months on-site support for LS Series Livescan, includes: help-desk support, software upgrades, and hardware support.
Covers: Tenprint LiveScan software license, single Type of Transaction (TOT), descriptor entry, picklist configuration, fingerprint capre, single submission, basic user management, basic transaction management, computer (desktop or laptop), tenprint scanner, system configuration and setup, and ground shipping._x0000_</v>
          </cell>
          <cell r="D10">
            <v>1318.9</v>
          </cell>
          <cell r="E10">
            <v>1081.3</v>
          </cell>
          <cell r="F10">
            <v>0</v>
          </cell>
          <cell r="G10">
            <v>0</v>
          </cell>
          <cell r="H10">
            <v>1213.3</v>
          </cell>
          <cell r="I10" t="str">
            <v>N/A</v>
          </cell>
          <cell r="J10">
            <v>1120.9000000000001</v>
          </cell>
          <cell r="K10">
            <v>1.1499999999999999</v>
          </cell>
          <cell r="L10" t="str">
            <v>System</v>
          </cell>
          <cell r="M10" t="str">
            <v>Year</v>
          </cell>
        </row>
        <row r="11">
          <cell r="A11" t="str">
            <v>SVCS-SOS-LS-500P</v>
          </cell>
          <cell r="B11" t="str">
            <v>Svcs - Support - On Site - LS 500P scanner</v>
          </cell>
          <cell r="C11"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v>
          </cell>
          <cell r="D11">
            <v>3628.9</v>
          </cell>
          <cell r="E11" t="e">
            <v>#VALUE!</v>
          </cell>
          <cell r="F11">
            <v>0</v>
          </cell>
          <cell r="G11">
            <v>0</v>
          </cell>
          <cell r="H11">
            <v>3338.5</v>
          </cell>
          <cell r="I11" t="str">
            <v>N/A</v>
          </cell>
          <cell r="J11">
            <v>3084.4</v>
          </cell>
          <cell r="K11">
            <v>0.15</v>
          </cell>
          <cell r="L11" t="str">
            <v>System</v>
          </cell>
          <cell r="M11" t="str">
            <v>Year</v>
          </cell>
        </row>
        <row r="12">
          <cell r="A12" t="str">
            <v>SVCS-SOS-LS-1000PX</v>
          </cell>
          <cell r="B12" t="str">
            <v>Svcs - Support - On Site - LS 1000PX scanner</v>
          </cell>
          <cell r="C12" t="str">
            <v>13 months on-site support for LS Series Livescan, includes: help-desk support, software upgrades, and hardware support.
Covers: Tenprint and palmprint LiveScan Software - single Type of Transaction (TOT), single submission, computer (desktop or laptop), Css Match 500P scanner, connectivity software, configuration support._x0001__x0000_</v>
          </cell>
          <cell r="D12">
            <v>4111.8</v>
          </cell>
          <cell r="E12">
            <v>4111.8</v>
          </cell>
          <cell r="F12">
            <v>0</v>
          </cell>
          <cell r="G12">
            <v>0</v>
          </cell>
          <cell r="H12">
            <v>3782.68</v>
          </cell>
          <cell r="I12" t="str">
            <v>N/A</v>
          </cell>
          <cell r="J12">
            <v>3494.92</v>
          </cell>
          <cell r="K12">
            <v>1.1499999999999999</v>
          </cell>
          <cell r="L12" t="str">
            <v>System</v>
          </cell>
          <cell r="M12" t="str">
            <v>Year</v>
          </cell>
        </row>
        <row r="13">
          <cell r="A13" t="str">
            <v>SVCS-SOS-LS-Guardian-JK</v>
          </cell>
          <cell r="B13" t="str">
            <v>Svcs - Support - On Site - LS - Guardian in Jump Kit</v>
          </cell>
          <cell r="C13" t="str">
            <v>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v>
          </cell>
          <cell r="D13">
            <v>3188.9</v>
          </cell>
          <cell r="E13">
            <v>3188.9</v>
          </cell>
          <cell r="F13">
            <v>0</v>
          </cell>
          <cell r="G13">
            <v>0</v>
          </cell>
          <cell r="H13">
            <v>2933.7</v>
          </cell>
          <cell r="I13">
            <v>2710.4</v>
          </cell>
          <cell r="J13">
            <v>2710.4</v>
          </cell>
          <cell r="K13">
            <v>0.15</v>
          </cell>
          <cell r="L13" t="str">
            <v>System</v>
          </cell>
          <cell r="M13" t="str">
            <v>Year</v>
          </cell>
        </row>
        <row r="14">
          <cell r="A14" t="str">
            <v>SVCS-SOS-LS-500P-JK</v>
          </cell>
          <cell r="B14" t="str">
            <v>Svcs - Support - On Site - LS - 500P in Jump Kit</v>
          </cell>
          <cell r="C14"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v>
          </cell>
          <cell r="D14">
            <v>4288.8999999999996</v>
          </cell>
          <cell r="E14">
            <v>4288.8999999999996</v>
          </cell>
          <cell r="F14">
            <v>0</v>
          </cell>
          <cell r="G14">
            <v>0</v>
          </cell>
          <cell r="H14">
            <v>3945.7</v>
          </cell>
          <cell r="I14" t="str">
            <v>N/A</v>
          </cell>
          <cell r="J14">
            <v>3645.4</v>
          </cell>
          <cell r="K14">
            <v>0.15</v>
          </cell>
          <cell r="L14" t="str">
            <v>System</v>
          </cell>
          <cell r="M14" t="str">
            <v>Year</v>
          </cell>
        </row>
        <row r="15">
          <cell r="B15">
            <v>0</v>
          </cell>
          <cell r="C15">
            <v>0</v>
          </cell>
          <cell r="I15">
            <v>0</v>
          </cell>
          <cell r="J15">
            <v>0</v>
          </cell>
          <cell r="K15">
            <v>0</v>
          </cell>
          <cell r="L15">
            <v>0</v>
          </cell>
          <cell r="M15">
            <v>0</v>
          </cell>
        </row>
        <row r="16">
          <cell r="A16" t="str">
            <v>CMS - Central Management Server</v>
          </cell>
          <cell r="B16">
            <v>0</v>
          </cell>
          <cell r="C16">
            <v>0</v>
          </cell>
          <cell r="D16">
            <v>0</v>
          </cell>
          <cell r="E16">
            <v>0</v>
          </cell>
          <cell r="F16">
            <v>0</v>
          </cell>
          <cell r="G16">
            <v>0</v>
          </cell>
          <cell r="H16">
            <v>0</v>
          </cell>
          <cell r="I16">
            <v>0</v>
          </cell>
          <cell r="J16">
            <v>0</v>
          </cell>
          <cell r="K16">
            <v>0</v>
          </cell>
          <cell r="L16">
            <v>0</v>
          </cell>
          <cell r="M16">
            <v>0</v>
          </cell>
        </row>
        <row r="17">
          <cell r="A17" t="str">
            <v>SVCS-SR-CMS</v>
          </cell>
          <cell r="B17" t="str">
            <v>Svcs - Support - Remote - CMS - Central Management Server</v>
          </cell>
          <cell r="C17" t="str">
            <v>12 months remote maintenance for CMS Server, including: help-desk support, software upgrades, and hardware cross ship support
Central Management Server Solution -for process up to 1,000 transactions per month, up to 10 LS-Series LiveScan systems, and up to 5,000 transaction archive storage.</v>
          </cell>
          <cell r="D17">
            <v>1559.3999999999999</v>
          </cell>
          <cell r="E17">
            <v>1559.3999999999999</v>
          </cell>
          <cell r="F17">
            <v>0</v>
          </cell>
          <cell r="G17">
            <v>0</v>
          </cell>
          <cell r="H17">
            <v>1434.6479999999999</v>
          </cell>
          <cell r="I17">
            <v>1325.49</v>
          </cell>
          <cell r="J17">
            <v>1325.49</v>
          </cell>
          <cell r="K17">
            <v>0.15</v>
          </cell>
          <cell r="L17" t="str">
            <v>System</v>
          </cell>
          <cell r="M17" t="str">
            <v>Year</v>
          </cell>
        </row>
        <row r="18">
          <cell r="A18">
            <v>0</v>
          </cell>
          <cell r="B18">
            <v>0</v>
          </cell>
          <cell r="C18">
            <v>0</v>
          </cell>
          <cell r="D18">
            <v>0</v>
          </cell>
          <cell r="E18">
            <v>0</v>
          </cell>
          <cell r="F18">
            <v>0</v>
          </cell>
          <cell r="G18">
            <v>0</v>
          </cell>
          <cell r="H18">
            <v>0</v>
          </cell>
          <cell r="I18">
            <v>0</v>
          </cell>
          <cell r="J18">
            <v>0</v>
          </cell>
          <cell r="K18">
            <v>0</v>
          </cell>
          <cell r="L18">
            <v>0</v>
          </cell>
          <cell r="M18">
            <v>0</v>
          </cell>
        </row>
        <row r="19">
          <cell r="A19" t="str">
            <v>SVCS-SOS-CMS</v>
          </cell>
          <cell r="B19" t="str">
            <v>SVCS-O CMS - Central Management Server</v>
          </cell>
          <cell r="C19" t="str">
            <v>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v>
          </cell>
          <cell r="D19">
            <v>2858.9</v>
          </cell>
          <cell r="E19">
            <v>2858.9</v>
          </cell>
          <cell r="F19">
            <v>0</v>
          </cell>
          <cell r="G19">
            <v>0</v>
          </cell>
          <cell r="H19">
            <v>2630.1880000000001</v>
          </cell>
          <cell r="I19">
            <v>2430.0650000000001</v>
          </cell>
          <cell r="J19">
            <v>2430.0650000000001</v>
          </cell>
          <cell r="K19">
            <v>0.15</v>
          </cell>
          <cell r="L19" t="str">
            <v>System</v>
          </cell>
          <cell r="M19" t="str">
            <v>Year</v>
          </cell>
        </row>
        <row r="20">
          <cell r="A20">
            <v>0</v>
          </cell>
          <cell r="D20">
            <v>0</v>
          </cell>
          <cell r="E20">
            <v>0</v>
          </cell>
          <cell r="F20">
            <v>0</v>
          </cell>
          <cell r="G20">
            <v>0</v>
          </cell>
          <cell r="H20">
            <v>0</v>
          </cell>
          <cell r="I20">
            <v>0</v>
          </cell>
          <cell r="J20">
            <v>0</v>
          </cell>
          <cell r="K20">
            <v>0</v>
          </cell>
          <cell r="L20">
            <v>0</v>
          </cell>
          <cell r="M20">
            <v>0</v>
          </cell>
        </row>
        <row r="21">
          <cell r="A21" t="str">
            <v>Hardware</v>
          </cell>
          <cell r="B21">
            <v>0</v>
          </cell>
          <cell r="C21">
            <v>0</v>
          </cell>
          <cell r="D21">
            <v>0</v>
          </cell>
          <cell r="E21">
            <v>0</v>
          </cell>
          <cell r="F21">
            <v>0</v>
          </cell>
          <cell r="G21">
            <v>0</v>
          </cell>
          <cell r="H21">
            <v>0</v>
          </cell>
          <cell r="I21">
            <v>0</v>
          </cell>
          <cell r="J21">
            <v>0</v>
          </cell>
          <cell r="K21">
            <v>0</v>
          </cell>
          <cell r="L21">
            <v>0</v>
          </cell>
          <cell r="M21">
            <v>0</v>
          </cell>
        </row>
        <row r="22">
          <cell r="A22" t="str">
            <v>SVCS-SR-HW-DT</v>
          </cell>
          <cell r="B22" t="str">
            <v>SVCS - SR - HW - Desktop Computer</v>
          </cell>
          <cell r="C22" t="str">
            <v>12 months remote maintenance and cross ship support for Desktop Computer for LiveScan system with 17" or larger LCD Monitor</v>
          </cell>
          <cell r="D22">
            <v>70.8</v>
          </cell>
          <cell r="E22">
            <v>87</v>
          </cell>
          <cell r="F22">
            <v>0</v>
          </cell>
          <cell r="G22">
            <v>0</v>
          </cell>
          <cell r="H22">
            <v>67.2</v>
          </cell>
          <cell r="I22">
            <v>65.039999999999992</v>
          </cell>
          <cell r="J22">
            <v>65.039999999999992</v>
          </cell>
          <cell r="K22">
            <v>0.08</v>
          </cell>
          <cell r="L22" t="str">
            <v>Hardware</v>
          </cell>
          <cell r="M22" t="str">
            <v>Year</v>
          </cell>
        </row>
        <row r="23">
          <cell r="A23" t="str">
            <v>SVCS-SR-HW-HPDT</v>
          </cell>
          <cell r="B23" t="str">
            <v>SVCS - SR - HW - High performance Desktop Computer</v>
          </cell>
          <cell r="C23" t="str">
            <v>12 months remote maintenance and cross ship support for High Performance Desktop Computer with 17" or larger LCD Monitor</v>
          </cell>
          <cell r="D23">
            <v>123</v>
          </cell>
          <cell r="E23">
            <v>123</v>
          </cell>
          <cell r="F23">
            <v>0</v>
          </cell>
          <cell r="G23">
            <v>0</v>
          </cell>
          <cell r="H23">
            <v>116.75999999999999</v>
          </cell>
          <cell r="I23">
            <v>113.16</v>
          </cell>
          <cell r="J23">
            <v>113.16</v>
          </cell>
          <cell r="K23">
            <v>0.08</v>
          </cell>
          <cell r="L23" t="str">
            <v>Hardware</v>
          </cell>
          <cell r="M23" t="str">
            <v>Year</v>
          </cell>
        </row>
        <row r="24">
          <cell r="A24" t="str">
            <v>SVCS-SR-HW-LT</v>
          </cell>
          <cell r="B24" t="str">
            <v>SVCS - SR - HW - Laptop Computer</v>
          </cell>
          <cell r="C24" t="str">
            <v>12 months remote maintenance and cross ship support for Notebook Computer for LiveScan System</v>
          </cell>
          <cell r="D24">
            <v>70.8</v>
          </cell>
          <cell r="E24">
            <v>87</v>
          </cell>
          <cell r="F24">
            <v>0</v>
          </cell>
          <cell r="G24">
            <v>0</v>
          </cell>
          <cell r="H24">
            <v>67.2</v>
          </cell>
          <cell r="I24">
            <v>65.039999999999992</v>
          </cell>
          <cell r="J24">
            <v>65.039999999999992</v>
          </cell>
          <cell r="K24">
            <v>0.08</v>
          </cell>
          <cell r="L24" t="str">
            <v>Hardware</v>
          </cell>
          <cell r="M24" t="str">
            <v>Year</v>
          </cell>
        </row>
        <row r="25">
          <cell r="A25" t="str">
            <v>SVCS-SR-HW-HPLT</v>
          </cell>
          <cell r="B25" t="str">
            <v>SVCS - SR - HW - High Performance Laptop Computer</v>
          </cell>
          <cell r="C25" t="str">
            <v>12 months remote maintenance and cross ship support for High Performance Notebook Computer for LiveScan System</v>
          </cell>
          <cell r="D25">
            <v>123</v>
          </cell>
          <cell r="E25">
            <v>123</v>
          </cell>
          <cell r="F25">
            <v>0</v>
          </cell>
          <cell r="G25">
            <v>0</v>
          </cell>
          <cell r="H25">
            <v>116.75999999999999</v>
          </cell>
          <cell r="I25">
            <v>113.16</v>
          </cell>
          <cell r="J25">
            <v>113.16</v>
          </cell>
          <cell r="K25">
            <v>0.08</v>
          </cell>
          <cell r="L25" t="str">
            <v>Hardware</v>
          </cell>
          <cell r="M25" t="str">
            <v>Year</v>
          </cell>
        </row>
        <row r="26">
          <cell r="A26" t="str">
            <v>SVCS-SR-HW-RDLT</v>
          </cell>
          <cell r="B26" t="str">
            <v>SVCS - SR - HW - Rugged Laptop Computer</v>
          </cell>
          <cell r="C26" t="str">
            <v>12 months remote maintenance and cross ship support for Rugged laptop Computer for LiveScan System Meets MIL-STD-810F, IP65</v>
          </cell>
          <cell r="D26">
            <v>479.4</v>
          </cell>
          <cell r="E26">
            <v>479.4</v>
          </cell>
          <cell r="F26">
            <v>0</v>
          </cell>
          <cell r="G26">
            <v>0</v>
          </cell>
          <cell r="H26">
            <v>455.4</v>
          </cell>
          <cell r="I26">
            <v>441</v>
          </cell>
          <cell r="J26">
            <v>441</v>
          </cell>
          <cell r="K26">
            <v>0.08</v>
          </cell>
          <cell r="L26" t="str">
            <v>Hardware</v>
          </cell>
          <cell r="M26" t="str">
            <v>Year</v>
          </cell>
        </row>
        <row r="27">
          <cell r="A27" t="str">
            <v>SVCS-SR-HW-CMSServer</v>
          </cell>
          <cell r="B27" t="str">
            <v>SVCS - SR - HW - CMS Server</v>
          </cell>
          <cell r="C27" t="str">
            <v>12 months remote maintenance and cross ship support for Server Computer with Windows Server 2003 OS (or higher version), for use with CMS software, up to 5,000 transactions storage capacity</v>
          </cell>
          <cell r="D27">
            <v>419.4</v>
          </cell>
          <cell r="E27">
            <v>419.4</v>
          </cell>
          <cell r="F27">
            <v>0</v>
          </cell>
          <cell r="G27">
            <v>0</v>
          </cell>
          <cell r="H27">
            <v>398.4</v>
          </cell>
          <cell r="I27">
            <v>385.8</v>
          </cell>
          <cell r="J27">
            <v>385.8</v>
          </cell>
          <cell r="K27">
            <v>0.08</v>
          </cell>
          <cell r="L27" t="str">
            <v>Hardware</v>
          </cell>
          <cell r="M27" t="str">
            <v>Year</v>
          </cell>
        </row>
        <row r="28">
          <cell r="A28" t="str">
            <v>SVCS-SR-HW-CMSServerStorUPGR</v>
          </cell>
          <cell r="B28" t="str">
            <v>SVCS - SR - HW - CMS Server storage upgrade</v>
          </cell>
          <cell r="C28" t="str">
            <v>12 months remote maintenance and cross ship support for CMS Archive Storage Hardware Upgrade - per additional 20,000 transactions.</v>
          </cell>
          <cell r="D28">
            <v>51</v>
          </cell>
          <cell r="E28">
            <v>51</v>
          </cell>
          <cell r="F28">
            <v>0</v>
          </cell>
          <cell r="G28">
            <v>0</v>
          </cell>
          <cell r="H28">
            <v>48.36</v>
          </cell>
          <cell r="I28">
            <v>46.92</v>
          </cell>
          <cell r="J28">
            <v>46.92</v>
          </cell>
          <cell r="K28">
            <v>0.08</v>
          </cell>
          <cell r="L28" t="str">
            <v>Hardware</v>
          </cell>
          <cell r="M28" t="str">
            <v>Year</v>
          </cell>
        </row>
        <row r="29">
          <cell r="A29" t="str">
            <v>SVCS-SR-HW-TP-500PPI</v>
          </cell>
          <cell r="B29" t="str">
            <v>SVCS-SR-HW-TenPrint Scanner 500ppi-CMT</v>
          </cell>
          <cell r="C29" t="str">
            <v>12 months remote maintenance and cross ship support for 500ppi TenPrint scanner: Cross Match Guardian</v>
          </cell>
          <cell r="D29">
            <v>410.4</v>
          </cell>
          <cell r="E29">
            <v>388.44</v>
          </cell>
          <cell r="F29">
            <v>0</v>
          </cell>
          <cell r="G29">
            <v>0</v>
          </cell>
          <cell r="H29">
            <v>389.88</v>
          </cell>
          <cell r="I29">
            <v>377.52</v>
          </cell>
          <cell r="J29">
            <v>377.52</v>
          </cell>
          <cell r="K29">
            <v>0.08</v>
          </cell>
          <cell r="L29" t="str">
            <v>Hardware</v>
          </cell>
          <cell r="M29" t="str">
            <v>Year</v>
          </cell>
        </row>
        <row r="30">
          <cell r="A30" t="str">
            <v>SVCS-SR-HW-TP-500PPI</v>
          </cell>
          <cell r="B30" t="str">
            <v>SVCS-SR-HW-TenPrint Scanner 500ppi-I3</v>
          </cell>
          <cell r="C30" t="str">
            <v>13 months remote maintenance and cross ship support for 500ppi TenPrint scanner: Cross Match Guardian</v>
          </cell>
          <cell r="D30">
            <v>230.39999999999998</v>
          </cell>
          <cell r="E30">
            <v>208.44</v>
          </cell>
          <cell r="F30">
            <v>0</v>
          </cell>
          <cell r="G30">
            <v>0</v>
          </cell>
          <cell r="H30">
            <v>218.88</v>
          </cell>
          <cell r="I30">
            <v>211.92</v>
          </cell>
          <cell r="J30">
            <v>211.92</v>
          </cell>
          <cell r="K30">
            <v>1.08</v>
          </cell>
          <cell r="L30" t="str">
            <v>Hardware</v>
          </cell>
          <cell r="M30" t="str">
            <v>Year</v>
          </cell>
        </row>
        <row r="31">
          <cell r="A31" t="str">
            <v>SVCS-SR-HW-TPP-500PPI</v>
          </cell>
          <cell r="B31" t="str">
            <v>SVCS-SR-HW-Tenprint and PalmPrint Scanner 500ppi</v>
          </cell>
          <cell r="C31" t="str">
            <v>12 months remote maintenance and cross ship support for 500ppi Tenprint and PalmPrint scanner: Cross Match 500P</v>
          </cell>
          <cell r="D31">
            <v>479.4</v>
          </cell>
          <cell r="E31">
            <v>479.4</v>
          </cell>
          <cell r="F31">
            <v>0</v>
          </cell>
          <cell r="G31">
            <v>0</v>
          </cell>
          <cell r="H31">
            <v>1367.3999999999999</v>
          </cell>
          <cell r="I31">
            <v>1324.2</v>
          </cell>
          <cell r="J31">
            <v>1324.2</v>
          </cell>
          <cell r="K31">
            <v>0.08</v>
          </cell>
          <cell r="L31" t="str">
            <v>Hardware</v>
          </cell>
          <cell r="M31" t="str">
            <v>Year</v>
          </cell>
        </row>
        <row r="32">
          <cell r="A32" t="str">
            <v>SVCS-SR-HW-TPP-1000PPI</v>
          </cell>
          <cell r="B32" t="str">
            <v>SVCS-SR-HW-Tenprint and PalmPrint Scanner 1000ppi</v>
          </cell>
          <cell r="C32" t="str">
            <v>12 months remote maintenance and cross ship support for 1000ppi Tenprint and PalmPrint scanner: Cross Match 1000PX</v>
          </cell>
          <cell r="D32">
            <v>1679.3999999999999</v>
          </cell>
          <cell r="E32">
            <v>1679.3999999999999</v>
          </cell>
          <cell r="F32">
            <v>0</v>
          </cell>
          <cell r="G32">
            <v>0</v>
          </cell>
          <cell r="H32">
            <v>1595.3999999999999</v>
          </cell>
          <cell r="I32">
            <v>1545</v>
          </cell>
          <cell r="J32">
            <v>1545</v>
          </cell>
          <cell r="K32">
            <v>0.08</v>
          </cell>
          <cell r="L32" t="str">
            <v>Hardware</v>
          </cell>
          <cell r="M32" t="str">
            <v>Year</v>
          </cell>
        </row>
        <row r="33">
          <cell r="A33" t="str">
            <v>SVCS-SR-HW-FBS</v>
          </cell>
          <cell r="B33" t="str">
            <v>SVCS-SR-HW-FBS</v>
          </cell>
          <cell r="C33" t="str">
            <v>12 months remote maintenance and cross ship support for Flatbed Scanner</v>
          </cell>
          <cell r="D33">
            <v>30</v>
          </cell>
          <cell r="E33">
            <v>30</v>
          </cell>
          <cell r="F33">
            <v>0</v>
          </cell>
          <cell r="G33">
            <v>0</v>
          </cell>
          <cell r="H33">
            <v>28.439999999999998</v>
          </cell>
          <cell r="I33">
            <v>27.599999999999998</v>
          </cell>
          <cell r="J33">
            <v>27.599999999999998</v>
          </cell>
          <cell r="K33">
            <v>0.08</v>
          </cell>
          <cell r="L33" t="str">
            <v>Hardware</v>
          </cell>
          <cell r="M33" t="str">
            <v>Year</v>
          </cell>
        </row>
        <row r="34">
          <cell r="A34">
            <v>0</v>
          </cell>
          <cell r="B34">
            <v>0</v>
          </cell>
          <cell r="C34">
            <v>0</v>
          </cell>
          <cell r="D34">
            <v>0</v>
          </cell>
          <cell r="E34">
            <v>0</v>
          </cell>
          <cell r="F34">
            <v>0</v>
          </cell>
          <cell r="G34">
            <v>0</v>
          </cell>
          <cell r="H34">
            <v>0</v>
          </cell>
          <cell r="I34">
            <v>0</v>
          </cell>
          <cell r="J34">
            <v>0</v>
          </cell>
          <cell r="K34">
            <v>0</v>
          </cell>
          <cell r="L34">
            <v>0</v>
          </cell>
          <cell r="M34">
            <v>0</v>
          </cell>
        </row>
        <row r="35">
          <cell r="A35" t="str">
            <v>SVCS-SOS-HW-DT</v>
          </cell>
          <cell r="B35" t="str">
            <v>SVCS - SOS - HW - Desktop Computer</v>
          </cell>
          <cell r="C35" t="str">
            <v>12 months on-site maintenance for Desktop Computer for LiveScan system with 17" or larger LCD Monitor</v>
          </cell>
          <cell r="D35">
            <v>129.80000000000001</v>
          </cell>
          <cell r="E35">
            <v>159.5</v>
          </cell>
          <cell r="F35">
            <v>0</v>
          </cell>
          <cell r="G35">
            <v>0</v>
          </cell>
          <cell r="H35">
            <v>123.2</v>
          </cell>
          <cell r="I35">
            <v>119.24</v>
          </cell>
          <cell r="J35">
            <v>119.24</v>
          </cell>
          <cell r="K35">
            <v>0.08</v>
          </cell>
          <cell r="L35" t="str">
            <v>Hardware</v>
          </cell>
          <cell r="M35" t="str">
            <v>Year</v>
          </cell>
        </row>
        <row r="36">
          <cell r="A36" t="str">
            <v>SVCS-SOS-HW-HPDT</v>
          </cell>
          <cell r="B36" t="str">
            <v>SVCS - SOS - HW - High performance Desktop Computer</v>
          </cell>
          <cell r="C36" t="str">
            <v>12 months on-site maintenance for High Performance Desktop Computer with 17" or larger LCD Monitor</v>
          </cell>
          <cell r="D36">
            <v>225.5</v>
          </cell>
          <cell r="E36">
            <v>225.5</v>
          </cell>
          <cell r="F36">
            <v>0</v>
          </cell>
          <cell r="G36">
            <v>0</v>
          </cell>
          <cell r="H36">
            <v>214.06</v>
          </cell>
          <cell r="I36">
            <v>207.46</v>
          </cell>
          <cell r="J36">
            <v>207.46</v>
          </cell>
          <cell r="K36">
            <v>0.08</v>
          </cell>
          <cell r="L36" t="str">
            <v>Hardware</v>
          </cell>
          <cell r="M36" t="str">
            <v>Year</v>
          </cell>
        </row>
        <row r="37">
          <cell r="A37" t="str">
            <v>SVCS-SOS-HW-LT</v>
          </cell>
          <cell r="B37" t="str">
            <v>SVCS - SOS - HW - Laptop Computer</v>
          </cell>
          <cell r="C37" t="str">
            <v>12 months on-site maintenance for Notebook Computer for LiveScan System</v>
          </cell>
          <cell r="D37">
            <v>129.80000000000001</v>
          </cell>
          <cell r="E37">
            <v>159.5</v>
          </cell>
          <cell r="F37">
            <v>0</v>
          </cell>
          <cell r="G37">
            <v>0</v>
          </cell>
          <cell r="H37">
            <v>123.2</v>
          </cell>
          <cell r="I37">
            <v>119.24</v>
          </cell>
          <cell r="J37">
            <v>119.24</v>
          </cell>
          <cell r="K37">
            <v>0.08</v>
          </cell>
          <cell r="L37" t="str">
            <v>Hardware</v>
          </cell>
          <cell r="M37" t="str">
            <v>Year</v>
          </cell>
        </row>
        <row r="38">
          <cell r="A38" t="str">
            <v>SVCS-SOS-HW-HPLT</v>
          </cell>
          <cell r="B38" t="str">
            <v>SVCS - SOS - HW - High Performance Laptop Computer</v>
          </cell>
          <cell r="C38" t="str">
            <v>12 months on-site maintenance for High Performance Notebook Computer for LiveScan System</v>
          </cell>
          <cell r="D38">
            <v>225.5</v>
          </cell>
          <cell r="E38">
            <v>225.5</v>
          </cell>
          <cell r="F38">
            <v>0</v>
          </cell>
          <cell r="G38">
            <v>0</v>
          </cell>
          <cell r="H38">
            <v>214.06</v>
          </cell>
          <cell r="I38">
            <v>207.46</v>
          </cell>
          <cell r="J38">
            <v>207.46</v>
          </cell>
          <cell r="K38">
            <v>0.08</v>
          </cell>
          <cell r="L38" t="str">
            <v>Hardware</v>
          </cell>
          <cell r="M38" t="str">
            <v>Year</v>
          </cell>
        </row>
        <row r="39">
          <cell r="A39" t="str">
            <v>SVCS-SOS-HW-RDLT</v>
          </cell>
          <cell r="B39" t="str">
            <v>SVCS - SOS - HW - Rugged Laptop Computer</v>
          </cell>
          <cell r="C39" t="str">
            <v>12 months on-site maintenance for Rugged laptop Computer for LiveScan System Meets MIL-STD-810F, IP65</v>
          </cell>
          <cell r="D39">
            <v>878.9</v>
          </cell>
          <cell r="E39">
            <v>878.9</v>
          </cell>
          <cell r="F39">
            <v>0</v>
          </cell>
          <cell r="G39">
            <v>0</v>
          </cell>
          <cell r="H39">
            <v>834.9</v>
          </cell>
          <cell r="I39">
            <v>808.5</v>
          </cell>
          <cell r="J39">
            <v>808.5</v>
          </cell>
          <cell r="K39">
            <v>0.08</v>
          </cell>
          <cell r="L39" t="str">
            <v>Hardware</v>
          </cell>
          <cell r="M39" t="str">
            <v>Year</v>
          </cell>
        </row>
        <row r="40">
          <cell r="A40" t="str">
            <v>SVCS-SOS-HW-CMSServer</v>
          </cell>
          <cell r="B40" t="str">
            <v>SVCS - SOS - HW - CMS Server</v>
          </cell>
          <cell r="C40" t="str">
            <v>12 months on-site maintenance for Server Computer with Windows Server 2003 OS (or higher version), for use with CMS software, up to 5,000 transactions storage capacity</v>
          </cell>
          <cell r="D40">
            <v>768.9</v>
          </cell>
          <cell r="E40">
            <v>768.9</v>
          </cell>
          <cell r="F40">
            <v>0</v>
          </cell>
          <cell r="G40">
            <v>0</v>
          </cell>
          <cell r="H40">
            <v>730.4</v>
          </cell>
          <cell r="I40">
            <v>707.3</v>
          </cell>
          <cell r="J40">
            <v>707.3</v>
          </cell>
          <cell r="K40">
            <v>0.08</v>
          </cell>
          <cell r="L40" t="str">
            <v>Hardware</v>
          </cell>
          <cell r="M40" t="str">
            <v>Year</v>
          </cell>
        </row>
        <row r="41">
          <cell r="A41" t="str">
            <v>SVCS-SOS-HW-CMSServerStorUPGR</v>
          </cell>
          <cell r="B41" t="str">
            <v>SVCS - SOS - HW - CMS Server storage upgrade</v>
          </cell>
          <cell r="C41" t="str">
            <v>12 months on-site maintenance for CMS Archive Storage Hardware Upgrade - per additional 20,000 transactions.</v>
          </cell>
          <cell r="D41">
            <v>93.5</v>
          </cell>
          <cell r="E41">
            <v>93.5</v>
          </cell>
          <cell r="F41">
            <v>0</v>
          </cell>
          <cell r="G41">
            <v>0</v>
          </cell>
          <cell r="H41">
            <v>88.66</v>
          </cell>
          <cell r="I41">
            <v>86.02</v>
          </cell>
          <cell r="J41">
            <v>86.02</v>
          </cell>
          <cell r="K41">
            <v>0.08</v>
          </cell>
          <cell r="L41" t="str">
            <v>Hardware</v>
          </cell>
          <cell r="M41" t="str">
            <v>Year</v>
          </cell>
        </row>
        <row r="42">
          <cell r="A42" t="str">
            <v>SVCS-SOS-HW-TP-500PPI</v>
          </cell>
          <cell r="B42" t="str">
            <v>SVCS-SOS-HW-TenPrint Scanner 500ppi</v>
          </cell>
          <cell r="C42" t="str">
            <v>12 months on-site maintenance for 500ppi TenPrint scanner: Cross Match Guardian</v>
          </cell>
          <cell r="D42">
            <v>752.4</v>
          </cell>
          <cell r="E42">
            <v>712.14</v>
          </cell>
          <cell r="F42">
            <v>0</v>
          </cell>
          <cell r="G42">
            <v>0</v>
          </cell>
          <cell r="H42">
            <v>714.78</v>
          </cell>
          <cell r="I42">
            <v>692.12</v>
          </cell>
          <cell r="J42">
            <v>692.12</v>
          </cell>
          <cell r="K42">
            <v>0.08</v>
          </cell>
          <cell r="L42" t="str">
            <v>Hardware</v>
          </cell>
          <cell r="M42" t="str">
            <v>Year</v>
          </cell>
        </row>
        <row r="43">
          <cell r="A43" t="str">
            <v>SVCS-SOS-HW-TPP-500PPI</v>
          </cell>
          <cell r="B43" t="str">
            <v>SVCS-SOS-HW-Tenprint and PalmPrint Scanner 500ppi</v>
          </cell>
          <cell r="C43" t="str">
            <v>12 months on-site maintenance for 500ppi Tenprint and PalmPrint scanner: Cross Match 500P</v>
          </cell>
          <cell r="D43">
            <v>2638.9</v>
          </cell>
          <cell r="E43">
            <v>2638.9</v>
          </cell>
          <cell r="F43">
            <v>0</v>
          </cell>
          <cell r="G43">
            <v>0</v>
          </cell>
          <cell r="H43">
            <v>834.9</v>
          </cell>
          <cell r="I43">
            <v>808.5</v>
          </cell>
          <cell r="J43">
            <v>2427.6999999999998</v>
          </cell>
          <cell r="K43">
            <v>0.08</v>
          </cell>
          <cell r="L43" t="str">
            <v>Hardware</v>
          </cell>
          <cell r="M43" t="str">
            <v>Year</v>
          </cell>
        </row>
        <row r="44">
          <cell r="A44" t="str">
            <v>SVCS-SOS-HW-TPP-1000PPI</v>
          </cell>
          <cell r="B44" t="str">
            <v>SVCS-SOS-HW-Tenprint and PalmPrint Scanner 1000ppi</v>
          </cell>
          <cell r="C44" t="str">
            <v>12 months on-site maintenance for 1000ppi Tenprint and PalmPrint scanner: Cross Match 1000PX</v>
          </cell>
          <cell r="D44">
            <v>3078.9</v>
          </cell>
          <cell r="E44">
            <v>3078.9</v>
          </cell>
          <cell r="F44">
            <v>0</v>
          </cell>
          <cell r="G44">
            <v>0</v>
          </cell>
          <cell r="H44">
            <v>2924.9</v>
          </cell>
          <cell r="I44">
            <v>2832.5</v>
          </cell>
          <cell r="J44">
            <v>2832.5</v>
          </cell>
          <cell r="K44">
            <v>0.08</v>
          </cell>
          <cell r="L44" t="str">
            <v>Hardware</v>
          </cell>
          <cell r="M44" t="str">
            <v>Year</v>
          </cell>
        </row>
        <row r="45">
          <cell r="A45" t="str">
            <v>SVCS-SOS-HW-FBS</v>
          </cell>
          <cell r="B45" t="str">
            <v>SVCS-SR-HW-FBS</v>
          </cell>
          <cell r="C45" t="str">
            <v>12 months on-site maintenance and cross ship support for Flatbed Scanner</v>
          </cell>
          <cell r="D45">
            <v>55</v>
          </cell>
          <cell r="E45">
            <v>55</v>
          </cell>
          <cell r="F45">
            <v>0</v>
          </cell>
          <cell r="G45">
            <v>0</v>
          </cell>
          <cell r="H45">
            <v>52.14</v>
          </cell>
          <cell r="I45">
            <v>50.6</v>
          </cell>
          <cell r="J45">
            <v>50.6</v>
          </cell>
          <cell r="K45">
            <v>0.08</v>
          </cell>
          <cell r="L45" t="str">
            <v>Hardware</v>
          </cell>
          <cell r="M45" t="str">
            <v>Year</v>
          </cell>
        </row>
        <row r="46">
          <cell r="A46" t="str">
            <v>Accessories</v>
          </cell>
          <cell r="B46">
            <v>0</v>
          </cell>
          <cell r="C46">
            <v>0</v>
          </cell>
          <cell r="D46">
            <v>0</v>
          </cell>
          <cell r="E46">
            <v>0</v>
          </cell>
          <cell r="F46">
            <v>0</v>
          </cell>
          <cell r="G46">
            <v>0</v>
          </cell>
          <cell r="H46">
            <v>0</v>
          </cell>
          <cell r="I46">
            <v>0</v>
          </cell>
          <cell r="J46">
            <v>0</v>
          </cell>
          <cell r="K46">
            <v>0</v>
          </cell>
          <cell r="L46">
            <v>0</v>
          </cell>
          <cell r="M46">
            <v>0</v>
          </cell>
        </row>
        <row r="47">
          <cell r="A47" t="str">
            <v>SVCS-ACC-SR-CAM</v>
          </cell>
          <cell r="B47" t="str">
            <v>SVCS - ACC - SR - Camera</v>
          </cell>
          <cell r="C47" t="str">
            <v>12 months remote maintenance and cross ship support for Commercial-of-the-Shelf (COTS) High-Resolution Still Camera, integrated with Livescan Software</v>
          </cell>
          <cell r="D47">
            <v>106.8</v>
          </cell>
          <cell r="E47">
            <v>106.8</v>
          </cell>
          <cell r="F47">
            <v>0</v>
          </cell>
          <cell r="G47">
            <v>0</v>
          </cell>
          <cell r="H47">
            <v>101.39999999999999</v>
          </cell>
          <cell r="I47">
            <v>98.16</v>
          </cell>
          <cell r="J47">
            <v>98.16</v>
          </cell>
          <cell r="K47">
            <v>0.08</v>
          </cell>
          <cell r="L47" t="str">
            <v>Hardware</v>
          </cell>
          <cell r="M47" t="str">
            <v>Year</v>
          </cell>
        </row>
        <row r="48">
          <cell r="A48" t="str">
            <v>SVCS-ACC-SR-SigPad</v>
          </cell>
          <cell r="B48" t="str">
            <v>SVCS - ACC - SR -  Signature Pad</v>
          </cell>
          <cell r="C48" t="str">
            <v>12 months remote maintenance and cross ship support for Digital Signature Pad</v>
          </cell>
          <cell r="D48">
            <v>46.8</v>
          </cell>
          <cell r="E48">
            <v>46.8</v>
          </cell>
          <cell r="F48">
            <v>0</v>
          </cell>
          <cell r="G48">
            <v>0</v>
          </cell>
          <cell r="H48">
            <v>44.4</v>
          </cell>
          <cell r="I48">
            <v>42.96</v>
          </cell>
          <cell r="J48">
            <v>42.96</v>
          </cell>
          <cell r="K48">
            <v>0.08</v>
          </cell>
          <cell r="L48" t="str">
            <v>Hardware</v>
          </cell>
          <cell r="M48" t="str">
            <v>Year</v>
          </cell>
        </row>
        <row r="49">
          <cell r="A49" t="str">
            <v>SVCS-ACC-SR-Mag</v>
          </cell>
          <cell r="B49" t="str">
            <v>SVCS - ACC - SR -  Magstripe</v>
          </cell>
          <cell r="C49" t="str">
            <v>12 months remote maintenance and cross ship support for USB Magstripe Reader for Driver License</v>
          </cell>
          <cell r="D49">
            <v>9</v>
          </cell>
          <cell r="E49">
            <v>9</v>
          </cell>
          <cell r="F49">
            <v>0</v>
          </cell>
          <cell r="G49">
            <v>0</v>
          </cell>
          <cell r="H49">
            <v>8.52</v>
          </cell>
          <cell r="I49">
            <v>8.2799999999999994</v>
          </cell>
          <cell r="J49">
            <v>8.2799999999999994</v>
          </cell>
          <cell r="K49">
            <v>0.08</v>
          </cell>
          <cell r="L49" t="str">
            <v>Hardware</v>
          </cell>
          <cell r="M49" t="str">
            <v>Year</v>
          </cell>
        </row>
        <row r="50">
          <cell r="A50" t="str">
            <v>SVCS-ACC-SR-BarC1</v>
          </cell>
          <cell r="B50" t="str">
            <v>SVCS - ACC - SR -  Barcode reader 1D</v>
          </cell>
          <cell r="C50" t="str">
            <v>12 months remote maintenance and cross ship support for 1D barcode reader</v>
          </cell>
          <cell r="D50">
            <v>21</v>
          </cell>
          <cell r="E50">
            <v>21</v>
          </cell>
          <cell r="F50">
            <v>0</v>
          </cell>
          <cell r="G50">
            <v>0</v>
          </cell>
          <cell r="H50">
            <v>19.919999999999998</v>
          </cell>
          <cell r="I50">
            <v>19.32</v>
          </cell>
          <cell r="J50">
            <v>19.32</v>
          </cell>
          <cell r="K50">
            <v>0.08</v>
          </cell>
          <cell r="L50" t="str">
            <v>Hardware</v>
          </cell>
          <cell r="M50" t="str">
            <v>Year</v>
          </cell>
        </row>
        <row r="51">
          <cell r="A51" t="str">
            <v>SVCS-ACC-SR-BarC2</v>
          </cell>
          <cell r="B51" t="str">
            <v>SVCS - ACC - SR -  Barcode reader 2D</v>
          </cell>
          <cell r="C51" t="str">
            <v>12 months remote maintenance and cross ship support for 2D barcode reader</v>
          </cell>
          <cell r="D51">
            <v>39</v>
          </cell>
          <cell r="E51">
            <v>39</v>
          </cell>
          <cell r="F51">
            <v>0</v>
          </cell>
          <cell r="G51">
            <v>0</v>
          </cell>
          <cell r="H51">
            <v>36.96</v>
          </cell>
          <cell r="I51">
            <v>35.879999999999995</v>
          </cell>
          <cell r="J51">
            <v>35.879999999999995</v>
          </cell>
          <cell r="K51">
            <v>0.08</v>
          </cell>
          <cell r="L51" t="str">
            <v>Hardware</v>
          </cell>
          <cell r="M51" t="str">
            <v>Year</v>
          </cell>
        </row>
        <row r="52">
          <cell r="A52" t="str">
            <v>SVCS-ACC-SR-PS</v>
          </cell>
          <cell r="B52" t="str">
            <v>SVCS - ACC - SR -  Printer Simplex</v>
          </cell>
          <cell r="C52" t="str">
            <v>12 months remote maintenance and cross ship support for FBI Certified  Fingerprint Card Printer: Single-Sided Printer</v>
          </cell>
          <cell r="D52">
            <v>82.8</v>
          </cell>
          <cell r="E52">
            <v>82.8</v>
          </cell>
          <cell r="F52">
            <v>0</v>
          </cell>
          <cell r="G52">
            <v>0</v>
          </cell>
          <cell r="H52">
            <v>78.599999999999994</v>
          </cell>
          <cell r="I52">
            <v>76.08</v>
          </cell>
          <cell r="J52">
            <v>76.08</v>
          </cell>
          <cell r="K52">
            <v>0.08</v>
          </cell>
          <cell r="L52" t="str">
            <v>Hardware</v>
          </cell>
          <cell r="M52" t="str">
            <v>Year</v>
          </cell>
        </row>
        <row r="53">
          <cell r="A53" t="str">
            <v>SVCS-ACC-SR-PD</v>
          </cell>
          <cell r="B53" t="str">
            <v>SVCS - ACC - SR -  Printer Duplex</v>
          </cell>
          <cell r="C53" t="str">
            <v>12 months remote maintenance and cross ship support for FBI Certified  Fingerprint Card Printer: Dual-Sided Printer</v>
          </cell>
          <cell r="D53">
            <v>142.79999999999998</v>
          </cell>
          <cell r="E53">
            <v>142.79999999999998</v>
          </cell>
          <cell r="F53">
            <v>0</v>
          </cell>
          <cell r="G53">
            <v>0</v>
          </cell>
          <cell r="H53">
            <v>135.6</v>
          </cell>
          <cell r="I53">
            <v>131.28</v>
          </cell>
          <cell r="J53">
            <v>131.28</v>
          </cell>
          <cell r="K53">
            <v>0.08</v>
          </cell>
          <cell r="L53" t="str">
            <v>Hardware</v>
          </cell>
          <cell r="M53" t="str">
            <v>Year</v>
          </cell>
        </row>
        <row r="54">
          <cell r="A54" t="str">
            <v>SVCS-ACC-SR-21T</v>
          </cell>
          <cell r="B54" t="str">
            <v>SVCS - ACC - SR -  21" LCD Touch</v>
          </cell>
          <cell r="C54" t="str">
            <v>12 months remote maintenance and cross ship support for 21" Touch Screen LCD Monitor</v>
          </cell>
          <cell r="D54">
            <v>37.799999999999997</v>
          </cell>
          <cell r="E54">
            <v>37.799999999999997</v>
          </cell>
          <cell r="F54">
            <v>0</v>
          </cell>
          <cell r="G54">
            <v>0</v>
          </cell>
          <cell r="H54">
            <v>35.879999999999995</v>
          </cell>
          <cell r="I54">
            <v>34.68</v>
          </cell>
          <cell r="J54">
            <v>34.68</v>
          </cell>
          <cell r="K54">
            <v>0.08</v>
          </cell>
          <cell r="L54" t="str">
            <v>Hardware</v>
          </cell>
          <cell r="M54" t="str">
            <v>Year</v>
          </cell>
        </row>
        <row r="55">
          <cell r="A55" t="str">
            <v>SVCS-ACC-SR-UPG-21T</v>
          </cell>
          <cell r="B55" t="str">
            <v>SVCS - ACC - SR -  Upgrade to 21" LCD Touch</v>
          </cell>
          <cell r="C55" t="str">
            <v>12 months remote maintenance and cross ship support for Upgrade to 21" Touch Screen LCD Monitor</v>
          </cell>
          <cell r="D55">
            <v>51</v>
          </cell>
          <cell r="E55">
            <v>51</v>
          </cell>
          <cell r="F55">
            <v>0</v>
          </cell>
          <cell r="G55">
            <v>0</v>
          </cell>
          <cell r="H55">
            <v>48.36</v>
          </cell>
          <cell r="I55">
            <v>46.92</v>
          </cell>
          <cell r="J55">
            <v>46.92</v>
          </cell>
          <cell r="K55">
            <v>0.08</v>
          </cell>
          <cell r="L55" t="str">
            <v>Hardware</v>
          </cell>
          <cell r="M55" t="str">
            <v>Year</v>
          </cell>
        </row>
        <row r="56">
          <cell r="A56" t="str">
            <v>SVCS-ACC-SR-USB-PEDAL</v>
          </cell>
          <cell r="B56" t="str">
            <v>SVCS - ACC - SR -  USB Foot Pedal</v>
          </cell>
          <cell r="C56" t="str">
            <v>12 months remote maintenance and cross ship support for USB Foot Pedal for hands free operation</v>
          </cell>
          <cell r="D56">
            <v>19.8</v>
          </cell>
          <cell r="E56">
            <v>19.8</v>
          </cell>
          <cell r="F56">
            <v>0</v>
          </cell>
          <cell r="G56">
            <v>0</v>
          </cell>
          <cell r="H56">
            <v>18.72</v>
          </cell>
          <cell r="I56">
            <v>18.12</v>
          </cell>
          <cell r="J56">
            <v>18.12</v>
          </cell>
          <cell r="K56">
            <v>0.08</v>
          </cell>
          <cell r="L56" t="str">
            <v>Hardware</v>
          </cell>
          <cell r="M56" t="str">
            <v>Year</v>
          </cell>
        </row>
        <row r="57">
          <cell r="A57" t="str">
            <v>SVCS-ACC-SR-CC-S</v>
          </cell>
          <cell r="B57" t="str">
            <v>SVCS - ACC - SR -  Carry Case Small</v>
          </cell>
          <cell r="C57" t="str">
            <v>12 months remote maintenance and cross ship support for Small Pelican Case for TP LiveScan System (tenprint with laptop) with Anti-Static Foam Padding.</v>
          </cell>
          <cell r="D57">
            <v>53.4</v>
          </cell>
          <cell r="E57">
            <v>53.4</v>
          </cell>
          <cell r="F57">
            <v>0</v>
          </cell>
          <cell r="G57">
            <v>0</v>
          </cell>
          <cell r="H57">
            <v>50.64</v>
          </cell>
          <cell r="I57">
            <v>49.08</v>
          </cell>
          <cell r="J57">
            <v>49.08</v>
          </cell>
          <cell r="K57">
            <v>0.08</v>
          </cell>
          <cell r="L57" t="str">
            <v>Hardware</v>
          </cell>
          <cell r="M57" t="str">
            <v>Year</v>
          </cell>
        </row>
        <row r="58">
          <cell r="A58" t="str">
            <v>SVCS-ACC-SR-CC-M</v>
          </cell>
          <cell r="B58" t="str">
            <v>SVCS - ACC - SR -  Carry Case Medium</v>
          </cell>
          <cell r="C58" t="str">
            <v>12 months remote maintenance and cross ship support for Medium Pelican Case for TPP LiveScan System (laptop only), with Anti-Static Foam Padding.</v>
          </cell>
          <cell r="D58">
            <v>75</v>
          </cell>
          <cell r="E58">
            <v>75</v>
          </cell>
          <cell r="F58">
            <v>0</v>
          </cell>
          <cell r="G58">
            <v>0</v>
          </cell>
          <cell r="H58">
            <v>71.16</v>
          </cell>
          <cell r="I58">
            <v>69</v>
          </cell>
          <cell r="J58">
            <v>69</v>
          </cell>
          <cell r="K58">
            <v>0.08</v>
          </cell>
          <cell r="L58" t="str">
            <v>Hardware</v>
          </cell>
          <cell r="M58" t="str">
            <v>Year</v>
          </cell>
        </row>
        <row r="59">
          <cell r="A59" t="str">
            <v>SVCS-ACC-SR-CC-L</v>
          </cell>
          <cell r="B59" t="str">
            <v>SVCS - ACC - SR -  Carry Case Large</v>
          </cell>
          <cell r="C59" t="str">
            <v>12 months remote maintenance and cross ship support for Large Pelican Case for LiveScan System (laptop only), with Anti-Static Foam Padding.</v>
          </cell>
          <cell r="D59">
            <v>89.399999999999991</v>
          </cell>
          <cell r="E59">
            <v>89.399999999999991</v>
          </cell>
          <cell r="F59">
            <v>0</v>
          </cell>
          <cell r="G59">
            <v>0</v>
          </cell>
          <cell r="H59">
            <v>84.84</v>
          </cell>
          <cell r="I59">
            <v>82.2</v>
          </cell>
          <cell r="J59">
            <v>82.2</v>
          </cell>
          <cell r="K59">
            <v>0.08</v>
          </cell>
          <cell r="L59" t="str">
            <v>Hardware</v>
          </cell>
          <cell r="M59" t="str">
            <v>Year</v>
          </cell>
        </row>
        <row r="60">
          <cell r="A60" t="str">
            <v>SVCS-ACC-SR-KIOSK</v>
          </cell>
          <cell r="B60" t="str">
            <v>SVCS - ACC - SR -  Kiosk</v>
          </cell>
          <cell r="C60" t="str">
            <v>12 months remote maintenance and cross ship support for LS400 ergonomically designed all steel cabinet for any LS-Series LiveScan system.</v>
          </cell>
          <cell r="D60">
            <v>455.4</v>
          </cell>
          <cell r="E60">
            <v>455.4</v>
          </cell>
          <cell r="F60">
            <v>0</v>
          </cell>
          <cell r="G60">
            <v>0</v>
          </cell>
          <cell r="H60">
            <v>432.59999999999997</v>
          </cell>
          <cell r="I60">
            <v>418.91999999999996</v>
          </cell>
          <cell r="J60">
            <v>418.91999999999996</v>
          </cell>
          <cell r="K60">
            <v>0.08</v>
          </cell>
          <cell r="L60" t="str">
            <v>Hardware</v>
          </cell>
          <cell r="M60" t="str">
            <v>Year</v>
          </cell>
        </row>
        <row r="61">
          <cell r="A61" t="str">
            <v>SVCS-ACC-SR-KIOSK-CE</v>
          </cell>
          <cell r="B61" t="str">
            <v>SVCS - ACC - SR -  Kiosk - Camera Enclosure</v>
          </cell>
          <cell r="C61" t="str">
            <v>12 months remote maintenance and cross ship support for All steel camera enclosure for ACC-KIOSK, includes high-output ring flash</v>
          </cell>
          <cell r="D61">
            <v>99</v>
          </cell>
          <cell r="E61">
            <v>99</v>
          </cell>
          <cell r="F61">
            <v>0</v>
          </cell>
          <cell r="G61">
            <v>0</v>
          </cell>
          <cell r="H61">
            <v>93.96</v>
          </cell>
          <cell r="I61">
            <v>91.08</v>
          </cell>
          <cell r="J61">
            <v>91.08</v>
          </cell>
          <cell r="K61">
            <v>0.08</v>
          </cell>
          <cell r="L61" t="str">
            <v>Hardware</v>
          </cell>
          <cell r="M61" t="str">
            <v>Year</v>
          </cell>
        </row>
        <row r="62">
          <cell r="A62">
            <v>0</v>
          </cell>
          <cell r="B62">
            <v>0</v>
          </cell>
          <cell r="C62">
            <v>0</v>
          </cell>
          <cell r="D62">
            <v>0</v>
          </cell>
          <cell r="E62">
            <v>0</v>
          </cell>
          <cell r="F62">
            <v>0</v>
          </cell>
          <cell r="G62">
            <v>0</v>
          </cell>
          <cell r="H62">
            <v>0</v>
          </cell>
          <cell r="I62">
            <v>0</v>
          </cell>
          <cell r="J62">
            <v>0</v>
          </cell>
          <cell r="K62">
            <v>0</v>
          </cell>
          <cell r="L62">
            <v>0</v>
          </cell>
          <cell r="M62">
            <v>0</v>
          </cell>
        </row>
        <row r="63">
          <cell r="A63" t="str">
            <v>SVCS-ACC-SOS-CAM</v>
          </cell>
          <cell r="B63" t="str">
            <v>SVCS - ACC - SOS - Camera</v>
          </cell>
          <cell r="C63" t="str">
            <v>12 months on-site support for Commercial-of-the-Shelf (COTS) High-Resolution Still Camera, integrated with Livescan Software</v>
          </cell>
          <cell r="D63">
            <v>195.8</v>
          </cell>
          <cell r="E63">
            <v>195.8</v>
          </cell>
          <cell r="F63">
            <v>0</v>
          </cell>
          <cell r="G63">
            <v>0</v>
          </cell>
          <cell r="H63">
            <v>185.9</v>
          </cell>
          <cell r="I63">
            <v>179.96</v>
          </cell>
          <cell r="J63">
            <v>179.96</v>
          </cell>
          <cell r="K63">
            <v>0.08</v>
          </cell>
          <cell r="L63" t="str">
            <v>Hardware</v>
          </cell>
          <cell r="M63" t="str">
            <v>Year</v>
          </cell>
        </row>
        <row r="64">
          <cell r="A64" t="str">
            <v>SVCS-ACC-SOS-SigPad</v>
          </cell>
          <cell r="B64" t="str">
            <v>SVCS - ACC - SOS -  Signature Pad</v>
          </cell>
          <cell r="C64" t="str">
            <v>12 months on-site support for Digital Signature Pad</v>
          </cell>
          <cell r="D64">
            <v>85.8</v>
          </cell>
          <cell r="E64">
            <v>85.8</v>
          </cell>
          <cell r="F64">
            <v>0</v>
          </cell>
          <cell r="G64">
            <v>0</v>
          </cell>
          <cell r="H64">
            <v>81.400000000000006</v>
          </cell>
          <cell r="I64">
            <v>78.760000000000005</v>
          </cell>
          <cell r="J64">
            <v>78.760000000000005</v>
          </cell>
          <cell r="K64">
            <v>0.08</v>
          </cell>
          <cell r="L64" t="str">
            <v>Hardware</v>
          </cell>
          <cell r="M64" t="str">
            <v>Year</v>
          </cell>
        </row>
        <row r="65">
          <cell r="A65" t="str">
            <v>SVCS-ACC-SOS-Mag</v>
          </cell>
          <cell r="B65" t="str">
            <v>SVCS - ACC - SOS -  Magstripe</v>
          </cell>
          <cell r="C65" t="str">
            <v>12 months on-site support for USB Magstripe Reader for Driver License</v>
          </cell>
          <cell r="D65">
            <v>16.5</v>
          </cell>
          <cell r="E65">
            <v>16.5</v>
          </cell>
          <cell r="F65">
            <v>0</v>
          </cell>
          <cell r="G65">
            <v>0</v>
          </cell>
          <cell r="H65">
            <v>15.62</v>
          </cell>
          <cell r="I65">
            <v>15.18</v>
          </cell>
          <cell r="J65">
            <v>15.18</v>
          </cell>
          <cell r="K65">
            <v>0.08</v>
          </cell>
          <cell r="L65" t="str">
            <v>Hardware</v>
          </cell>
          <cell r="M65" t="str">
            <v>Year</v>
          </cell>
        </row>
        <row r="66">
          <cell r="A66" t="str">
            <v>SVCS-ACC-SOS-BarC1</v>
          </cell>
          <cell r="B66" t="str">
            <v>SVCS - ACC - SOS -  Barcode reader 1D</v>
          </cell>
          <cell r="C66" t="str">
            <v>12 months on-site support for 1D barcode reader</v>
          </cell>
          <cell r="D66">
            <v>38.5</v>
          </cell>
          <cell r="E66">
            <v>38.5</v>
          </cell>
          <cell r="F66">
            <v>0</v>
          </cell>
          <cell r="G66">
            <v>0</v>
          </cell>
          <cell r="H66">
            <v>36.520000000000003</v>
          </cell>
          <cell r="I66">
            <v>35.42</v>
          </cell>
          <cell r="J66">
            <v>35.42</v>
          </cell>
          <cell r="K66">
            <v>0.08</v>
          </cell>
          <cell r="L66" t="str">
            <v>Hardware</v>
          </cell>
          <cell r="M66" t="str">
            <v>Year</v>
          </cell>
        </row>
        <row r="67">
          <cell r="A67" t="str">
            <v>SVCS-ACC-SOS-BarC2</v>
          </cell>
          <cell r="B67" t="str">
            <v>SVCS - ACC - SOS -  Barcode reader 2D</v>
          </cell>
          <cell r="C67" t="str">
            <v>12 months on-site support for 2D barcode reader</v>
          </cell>
          <cell r="D67">
            <v>71.5</v>
          </cell>
          <cell r="E67">
            <v>71.5</v>
          </cell>
          <cell r="F67">
            <v>0</v>
          </cell>
          <cell r="G67">
            <v>0</v>
          </cell>
          <cell r="H67">
            <v>67.760000000000005</v>
          </cell>
          <cell r="I67">
            <v>65.78</v>
          </cell>
          <cell r="J67">
            <v>65.78</v>
          </cell>
          <cell r="K67">
            <v>0.08</v>
          </cell>
          <cell r="L67" t="str">
            <v>Hardware</v>
          </cell>
          <cell r="M67" t="str">
            <v>Year</v>
          </cell>
        </row>
        <row r="68">
          <cell r="A68" t="str">
            <v>SVCS-ACC-SOS-PS</v>
          </cell>
          <cell r="B68" t="str">
            <v>SVCS - ACC - SOS -  Printer Simplex</v>
          </cell>
          <cell r="C68" t="str">
            <v>12 months on-site support for FBI Certified  Fingerprint Card Printer: Single-Sided Printer</v>
          </cell>
          <cell r="D68">
            <v>151.80000000000001</v>
          </cell>
          <cell r="E68">
            <v>151.80000000000001</v>
          </cell>
          <cell r="F68">
            <v>0</v>
          </cell>
          <cell r="G68">
            <v>0</v>
          </cell>
          <cell r="H68">
            <v>144.1</v>
          </cell>
          <cell r="I68">
            <v>139.47999999999999</v>
          </cell>
          <cell r="J68">
            <v>139.47999999999999</v>
          </cell>
          <cell r="K68">
            <v>0.08</v>
          </cell>
          <cell r="L68" t="str">
            <v>Hardware</v>
          </cell>
          <cell r="M68" t="str">
            <v>Year</v>
          </cell>
        </row>
        <row r="69">
          <cell r="A69" t="str">
            <v>SVCS-ACC-SOS-PD</v>
          </cell>
          <cell r="B69" t="str">
            <v>SVCS - ACC - SOS -  Printer Duplex</v>
          </cell>
          <cell r="C69" t="str">
            <v>12 months on-site support for FBI Certified  Fingerprint Card Printer: Dual-Sided Printer</v>
          </cell>
          <cell r="D69">
            <v>261.8</v>
          </cell>
          <cell r="E69">
            <v>261.8</v>
          </cell>
          <cell r="F69">
            <v>0</v>
          </cell>
          <cell r="G69">
            <v>0</v>
          </cell>
          <cell r="H69">
            <v>248.6</v>
          </cell>
          <cell r="I69">
            <v>240.68</v>
          </cell>
          <cell r="J69">
            <v>240.68</v>
          </cell>
          <cell r="K69">
            <v>0.08</v>
          </cell>
          <cell r="L69" t="str">
            <v>Hardware</v>
          </cell>
          <cell r="M69" t="str">
            <v>Year</v>
          </cell>
        </row>
        <row r="70">
          <cell r="A70" t="str">
            <v>SVCS-ACC-SOS-21T</v>
          </cell>
          <cell r="B70" t="str">
            <v>SVCS - ACC - SOS -  21" LCD Touch</v>
          </cell>
          <cell r="C70" t="str">
            <v>12 months on-site support for 21" Touch Screen LCD Monitor</v>
          </cell>
          <cell r="D70">
            <v>69.3</v>
          </cell>
          <cell r="E70">
            <v>69.3</v>
          </cell>
          <cell r="F70">
            <v>0</v>
          </cell>
          <cell r="G70">
            <v>0</v>
          </cell>
          <cell r="H70">
            <v>65.78</v>
          </cell>
          <cell r="I70">
            <v>63.58</v>
          </cell>
          <cell r="J70">
            <v>63.58</v>
          </cell>
          <cell r="K70">
            <v>0.08</v>
          </cell>
          <cell r="L70" t="str">
            <v>Hardware</v>
          </cell>
          <cell r="M70" t="str">
            <v>Year</v>
          </cell>
        </row>
        <row r="71">
          <cell r="A71" t="str">
            <v>SVCS-ACC-SOS-UPG-21T</v>
          </cell>
          <cell r="B71" t="str">
            <v>SVCS - ACC - SOS -  Upgrade to 21" LCD Touch</v>
          </cell>
          <cell r="C71" t="str">
            <v>12 months on-site support for Upgrade to 21" Touch Screen LCD Monitor</v>
          </cell>
          <cell r="D71">
            <v>93.5</v>
          </cell>
          <cell r="E71">
            <v>93.5</v>
          </cell>
          <cell r="F71">
            <v>0</v>
          </cell>
          <cell r="G71">
            <v>0</v>
          </cell>
          <cell r="H71">
            <v>88.66</v>
          </cell>
          <cell r="I71">
            <v>86.02</v>
          </cell>
          <cell r="J71">
            <v>86.02</v>
          </cell>
          <cell r="K71">
            <v>0.08</v>
          </cell>
          <cell r="L71" t="str">
            <v>Hardware</v>
          </cell>
          <cell r="M71" t="str">
            <v>Year</v>
          </cell>
        </row>
        <row r="72">
          <cell r="A72" t="str">
            <v>SVCS-ACC-SOS-USB-PEDAL</v>
          </cell>
          <cell r="B72" t="str">
            <v>SVCS - ACC - SOS -  USB Foot Pedal</v>
          </cell>
          <cell r="C72" t="str">
            <v>12 months on-site support for USB Foot Pedal for hands free operation</v>
          </cell>
          <cell r="D72">
            <v>36.299999999999997</v>
          </cell>
          <cell r="E72">
            <v>36.299999999999997</v>
          </cell>
          <cell r="F72">
            <v>0</v>
          </cell>
          <cell r="G72">
            <v>0</v>
          </cell>
          <cell r="H72">
            <v>34.32</v>
          </cell>
          <cell r="I72">
            <v>33.22</v>
          </cell>
          <cell r="J72">
            <v>33.22</v>
          </cell>
          <cell r="K72">
            <v>0.08</v>
          </cell>
          <cell r="L72" t="str">
            <v>Hardware</v>
          </cell>
          <cell r="M72" t="str">
            <v>Year</v>
          </cell>
        </row>
        <row r="73">
          <cell r="A73" t="str">
            <v>SVCS-ACC-SOS-CC-S</v>
          </cell>
          <cell r="B73" t="str">
            <v>SVCS - ACC - SOS -  Carry Case Small</v>
          </cell>
          <cell r="C73" t="str">
            <v>12 months on-site support for Small Pelican Case for TP LiveScan System (tenprint with laptop) with Anti-Static Foam Padding.</v>
          </cell>
          <cell r="D73">
            <v>97.9</v>
          </cell>
          <cell r="E73">
            <v>97.9</v>
          </cell>
          <cell r="F73">
            <v>0</v>
          </cell>
          <cell r="G73">
            <v>0</v>
          </cell>
          <cell r="H73">
            <v>92.84</v>
          </cell>
          <cell r="I73">
            <v>89.98</v>
          </cell>
          <cell r="J73">
            <v>89.98</v>
          </cell>
          <cell r="K73">
            <v>0.08</v>
          </cell>
          <cell r="L73" t="str">
            <v>Hardware</v>
          </cell>
          <cell r="M73" t="str">
            <v>Year</v>
          </cell>
        </row>
        <row r="74">
          <cell r="A74" t="str">
            <v>SVCS-ACC-SOS-CC-M</v>
          </cell>
          <cell r="B74" t="str">
            <v>SVCS - ACC - SOS -  Carry Case Medium</v>
          </cell>
          <cell r="C74" t="str">
            <v>12 months on-site support for Medium Pelican Case for TPP LiveScan System (laptop only), with Anti-Static Foam Padding.</v>
          </cell>
          <cell r="D74">
            <v>137.5</v>
          </cell>
          <cell r="E74">
            <v>137.5</v>
          </cell>
          <cell r="F74">
            <v>0</v>
          </cell>
          <cell r="G74">
            <v>0</v>
          </cell>
          <cell r="H74">
            <v>130.46</v>
          </cell>
          <cell r="I74">
            <v>126.5</v>
          </cell>
          <cell r="J74">
            <v>126.5</v>
          </cell>
          <cell r="K74">
            <v>0.08</v>
          </cell>
          <cell r="L74" t="str">
            <v>Hardware</v>
          </cell>
          <cell r="M74" t="str">
            <v>Year</v>
          </cell>
        </row>
        <row r="75">
          <cell r="A75" t="str">
            <v>SVCS-ACC-SOS-CC-L</v>
          </cell>
          <cell r="B75" t="str">
            <v>SVCS - ACC - SOS -  Carry Case Large</v>
          </cell>
          <cell r="C75" t="str">
            <v>12 months on-site support for Large Pelican Case for LiveScan System (laptop only), with Anti-Static Foam Padding.</v>
          </cell>
          <cell r="D75">
            <v>163.9</v>
          </cell>
          <cell r="E75">
            <v>163.9</v>
          </cell>
          <cell r="F75">
            <v>0</v>
          </cell>
          <cell r="G75">
            <v>0</v>
          </cell>
          <cell r="H75">
            <v>155.54</v>
          </cell>
          <cell r="I75">
            <v>150.69999999999999</v>
          </cell>
          <cell r="J75">
            <v>150.69999999999999</v>
          </cell>
          <cell r="K75">
            <v>0.08</v>
          </cell>
          <cell r="L75" t="str">
            <v>Hardware</v>
          </cell>
          <cell r="M75" t="str">
            <v>Year</v>
          </cell>
        </row>
        <row r="76">
          <cell r="A76" t="str">
            <v>SVCS-ACC-SOS-KIOSK</v>
          </cell>
          <cell r="B76" t="str">
            <v>SVCS - ACC - SOS -  Kiosk</v>
          </cell>
          <cell r="C76" t="str">
            <v>12 months on-site support for LS400 ergonomically designed all steel cabinet for any LS-Series LiveScan system.</v>
          </cell>
          <cell r="D76">
            <v>834.9</v>
          </cell>
          <cell r="E76">
            <v>834.9</v>
          </cell>
          <cell r="F76">
            <v>0</v>
          </cell>
          <cell r="G76">
            <v>0</v>
          </cell>
          <cell r="H76">
            <v>793.1</v>
          </cell>
          <cell r="I76">
            <v>768.02</v>
          </cell>
          <cell r="J76">
            <v>768.02</v>
          </cell>
          <cell r="K76">
            <v>0.08</v>
          </cell>
          <cell r="L76" t="str">
            <v>Hardware</v>
          </cell>
          <cell r="M76" t="str">
            <v>Year</v>
          </cell>
        </row>
        <row r="77">
          <cell r="A77" t="str">
            <v>SVCS-ACC-SOS-KIOSK-CE</v>
          </cell>
          <cell r="B77" t="str">
            <v>SVCS - ACC - SOS -  Kiosk - Camera Enclosure</v>
          </cell>
          <cell r="C77" t="str">
            <v>12 months on-site support for All steel camera enclosure for ACC-KIOSK, includes high-output ring flash</v>
          </cell>
          <cell r="D77">
            <v>181.5</v>
          </cell>
          <cell r="E77">
            <v>181.5</v>
          </cell>
          <cell r="F77">
            <v>0</v>
          </cell>
          <cell r="G77">
            <v>0</v>
          </cell>
          <cell r="H77">
            <v>172.26</v>
          </cell>
          <cell r="I77">
            <v>166.98</v>
          </cell>
          <cell r="J77">
            <v>166.98</v>
          </cell>
          <cell r="K77">
            <v>0.08</v>
          </cell>
          <cell r="L77" t="str">
            <v>Hardware</v>
          </cell>
          <cell r="M77" t="str">
            <v>Year</v>
          </cell>
        </row>
        <row r="78">
          <cell r="I78">
            <v>0</v>
          </cell>
          <cell r="J78">
            <v>0</v>
          </cell>
          <cell r="K78">
            <v>0</v>
          </cell>
          <cell r="L78">
            <v>0</v>
          </cell>
          <cell r="M78">
            <v>0</v>
          </cell>
        </row>
        <row r="79">
          <cell r="A79" t="str">
            <v>SOFTWARE</v>
          </cell>
          <cell r="B79">
            <v>0</v>
          </cell>
          <cell r="C79">
            <v>0</v>
          </cell>
          <cell r="D79">
            <v>0</v>
          </cell>
          <cell r="E79">
            <v>0</v>
          </cell>
          <cell r="F79">
            <v>0</v>
          </cell>
          <cell r="G79">
            <v>0</v>
          </cell>
          <cell r="H79">
            <v>0</v>
          </cell>
          <cell r="I79">
            <v>0</v>
          </cell>
          <cell r="J79">
            <v>0</v>
          </cell>
          <cell r="K79">
            <v>0</v>
          </cell>
          <cell r="L79">
            <v>0</v>
          </cell>
          <cell r="M79">
            <v>0</v>
          </cell>
        </row>
        <row r="80">
          <cell r="A80" t="str">
            <v>SVCS-SW-SR-LS200</v>
          </cell>
          <cell r="B80" t="str">
            <v>SVCS - SW - SR - LS - LS200 LiveScan Software License</v>
          </cell>
          <cell r="C80" t="str">
            <v>12 months remote support for LS Series Livescan, includes: help-desk support and software upgrades for LS200 Applicant LiveScan Software License: single Type of Transaction (TOT), single submission package</v>
          </cell>
          <cell r="D80">
            <v>257.39999999999998</v>
          </cell>
          <cell r="E80">
            <v>281.39999999999998</v>
          </cell>
          <cell r="F80">
            <v>0</v>
          </cell>
          <cell r="G80">
            <v>0</v>
          </cell>
          <cell r="H80">
            <v>218.76</v>
          </cell>
          <cell r="I80">
            <v>195.6</v>
          </cell>
          <cell r="J80">
            <v>195.6</v>
          </cell>
          <cell r="K80">
            <v>0.24</v>
          </cell>
          <cell r="L80" t="str">
            <v>Software</v>
          </cell>
          <cell r="M80" t="str">
            <v>Year</v>
          </cell>
        </row>
        <row r="81">
          <cell r="A81" t="str">
            <v>SVCS-SW-SR-LS300</v>
          </cell>
          <cell r="B81" t="str">
            <v>SVCS - SW - SR - LS - LS300  LiveScan Software License</v>
          </cell>
          <cell r="C81" t="str">
            <v>12 months remote support for LS Series Livescan, includes: help-desk support and software upgrades for LS 300 Criminal LiveScan Software License: single Type of Transaction (TOT), single submission package</v>
          </cell>
          <cell r="D81">
            <v>515.4</v>
          </cell>
          <cell r="E81">
            <v>515.4</v>
          </cell>
          <cell r="F81">
            <v>0</v>
          </cell>
          <cell r="G81">
            <v>0</v>
          </cell>
          <cell r="H81">
            <v>438</v>
          </cell>
          <cell r="I81">
            <v>391.68</v>
          </cell>
          <cell r="J81">
            <v>391.68</v>
          </cell>
          <cell r="K81">
            <v>0.24</v>
          </cell>
          <cell r="L81" t="str">
            <v>Software</v>
          </cell>
          <cell r="M81" t="str">
            <v>Year</v>
          </cell>
        </row>
        <row r="82">
          <cell r="A82" t="str">
            <v>SVCS-SW-SR-LSPC</v>
          </cell>
          <cell r="B82" t="str">
            <v>SVCS - SW - SR - LS - Photo Capture Software License</v>
          </cell>
          <cell r="C82" t="str">
            <v>12 months remote support for LS Series Livescan, includes: help-desk support and software upgrades for Integrated Photo Capture Software License for any LS-Series LiveScan system.</v>
          </cell>
          <cell r="D82">
            <v>419.4</v>
          </cell>
          <cell r="E82">
            <v>419.4</v>
          </cell>
          <cell r="F82">
            <v>0</v>
          </cell>
          <cell r="G82">
            <v>0</v>
          </cell>
          <cell r="H82">
            <v>356.4</v>
          </cell>
          <cell r="I82">
            <v>318.71999999999997</v>
          </cell>
          <cell r="J82">
            <v>318.71999999999997</v>
          </cell>
          <cell r="K82">
            <v>0.24</v>
          </cell>
          <cell r="L82" t="str">
            <v>Software</v>
          </cell>
          <cell r="M82" t="str">
            <v>Year</v>
          </cell>
        </row>
        <row r="83">
          <cell r="A83" t="str">
            <v>SVCS-SW-SR-LS-ADD-TOT</v>
          </cell>
          <cell r="B83" t="str">
            <v>SVCS - SW - SR - LS - Additional LiveScan TOT License</v>
          </cell>
          <cell r="C83" t="str">
            <v>12 months remote support for LS Series Livescan, includes: help-desk support and software upgrades for Additional Type of Transaction (TOT), must be combined with LS-Series LiveScan system.</v>
          </cell>
          <cell r="D83">
            <v>119.39999999999999</v>
          </cell>
          <cell r="E83">
            <v>119.39999999999999</v>
          </cell>
          <cell r="F83">
            <v>0</v>
          </cell>
          <cell r="G83">
            <v>0</v>
          </cell>
          <cell r="H83">
            <v>101.39999999999999</v>
          </cell>
          <cell r="I83">
            <v>90.72</v>
          </cell>
          <cell r="J83">
            <v>90.72</v>
          </cell>
          <cell r="K83">
            <v>0.24</v>
          </cell>
          <cell r="L83" t="str">
            <v>Software</v>
          </cell>
          <cell r="M83" t="str">
            <v>Year</v>
          </cell>
        </row>
        <row r="84">
          <cell r="A84" t="str">
            <v>SVCS-SW-SR-LS-ADD-PC</v>
          </cell>
          <cell r="B84" t="str">
            <v>SVCS - SW - SR - LS - Photo Capture License</v>
          </cell>
          <cell r="C84" t="str">
            <v>12 months remote support for LS Series Livescan, includes: help-desk support and software upgrades for Photo Capture, must be combined with LS-Series LiveScan system.</v>
          </cell>
          <cell r="D84">
            <v>119.39999999999999</v>
          </cell>
          <cell r="E84">
            <v>119.39999999999999</v>
          </cell>
          <cell r="F84">
            <v>0</v>
          </cell>
          <cell r="G84">
            <v>0</v>
          </cell>
          <cell r="H84">
            <v>101.39999999999999</v>
          </cell>
          <cell r="I84">
            <v>90.72</v>
          </cell>
          <cell r="J84">
            <v>90.72</v>
          </cell>
          <cell r="K84">
            <v>0.24</v>
          </cell>
          <cell r="L84" t="str">
            <v>Software</v>
          </cell>
          <cell r="M84" t="str">
            <v>Year</v>
          </cell>
        </row>
        <row r="85">
          <cell r="A85" t="str">
            <v>SVCS-SW-SR-LS-ADD-FBS</v>
          </cell>
          <cell r="B85" t="str">
            <v>SVCS - SW - SR - LS - Flatbed Scanning License</v>
          </cell>
          <cell r="C85" t="str">
            <v>12 months remote support for LS Series Livescan, includes: help-desk support and software upgrades for Flatbed Scanning, must be combined with LS-Series LiveScan system.</v>
          </cell>
          <cell r="D85">
            <v>119.39999999999999</v>
          </cell>
          <cell r="E85">
            <v>119.39999999999999</v>
          </cell>
          <cell r="F85">
            <v>0</v>
          </cell>
          <cell r="G85">
            <v>0</v>
          </cell>
          <cell r="H85">
            <v>101.39999999999999</v>
          </cell>
          <cell r="I85">
            <v>90.72</v>
          </cell>
          <cell r="J85">
            <v>90.72</v>
          </cell>
          <cell r="K85">
            <v>0.24</v>
          </cell>
          <cell r="L85" t="str">
            <v>Software</v>
          </cell>
          <cell r="M85" t="str">
            <v>Year</v>
          </cell>
        </row>
        <row r="86">
          <cell r="A86" t="str">
            <v>SVCS-SW-SR-LSCON</v>
          </cell>
          <cell r="B86" t="str">
            <v>SVCS - SW - SR - LS - Additional Connectivity License</v>
          </cell>
          <cell r="C86" t="str">
            <v>12 months remote support for LS Series Livescan, includes: help-desk support and software upgrades for Additional Connectivity and/or Submission license for any LS-Series LiveScan system.</v>
          </cell>
          <cell r="D86">
            <v>39</v>
          </cell>
          <cell r="E86">
            <v>39</v>
          </cell>
          <cell r="F86">
            <v>0</v>
          </cell>
          <cell r="G86">
            <v>0</v>
          </cell>
          <cell r="H86">
            <v>33.119999999999997</v>
          </cell>
          <cell r="I86">
            <v>29.64</v>
          </cell>
          <cell r="J86">
            <v>29.64</v>
          </cell>
          <cell r="K86">
            <v>0.24</v>
          </cell>
          <cell r="L86" t="str">
            <v>Software</v>
          </cell>
          <cell r="M86" t="str">
            <v>Year</v>
          </cell>
        </row>
        <row r="87">
          <cell r="A87" t="str">
            <v>SVCS-SW-SR-LSINT1</v>
          </cell>
          <cell r="B87" t="str">
            <v>SVCS - SW - SR - LS - Foreign System Data Interface (one way)</v>
          </cell>
          <cell r="C87" t="str">
            <v>12 months remote support for LS Series Livescan, includes: help-desk support and software upgrades for LiveScan data interface with foreign systems for one way data exchange (input or output) - configuration fee may apply on low volume</v>
          </cell>
          <cell r="D87">
            <v>31.2</v>
          </cell>
          <cell r="E87">
            <v>31.2</v>
          </cell>
          <cell r="F87">
            <v>0</v>
          </cell>
          <cell r="G87">
            <v>0</v>
          </cell>
          <cell r="H87">
            <v>26.52</v>
          </cell>
          <cell r="I87">
            <v>23.64</v>
          </cell>
          <cell r="J87">
            <v>23.64</v>
          </cell>
          <cell r="K87">
            <v>0.24</v>
          </cell>
          <cell r="L87" t="str">
            <v>Software</v>
          </cell>
          <cell r="M87" t="str">
            <v>Year</v>
          </cell>
        </row>
        <row r="88">
          <cell r="A88" t="str">
            <v>SVCS-SW-SR-LSINT2</v>
          </cell>
          <cell r="B88" t="str">
            <v>SVCS - SW - SR - LS - Foreign System Data Interface (two way)</v>
          </cell>
          <cell r="C88" t="str">
            <v>12 months remote support for LS Series Livescan, includes: help-desk support and software upgrades for LiveScan data interface with foreign systems for two way data exchange (input and output) - Configuration fee may apply on low volume</v>
          </cell>
          <cell r="D88">
            <v>47.4</v>
          </cell>
          <cell r="E88">
            <v>47.4</v>
          </cell>
          <cell r="F88">
            <v>0</v>
          </cell>
          <cell r="G88">
            <v>0</v>
          </cell>
          <cell r="H88">
            <v>40.199999999999996</v>
          </cell>
          <cell r="I88">
            <v>36</v>
          </cell>
          <cell r="J88">
            <v>36</v>
          </cell>
          <cell r="K88">
            <v>0.24</v>
          </cell>
          <cell r="L88" t="str">
            <v>Software</v>
          </cell>
          <cell r="M88" t="str">
            <v>Year</v>
          </cell>
        </row>
        <row r="89">
          <cell r="A89" t="str">
            <v>SVCS-SW-SR-LSID</v>
          </cell>
          <cell r="B89" t="str">
            <v>SVCS - SW - SR - LS - ID Processing Software License</v>
          </cell>
          <cell r="C89" t="str">
            <v>12 months remote support for LS Series Livescan, includes: help-desk support and software upgrades for Software License to process identification (Driver's License, State ID's, etc…) for any LS-Series LiveScan system.</v>
          </cell>
          <cell r="D89">
            <v>25.8</v>
          </cell>
          <cell r="E89">
            <v>25.8</v>
          </cell>
          <cell r="F89">
            <v>0</v>
          </cell>
          <cell r="G89">
            <v>0</v>
          </cell>
          <cell r="H89">
            <v>21.84</v>
          </cell>
          <cell r="I89">
            <v>19.559999999999999</v>
          </cell>
          <cell r="J89">
            <v>19.559999999999999</v>
          </cell>
          <cell r="K89">
            <v>0.24</v>
          </cell>
          <cell r="L89" t="str">
            <v>Software</v>
          </cell>
          <cell r="M89" t="str">
            <v>Year</v>
          </cell>
        </row>
        <row r="90">
          <cell r="A90" t="str">
            <v>SVCS-SW-SR-LSSC</v>
          </cell>
          <cell r="B90" t="str">
            <v>SVCS - SW - SR - LS - Signature Capture Software License</v>
          </cell>
          <cell r="C90" t="str">
            <v>12 months remote support for LS Series Livescan, includes: help-desk support and software upgrades for Integrated Signature Capture Software License for any LS-Series LiveScan system.</v>
          </cell>
          <cell r="D90">
            <v>10.199999999999999</v>
          </cell>
          <cell r="E90">
            <v>10.199999999999999</v>
          </cell>
          <cell r="F90">
            <v>0</v>
          </cell>
          <cell r="G90">
            <v>0</v>
          </cell>
          <cell r="H90">
            <v>8.64</v>
          </cell>
          <cell r="I90">
            <v>7.68</v>
          </cell>
          <cell r="J90">
            <v>7.68</v>
          </cell>
          <cell r="K90">
            <v>0.24</v>
          </cell>
          <cell r="L90" t="str">
            <v>Software</v>
          </cell>
          <cell r="M90" t="str">
            <v>Year</v>
          </cell>
        </row>
        <row r="91">
          <cell r="A91" t="str">
            <v>SVCS-SW-SR-LSPS</v>
          </cell>
          <cell r="B91" t="str">
            <v>SVCS - SW - SR - LS - Printer Software</v>
          </cell>
          <cell r="C91" t="str">
            <v>12 months remote support for LS Series Livescan, includes: help-desk support and software upgrades for Printer Software License for Standard Print Formats for any LS-Series LiveScan system.</v>
          </cell>
          <cell r="D91">
            <v>31.2</v>
          </cell>
          <cell r="E91">
            <v>31.2</v>
          </cell>
          <cell r="F91">
            <v>0</v>
          </cell>
          <cell r="G91">
            <v>0</v>
          </cell>
          <cell r="H91">
            <v>26.52</v>
          </cell>
          <cell r="I91">
            <v>23.64</v>
          </cell>
          <cell r="J91">
            <v>23.64</v>
          </cell>
          <cell r="K91">
            <v>0.24</v>
          </cell>
          <cell r="L91" t="str">
            <v>Software</v>
          </cell>
          <cell r="M91" t="str">
            <v>Year</v>
          </cell>
        </row>
        <row r="92">
          <cell r="A92" t="str">
            <v>SVCS-SW-SR-CMS</v>
          </cell>
          <cell r="B92" t="str">
            <v>SVCS - SW - SR - CMS - Software License</v>
          </cell>
          <cell r="C92" t="str">
            <v>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92">
            <v>1215</v>
          </cell>
          <cell r="E92">
            <v>1215</v>
          </cell>
          <cell r="F92">
            <v>0</v>
          </cell>
          <cell r="G92">
            <v>0</v>
          </cell>
          <cell r="H92">
            <v>1032.72</v>
          </cell>
          <cell r="I92">
            <v>923.4</v>
          </cell>
          <cell r="J92">
            <v>923.4</v>
          </cell>
          <cell r="K92">
            <v>0.24</v>
          </cell>
          <cell r="L92" t="str">
            <v>Software</v>
          </cell>
          <cell r="M92" t="str">
            <v>Year</v>
          </cell>
        </row>
        <row r="93">
          <cell r="A93" t="str">
            <v>SVCS-SW-SR-CMS10CON</v>
          </cell>
          <cell r="B93" t="str">
            <v>SVCS - SW - SR - CMS - Add-On 10 Connection License</v>
          </cell>
          <cell r="C93" t="str">
            <v>12 months remote support for LS Series Livescan, includes: help-desk support and software upgrades for 10 additional LiveScan connections license for CMS Software</v>
          </cell>
          <cell r="D93">
            <v>155.4</v>
          </cell>
          <cell r="E93">
            <v>155.4</v>
          </cell>
          <cell r="F93">
            <v>0</v>
          </cell>
          <cell r="G93">
            <v>0</v>
          </cell>
          <cell r="H93">
            <v>132</v>
          </cell>
          <cell r="I93">
            <v>118.08</v>
          </cell>
          <cell r="J93">
            <v>118.08</v>
          </cell>
          <cell r="K93">
            <v>0.24</v>
          </cell>
          <cell r="L93" t="str">
            <v>Software</v>
          </cell>
          <cell r="M93" t="str">
            <v>Year</v>
          </cell>
        </row>
        <row r="94">
          <cell r="A94" t="str">
            <v>SVCS-SW-SR-CMS1000TP</v>
          </cell>
          <cell r="B94" t="str">
            <v>SVCS - SW - SR - CMS - Add-On 1,000 Throughput License</v>
          </cell>
          <cell r="C94" t="str">
            <v>12 months remote support for LS Series Livescan, includes: help-desk support and software upgrades for 1,000 additional monthly transaction throughput license for CMS Software</v>
          </cell>
          <cell r="D94">
            <v>79.2</v>
          </cell>
          <cell r="E94">
            <v>79.2</v>
          </cell>
          <cell r="F94">
            <v>0</v>
          </cell>
          <cell r="G94">
            <v>0</v>
          </cell>
          <cell r="H94">
            <v>67.319999999999993</v>
          </cell>
          <cell r="I94">
            <v>60.12</v>
          </cell>
          <cell r="J94">
            <v>60.12</v>
          </cell>
          <cell r="K94">
            <v>0.24</v>
          </cell>
          <cell r="L94" t="str">
            <v>Software</v>
          </cell>
          <cell r="M94" t="str">
            <v>Year</v>
          </cell>
        </row>
        <row r="95">
          <cell r="A95" t="str">
            <v>SVCS-SW-SR-CMS5000S</v>
          </cell>
          <cell r="B95" t="str">
            <v>SVCS - SW - SR - CMS - Add-On 5,000 Archive Storage License</v>
          </cell>
          <cell r="C95" t="str">
            <v>12 months remote support for LS Series Livescan, includes: help-desk support and software upgrades for 5,000 additional transaction storage for CMS Software.</v>
          </cell>
          <cell r="D95">
            <v>31.2</v>
          </cell>
          <cell r="E95">
            <v>31.2</v>
          </cell>
          <cell r="F95">
            <v>0</v>
          </cell>
          <cell r="G95">
            <v>0</v>
          </cell>
          <cell r="H95">
            <v>26.52</v>
          </cell>
          <cell r="I95">
            <v>23.64</v>
          </cell>
          <cell r="J95">
            <v>23.64</v>
          </cell>
          <cell r="K95">
            <v>0.24</v>
          </cell>
          <cell r="L95" t="str">
            <v>Software</v>
          </cell>
          <cell r="M95" t="str">
            <v>Year</v>
          </cell>
        </row>
        <row r="96">
          <cell r="A96" t="str">
            <v>SVCS-SW-SR-CMSINT1</v>
          </cell>
          <cell r="B96" t="str">
            <v>SVCS - SW - SR - CMS - Foreign System Data Interface (one way)</v>
          </cell>
          <cell r="C96" t="str">
            <v>12 months remote support for LS Series Livescan, includes: help-desk support and software upgrades for CMS data interface with foreign systems for one way data exchange (input or output)</v>
          </cell>
          <cell r="D96">
            <v>779.4</v>
          </cell>
          <cell r="E96">
            <v>779.4</v>
          </cell>
          <cell r="F96">
            <v>0</v>
          </cell>
          <cell r="G96">
            <v>0</v>
          </cell>
          <cell r="H96">
            <v>662.4</v>
          </cell>
          <cell r="I96">
            <v>592.31999999999994</v>
          </cell>
          <cell r="J96">
            <v>592.31999999999994</v>
          </cell>
          <cell r="K96">
            <v>0.24</v>
          </cell>
          <cell r="L96" t="str">
            <v>Software</v>
          </cell>
          <cell r="M96" t="str">
            <v>Year</v>
          </cell>
        </row>
        <row r="97">
          <cell r="A97" t="str">
            <v>SVCS-SW-SR-CMSINT2</v>
          </cell>
          <cell r="B97" t="str">
            <v>SVCS - SW - SR - CMS - Foreign System Data Interface (two way)</v>
          </cell>
          <cell r="C97" t="str">
            <v>12 months remote support for LS Series Livescan, includes: help-desk support and software upgrades for CMS data interface with foreign systems for two way data exchange (input and output)</v>
          </cell>
          <cell r="D97">
            <v>1379.3999999999999</v>
          </cell>
          <cell r="E97">
            <v>1379.3999999999999</v>
          </cell>
          <cell r="F97">
            <v>0</v>
          </cell>
          <cell r="G97">
            <v>0</v>
          </cell>
          <cell r="H97">
            <v>1172.3999999999999</v>
          </cell>
          <cell r="I97">
            <v>1048.32</v>
          </cell>
          <cell r="J97">
            <v>1048.32</v>
          </cell>
          <cell r="K97">
            <v>0.24</v>
          </cell>
          <cell r="L97" t="str">
            <v>Software</v>
          </cell>
          <cell r="M97" t="str">
            <v>Year</v>
          </cell>
        </row>
        <row r="98">
          <cell r="A98">
            <v>0</v>
          </cell>
          <cell r="B98">
            <v>0</v>
          </cell>
          <cell r="C98">
            <v>0</v>
          </cell>
          <cell r="D98">
            <v>0</v>
          </cell>
          <cell r="E98">
            <v>0</v>
          </cell>
          <cell r="F98">
            <v>0</v>
          </cell>
          <cell r="G98">
            <v>0</v>
          </cell>
          <cell r="H98">
            <v>0</v>
          </cell>
          <cell r="I98">
            <v>0</v>
          </cell>
          <cell r="J98">
            <v>0</v>
          </cell>
          <cell r="K98">
            <v>0</v>
          </cell>
          <cell r="L98">
            <v>0</v>
          </cell>
          <cell r="M98">
            <v>0</v>
          </cell>
        </row>
        <row r="99">
          <cell r="A99" t="str">
            <v>SVCS-SW-SOS-LS200</v>
          </cell>
          <cell r="B99" t="str">
            <v>SVCS - SW - SOS - LS - LS200 LiveScan Software License</v>
          </cell>
          <cell r="C99" t="str">
            <v>12 months on-site support for LS Series Livescan, includes: help-desk support and software upgrades for LS200 Applicant LiveScan Software License: single Type of Transaction (TOT), single submission package</v>
          </cell>
          <cell r="D99">
            <v>471.9</v>
          </cell>
          <cell r="E99">
            <v>515.9</v>
          </cell>
          <cell r="F99">
            <v>0</v>
          </cell>
          <cell r="G99">
            <v>0</v>
          </cell>
          <cell r="H99">
            <v>401.06</v>
          </cell>
          <cell r="I99">
            <v>358.6</v>
          </cell>
          <cell r="J99">
            <v>358.6</v>
          </cell>
          <cell r="K99">
            <v>0.24</v>
          </cell>
          <cell r="L99" t="str">
            <v>Software</v>
          </cell>
          <cell r="M99" t="str">
            <v>Year</v>
          </cell>
        </row>
        <row r="100">
          <cell r="A100" t="str">
            <v>SVCS-SW-SOS-LS300</v>
          </cell>
          <cell r="B100" t="str">
            <v>SVCS - SW - SOS - LS - LS300  LiveScan Software License</v>
          </cell>
          <cell r="C100" t="str">
            <v>12 months on-site support for LS Series Livescan, includes: help-desk support and software upgrades for LS 300 Criminal LiveScan Software License: single Type of Transaction (TOT), single submission package</v>
          </cell>
          <cell r="D100">
            <v>944.9</v>
          </cell>
          <cell r="E100">
            <v>944.9</v>
          </cell>
          <cell r="F100">
            <v>0</v>
          </cell>
          <cell r="G100">
            <v>0</v>
          </cell>
          <cell r="H100">
            <v>803</v>
          </cell>
          <cell r="I100">
            <v>718.08</v>
          </cell>
          <cell r="J100">
            <v>718.08</v>
          </cell>
          <cell r="K100">
            <v>0.24</v>
          </cell>
          <cell r="L100" t="str">
            <v>Software</v>
          </cell>
          <cell r="M100" t="str">
            <v>Year</v>
          </cell>
        </row>
        <row r="101">
          <cell r="A101" t="str">
            <v>SVCS-SW-SOS-LSPC</v>
          </cell>
          <cell r="B101" t="str">
            <v>SVCS - SW - SOS - LS - Photo Capture Software License</v>
          </cell>
          <cell r="C101" t="str">
            <v>12 months on-site support for LS Series Livescan, includes: help-desk support and software upgrades for Integrated Photo Capture Software License for any LS-Series LiveScan system.</v>
          </cell>
          <cell r="D101">
            <v>768.9</v>
          </cell>
          <cell r="E101">
            <v>768.9</v>
          </cell>
          <cell r="F101">
            <v>0</v>
          </cell>
          <cell r="G101">
            <v>0</v>
          </cell>
          <cell r="H101">
            <v>653.4</v>
          </cell>
          <cell r="I101">
            <v>584.32000000000005</v>
          </cell>
          <cell r="J101">
            <v>584.32000000000005</v>
          </cell>
          <cell r="K101">
            <v>0.24</v>
          </cell>
          <cell r="L101" t="str">
            <v>Software</v>
          </cell>
          <cell r="M101" t="str">
            <v>Year</v>
          </cell>
        </row>
        <row r="102">
          <cell r="A102" t="str">
            <v>SVCS-SW-SOS-LS-ADD-TOT</v>
          </cell>
          <cell r="B102" t="str">
            <v>SVCS - SW - SOS - LS - Additional LiveScan TOT License</v>
          </cell>
          <cell r="C102" t="str">
            <v>12 months on-site support for LS Series Livescan, includes: help-desk support and software upgrades for Additional Type of Transaction (TOT), must be combined with LS-Series LiveScan system.</v>
          </cell>
          <cell r="D102">
            <v>218.9</v>
          </cell>
          <cell r="E102">
            <v>218.9</v>
          </cell>
          <cell r="F102">
            <v>0</v>
          </cell>
          <cell r="G102">
            <v>0</v>
          </cell>
          <cell r="H102">
            <v>185.9</v>
          </cell>
          <cell r="I102">
            <v>166.32</v>
          </cell>
          <cell r="J102">
            <v>166.32</v>
          </cell>
          <cell r="K102">
            <v>0.24</v>
          </cell>
          <cell r="L102" t="str">
            <v>Software</v>
          </cell>
          <cell r="M102" t="str">
            <v>Year</v>
          </cell>
        </row>
        <row r="103">
          <cell r="A103" t="str">
            <v>SVCS-SW-SOS-LS-ADD-PC</v>
          </cell>
          <cell r="B103" t="str">
            <v>SVCS - SW - SOS - LS - Photo Capture License</v>
          </cell>
          <cell r="C103" t="str">
            <v>12 months on-site support for LS Series Livescan, includes: help-desk support and software upgrades for Photo Capture, must be combined with LS-Series LiveScan system.</v>
          </cell>
          <cell r="D103">
            <v>218.9</v>
          </cell>
          <cell r="E103">
            <v>218.9</v>
          </cell>
          <cell r="F103">
            <v>0</v>
          </cell>
          <cell r="G103">
            <v>0</v>
          </cell>
          <cell r="H103">
            <v>185.9</v>
          </cell>
          <cell r="I103">
            <v>166.32</v>
          </cell>
          <cell r="J103">
            <v>166.32</v>
          </cell>
          <cell r="K103">
            <v>0.24</v>
          </cell>
          <cell r="L103" t="str">
            <v>Software</v>
          </cell>
          <cell r="M103" t="str">
            <v>Year</v>
          </cell>
        </row>
        <row r="104">
          <cell r="A104" t="str">
            <v>SVCS-SW-SOS-LS-ADD-FBS</v>
          </cell>
          <cell r="B104" t="str">
            <v>SVCS - SW - SOS - LS - Flatbed Scanning License</v>
          </cell>
          <cell r="C104" t="str">
            <v>12 months on-site support for LS Series Livescan, includes: help-desk support and software upgrades for Flatbed Scanning, must be combined with LS-Series LiveScan system.</v>
          </cell>
          <cell r="D104">
            <v>218.9</v>
          </cell>
          <cell r="E104">
            <v>218.9</v>
          </cell>
          <cell r="F104">
            <v>0</v>
          </cell>
          <cell r="G104">
            <v>0</v>
          </cell>
          <cell r="H104">
            <v>185.9</v>
          </cell>
          <cell r="I104">
            <v>166.32</v>
          </cell>
          <cell r="J104">
            <v>166.32</v>
          </cell>
          <cell r="K104">
            <v>0.24</v>
          </cell>
          <cell r="L104" t="str">
            <v>Software</v>
          </cell>
          <cell r="M104" t="str">
            <v>Year</v>
          </cell>
        </row>
        <row r="105">
          <cell r="A105" t="str">
            <v>SVCS-SW-SOS-LSCON</v>
          </cell>
          <cell r="B105" t="str">
            <v>SVCS - SW - SOS - LS - Additional Connectivity License</v>
          </cell>
          <cell r="C105" t="str">
            <v>12 months on-site support for LS Series Livescan, includes: help-desk support and software upgrades for Additional Connectivity and/or Submission license for any LS-Series LiveScan system.</v>
          </cell>
          <cell r="D105">
            <v>71.5</v>
          </cell>
          <cell r="E105">
            <v>71.5</v>
          </cell>
          <cell r="F105">
            <v>0</v>
          </cell>
          <cell r="G105">
            <v>0</v>
          </cell>
          <cell r="H105">
            <v>60.72</v>
          </cell>
          <cell r="I105">
            <v>54.34</v>
          </cell>
          <cell r="J105">
            <v>54.34</v>
          </cell>
          <cell r="K105">
            <v>0.24</v>
          </cell>
          <cell r="L105" t="str">
            <v>Software</v>
          </cell>
          <cell r="M105" t="str">
            <v>Year</v>
          </cell>
        </row>
        <row r="106">
          <cell r="A106" t="str">
            <v>SVCS-SW-SOS-LSINT1</v>
          </cell>
          <cell r="B106" t="str">
            <v>SVCS - SW - SOS - LS - Foreign System Data Interface (one way)</v>
          </cell>
          <cell r="C106" t="str">
            <v>12 months on-site support for LS Series Livescan, includes: help-desk support and software upgrades for LiveScan data interface with foreign systems for one way data exchange (input or output) - configuration fee may apply on low volume</v>
          </cell>
          <cell r="D106">
            <v>57.2</v>
          </cell>
          <cell r="E106">
            <v>57.2</v>
          </cell>
          <cell r="F106">
            <v>0</v>
          </cell>
          <cell r="G106">
            <v>0</v>
          </cell>
          <cell r="H106">
            <v>48.62</v>
          </cell>
          <cell r="I106">
            <v>43.34</v>
          </cell>
          <cell r="J106">
            <v>43.34</v>
          </cell>
          <cell r="K106">
            <v>0.24</v>
          </cell>
          <cell r="L106" t="str">
            <v>Software</v>
          </cell>
          <cell r="M106" t="str">
            <v>Year</v>
          </cell>
        </row>
        <row r="107">
          <cell r="A107" t="str">
            <v>SVCS-SW-SOS-LSINT2</v>
          </cell>
          <cell r="B107" t="str">
            <v>SVCS - SW - SOS - LS - Foreign System Data Interface (two way)</v>
          </cell>
          <cell r="C107" t="str">
            <v>12 months on-site support for LS Series Livescan, includes: help-desk support and software upgrades for LiveScan data interface with foreign systems for two way data exchange (input and output) - Configuration fee may apply on low volume</v>
          </cell>
          <cell r="D107">
            <v>86.9</v>
          </cell>
          <cell r="E107">
            <v>86.9</v>
          </cell>
          <cell r="F107">
            <v>0</v>
          </cell>
          <cell r="G107">
            <v>0</v>
          </cell>
          <cell r="H107">
            <v>73.7</v>
          </cell>
          <cell r="I107">
            <v>66</v>
          </cell>
          <cell r="J107">
            <v>66</v>
          </cell>
          <cell r="K107">
            <v>0.24</v>
          </cell>
          <cell r="L107" t="str">
            <v>Software</v>
          </cell>
          <cell r="M107" t="str">
            <v>Year</v>
          </cell>
        </row>
        <row r="108">
          <cell r="A108" t="str">
            <v>SVCS-SW-SOS-LSID</v>
          </cell>
          <cell r="B108" t="str">
            <v>SVCS - SW - SOS - LS - ID Processing Software License</v>
          </cell>
          <cell r="C108" t="str">
            <v>12 months on-site support for LS Series Livescan, includes: help-desk support and software upgrades for Software License to process identification (Driver's License, State ID's, etc…) for any LS-Series LiveScan system.</v>
          </cell>
          <cell r="D108">
            <v>47.3</v>
          </cell>
          <cell r="E108">
            <v>47.3</v>
          </cell>
          <cell r="F108">
            <v>0</v>
          </cell>
          <cell r="G108">
            <v>0</v>
          </cell>
          <cell r="H108">
            <v>40.04</v>
          </cell>
          <cell r="I108">
            <v>35.86</v>
          </cell>
          <cell r="J108">
            <v>35.86</v>
          </cell>
          <cell r="K108">
            <v>0.24</v>
          </cell>
          <cell r="L108" t="str">
            <v>Software</v>
          </cell>
          <cell r="M108" t="str">
            <v>Year</v>
          </cell>
        </row>
        <row r="109">
          <cell r="A109" t="str">
            <v>SVCS-SW-SOS-LSSC</v>
          </cell>
          <cell r="B109" t="str">
            <v>SVCS - SW - SOS - LS - Signature Capture Software License</v>
          </cell>
          <cell r="C109" t="str">
            <v>12 months on-site support for LS Series Livescan, includes: help-desk support and software upgrades for Integrated Signature Capture Software License for any LS-Series LiveScan system.</v>
          </cell>
          <cell r="D109">
            <v>18.7</v>
          </cell>
          <cell r="E109">
            <v>18.7</v>
          </cell>
          <cell r="F109">
            <v>0</v>
          </cell>
          <cell r="G109">
            <v>0</v>
          </cell>
          <cell r="H109">
            <v>15.84</v>
          </cell>
          <cell r="I109">
            <v>14.08</v>
          </cell>
          <cell r="J109">
            <v>14.08</v>
          </cell>
          <cell r="K109">
            <v>0.24</v>
          </cell>
          <cell r="L109" t="str">
            <v>Software</v>
          </cell>
          <cell r="M109" t="str">
            <v>Year</v>
          </cell>
        </row>
        <row r="110">
          <cell r="A110" t="str">
            <v>SVCS-SW-SOS-LSPS</v>
          </cell>
          <cell r="B110" t="str">
            <v>SVCS - SW - SOS - LS - Printer Software</v>
          </cell>
          <cell r="C110" t="str">
            <v>12 months on-site support for LS Series Livescan, includes: help-desk support and software upgrades for Printer Software License for Standard Print Formats for any LS-Series LiveScan system.</v>
          </cell>
          <cell r="D110">
            <v>57.2</v>
          </cell>
          <cell r="E110">
            <v>57.2</v>
          </cell>
          <cell r="F110">
            <v>0</v>
          </cell>
          <cell r="G110">
            <v>0</v>
          </cell>
          <cell r="H110">
            <v>48.62</v>
          </cell>
          <cell r="I110">
            <v>43.34</v>
          </cell>
          <cell r="J110">
            <v>43.34</v>
          </cell>
          <cell r="K110">
            <v>0.24</v>
          </cell>
          <cell r="L110" t="str">
            <v>Software</v>
          </cell>
          <cell r="M110" t="str">
            <v>Year</v>
          </cell>
        </row>
        <row r="111">
          <cell r="A111" t="str">
            <v>SVCS-SW-SOS-CMS</v>
          </cell>
          <cell r="B111" t="str">
            <v>SVCS - SW - SOS - CMS - Software License</v>
          </cell>
          <cell r="C111" t="str">
            <v>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111">
            <v>2227.5</v>
          </cell>
          <cell r="E111">
            <v>2227.5</v>
          </cell>
          <cell r="F111">
            <v>0</v>
          </cell>
          <cell r="G111">
            <v>0</v>
          </cell>
          <cell r="H111">
            <v>1893.32</v>
          </cell>
          <cell r="I111">
            <v>1692.9</v>
          </cell>
          <cell r="J111">
            <v>1692.9</v>
          </cell>
          <cell r="K111">
            <v>0.24</v>
          </cell>
          <cell r="L111" t="str">
            <v>Software</v>
          </cell>
          <cell r="M111" t="str">
            <v>Year</v>
          </cell>
        </row>
        <row r="112">
          <cell r="A112" t="str">
            <v>SVCS-SW-SOS-CMS10CON</v>
          </cell>
          <cell r="B112" t="str">
            <v>SVCS - SW - SOS - CMS - Add-On 10 Connection License</v>
          </cell>
          <cell r="C112" t="str">
            <v>12 months on-site support for LS Series Livescan, includes: help-desk support and software upgrades for 10 additional LiveScan connections license for CMS Software</v>
          </cell>
          <cell r="D112">
            <v>284.89999999999998</v>
          </cell>
          <cell r="E112">
            <v>284.89999999999998</v>
          </cell>
          <cell r="F112">
            <v>0</v>
          </cell>
          <cell r="G112">
            <v>0</v>
          </cell>
          <cell r="H112">
            <v>242</v>
          </cell>
          <cell r="I112">
            <v>216.48</v>
          </cell>
          <cell r="J112">
            <v>216.48</v>
          </cell>
          <cell r="K112">
            <v>0.24</v>
          </cell>
          <cell r="L112" t="str">
            <v>Software</v>
          </cell>
          <cell r="M112" t="str">
            <v>Year</v>
          </cell>
        </row>
        <row r="113">
          <cell r="A113" t="str">
            <v>SVCS-SW-SOS-CMS1000TP</v>
          </cell>
          <cell r="B113" t="str">
            <v>SVCS - SW - SOS - CMS - Add-On 1,000 Throughput License</v>
          </cell>
          <cell r="C113" t="str">
            <v>12 months on-site support for LS Series Livescan, includes: help-desk support and software upgrades for 1,000 additional monthly transaction throughput license for CMS Software</v>
          </cell>
          <cell r="D113">
            <v>145.19999999999999</v>
          </cell>
          <cell r="E113">
            <v>145.19999999999999</v>
          </cell>
          <cell r="F113">
            <v>0</v>
          </cell>
          <cell r="G113">
            <v>0</v>
          </cell>
          <cell r="H113">
            <v>123.42</v>
          </cell>
          <cell r="I113">
            <v>110.22</v>
          </cell>
          <cell r="J113">
            <v>110.22</v>
          </cell>
          <cell r="K113">
            <v>0.24</v>
          </cell>
          <cell r="L113" t="str">
            <v>Software</v>
          </cell>
          <cell r="M113" t="str">
            <v>Year</v>
          </cell>
        </row>
        <row r="114">
          <cell r="A114" t="str">
            <v>SVCS-SW-SOS-CMS5000S</v>
          </cell>
          <cell r="B114" t="str">
            <v>SVCS - SW - SOS - CMS - Add-On 5,000 Archive Storage License</v>
          </cell>
          <cell r="C114" t="str">
            <v>12 months on-site support for LS Series Livescan, includes: help-desk support and software upgrades for 5,000 additional transaction storage for CMS Software.</v>
          </cell>
          <cell r="D114">
            <v>57.2</v>
          </cell>
          <cell r="E114">
            <v>57.2</v>
          </cell>
          <cell r="F114">
            <v>0</v>
          </cell>
          <cell r="G114">
            <v>0</v>
          </cell>
          <cell r="H114">
            <v>48.62</v>
          </cell>
          <cell r="I114">
            <v>43.34</v>
          </cell>
          <cell r="J114">
            <v>43.34</v>
          </cell>
          <cell r="K114">
            <v>0.24</v>
          </cell>
          <cell r="L114" t="str">
            <v>Software</v>
          </cell>
          <cell r="M114" t="str">
            <v>Year</v>
          </cell>
        </row>
        <row r="115">
          <cell r="A115" t="str">
            <v>SVCS-SW-SOS-CMSINT1</v>
          </cell>
          <cell r="B115" t="str">
            <v>SVCS - SW - SOS - CMS - Foreign System Data Interface (one way)</v>
          </cell>
          <cell r="C115" t="str">
            <v>12 months on-site support for LS Series Livescan, includes: help-desk support and software upgrades for CMS data interface with foreign systems for one way data exchange (input or output)</v>
          </cell>
          <cell r="D115">
            <v>1428.9</v>
          </cell>
          <cell r="E115">
            <v>1428.9</v>
          </cell>
          <cell r="F115">
            <v>0</v>
          </cell>
          <cell r="G115">
            <v>0</v>
          </cell>
          <cell r="H115">
            <v>1214.4000000000001</v>
          </cell>
          <cell r="I115">
            <v>1085.92</v>
          </cell>
          <cell r="J115">
            <v>1085.92</v>
          </cell>
          <cell r="K115">
            <v>0.24</v>
          </cell>
          <cell r="L115" t="str">
            <v>Software</v>
          </cell>
          <cell r="M115" t="str">
            <v>Year</v>
          </cell>
        </row>
        <row r="116">
          <cell r="A116" t="str">
            <v>SVCS-SW-SOS-CMSINT2</v>
          </cell>
          <cell r="B116" t="str">
            <v>SVCS - SW - SOS - CMS - Foreign System Data Interface (two way)</v>
          </cell>
          <cell r="C116" t="str">
            <v>12 months on-site support for LS Series Livescan, includes: help-desk support and software upgrades for CMS data interface with foreign systems for two way data exchange (input and output)</v>
          </cell>
          <cell r="D116">
            <v>2528.9</v>
          </cell>
          <cell r="E116">
            <v>2528.9</v>
          </cell>
          <cell r="F116">
            <v>0</v>
          </cell>
          <cell r="G116">
            <v>0</v>
          </cell>
          <cell r="H116">
            <v>2149.4</v>
          </cell>
          <cell r="I116">
            <v>1921.92</v>
          </cell>
          <cell r="J116">
            <v>1921.92</v>
          </cell>
          <cell r="K116">
            <v>0.24</v>
          </cell>
          <cell r="L116" t="str">
            <v>Software</v>
          </cell>
          <cell r="M116" t="str">
            <v>Year</v>
          </cell>
        </row>
        <row r="117">
          <cell r="A117" t="str">
            <v>Maintenance Services</v>
          </cell>
          <cell r="B117">
            <v>0</v>
          </cell>
          <cell r="C117">
            <v>0</v>
          </cell>
          <cell r="D117">
            <v>0</v>
          </cell>
          <cell r="E117">
            <v>0</v>
          </cell>
          <cell r="F117">
            <v>0</v>
          </cell>
          <cell r="G117">
            <v>0</v>
          </cell>
          <cell r="H117">
            <v>0</v>
          </cell>
          <cell r="I117">
            <v>0</v>
          </cell>
          <cell r="J117">
            <v>0</v>
          </cell>
          <cell r="K117">
            <v>0</v>
          </cell>
          <cell r="L117">
            <v>0</v>
          </cell>
          <cell r="M117">
            <v>0</v>
          </cell>
        </row>
        <row r="118">
          <cell r="A118" t="str">
            <v>SVCS-MAINT-9-5</v>
          </cell>
          <cell r="B118" t="str">
            <v>MAINT 12 9x5</v>
          </cell>
          <cell r="C118" t="str">
            <v xml:space="preserve">12 Months Maintenance 9X5 Support and Hardware Cross Ship Support (All Versions)
(Available for purchase after 12 Months Warranty expires)
Price: </v>
          </cell>
          <cell r="G118">
            <v>648</v>
          </cell>
          <cell r="H118">
            <v>0</v>
          </cell>
        </row>
        <row r="119">
          <cell r="A119" t="str">
            <v>SVCS-MAINT-24-7</v>
          </cell>
          <cell r="B119" t="str">
            <v>MAINT 12 24/7</v>
          </cell>
          <cell r="C119" t="str">
            <v xml:space="preserve">12 Months Maintenance 24/7 Support and Hardware Cross Ship Support (All Versions)
(Available for purchase after 12 Months Warranty expires)
Price: </v>
          </cell>
        </row>
      </sheetData>
      <sheetData sheetId="10"/>
      <sheetData sheetId="11"/>
      <sheetData sheetId="12">
        <row r="5">
          <cell r="B5" t="str">
            <v>Unfunded Law Enforcement Agency, Assist</v>
          </cell>
        </row>
      </sheetData>
      <sheetData sheetId="13"/>
      <sheetData sheetId="14">
        <row r="5">
          <cell r="A5" t="str">
            <v>State APP</v>
          </cell>
        </row>
        <row r="6">
          <cell r="A6" t="str">
            <v>Florida APP</v>
          </cell>
        </row>
        <row r="7">
          <cell r="A7" t="str">
            <v>DSS APP</v>
          </cell>
        </row>
        <row r="8">
          <cell r="A8" t="str">
            <v>OPM APP - VPN</v>
          </cell>
        </row>
        <row r="9">
          <cell r="A9" t="str">
            <v>OPM APP - Modem</v>
          </cell>
        </row>
        <row r="10">
          <cell r="A10" t="str">
            <v>Laptop</v>
          </cell>
        </row>
        <row r="11">
          <cell r="A11" t="str">
            <v>Desktop</v>
          </cell>
        </row>
      </sheetData>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s to Quote Maker"/>
      <sheetName val="Input Sheet"/>
      <sheetName val="Quote CA LS4G"/>
      <sheetName val="Quote CA LS4G W7 Upgrade"/>
      <sheetName val="Quote CA LS4G W7 Cogent Upgrade"/>
      <sheetName val="Quote CA Used System"/>
      <sheetName val="Quote CA SAM Upgrade Program"/>
      <sheetName val="BOM CA ProfitShare LS4G"/>
      <sheetName val="Ownership Change, Bill of Sale"/>
      <sheetName val="Quote MOSA CA LS4G"/>
      <sheetName val="MOSA Discounts in CA"/>
      <sheetName val="BOM Non-CA SAM LS4G"/>
      <sheetName val="Quote LAC LS4G"/>
      <sheetName val="Quote LAC XP to W7"/>
      <sheetName val="Quote FL LS4G"/>
      <sheetName val="Quote IL LS4G"/>
      <sheetName val="Quote NV"/>
      <sheetName val="Quote NY"/>
      <sheetName val="Quote NYS"/>
      <sheetName val="Quote NYS MAINT"/>
      <sheetName val="Quote DSS LS4G"/>
      <sheetName val="Quote OPM LS4G"/>
      <sheetName val="Quote G2 LS4G"/>
      <sheetName val="FINRA Quote"/>
      <sheetName val="Quote"/>
      <sheetName val="Pricelist"/>
      <sheetName val="NYS Maintenance Price List"/>
      <sheetName val="Comments"/>
      <sheetName val="Discounts"/>
      <sheetName val="Ts&amp;Cs"/>
      <sheetName val="Salesperson"/>
      <sheetName val="TypePricelist"/>
      <sheetName val="SAM Program Pricing"/>
      <sheetName val="Lists"/>
      <sheetName val="BOM"/>
    </sheetNames>
    <sheetDataSet>
      <sheetData sheetId="0" refreshError="1"/>
      <sheetData sheetId="1" refreshError="1"/>
      <sheetData sheetId="2">
        <row r="46">
          <cell r="Q46">
            <v>960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ow r="4">
          <cell r="A4" t="str">
            <v>SVCS-SR-LS-Tenprint</v>
          </cell>
        </row>
      </sheetData>
      <sheetData sheetId="27">
        <row r="6">
          <cell r="B6" t="str">
            <v>CardPrinting only</v>
          </cell>
        </row>
        <row r="7">
          <cell r="B7" t="str">
            <v>MAP</v>
          </cell>
        </row>
        <row r="8">
          <cell r="B8" t="str">
            <v>NFUF</v>
          </cell>
        </row>
        <row r="9">
          <cell r="B9" t="str">
            <v>FAUF</v>
          </cell>
        </row>
        <row r="10">
          <cell r="B10" t="str">
            <v>FINRA TOT</v>
          </cell>
        </row>
        <row r="11">
          <cell r="B11" t="str">
            <v>REG</v>
          </cell>
        </row>
        <row r="12">
          <cell r="B12" t="str">
            <v>DNS</v>
          </cell>
        </row>
        <row r="13">
          <cell r="B13" t="str">
            <v>Inq</v>
          </cell>
        </row>
        <row r="14">
          <cell r="B14" t="str">
            <v>NYS ADM</v>
          </cell>
        </row>
        <row r="15">
          <cell r="B15" t="str">
            <v>DEC</v>
          </cell>
        </row>
        <row r="16">
          <cell r="B16" t="str">
            <v>CUS</v>
          </cell>
        </row>
        <row r="17">
          <cell r="B17" t="str">
            <v>CAR</v>
          </cell>
        </row>
        <row r="22">
          <cell r="B22" t="str">
            <v>Does not Submit</v>
          </cell>
        </row>
        <row r="23">
          <cell r="B23" t="str">
            <v>SWFT</v>
          </cell>
        </row>
        <row r="24">
          <cell r="B24" t="str">
            <v>OPM/Dial-Up</v>
          </cell>
        </row>
        <row r="25">
          <cell r="B25" t="str">
            <v>OPM/VPN</v>
          </cell>
        </row>
        <row r="26">
          <cell r="B26" t="str">
            <v>OPM/G2</v>
          </cell>
        </row>
        <row r="27">
          <cell r="B27" t="str">
            <v>FBI</v>
          </cell>
        </row>
        <row r="28">
          <cell r="B28" t="str">
            <v>FBI via B4ALL</v>
          </cell>
        </row>
        <row r="29">
          <cell r="B29" t="str">
            <v>FBI via B4ALL SAM Program</v>
          </cell>
        </row>
        <row r="30">
          <cell r="B30" t="str">
            <v>FINRA direct</v>
          </cell>
        </row>
        <row r="31">
          <cell r="B31" t="str">
            <v>FINRA via Biometrics4ALL</v>
          </cell>
        </row>
        <row r="32">
          <cell r="B32" t="str">
            <v>TSA</v>
          </cell>
        </row>
        <row r="33">
          <cell r="B33" t="str">
            <v>NIGC</v>
          </cell>
        </row>
        <row r="34">
          <cell r="B34" t="str">
            <v>FDLE</v>
          </cell>
        </row>
        <row r="35">
          <cell r="B35" t="str">
            <v>FDLE/AHCA</v>
          </cell>
        </row>
        <row r="36">
          <cell r="B36" t="str">
            <v>NYS DCJS</v>
          </cell>
        </row>
        <row r="37">
          <cell r="B37" t="str">
            <v>NV DPS</v>
          </cell>
        </row>
        <row r="38">
          <cell r="B38" t="str">
            <v>GBI</v>
          </cell>
        </row>
        <row r="39">
          <cell r="B39" t="str">
            <v>OSP</v>
          </cell>
        </row>
        <row r="40">
          <cell r="B40" t="str">
            <v>ISP</v>
          </cell>
        </row>
        <row r="41">
          <cell r="B41" t="str">
            <v>CalDOJ, peer service</v>
          </cell>
        </row>
        <row r="42">
          <cell r="B42" t="str">
            <v>CalDO.-LAC , peer service</v>
          </cell>
        </row>
        <row r="43">
          <cell r="B43" t="str">
            <v>CalDOJ, direct</v>
          </cell>
        </row>
        <row r="44">
          <cell r="B44" t="str">
            <v>CALDOJ, ProfitSharing</v>
          </cell>
        </row>
        <row r="45">
          <cell r="B45" t="str">
            <v>Non-CA SAM</v>
          </cell>
        </row>
        <row r="46">
          <cell r="B46" t="str">
            <v>CMS</v>
          </cell>
        </row>
        <row r="47">
          <cell r="B47" t="str">
            <v>SPEX</v>
          </cell>
        </row>
        <row r="53">
          <cell r="B53" t="str">
            <v>Laptop</v>
          </cell>
        </row>
        <row r="54">
          <cell r="B54" t="str">
            <v>Desktop</v>
          </cell>
        </row>
        <row r="55">
          <cell r="B55" t="str">
            <v>Customer Provided Computer</v>
          </cell>
        </row>
        <row r="56">
          <cell r="B56" t="str">
            <v>LA County Computer Upgrade</v>
          </cell>
        </row>
        <row r="57">
          <cell r="B57" t="str">
            <v>High-Performance Desktop</v>
          </cell>
        </row>
        <row r="58">
          <cell r="B58" t="str">
            <v>High-Performance Laptop</v>
          </cell>
        </row>
        <row r="61">
          <cell r="B61" t="str">
            <v>Other</v>
          </cell>
        </row>
        <row r="63">
          <cell r="B63" t="str">
            <v>LAC Comments Peer Service</v>
          </cell>
        </row>
        <row r="64">
          <cell r="B64" t="str">
            <v>LAC Comments Direct Connection</v>
          </cell>
        </row>
        <row r="71">
          <cell r="B71" t="str">
            <v>No</v>
          </cell>
          <cell r="C71" t="str">
            <v>Yes</v>
          </cell>
        </row>
        <row r="79">
          <cell r="B79" t="str">
            <v>DigID Mini</v>
          </cell>
        </row>
        <row r="80">
          <cell r="B80" t="str">
            <v>Patrol</v>
          </cell>
        </row>
        <row r="81">
          <cell r="B81" t="str">
            <v>Guardian</v>
          </cell>
        </row>
      </sheetData>
      <sheetData sheetId="28">
        <row r="3">
          <cell r="A3" t="str">
            <v>CA-Guardian-USB</v>
          </cell>
        </row>
        <row r="4">
          <cell r="A4" t="str">
            <v>CA-Guardian (MD)</v>
          </cell>
        </row>
        <row r="5">
          <cell r="A5" t="str">
            <v>CA-Guardian (MD-OEM)</v>
          </cell>
        </row>
        <row r="6">
          <cell r="A6" t="str">
            <v>CA-Patrol</v>
          </cell>
        </row>
        <row r="7">
          <cell r="A7" t="str">
            <v>CA-DigID Mini</v>
          </cell>
        </row>
        <row r="8">
          <cell r="A8" t="str">
            <v>CA-RealScan-10</v>
          </cell>
        </row>
        <row r="9">
          <cell r="A9" t="str">
            <v>CA-DactyScan84c</v>
          </cell>
        </row>
        <row r="10">
          <cell r="A10" t="str">
            <v>CA-Used ID500</v>
          </cell>
        </row>
        <row r="11">
          <cell r="A11" t="str">
            <v>CA-Used TP3100</v>
          </cell>
        </row>
        <row r="12">
          <cell r="A12" t="str">
            <v>CA-Used 1000T</v>
          </cell>
        </row>
        <row r="13">
          <cell r="A13" t="str">
            <v>IL-Guardian (MD-OEM)</v>
          </cell>
        </row>
        <row r="14">
          <cell r="A14" t="str">
            <v>IL-Patrol</v>
          </cell>
        </row>
        <row r="15">
          <cell r="A15" t="str">
            <v>IL-DigID Mini</v>
          </cell>
        </row>
        <row r="16">
          <cell r="A16" t="str">
            <v>IL-RealScan-10</v>
          </cell>
        </row>
        <row r="17">
          <cell r="A17" t="str">
            <v>IL-DactyScan84c</v>
          </cell>
        </row>
        <row r="18">
          <cell r="A18" t="str">
            <v>DSS-FBS</v>
          </cell>
        </row>
        <row r="19">
          <cell r="A19" t="str">
            <v>DSS-Guardian-USB</v>
          </cell>
        </row>
        <row r="20">
          <cell r="A20" t="str">
            <v>DSS-Guardian (MD-OEM)</v>
          </cell>
        </row>
        <row r="21">
          <cell r="A21" t="str">
            <v>DSS-Patrol</v>
          </cell>
        </row>
        <row r="22">
          <cell r="A22" t="str">
            <v>DSS-DigID Mini</v>
          </cell>
        </row>
        <row r="24">
          <cell r="A24" t="str">
            <v>5% Distributor Discount</v>
          </cell>
        </row>
        <row r="25">
          <cell r="A25" t="str">
            <v>7.5% Distributor Discount</v>
          </cell>
        </row>
        <row r="26">
          <cell r="A26" t="str">
            <v>8% Distributor Discount</v>
          </cell>
        </row>
        <row r="27">
          <cell r="A27" t="str">
            <v>9% Distributor Discount</v>
          </cell>
        </row>
        <row r="28">
          <cell r="A28" t="str">
            <v>9.5% Distributor Discount</v>
          </cell>
        </row>
        <row r="29">
          <cell r="A29" t="str">
            <v>10% Distributor Discount</v>
          </cell>
        </row>
        <row r="30">
          <cell r="A30" t="str">
            <v>11% Distributor Discount</v>
          </cell>
        </row>
        <row r="31">
          <cell r="A31" t="str">
            <v>11.50% Distributor Discount</v>
          </cell>
        </row>
        <row r="32">
          <cell r="A32" t="str">
            <v>12% Distributor Discount</v>
          </cell>
        </row>
        <row r="33">
          <cell r="A33" t="str">
            <v>12.5% Distributor Discount</v>
          </cell>
        </row>
        <row r="34">
          <cell r="A34" t="str">
            <v>13% Distributor Discount</v>
          </cell>
        </row>
        <row r="35">
          <cell r="A35" t="str">
            <v>14% Distributor Discount</v>
          </cell>
        </row>
        <row r="36">
          <cell r="A36" t="str">
            <v>15% Distributor Discount</v>
          </cell>
        </row>
        <row r="37">
          <cell r="A37" t="str">
            <v>20% Distributor Discount</v>
          </cell>
        </row>
      </sheetData>
      <sheetData sheetId="29" refreshError="1"/>
      <sheetData sheetId="30">
        <row r="5">
          <cell r="B5" t="str">
            <v>Piet Lesage</v>
          </cell>
        </row>
        <row r="6">
          <cell r="B6" t="str">
            <v>Filipe Andersen</v>
          </cell>
        </row>
        <row r="7">
          <cell r="B7" t="str">
            <v>Ellaine Brennan</v>
          </cell>
        </row>
        <row r="8">
          <cell r="B8" t="str">
            <v>Chris Miller</v>
          </cell>
        </row>
        <row r="9">
          <cell r="B9" t="str">
            <v>Dylan Sidd</v>
          </cell>
        </row>
        <row r="10">
          <cell r="B10" t="str">
            <v>Chris Balik</v>
          </cell>
        </row>
        <row r="11">
          <cell r="B11" t="str">
            <v>Amy Bui</v>
          </cell>
        </row>
      </sheetData>
      <sheetData sheetId="31">
        <row r="6">
          <cell r="A6" t="str">
            <v>CA Private</v>
          </cell>
        </row>
        <row r="7">
          <cell r="A7" t="str">
            <v>CA Local Gov</v>
          </cell>
        </row>
        <row r="8">
          <cell r="A8" t="str">
            <v>LA County</v>
          </cell>
        </row>
        <row r="9">
          <cell r="A9" t="str">
            <v>NV Private</v>
          </cell>
        </row>
        <row r="10">
          <cell r="A10" t="str">
            <v>FL Private</v>
          </cell>
        </row>
        <row r="11">
          <cell r="A11" t="str">
            <v>FL Local Gov</v>
          </cell>
        </row>
        <row r="12">
          <cell r="A12" t="str">
            <v>IL Private</v>
          </cell>
        </row>
        <row r="13">
          <cell r="A13" t="str">
            <v>IL Law Enforcement</v>
          </cell>
        </row>
        <row r="14">
          <cell r="A14" t="str">
            <v>NY Private</v>
          </cell>
        </row>
        <row r="15">
          <cell r="A15" t="str">
            <v>NYS</v>
          </cell>
        </row>
        <row r="16">
          <cell r="A16" t="str">
            <v>OR Local Gov</v>
          </cell>
        </row>
        <row r="17">
          <cell r="A17" t="str">
            <v>OR Law Enforcement</v>
          </cell>
        </row>
        <row r="18">
          <cell r="A18" t="str">
            <v>Federal</v>
          </cell>
        </row>
        <row r="19">
          <cell r="A19" t="str">
            <v>Federal Army</v>
          </cell>
        </row>
        <row r="20">
          <cell r="A20" t="str">
            <v>DSS Private</v>
          </cell>
        </row>
        <row r="21">
          <cell r="A21" t="str">
            <v>Local Gov</v>
          </cell>
        </row>
        <row r="22">
          <cell r="A22" t="str">
            <v>Local Gov App</v>
          </cell>
        </row>
        <row r="23">
          <cell r="A23" t="str">
            <v>Local Gov Crim</v>
          </cell>
        </row>
        <row r="24">
          <cell r="A24" t="str">
            <v>Domestic Reseller</v>
          </cell>
        </row>
        <row r="25">
          <cell r="A25" t="str">
            <v>Foreign Reseller</v>
          </cell>
        </row>
        <row r="26">
          <cell r="A26" t="str">
            <v>Foreign End-User</v>
          </cell>
        </row>
        <row r="27">
          <cell r="A27" t="str">
            <v>Private</v>
          </cell>
        </row>
      </sheetData>
      <sheetData sheetId="32">
        <row r="22">
          <cell r="D22" t="str">
            <v>8 years</v>
          </cell>
          <cell r="E22" t="str">
            <v>7 years</v>
          </cell>
          <cell r="F22" t="str">
            <v>6 years</v>
          </cell>
          <cell r="G22" t="str">
            <v>5 years</v>
          </cell>
          <cell r="H22" t="str">
            <v>4 years</v>
          </cell>
          <cell r="I22" t="str">
            <v>3 years</v>
          </cell>
          <cell r="J22" t="str">
            <v>2 years</v>
          </cell>
          <cell r="K22" t="str">
            <v>1 year</v>
          </cell>
        </row>
        <row r="23">
          <cell r="A23">
            <v>1</v>
          </cell>
          <cell r="B23">
            <v>2</v>
          </cell>
          <cell r="C23">
            <v>3</v>
          </cell>
          <cell r="D23">
            <v>4</v>
          </cell>
          <cell r="E23">
            <v>5</v>
          </cell>
          <cell r="F23">
            <v>6</v>
          </cell>
          <cell r="G23">
            <v>7</v>
          </cell>
          <cell r="H23">
            <v>8</v>
          </cell>
          <cell r="I23">
            <v>9</v>
          </cell>
          <cell r="J23">
            <v>10</v>
          </cell>
          <cell r="K23">
            <v>11</v>
          </cell>
        </row>
        <row r="24">
          <cell r="A24" t="str">
            <v>Full Maint &gt;100 DigID Mini</v>
          </cell>
          <cell r="B24">
            <v>1200</v>
          </cell>
          <cell r="D24">
            <v>990</v>
          </cell>
          <cell r="E24">
            <v>1115.625</v>
          </cell>
          <cell r="F24">
            <v>1241.25</v>
          </cell>
          <cell r="G24">
            <v>1366.875</v>
          </cell>
          <cell r="H24">
            <v>1492.5</v>
          </cell>
          <cell r="I24">
            <v>1618.125</v>
          </cell>
          <cell r="J24">
            <v>1743.75</v>
          </cell>
          <cell r="K24">
            <v>1869.375</v>
          </cell>
          <cell r="Q24" t="str">
            <v>Full Maint</v>
          </cell>
          <cell r="R24" t="str">
            <v>8 years</v>
          </cell>
          <cell r="S24" t="str">
            <v>&gt;100</v>
          </cell>
        </row>
        <row r="25">
          <cell r="A25" t="str">
            <v>Full Maint &gt;100 Patrol</v>
          </cell>
          <cell r="B25">
            <v>1500</v>
          </cell>
          <cell r="D25">
            <v>1238</v>
          </cell>
          <cell r="E25">
            <v>1407.25</v>
          </cell>
          <cell r="F25">
            <v>1576.5</v>
          </cell>
          <cell r="G25">
            <v>1745.75</v>
          </cell>
          <cell r="H25">
            <v>1915</v>
          </cell>
          <cell r="I25">
            <v>2084.25</v>
          </cell>
          <cell r="J25">
            <v>2253.5</v>
          </cell>
          <cell r="K25">
            <v>2422.75</v>
          </cell>
          <cell r="Q25" t="str">
            <v>SW Maint</v>
          </cell>
          <cell r="R25" t="str">
            <v>7 years</v>
          </cell>
          <cell r="S25" t="str">
            <v>50-100</v>
          </cell>
        </row>
        <row r="26">
          <cell r="A26" t="str">
            <v>Full Maint &gt;100 Guardian-USB</v>
          </cell>
          <cell r="B26">
            <v>2700</v>
          </cell>
          <cell r="D26">
            <v>2228</v>
          </cell>
          <cell r="E26">
            <v>2411.375</v>
          </cell>
          <cell r="F26">
            <v>2594.75</v>
          </cell>
          <cell r="G26">
            <v>2778.125</v>
          </cell>
          <cell r="H26">
            <v>2961.5</v>
          </cell>
          <cell r="I26">
            <v>3144.875</v>
          </cell>
          <cell r="J26">
            <v>3328.25</v>
          </cell>
          <cell r="K26">
            <v>3511.625</v>
          </cell>
          <cell r="R26" t="str">
            <v>6 years</v>
          </cell>
          <cell r="S26" t="str">
            <v>&lt; 50</v>
          </cell>
        </row>
        <row r="27">
          <cell r="R27" t="str">
            <v>5 years</v>
          </cell>
        </row>
        <row r="28">
          <cell r="A28" t="str">
            <v>Full Maint 50-100</v>
          </cell>
          <cell r="R28" t="str">
            <v>4 years</v>
          </cell>
        </row>
        <row r="29">
          <cell r="R29" t="str">
            <v>3 years</v>
          </cell>
        </row>
        <row r="30">
          <cell r="A30" t="str">
            <v>Full Maint 50-100 DigID Mini</v>
          </cell>
          <cell r="B30">
            <v>1200</v>
          </cell>
          <cell r="D30">
            <v>1191</v>
          </cell>
          <cell r="E30">
            <v>1291.5</v>
          </cell>
          <cell r="F30">
            <v>1392</v>
          </cell>
          <cell r="G30">
            <v>1492.5</v>
          </cell>
          <cell r="H30">
            <v>1593</v>
          </cell>
          <cell r="I30">
            <v>1693.5</v>
          </cell>
          <cell r="J30">
            <v>1794</v>
          </cell>
          <cell r="K30">
            <v>1894.5</v>
          </cell>
          <cell r="R30" t="str">
            <v>2 years</v>
          </cell>
        </row>
        <row r="31">
          <cell r="A31" t="str">
            <v>Full Maint 50-100 Patrol</v>
          </cell>
          <cell r="B31">
            <v>1500</v>
          </cell>
          <cell r="D31">
            <v>1508.7999999999993</v>
          </cell>
          <cell r="E31">
            <v>1644.1999999999994</v>
          </cell>
          <cell r="F31">
            <v>1779.5999999999995</v>
          </cell>
          <cell r="G31">
            <v>1914.9999999999995</v>
          </cell>
          <cell r="H31">
            <v>2050.3999999999996</v>
          </cell>
          <cell r="I31">
            <v>2185.7999999999997</v>
          </cell>
          <cell r="J31">
            <v>2321.1999999999998</v>
          </cell>
          <cell r="K31">
            <v>2456.6</v>
          </cell>
          <cell r="R31" t="str">
            <v>1 year</v>
          </cell>
        </row>
        <row r="32">
          <cell r="A32" t="str">
            <v>Full Maint 50-100 Guardian-USB</v>
          </cell>
          <cell r="B32">
            <v>2700</v>
          </cell>
          <cell r="D32">
            <v>2521.4000000000015</v>
          </cell>
          <cell r="E32">
            <v>2668.1000000000013</v>
          </cell>
          <cell r="F32">
            <v>2814.8000000000011</v>
          </cell>
          <cell r="G32">
            <v>2961.5000000000009</v>
          </cell>
          <cell r="H32">
            <v>3108.2000000000007</v>
          </cell>
          <cell r="I32">
            <v>3254.9000000000005</v>
          </cell>
          <cell r="J32">
            <v>3401.6000000000004</v>
          </cell>
          <cell r="K32">
            <v>3548.3</v>
          </cell>
        </row>
        <row r="34">
          <cell r="A34" t="str">
            <v>Full Maint &lt; 50</v>
          </cell>
        </row>
        <row r="36">
          <cell r="A36" t="str">
            <v>Full Maint &lt; 50 DigID Mini</v>
          </cell>
          <cell r="B36">
            <v>1200</v>
          </cell>
          <cell r="D36">
            <v>1392</v>
          </cell>
          <cell r="E36">
            <v>1467.375</v>
          </cell>
          <cell r="F36">
            <v>1542.75</v>
          </cell>
          <cell r="G36">
            <v>1618.125</v>
          </cell>
          <cell r="H36">
            <v>1693.5</v>
          </cell>
          <cell r="I36">
            <v>1768.875</v>
          </cell>
          <cell r="J36">
            <v>1844.25</v>
          </cell>
          <cell r="K36">
            <v>1919.625</v>
          </cell>
        </row>
        <row r="37">
          <cell r="A37" t="str">
            <v>Full Maint &lt; 50 Patrol</v>
          </cell>
          <cell r="B37">
            <v>1500</v>
          </cell>
          <cell r="D37">
            <v>1779.5999999999992</v>
          </cell>
          <cell r="E37">
            <v>1881.1499999999992</v>
          </cell>
          <cell r="F37">
            <v>1982.6999999999991</v>
          </cell>
          <cell r="G37">
            <v>2084.2499999999991</v>
          </cell>
          <cell r="H37">
            <v>2185.7999999999993</v>
          </cell>
          <cell r="I37">
            <v>2287.3499999999995</v>
          </cell>
          <cell r="J37">
            <v>2388.8999999999996</v>
          </cell>
          <cell r="K37">
            <v>2490.4499999999998</v>
          </cell>
        </row>
        <row r="38">
          <cell r="A38" t="str">
            <v>Full Maint &lt; 50 Guardian-USB</v>
          </cell>
          <cell r="B38">
            <v>2700</v>
          </cell>
          <cell r="D38">
            <v>2814.7999999999993</v>
          </cell>
          <cell r="E38">
            <v>2924.8249999999994</v>
          </cell>
          <cell r="F38">
            <v>3034.8499999999995</v>
          </cell>
          <cell r="G38">
            <v>3144.8749999999995</v>
          </cell>
          <cell r="H38">
            <v>3254.8999999999996</v>
          </cell>
          <cell r="I38">
            <v>3364.9249999999997</v>
          </cell>
          <cell r="J38">
            <v>3474.95</v>
          </cell>
          <cell r="K38">
            <v>3584.9749999999999</v>
          </cell>
        </row>
        <row r="41">
          <cell r="A41" t="str">
            <v>SW Maint &gt;100</v>
          </cell>
        </row>
        <row r="43">
          <cell r="A43" t="str">
            <v>SW Maint &gt;100 DigID Mini</v>
          </cell>
          <cell r="B43">
            <v>1200</v>
          </cell>
          <cell r="D43">
            <v>1796.644736842105</v>
          </cell>
          <cell r="E43">
            <v>1821.4391447368419</v>
          </cell>
          <cell r="F43">
            <v>1846.2335526315787</v>
          </cell>
          <cell r="G43">
            <v>1871.0279605263156</v>
          </cell>
          <cell r="H43">
            <v>1895.8223684210525</v>
          </cell>
          <cell r="I43">
            <v>1920.6167763157894</v>
          </cell>
          <cell r="J43">
            <v>1945.4111842105262</v>
          </cell>
          <cell r="K43">
            <v>1970.2055921052631</v>
          </cell>
        </row>
        <row r="44">
          <cell r="A44" t="str">
            <v>SW Maint &gt;100 Patrol</v>
          </cell>
          <cell r="B44">
            <v>1500</v>
          </cell>
          <cell r="D44">
            <v>2324.7631578947367</v>
          </cell>
          <cell r="E44">
            <v>2358.1677631578946</v>
          </cell>
          <cell r="F44">
            <v>2391.5723684210525</v>
          </cell>
          <cell r="G44">
            <v>2424.9769736842104</v>
          </cell>
          <cell r="H44">
            <v>2458.3815789473683</v>
          </cell>
          <cell r="I44">
            <v>2491.7861842105262</v>
          </cell>
          <cell r="J44">
            <v>2525.1907894736842</v>
          </cell>
          <cell r="K44">
            <v>2558.5953947368421</v>
          </cell>
        </row>
        <row r="45">
          <cell r="A45" t="str">
            <v>SW Maint &gt;100 Guardian-USB</v>
          </cell>
          <cell r="B45">
            <v>2700</v>
          </cell>
          <cell r="D45">
            <v>3405.46052631579</v>
          </cell>
          <cell r="E45">
            <v>3441.6529605263163</v>
          </cell>
          <cell r="F45">
            <v>3477.8453947368425</v>
          </cell>
          <cell r="G45">
            <v>3514.0378289473688</v>
          </cell>
          <cell r="H45">
            <v>3550.230263157895</v>
          </cell>
          <cell r="I45">
            <v>3586.4226973684213</v>
          </cell>
          <cell r="J45">
            <v>3622.6151315789475</v>
          </cell>
          <cell r="K45">
            <v>3658.8075657894738</v>
          </cell>
        </row>
        <row r="47">
          <cell r="A47" t="str">
            <v>SW Maint 50-100</v>
          </cell>
          <cell r="C47" t="str">
            <v xml:space="preserve"> </v>
          </cell>
        </row>
        <row r="49">
          <cell r="A49" t="str">
            <v>SW Maint 50-100 DigID Mini</v>
          </cell>
          <cell r="B49">
            <v>1200</v>
          </cell>
          <cell r="D49">
            <v>1803.136363636364</v>
          </cell>
          <cell r="E49">
            <v>1827.1193181818185</v>
          </cell>
          <cell r="F49">
            <v>1851.102272727273</v>
          </cell>
          <cell r="G49">
            <v>1875.0852272727275</v>
          </cell>
          <cell r="H49">
            <v>1899.068181818182</v>
          </cell>
          <cell r="I49">
            <v>1923.0511363636365</v>
          </cell>
          <cell r="J49">
            <v>1947.034090909091</v>
          </cell>
          <cell r="K49">
            <v>1971.0170454545455</v>
          </cell>
        </row>
        <row r="50">
          <cell r="A50" t="str">
            <v>SW Maint 50-100 Patrol</v>
          </cell>
          <cell r="B50">
            <v>1500</v>
          </cell>
          <cell r="D50">
            <v>2333.5090909090904</v>
          </cell>
          <cell r="E50">
            <v>2365.8204545454541</v>
          </cell>
          <cell r="F50">
            <v>2398.1318181818178</v>
          </cell>
          <cell r="G50">
            <v>2430.4431818181815</v>
          </cell>
          <cell r="H50">
            <v>2462.7545454545452</v>
          </cell>
          <cell r="I50">
            <v>2495.0659090909089</v>
          </cell>
          <cell r="J50">
            <v>2527.3772727272726</v>
          </cell>
          <cell r="K50">
            <v>2559.6886363636363</v>
          </cell>
        </row>
        <row r="51">
          <cell r="A51" t="str">
            <v>SW Maint 50-100 Guardian-USB</v>
          </cell>
          <cell r="B51">
            <v>2700</v>
          </cell>
          <cell r="D51">
            <v>3414.9363636363632</v>
          </cell>
          <cell r="E51">
            <v>3449.9443181818178</v>
          </cell>
          <cell r="F51">
            <v>3484.9522727272724</v>
          </cell>
          <cell r="G51">
            <v>3519.960227272727</v>
          </cell>
          <cell r="H51">
            <v>3554.9681818181816</v>
          </cell>
          <cell r="I51">
            <v>3589.9761363636362</v>
          </cell>
          <cell r="J51">
            <v>3624.9840909090908</v>
          </cell>
          <cell r="K51">
            <v>3659.9920454545454</v>
          </cell>
        </row>
        <row r="53">
          <cell r="A53" t="str">
            <v>SW Maint &lt; 50</v>
          </cell>
          <cell r="C53" t="str">
            <v xml:space="preserve"> </v>
          </cell>
        </row>
        <row r="55">
          <cell r="A55" t="str">
            <v>SW Maint &lt; 50 DigID Mini</v>
          </cell>
          <cell r="B55">
            <v>1200</v>
          </cell>
          <cell r="D55">
            <v>1839.5390625</v>
          </cell>
          <cell r="E55">
            <v>1858.9716796875</v>
          </cell>
          <cell r="F55">
            <v>1878.404296875</v>
          </cell>
          <cell r="G55">
            <v>1897.8369140625</v>
          </cell>
          <cell r="H55">
            <v>1917.26953125</v>
          </cell>
          <cell r="I55">
            <v>1936.7021484375</v>
          </cell>
          <cell r="J55">
            <v>1956.134765625</v>
          </cell>
          <cell r="K55">
            <v>1975.5673828125</v>
          </cell>
        </row>
        <row r="56">
          <cell r="A56" t="str">
            <v>SW Maint &lt; 50 Patrol</v>
          </cell>
          <cell r="B56">
            <v>1500</v>
          </cell>
          <cell r="D56">
            <v>2382.5531249999985</v>
          </cell>
          <cell r="E56">
            <v>2408.7339843749987</v>
          </cell>
          <cell r="F56">
            <v>2434.9148437499989</v>
          </cell>
          <cell r="G56">
            <v>2461.0957031249991</v>
          </cell>
          <cell r="H56">
            <v>2487.2765624999993</v>
          </cell>
          <cell r="I56">
            <v>2513.4574218749995</v>
          </cell>
          <cell r="J56">
            <v>2539.6382812499996</v>
          </cell>
          <cell r="K56">
            <v>2565.8191406249998</v>
          </cell>
        </row>
        <row r="57">
          <cell r="A57" t="str">
            <v>SW Maint &lt; 50 Guardian-USB</v>
          </cell>
          <cell r="B57">
            <v>2700</v>
          </cell>
          <cell r="D57">
            <v>3468.0734374999993</v>
          </cell>
          <cell r="E57">
            <v>3496.4392578124994</v>
          </cell>
          <cell r="F57">
            <v>3524.8050781249995</v>
          </cell>
          <cell r="G57">
            <v>3553.1708984374995</v>
          </cell>
          <cell r="H57">
            <v>3581.5367187499996</v>
          </cell>
          <cell r="I57">
            <v>3609.9025390624997</v>
          </cell>
          <cell r="J57">
            <v>3638.2683593749998</v>
          </cell>
          <cell r="K57">
            <v>3666.6341796874999</v>
          </cell>
        </row>
      </sheetData>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Project Pricing"/>
      <sheetName val="Cost Based Sales Price Calc."/>
      <sheetName val="Margin Expectations"/>
      <sheetName val="Maintenance Selection"/>
      <sheetName val="Unit Hardware Cost"/>
      <sheetName val="Unit Install &amp; Training Cost"/>
      <sheetName val="Unit Shipping Cost"/>
      <sheetName val="Cost Sheet"/>
      <sheetName val="Component Cost Sheet"/>
      <sheetName val="BOM"/>
    </sheetNames>
    <sheetDataSet>
      <sheetData sheetId="0"/>
      <sheetData sheetId="1"/>
      <sheetData sheetId="2"/>
      <sheetData sheetId="3">
        <row r="4">
          <cell r="B4" t="str">
            <v>Mon-Fri 9-5, Remote</v>
          </cell>
        </row>
        <row r="5">
          <cell r="B5" t="str">
            <v>Mon-Fri 24/7, Remote</v>
          </cell>
        </row>
        <row r="6">
          <cell r="B6" t="str">
            <v>365, 24/7, Remote</v>
          </cell>
        </row>
        <row r="7">
          <cell r="B7" t="str">
            <v>Mon-Fri 24/7, On-Site</v>
          </cell>
        </row>
        <row r="8">
          <cell r="B8" t="str">
            <v>365, 24/7, On-Site</v>
          </cell>
        </row>
      </sheetData>
      <sheetData sheetId="4"/>
      <sheetData sheetId="5"/>
      <sheetData sheetId="6"/>
      <sheetData sheetId="7">
        <row r="5">
          <cell r="A5" t="str">
            <v>HW-DT-I3-PRO</v>
          </cell>
        </row>
        <row r="6">
          <cell r="A6" t="str">
            <v>HW-DT-I5-HE</v>
          </cell>
        </row>
        <row r="7">
          <cell r="A7" t="str">
            <v>HW-DT-I5-PRO</v>
          </cell>
        </row>
        <row r="8">
          <cell r="A8" t="str">
            <v>HW-DT-I7-HE</v>
          </cell>
        </row>
        <row r="9">
          <cell r="A9" t="str">
            <v>HW-DT-I7-PRO</v>
          </cell>
        </row>
        <row r="10">
          <cell r="A10" t="str">
            <v>HW-LT-I3-HE</v>
          </cell>
        </row>
        <row r="11">
          <cell r="A11" t="str">
            <v>HW-LT-I3-PRO</v>
          </cell>
        </row>
        <row r="12">
          <cell r="A12" t="str">
            <v>HW-LT-I5-HE</v>
          </cell>
        </row>
        <row r="13">
          <cell r="A13" t="str">
            <v>HW-LT-I5-PRO</v>
          </cell>
        </row>
        <row r="14">
          <cell r="A14" t="str">
            <v>HW-LT-I7-HE</v>
          </cell>
        </row>
        <row r="15">
          <cell r="A15" t="str">
            <v>HW-LT-I7-PRO</v>
          </cell>
        </row>
        <row r="16">
          <cell r="A16" t="str">
            <v>HW-RDLT-TP</v>
          </cell>
        </row>
        <row r="17">
          <cell r="A17" t="str">
            <v>HW-RDLT-PP</v>
          </cell>
        </row>
        <row r="18">
          <cell r="A18" t="str">
            <v>HW-CUS-COMP</v>
          </cell>
        </row>
        <row r="19">
          <cell r="A19" t="str">
            <v>HW-LT-FW</v>
          </cell>
        </row>
        <row r="20">
          <cell r="A20" t="str">
            <v>HW-DT-FW</v>
          </cell>
        </row>
        <row r="21">
          <cell r="A21" t="str">
            <v>HW-DT-FW</v>
          </cell>
        </row>
        <row r="23">
          <cell r="A23" t="str">
            <v>HW-TP - 500PPI-Guardian-200</v>
          </cell>
        </row>
        <row r="24">
          <cell r="A24" t="str">
            <v>HW-TP - 500PPI-Guardian (MD-OEM)</v>
          </cell>
        </row>
        <row r="25">
          <cell r="A25" t="str">
            <v>HW-TP - 500PPI-Guardian (MD)</v>
          </cell>
        </row>
        <row r="26">
          <cell r="A26" t="str">
            <v>HW-TP - 500PPI-Guardian-USB</v>
          </cell>
        </row>
        <row r="27">
          <cell r="A27" t="str">
            <v>HW-TP - 500PPI-Patrol</v>
          </cell>
        </row>
        <row r="28">
          <cell r="A28" t="str">
            <v>HW-TP - 500PPI-Patrol-Non-TAA</v>
          </cell>
        </row>
        <row r="29">
          <cell r="A29" t="str">
            <v>HW-TP - 500PPI-RealScan-10</v>
          </cell>
        </row>
        <row r="30">
          <cell r="A30" t="str">
            <v>HW-TP - 500PPI-DigID Mini</v>
          </cell>
        </row>
        <row r="31">
          <cell r="A31" t="str">
            <v>HW-TP - 500PPI-RealScan-F</v>
          </cell>
        </row>
        <row r="32">
          <cell r="A32" t="str">
            <v>HW-TPP- 500PPI-500</v>
          </cell>
        </row>
        <row r="33">
          <cell r="A33" t="str">
            <v>HW-TPP-1000PPI-1000</v>
          </cell>
        </row>
        <row r="34">
          <cell r="A34" t="str">
            <v>HW-TP - 500PPI-FBS</v>
          </cell>
        </row>
        <row r="36">
          <cell r="A36" t="str">
            <v>ACC-CAM</v>
          </cell>
        </row>
        <row r="37">
          <cell r="A37" t="str">
            <v>ACC-SigPad</v>
          </cell>
        </row>
        <row r="38">
          <cell r="A38" t="str">
            <v>ACC-Mag</v>
          </cell>
        </row>
        <row r="39">
          <cell r="A39" t="str">
            <v>ACC-BarC1</v>
          </cell>
        </row>
        <row r="40">
          <cell r="A40" t="str">
            <v>ACC-BarC2</v>
          </cell>
        </row>
        <row r="41">
          <cell r="A41" t="str">
            <v>ACC-PS</v>
          </cell>
        </row>
        <row r="42">
          <cell r="A42" t="str">
            <v>ACC-PD</v>
          </cell>
        </row>
        <row r="43">
          <cell r="A43" t="str">
            <v>ACC-PD-HD</v>
          </cell>
        </row>
        <row r="44">
          <cell r="A44" t="str">
            <v>ACC-21</v>
          </cell>
        </row>
        <row r="45">
          <cell r="A45" t="str">
            <v>ACC-23</v>
          </cell>
        </row>
        <row r="46">
          <cell r="A46" t="str">
            <v>ACC-21T</v>
          </cell>
        </row>
        <row r="47">
          <cell r="A47" t="str">
            <v>ACC-24T</v>
          </cell>
        </row>
        <row r="48">
          <cell r="A48" t="str">
            <v>ACC-Spad-TP</v>
          </cell>
        </row>
        <row r="49">
          <cell r="A49" t="str">
            <v>ACC-USB-PEDAL</v>
          </cell>
        </row>
        <row r="50">
          <cell r="A50" t="str">
            <v>ACC-CC-S</v>
          </cell>
        </row>
        <row r="51">
          <cell r="A51" t="str">
            <v>ACC-CC-M</v>
          </cell>
        </row>
        <row r="52">
          <cell r="A52" t="str">
            <v>ACC-CC-IN CASE</v>
          </cell>
        </row>
        <row r="53">
          <cell r="A53" t="str">
            <v>ACC-KIOSK-FH</v>
          </cell>
        </row>
        <row r="54">
          <cell r="A54" t="str">
            <v>ACC-KIOSK-EHA</v>
          </cell>
        </row>
        <row r="55">
          <cell r="A55" t="str">
            <v>ACC-KIOSK-CE</v>
          </cell>
        </row>
        <row r="56">
          <cell r="A56" t="str">
            <v>ACC-TRI</v>
          </cell>
        </row>
        <row r="57">
          <cell r="A57" t="str">
            <v>ACC-RFL</v>
          </cell>
        </row>
        <row r="58">
          <cell r="A58" t="str">
            <v>ACC-RFL-HD</v>
          </cell>
        </row>
        <row r="59">
          <cell r="A59" t="str">
            <v>ACC-UPS</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grade Price"/>
      <sheetName val="List"/>
      <sheetName val="Full Maint"/>
      <sheetName val="SW Maintenance"/>
      <sheetName val="Sheet5"/>
    </sheetNames>
    <sheetDataSet>
      <sheetData sheetId="0"/>
      <sheetData sheetId="1">
        <row r="7">
          <cell r="A7" t="str">
            <v>less than 50 transactions per mo</v>
          </cell>
        </row>
        <row r="8">
          <cell r="A8" t="str">
            <v>50-100 transactions per mo</v>
          </cell>
        </row>
        <row r="9">
          <cell r="A9" t="str">
            <v>more than 100 transactions per mo</v>
          </cell>
        </row>
        <row r="12">
          <cell r="A12" t="str">
            <v>less than 3 yrs</v>
          </cell>
        </row>
        <row r="13">
          <cell r="A13" t="str">
            <v>3-5 year</v>
          </cell>
        </row>
        <row r="14">
          <cell r="A14" t="str">
            <v>more than 5</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heet"/>
      <sheetName val="Master"/>
      <sheetName val="Daily Activity"/>
      <sheetName val="MasterTaskAllocation"/>
      <sheetName val="ErrorReport"/>
      <sheetName val="Dropdowns"/>
      <sheetName val="Email"/>
      <sheetName val="Settings"/>
      <sheetName val="Instructions"/>
      <sheetName val="119 Raw"/>
      <sheetName val="Unique Client ID"/>
      <sheetName val="PSPMaintBillingConfig Raw"/>
      <sheetName val="FeesConfigurations Raw"/>
      <sheetName val="Relay Invoice Raw"/>
      <sheetName val="BLSID State"/>
      <sheetName val="Sheet3"/>
      <sheetName val="Sheet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A4" t="str">
            <v xml:space="preserve">Aberdeen </v>
          </cell>
          <cell r="B4" t="str">
            <v>Grays Harbor</v>
          </cell>
          <cell r="C4">
            <v>1401</v>
          </cell>
          <cell r="D4">
            <v>2.58E-2</v>
          </cell>
          <cell r="E4">
            <v>6.5000000000000002E-2</v>
          </cell>
          <cell r="F4">
            <v>9.0800000000000006E-2</v>
          </cell>
        </row>
        <row r="5">
          <cell r="A5" t="str">
            <v>Adams County Unincorp. Areas</v>
          </cell>
          <cell r="B5" t="str">
            <v>Adams</v>
          </cell>
          <cell r="C5">
            <v>100</v>
          </cell>
          <cell r="D5">
            <v>1.4999999999999999E-2</v>
          </cell>
          <cell r="E5">
            <v>6.5000000000000002E-2</v>
          </cell>
          <cell r="F5">
            <v>0.08</v>
          </cell>
        </row>
        <row r="6">
          <cell r="A6" t="str">
            <v xml:space="preserve">Airway Heights </v>
          </cell>
          <cell r="B6" t="str">
            <v>Spokane</v>
          </cell>
          <cell r="C6">
            <v>3201</v>
          </cell>
          <cell r="D6">
            <v>2.5999999999999999E-2</v>
          </cell>
          <cell r="E6">
            <v>6.5000000000000002E-2</v>
          </cell>
          <cell r="F6">
            <v>9.0999999999999998E-2</v>
          </cell>
        </row>
        <row r="7">
          <cell r="A7" t="str">
            <v>Albion</v>
          </cell>
          <cell r="B7" t="str">
            <v>Whitman</v>
          </cell>
          <cell r="C7">
            <v>3801</v>
          </cell>
          <cell r="D7">
            <v>1.2999999999999999E-2</v>
          </cell>
          <cell r="E7">
            <v>6.5000000000000002E-2</v>
          </cell>
          <cell r="F7">
            <v>7.8E-2</v>
          </cell>
        </row>
        <row r="8">
          <cell r="A8" t="str">
            <v>Algona</v>
          </cell>
          <cell r="B8" t="str">
            <v>King</v>
          </cell>
          <cell r="C8">
            <v>1701</v>
          </cell>
          <cell r="D8">
            <v>3.5999999999999997E-2</v>
          </cell>
          <cell r="E8">
            <v>6.5000000000000002E-2</v>
          </cell>
          <cell r="F8">
            <v>0.10100000000000001</v>
          </cell>
        </row>
        <row r="9">
          <cell r="A9" t="str">
            <v>Almira</v>
          </cell>
          <cell r="B9" t="str">
            <v>Lincoln</v>
          </cell>
          <cell r="C9">
            <v>2201</v>
          </cell>
          <cell r="D9">
            <v>1.4999999999999999E-2</v>
          </cell>
          <cell r="E9">
            <v>6.5000000000000002E-2</v>
          </cell>
          <cell r="F9">
            <v>0.08</v>
          </cell>
        </row>
        <row r="10">
          <cell r="A10" t="str">
            <v>Anacortes</v>
          </cell>
          <cell r="B10" t="str">
            <v>Skagit</v>
          </cell>
          <cell r="C10">
            <v>2901</v>
          </cell>
          <cell r="D10">
            <v>2.3E-2</v>
          </cell>
          <cell r="E10">
            <v>6.5000000000000002E-2</v>
          </cell>
          <cell r="F10">
            <v>8.7999999999999995E-2</v>
          </cell>
        </row>
        <row r="11">
          <cell r="A11" t="str">
            <v xml:space="preserve">Arlington </v>
          </cell>
          <cell r="B11" t="str">
            <v>Snohomish</v>
          </cell>
          <cell r="C11">
            <v>3101</v>
          </cell>
          <cell r="D11">
            <v>2.7E-2</v>
          </cell>
          <cell r="E11">
            <v>6.5000000000000002E-2</v>
          </cell>
          <cell r="F11">
            <v>9.1999999999999998E-2</v>
          </cell>
        </row>
        <row r="12">
          <cell r="A12" t="str">
            <v>Asotin (City)</v>
          </cell>
          <cell r="B12" t="str">
            <v>Asotin</v>
          </cell>
          <cell r="C12">
            <v>201</v>
          </cell>
          <cell r="D12">
            <v>1.4999999999999999E-2</v>
          </cell>
          <cell r="E12">
            <v>6.5000000000000002E-2</v>
          </cell>
          <cell r="F12">
            <v>0.08</v>
          </cell>
        </row>
        <row r="13">
          <cell r="A13" t="str">
            <v>Asotin County Unincorp. Areas</v>
          </cell>
          <cell r="B13" t="str">
            <v>Asotin</v>
          </cell>
          <cell r="C13">
            <v>200</v>
          </cell>
          <cell r="D13">
            <v>1.4999999999999999E-2</v>
          </cell>
          <cell r="E13">
            <v>6.5000000000000002E-2</v>
          </cell>
          <cell r="F13">
            <v>0.08</v>
          </cell>
        </row>
        <row r="14">
          <cell r="A14" t="str">
            <v>Auburn in King County</v>
          </cell>
          <cell r="B14" t="str">
            <v>King</v>
          </cell>
          <cell r="C14">
            <v>1702</v>
          </cell>
          <cell r="D14">
            <v>3.5999999999999997E-2</v>
          </cell>
          <cell r="E14">
            <v>6.5000000000000002E-2</v>
          </cell>
          <cell r="F14">
            <v>0.10100000000000001</v>
          </cell>
        </row>
        <row r="15">
          <cell r="A15" t="str">
            <v>Auburn in King County Non-RTA</v>
          </cell>
          <cell r="B15" t="str">
            <v>King</v>
          </cell>
          <cell r="C15">
            <v>4002</v>
          </cell>
          <cell r="D15">
            <v>2.1999999999999999E-2</v>
          </cell>
          <cell r="E15">
            <v>6.5000000000000002E-2</v>
          </cell>
          <cell r="F15">
            <v>8.6999999999999994E-2</v>
          </cell>
        </row>
        <row r="16">
          <cell r="A16" t="str">
            <v>Auburn in Pierce County</v>
          </cell>
          <cell r="B16" t="str">
            <v>Pierce</v>
          </cell>
          <cell r="C16">
            <v>2724</v>
          </cell>
          <cell r="D16">
            <v>3.4000000000000002E-2</v>
          </cell>
          <cell r="E16">
            <v>6.5000000000000002E-2</v>
          </cell>
          <cell r="F16">
            <v>9.9000000000000005E-2</v>
          </cell>
        </row>
        <row r="17">
          <cell r="A17" t="str">
            <v>Bainbridge Island</v>
          </cell>
          <cell r="B17" t="str">
            <v>Kitsap</v>
          </cell>
          <cell r="C17">
            <v>1804</v>
          </cell>
          <cell r="D17">
            <v>2.5000000000000001E-2</v>
          </cell>
          <cell r="E17">
            <v>6.5000000000000002E-2</v>
          </cell>
          <cell r="F17">
            <v>0.09</v>
          </cell>
        </row>
        <row r="18">
          <cell r="A18" t="str">
            <v>Battle Ground</v>
          </cell>
          <cell r="B18" t="str">
            <v>Clark</v>
          </cell>
          <cell r="C18">
            <v>601</v>
          </cell>
          <cell r="D18">
            <v>1.9E-2</v>
          </cell>
          <cell r="E18">
            <v>6.5000000000000002E-2</v>
          </cell>
          <cell r="F18">
            <v>8.4000000000000005E-2</v>
          </cell>
        </row>
        <row r="19">
          <cell r="A19" t="str">
            <v>Beaux Arts Village</v>
          </cell>
          <cell r="B19" t="str">
            <v>King</v>
          </cell>
          <cell r="C19">
            <v>1703</v>
          </cell>
          <cell r="D19">
            <v>3.5999999999999997E-2</v>
          </cell>
          <cell r="E19">
            <v>6.5000000000000002E-2</v>
          </cell>
          <cell r="F19">
            <v>0.10100000000000001</v>
          </cell>
        </row>
        <row r="20">
          <cell r="A20" t="str">
            <v>Bellevue</v>
          </cell>
          <cell r="B20" t="str">
            <v>King</v>
          </cell>
          <cell r="C20">
            <v>1704</v>
          </cell>
          <cell r="D20">
            <v>3.5999999999999997E-2</v>
          </cell>
          <cell r="E20">
            <v>6.5000000000000002E-2</v>
          </cell>
          <cell r="F20">
            <v>0.10100000000000001</v>
          </cell>
        </row>
        <row r="21">
          <cell r="A21" t="str">
            <v>Bellevue Non-RTA</v>
          </cell>
          <cell r="B21" t="str">
            <v>King</v>
          </cell>
          <cell r="C21">
            <v>4004</v>
          </cell>
          <cell r="D21">
            <v>2.1999999999999999E-2</v>
          </cell>
          <cell r="E21">
            <v>6.5000000000000002E-2</v>
          </cell>
          <cell r="F21">
            <v>8.6999999999999994E-2</v>
          </cell>
        </row>
        <row r="22">
          <cell r="A22" t="str">
            <v xml:space="preserve">Bellingham </v>
          </cell>
          <cell r="B22" t="str">
            <v>Whatcom</v>
          </cell>
          <cell r="C22">
            <v>3701</v>
          </cell>
          <cell r="D22">
            <v>2.1999999999999999E-2</v>
          </cell>
          <cell r="E22">
            <v>6.5000000000000002E-2</v>
          </cell>
          <cell r="F22">
            <v>8.6999999999999994E-2</v>
          </cell>
        </row>
        <row r="23">
          <cell r="A23" t="str">
            <v>Benton City</v>
          </cell>
          <cell r="B23" t="str">
            <v>Benton</v>
          </cell>
          <cell r="C23">
            <v>301</v>
          </cell>
          <cell r="D23">
            <v>2.1000000000000001E-2</v>
          </cell>
          <cell r="E23">
            <v>6.5000000000000002E-2</v>
          </cell>
          <cell r="F23">
            <v>8.6000000000000007E-2</v>
          </cell>
        </row>
        <row r="24">
          <cell r="A24" t="str">
            <v>Benton County Unincorp. Areas</v>
          </cell>
          <cell r="B24" t="str">
            <v>Benton</v>
          </cell>
          <cell r="C24">
            <v>300</v>
          </cell>
          <cell r="D24">
            <v>1.4999999999999999E-2</v>
          </cell>
          <cell r="E24">
            <v>6.5000000000000002E-2</v>
          </cell>
          <cell r="F24">
            <v>0.08</v>
          </cell>
        </row>
        <row r="25">
          <cell r="A25" t="str">
            <v>Benton Co. Unincorp. PTBA</v>
          </cell>
          <cell r="B25" t="str">
            <v>Benton</v>
          </cell>
          <cell r="C25">
            <v>333</v>
          </cell>
          <cell r="D25">
            <v>2.1000000000000001E-2</v>
          </cell>
          <cell r="E25">
            <v>6.5000000000000002E-2</v>
          </cell>
          <cell r="F25">
            <v>8.6000000000000007E-2</v>
          </cell>
        </row>
        <row r="26">
          <cell r="A26" t="str">
            <v>Bingen</v>
          </cell>
          <cell r="B26" t="str">
            <v>Klickitat</v>
          </cell>
          <cell r="C26">
            <v>2001</v>
          </cell>
          <cell r="D26">
            <v>0.01</v>
          </cell>
          <cell r="E26">
            <v>6.5000000000000002E-2</v>
          </cell>
          <cell r="F26">
            <v>7.4999999999999997E-2</v>
          </cell>
        </row>
        <row r="27">
          <cell r="A27" t="str">
            <v>Black Diamond</v>
          </cell>
          <cell r="B27" t="str">
            <v>King</v>
          </cell>
          <cell r="C27">
            <v>1705</v>
          </cell>
          <cell r="D27">
            <v>2.1999999999999999E-2</v>
          </cell>
          <cell r="E27">
            <v>6.5000000000000002E-2</v>
          </cell>
          <cell r="F27">
            <v>8.6999999999999994E-2</v>
          </cell>
        </row>
        <row r="28">
          <cell r="A28" t="str">
            <v>Blaine</v>
          </cell>
          <cell r="B28" t="str">
            <v>Whatcom</v>
          </cell>
          <cell r="C28">
            <v>3702</v>
          </cell>
          <cell r="D28">
            <v>2.1999999999999999E-2</v>
          </cell>
          <cell r="E28">
            <v>6.5000000000000002E-2</v>
          </cell>
          <cell r="F28">
            <v>8.6999999999999994E-2</v>
          </cell>
        </row>
        <row r="29">
          <cell r="A29" t="str">
            <v>Bonney Lake</v>
          </cell>
          <cell r="B29" t="str">
            <v>Pierce</v>
          </cell>
          <cell r="C29">
            <v>2701</v>
          </cell>
          <cell r="D29">
            <v>2.8000000000000001E-2</v>
          </cell>
          <cell r="E29">
            <v>6.5000000000000002E-2</v>
          </cell>
          <cell r="F29">
            <v>9.2999999999999999E-2</v>
          </cell>
        </row>
        <row r="30">
          <cell r="A30" t="str">
            <v>Bonney Lake Non-RTA</v>
          </cell>
          <cell r="B30" t="str">
            <v>Pierce</v>
          </cell>
          <cell r="C30">
            <v>4101</v>
          </cell>
          <cell r="D30">
            <v>1.4E-2</v>
          </cell>
          <cell r="E30">
            <v>6.5000000000000002E-2</v>
          </cell>
          <cell r="F30">
            <v>7.9000000000000001E-2</v>
          </cell>
        </row>
        <row r="31">
          <cell r="A31" t="str">
            <v>Bothell in King County</v>
          </cell>
          <cell r="B31" t="str">
            <v>King</v>
          </cell>
          <cell r="C31">
            <v>1706</v>
          </cell>
          <cell r="D31">
            <v>3.5999999999999997E-2</v>
          </cell>
          <cell r="E31">
            <v>6.5000000000000002E-2</v>
          </cell>
          <cell r="F31">
            <v>0.10100000000000001</v>
          </cell>
        </row>
        <row r="32">
          <cell r="A32" t="str">
            <v>Bothell in Snohomish County</v>
          </cell>
          <cell r="B32" t="str">
            <v>Snohomish</v>
          </cell>
          <cell r="C32">
            <v>3120</v>
          </cell>
          <cell r="D32">
            <v>3.9E-2</v>
          </cell>
          <cell r="E32">
            <v>6.5000000000000002E-2</v>
          </cell>
          <cell r="F32">
            <v>0.10400000000000001</v>
          </cell>
        </row>
        <row r="33">
          <cell r="A33" t="str">
            <v>Bremerton</v>
          </cell>
          <cell r="B33" t="str">
            <v>Kitsap</v>
          </cell>
          <cell r="C33">
            <v>1801</v>
          </cell>
          <cell r="D33">
            <v>2.5000000000000001E-2</v>
          </cell>
          <cell r="E33">
            <v>6.5000000000000002E-2</v>
          </cell>
          <cell r="F33">
            <v>0.09</v>
          </cell>
        </row>
        <row r="34">
          <cell r="A34" t="str">
            <v>Brewster</v>
          </cell>
          <cell r="B34" t="str">
            <v>Okanogan</v>
          </cell>
          <cell r="C34">
            <v>2401</v>
          </cell>
          <cell r="D34">
            <v>1.9E-2</v>
          </cell>
          <cell r="E34">
            <v>6.5000000000000002E-2</v>
          </cell>
          <cell r="F34">
            <v>8.4000000000000005E-2</v>
          </cell>
        </row>
        <row r="35">
          <cell r="A35" t="str">
            <v>Bridgeport</v>
          </cell>
          <cell r="B35" t="str">
            <v>Douglas</v>
          </cell>
          <cell r="C35">
            <v>901</v>
          </cell>
          <cell r="D35">
            <v>1.2E-2</v>
          </cell>
          <cell r="E35">
            <v>6.5000000000000002E-2</v>
          </cell>
          <cell r="F35">
            <v>7.6999999999999999E-2</v>
          </cell>
        </row>
        <row r="36">
          <cell r="A36" t="str">
            <v>Brier</v>
          </cell>
          <cell r="B36" t="str">
            <v>Snohomish</v>
          </cell>
          <cell r="C36">
            <v>3102</v>
          </cell>
          <cell r="D36">
            <v>3.9E-2</v>
          </cell>
          <cell r="E36">
            <v>6.5000000000000002E-2</v>
          </cell>
          <cell r="F36">
            <v>0.10400000000000001</v>
          </cell>
        </row>
        <row r="37">
          <cell r="A37" t="str">
            <v>Buckley</v>
          </cell>
          <cell r="B37" t="str">
            <v>Pierce</v>
          </cell>
          <cell r="C37">
            <v>2702</v>
          </cell>
          <cell r="D37">
            <v>1.4E-2</v>
          </cell>
          <cell r="E37">
            <v>6.5000000000000002E-2</v>
          </cell>
          <cell r="F37">
            <v>7.9000000000000001E-2</v>
          </cell>
        </row>
        <row r="38">
          <cell r="A38" t="str">
            <v>Bucoda</v>
          </cell>
          <cell r="B38" t="str">
            <v>Thurston</v>
          </cell>
          <cell r="C38">
            <v>3401</v>
          </cell>
          <cell r="D38">
            <v>1.4999999999999999E-2</v>
          </cell>
          <cell r="E38">
            <v>6.5000000000000002E-2</v>
          </cell>
          <cell r="F38">
            <v>0.08</v>
          </cell>
        </row>
        <row r="39">
          <cell r="A39" t="str">
            <v>Burien</v>
          </cell>
          <cell r="B39" t="str">
            <v>King</v>
          </cell>
          <cell r="C39">
            <v>1734</v>
          </cell>
          <cell r="D39">
            <v>3.5999999999999997E-2</v>
          </cell>
          <cell r="E39">
            <v>6.5000000000000002E-2</v>
          </cell>
          <cell r="F39">
            <v>0.10100000000000001</v>
          </cell>
        </row>
        <row r="40">
          <cell r="A40" t="str">
            <v>Burlington</v>
          </cell>
          <cell r="B40" t="str">
            <v>Skagit</v>
          </cell>
          <cell r="C40">
            <v>2902</v>
          </cell>
          <cell r="D40">
            <v>0.02</v>
          </cell>
          <cell r="E40">
            <v>6.5000000000000002E-2</v>
          </cell>
          <cell r="F40">
            <v>8.5000000000000006E-2</v>
          </cell>
        </row>
        <row r="41">
          <cell r="A41" t="str">
            <v>Camas</v>
          </cell>
          <cell r="B41" t="str">
            <v>Clark</v>
          </cell>
          <cell r="C41">
            <v>602</v>
          </cell>
          <cell r="D41">
            <v>1.9E-2</v>
          </cell>
          <cell r="E41">
            <v>6.5000000000000002E-2</v>
          </cell>
          <cell r="F41">
            <v>8.4000000000000005E-2</v>
          </cell>
        </row>
        <row r="42">
          <cell r="A42" t="str">
            <v>Carbonado</v>
          </cell>
          <cell r="B42" t="str">
            <v>Pierce</v>
          </cell>
          <cell r="C42">
            <v>2703</v>
          </cell>
          <cell r="D42">
            <v>1.4E-2</v>
          </cell>
          <cell r="E42">
            <v>6.5000000000000002E-2</v>
          </cell>
          <cell r="F42">
            <v>7.9000000000000001E-2</v>
          </cell>
        </row>
        <row r="43">
          <cell r="A43" t="str">
            <v>Carnation</v>
          </cell>
          <cell r="B43" t="str">
            <v>King</v>
          </cell>
          <cell r="C43">
            <v>1707</v>
          </cell>
          <cell r="D43">
            <v>2.1999999999999999E-2</v>
          </cell>
          <cell r="E43">
            <v>6.5000000000000002E-2</v>
          </cell>
          <cell r="F43">
            <v>8.6999999999999994E-2</v>
          </cell>
        </row>
        <row r="44">
          <cell r="A44" t="str">
            <v>Cashmere</v>
          </cell>
          <cell r="B44" t="str">
            <v>Chelan</v>
          </cell>
          <cell r="C44">
            <v>401</v>
          </cell>
          <cell r="D44">
            <v>1.7999999999999999E-2</v>
          </cell>
          <cell r="E44">
            <v>6.5000000000000002E-2</v>
          </cell>
          <cell r="F44">
            <v>8.3000000000000004E-2</v>
          </cell>
        </row>
        <row r="45">
          <cell r="A45" t="str">
            <v xml:space="preserve">Castle Rock </v>
          </cell>
          <cell r="B45" t="str">
            <v>Cowlitz</v>
          </cell>
          <cell r="C45">
            <v>801</v>
          </cell>
          <cell r="D45">
            <v>1.4999999999999999E-2</v>
          </cell>
          <cell r="E45">
            <v>6.5000000000000002E-2</v>
          </cell>
          <cell r="F45">
            <v>0.08</v>
          </cell>
        </row>
        <row r="46">
          <cell r="A46" t="str">
            <v>Cathlamet</v>
          </cell>
          <cell r="B46" t="str">
            <v>Wahkiakum</v>
          </cell>
          <cell r="C46">
            <v>3501</v>
          </cell>
          <cell r="D46">
            <v>1.0999999999999999E-2</v>
          </cell>
          <cell r="E46">
            <v>6.5000000000000002E-2</v>
          </cell>
          <cell r="F46">
            <v>7.5999999999999998E-2</v>
          </cell>
        </row>
        <row r="47">
          <cell r="A47" t="str">
            <v xml:space="preserve">Centralia </v>
          </cell>
          <cell r="B47" t="str">
            <v>Lewis</v>
          </cell>
          <cell r="C47">
            <v>2101</v>
          </cell>
          <cell r="D47">
            <v>1.7000000000000001E-2</v>
          </cell>
          <cell r="E47">
            <v>6.5000000000000002E-2</v>
          </cell>
          <cell r="F47">
            <v>8.2000000000000003E-2</v>
          </cell>
        </row>
        <row r="48">
          <cell r="A48" t="str">
            <v>Chehalis</v>
          </cell>
          <cell r="B48" t="str">
            <v>Lewis</v>
          </cell>
          <cell r="C48">
            <v>2102</v>
          </cell>
          <cell r="D48">
            <v>1.7000000000000001E-2</v>
          </cell>
          <cell r="E48">
            <v>6.5000000000000002E-2</v>
          </cell>
          <cell r="F48">
            <v>8.2000000000000003E-2</v>
          </cell>
        </row>
        <row r="49">
          <cell r="A49" t="str">
            <v>Chehalis Tribes - Unincorp. Grays Harbor County</v>
          </cell>
          <cell r="B49" t="str">
            <v>Grays Harbor</v>
          </cell>
          <cell r="C49">
            <v>1411</v>
          </cell>
          <cell r="D49">
            <v>2.4E-2</v>
          </cell>
          <cell r="E49">
            <v>6.5000000000000002E-2</v>
          </cell>
          <cell r="F49">
            <v>8.8999999999999996E-2</v>
          </cell>
        </row>
        <row r="50">
          <cell r="A50" t="str">
            <v>Chehalis Tribes - Unincorp. Lewis County</v>
          </cell>
          <cell r="B50" t="str">
            <v>Lewis</v>
          </cell>
          <cell r="C50">
            <v>2111</v>
          </cell>
          <cell r="D50">
            <v>1.2999999999999999E-2</v>
          </cell>
          <cell r="E50">
            <v>6.5000000000000002E-2</v>
          </cell>
          <cell r="F50">
            <v>7.8E-2</v>
          </cell>
        </row>
        <row r="51">
          <cell r="A51" t="str">
            <v>Chehalis Tribes - Oakville</v>
          </cell>
          <cell r="B51" t="str">
            <v>Grays Harbor</v>
          </cell>
          <cell r="C51">
            <v>1413</v>
          </cell>
          <cell r="D51">
            <v>2.4E-2</v>
          </cell>
          <cell r="E51">
            <v>6.5000000000000002E-2</v>
          </cell>
          <cell r="F51">
            <v>8.8999999999999996E-2</v>
          </cell>
        </row>
        <row r="52">
          <cell r="A52" t="str">
            <v>Chehalis Tribes - Unincorp. Thurston County</v>
          </cell>
          <cell r="B52" t="str">
            <v>Thurston</v>
          </cell>
          <cell r="C52">
            <v>3409</v>
          </cell>
          <cell r="D52">
            <v>1.4999999999999999E-2</v>
          </cell>
          <cell r="E52">
            <v>6.5000000000000002E-2</v>
          </cell>
          <cell r="F52">
            <v>0.08</v>
          </cell>
        </row>
        <row r="53">
          <cell r="A53" t="str">
            <v>Chehalis Tribes - Tumwater</v>
          </cell>
          <cell r="B53" t="str">
            <v>Thurston</v>
          </cell>
          <cell r="C53">
            <v>3411</v>
          </cell>
          <cell r="D53">
            <v>2.9000000000000001E-2</v>
          </cell>
          <cell r="E53">
            <v>6.5000000000000002E-2</v>
          </cell>
          <cell r="F53">
            <v>9.4E-2</v>
          </cell>
        </row>
        <row r="54">
          <cell r="A54" t="str">
            <v>Chelan (City)</v>
          </cell>
          <cell r="B54" t="str">
            <v>Chelan</v>
          </cell>
          <cell r="C54">
            <v>402</v>
          </cell>
          <cell r="D54">
            <v>1.7999999999999999E-2</v>
          </cell>
          <cell r="E54">
            <v>6.5000000000000002E-2</v>
          </cell>
          <cell r="F54">
            <v>8.3000000000000004E-2</v>
          </cell>
        </row>
        <row r="55">
          <cell r="A55" t="str">
            <v>Chelan County Unincorp. Areas</v>
          </cell>
          <cell r="B55" t="str">
            <v>Chelan</v>
          </cell>
          <cell r="C55">
            <v>400</v>
          </cell>
          <cell r="D55">
            <v>1.7999999999999999E-2</v>
          </cell>
          <cell r="E55">
            <v>6.5000000000000002E-2</v>
          </cell>
          <cell r="F55">
            <v>8.3000000000000004E-2</v>
          </cell>
        </row>
        <row r="56">
          <cell r="A56" t="str">
            <v>Cheney</v>
          </cell>
          <cell r="B56" t="str">
            <v>Spokane</v>
          </cell>
          <cell r="C56">
            <v>3202</v>
          </cell>
          <cell r="D56">
            <v>2.4E-2</v>
          </cell>
          <cell r="E56">
            <v>6.5000000000000002E-2</v>
          </cell>
          <cell r="F56">
            <v>8.8999999999999996E-2</v>
          </cell>
        </row>
        <row r="57">
          <cell r="A57" t="str">
            <v>Chewelah</v>
          </cell>
          <cell r="B57" t="str">
            <v>Stevens</v>
          </cell>
          <cell r="C57">
            <v>3301</v>
          </cell>
          <cell r="D57">
            <v>1.0999999999999999E-2</v>
          </cell>
          <cell r="E57">
            <v>6.5000000000000002E-2</v>
          </cell>
          <cell r="F57">
            <v>7.5999999999999998E-2</v>
          </cell>
        </row>
        <row r="58">
          <cell r="A58" t="str">
            <v>Clallam County Unincorp. Areas</v>
          </cell>
          <cell r="B58" t="str">
            <v>Clallam</v>
          </cell>
          <cell r="C58">
            <v>500</v>
          </cell>
          <cell r="D58">
            <v>0.02</v>
          </cell>
          <cell r="E58">
            <v>6.5000000000000002E-2</v>
          </cell>
          <cell r="F58">
            <v>8.5000000000000006E-2</v>
          </cell>
        </row>
        <row r="59">
          <cell r="A59" t="str">
            <v>Clark County Unincorp. Areas</v>
          </cell>
          <cell r="B59" t="str">
            <v>Clark</v>
          </cell>
          <cell r="C59">
            <v>600</v>
          </cell>
          <cell r="D59">
            <v>1.2E-2</v>
          </cell>
          <cell r="E59">
            <v>6.5000000000000002E-2</v>
          </cell>
          <cell r="F59">
            <v>7.6999999999999999E-2</v>
          </cell>
        </row>
        <row r="60">
          <cell r="A60" t="str">
            <v>Clark County Unincorp. PTBA</v>
          </cell>
          <cell r="B60" t="str">
            <v>Clark</v>
          </cell>
          <cell r="C60">
            <v>666</v>
          </cell>
          <cell r="D60">
            <v>1.9E-2</v>
          </cell>
          <cell r="E60">
            <v>6.5000000000000002E-2</v>
          </cell>
          <cell r="F60">
            <v>8.4000000000000005E-2</v>
          </cell>
        </row>
        <row r="61">
          <cell r="A61" t="str">
            <v>Clarkston</v>
          </cell>
          <cell r="B61" t="str">
            <v>Asotin</v>
          </cell>
          <cell r="C61">
            <v>202</v>
          </cell>
          <cell r="D61">
            <v>1.7000000000000001E-2</v>
          </cell>
          <cell r="E61">
            <v>6.5000000000000002E-2</v>
          </cell>
          <cell r="F61">
            <v>8.2000000000000003E-2</v>
          </cell>
        </row>
        <row r="62">
          <cell r="A62" t="str">
            <v>Cle Elum</v>
          </cell>
          <cell r="B62" t="str">
            <v>Kittitas</v>
          </cell>
          <cell r="C62">
            <v>1901</v>
          </cell>
          <cell r="D62">
            <v>1.4999999999999999E-2</v>
          </cell>
          <cell r="E62">
            <v>6.5000000000000002E-2</v>
          </cell>
          <cell r="F62">
            <v>0.08</v>
          </cell>
        </row>
        <row r="63">
          <cell r="A63" t="str">
            <v>Clyde Hill</v>
          </cell>
          <cell r="B63" t="str">
            <v>King</v>
          </cell>
          <cell r="C63">
            <v>1708</v>
          </cell>
          <cell r="D63">
            <v>3.5999999999999997E-2</v>
          </cell>
          <cell r="E63">
            <v>6.5000000000000002E-2</v>
          </cell>
          <cell r="F63">
            <v>0.10100000000000001</v>
          </cell>
        </row>
        <row r="64">
          <cell r="A64" t="str">
            <v>Colfax</v>
          </cell>
          <cell r="B64" t="str">
            <v>Whitman</v>
          </cell>
          <cell r="C64">
            <v>3802</v>
          </cell>
          <cell r="D64">
            <v>1.2999999999999999E-2</v>
          </cell>
          <cell r="E64">
            <v>6.5000000000000002E-2</v>
          </cell>
          <cell r="F64">
            <v>7.8E-2</v>
          </cell>
        </row>
        <row r="65">
          <cell r="A65" t="str">
            <v>College Place</v>
          </cell>
          <cell r="B65" t="str">
            <v>Walla Walla</v>
          </cell>
          <cell r="C65">
            <v>3601</v>
          </cell>
          <cell r="D65">
            <v>2.1999999999999999E-2</v>
          </cell>
          <cell r="E65">
            <v>6.5000000000000002E-2</v>
          </cell>
          <cell r="F65">
            <v>8.6999999999999994E-2</v>
          </cell>
        </row>
        <row r="66">
          <cell r="A66" t="str">
            <v>Colton</v>
          </cell>
          <cell r="B66" t="str">
            <v>Whitman</v>
          </cell>
          <cell r="C66">
            <v>3803</v>
          </cell>
          <cell r="D66">
            <v>1.2999999999999999E-2</v>
          </cell>
          <cell r="E66">
            <v>6.5000000000000002E-2</v>
          </cell>
          <cell r="F66">
            <v>7.8E-2</v>
          </cell>
        </row>
        <row r="67">
          <cell r="A67" t="str">
            <v>Columbia County Unincorp. Areas</v>
          </cell>
          <cell r="B67" t="str">
            <v>Columbia</v>
          </cell>
          <cell r="C67">
            <v>700</v>
          </cell>
          <cell r="D67">
            <v>1.7000000000000001E-2</v>
          </cell>
          <cell r="E67">
            <v>6.5000000000000002E-2</v>
          </cell>
          <cell r="F67">
            <v>8.2000000000000003E-2</v>
          </cell>
        </row>
        <row r="68">
          <cell r="A68" t="str">
            <v>Colville</v>
          </cell>
          <cell r="B68" t="str">
            <v>Stevens</v>
          </cell>
          <cell r="C68">
            <v>3302</v>
          </cell>
          <cell r="D68">
            <v>1.0999999999999999E-2</v>
          </cell>
          <cell r="E68">
            <v>6.5000000000000002E-2</v>
          </cell>
          <cell r="F68">
            <v>7.5999999999999998E-2</v>
          </cell>
        </row>
        <row r="69">
          <cell r="A69" t="str">
            <v>Conconully</v>
          </cell>
          <cell r="B69" t="str">
            <v>Okanogan</v>
          </cell>
          <cell r="C69">
            <v>2402</v>
          </cell>
          <cell r="D69">
            <v>1.9E-2</v>
          </cell>
          <cell r="E69">
            <v>6.5000000000000002E-2</v>
          </cell>
          <cell r="F69">
            <v>8.4000000000000005E-2</v>
          </cell>
        </row>
        <row r="70">
          <cell r="A70" t="str">
            <v>Concrete</v>
          </cell>
          <cell r="B70" t="str">
            <v>Skagit</v>
          </cell>
          <cell r="C70">
            <v>2903</v>
          </cell>
          <cell r="D70">
            <v>0.02</v>
          </cell>
          <cell r="E70">
            <v>6.5000000000000002E-2</v>
          </cell>
          <cell r="F70">
            <v>8.5000000000000006E-2</v>
          </cell>
        </row>
        <row r="71">
          <cell r="A71" t="str">
            <v>Connell</v>
          </cell>
          <cell r="B71" t="str">
            <v>Franklin</v>
          </cell>
          <cell r="C71">
            <v>1101</v>
          </cell>
          <cell r="D71">
            <v>1.7000000000000001E-2</v>
          </cell>
          <cell r="E71">
            <v>6.5000000000000002E-2</v>
          </cell>
          <cell r="F71">
            <v>8.2000000000000003E-2</v>
          </cell>
        </row>
        <row r="72">
          <cell r="A72" t="str">
            <v>Cosmopolis</v>
          </cell>
          <cell r="B72" t="str">
            <v>Grays Harbor</v>
          </cell>
          <cell r="C72">
            <v>1402</v>
          </cell>
          <cell r="D72">
            <v>2.4E-2</v>
          </cell>
          <cell r="E72">
            <v>6.5000000000000002E-2</v>
          </cell>
          <cell r="F72">
            <v>8.8999999999999996E-2</v>
          </cell>
        </row>
        <row r="73">
          <cell r="A73" t="str">
            <v>Coulee City</v>
          </cell>
          <cell r="B73" t="str">
            <v>Grant</v>
          </cell>
          <cell r="C73">
            <v>1301</v>
          </cell>
          <cell r="D73">
            <v>1.7000000000000001E-2</v>
          </cell>
          <cell r="E73">
            <v>6.5000000000000002E-2</v>
          </cell>
          <cell r="F73">
            <v>8.2000000000000003E-2</v>
          </cell>
        </row>
        <row r="74">
          <cell r="A74" t="str">
            <v>Coulee Dam</v>
          </cell>
          <cell r="B74" t="str">
            <v>Okanogan</v>
          </cell>
          <cell r="C74">
            <v>2403</v>
          </cell>
          <cell r="D74">
            <v>1.4999999999999999E-2</v>
          </cell>
          <cell r="E74">
            <v>6.5000000000000002E-2</v>
          </cell>
          <cell r="F74">
            <v>0.08</v>
          </cell>
        </row>
        <row r="75">
          <cell r="A75" t="str">
            <v>Coupeville</v>
          </cell>
          <cell r="B75" t="str">
            <v>Island</v>
          </cell>
          <cell r="C75">
            <v>1501</v>
          </cell>
          <cell r="D75">
            <v>2.1999999999999999E-2</v>
          </cell>
          <cell r="E75">
            <v>6.5000000000000002E-2</v>
          </cell>
          <cell r="F75">
            <v>8.6999999999999994E-2</v>
          </cell>
        </row>
        <row r="76">
          <cell r="A76" t="str">
            <v>Covington</v>
          </cell>
          <cell r="B76" t="str">
            <v>King</v>
          </cell>
          <cell r="C76">
            <v>1712</v>
          </cell>
          <cell r="D76">
            <v>2.1999999999999999E-2</v>
          </cell>
          <cell r="E76">
            <v>6.5000000000000002E-2</v>
          </cell>
          <cell r="F76">
            <v>8.6999999999999994E-2</v>
          </cell>
        </row>
        <row r="77">
          <cell r="A77" t="str">
            <v>Cowlitz County Unincorp. Areas</v>
          </cell>
          <cell r="B77" t="str">
            <v>Cowlitz</v>
          </cell>
          <cell r="C77">
            <v>800</v>
          </cell>
          <cell r="D77">
            <v>1.2999999999999999E-2</v>
          </cell>
          <cell r="E77">
            <v>6.5000000000000002E-2</v>
          </cell>
          <cell r="F77">
            <v>7.8E-2</v>
          </cell>
        </row>
        <row r="78">
          <cell r="A78" t="str">
            <v>Creston</v>
          </cell>
          <cell r="B78" t="str">
            <v>Lincoln</v>
          </cell>
          <cell r="C78">
            <v>2202</v>
          </cell>
          <cell r="D78">
            <v>1.4999999999999999E-2</v>
          </cell>
          <cell r="E78">
            <v>6.5000000000000002E-2</v>
          </cell>
          <cell r="F78">
            <v>0.08</v>
          </cell>
        </row>
        <row r="79">
          <cell r="A79" t="str">
            <v>Cusick</v>
          </cell>
          <cell r="B79" t="str">
            <v>Pend Oreille</v>
          </cell>
          <cell r="C79">
            <v>2601</v>
          </cell>
          <cell r="D79">
            <v>1.2E-2</v>
          </cell>
          <cell r="E79">
            <v>6.5000000000000002E-2</v>
          </cell>
          <cell r="F79">
            <v>7.6999999999999999E-2</v>
          </cell>
        </row>
        <row r="80">
          <cell r="A80" t="str">
            <v>Darrington</v>
          </cell>
          <cell r="B80" t="str">
            <v>Snohomish</v>
          </cell>
          <cell r="C80">
            <v>3103</v>
          </cell>
          <cell r="D80">
            <v>2.5000000000000001E-2</v>
          </cell>
          <cell r="E80">
            <v>6.5000000000000002E-2</v>
          </cell>
          <cell r="F80">
            <v>0.09</v>
          </cell>
        </row>
        <row r="81">
          <cell r="A81" t="str">
            <v>Davenport</v>
          </cell>
          <cell r="B81" t="str">
            <v>Lincoln</v>
          </cell>
          <cell r="C81">
            <v>2203</v>
          </cell>
          <cell r="D81">
            <v>1.4999999999999999E-2</v>
          </cell>
          <cell r="E81">
            <v>6.5000000000000002E-2</v>
          </cell>
          <cell r="F81">
            <v>0.08</v>
          </cell>
        </row>
        <row r="82">
          <cell r="A82" t="str">
            <v>Dayton</v>
          </cell>
          <cell r="B82" t="str">
            <v>Columbia</v>
          </cell>
          <cell r="C82">
            <v>701</v>
          </cell>
          <cell r="D82">
            <v>1.9E-2</v>
          </cell>
          <cell r="E82">
            <v>6.5000000000000002E-2</v>
          </cell>
          <cell r="F82">
            <v>8.4000000000000005E-2</v>
          </cell>
        </row>
        <row r="83">
          <cell r="A83" t="str">
            <v>Deer Park</v>
          </cell>
          <cell r="B83" t="str">
            <v>Spokane</v>
          </cell>
          <cell r="C83">
            <v>3203</v>
          </cell>
          <cell r="D83">
            <v>1.6E-2</v>
          </cell>
          <cell r="E83">
            <v>6.5000000000000002E-2</v>
          </cell>
          <cell r="F83">
            <v>8.1000000000000003E-2</v>
          </cell>
        </row>
        <row r="84">
          <cell r="A84" t="str">
            <v>Des Moines</v>
          </cell>
          <cell r="B84" t="str">
            <v>King</v>
          </cell>
          <cell r="C84">
            <v>1709</v>
          </cell>
          <cell r="D84">
            <v>3.5999999999999997E-2</v>
          </cell>
          <cell r="E84">
            <v>6.5000000000000002E-2</v>
          </cell>
          <cell r="F84">
            <v>0.10100000000000001</v>
          </cell>
        </row>
        <row r="85">
          <cell r="A85" t="str">
            <v>Douglas County Unincorp. Areas</v>
          </cell>
          <cell r="B85" t="str">
            <v>Douglas</v>
          </cell>
          <cell r="C85">
            <v>900</v>
          </cell>
          <cell r="D85">
            <v>1.2999999999999999E-2</v>
          </cell>
          <cell r="E85">
            <v>6.5000000000000002E-2</v>
          </cell>
          <cell r="F85">
            <v>7.8E-2</v>
          </cell>
        </row>
        <row r="86">
          <cell r="A86" t="str">
            <v>Douglas County Unincorp. PTBA</v>
          </cell>
          <cell r="B86" t="str">
            <v>Douglas</v>
          </cell>
          <cell r="C86">
            <v>909</v>
          </cell>
          <cell r="D86">
            <v>1.7999999999999999E-2</v>
          </cell>
          <cell r="E86">
            <v>6.5000000000000002E-2</v>
          </cell>
          <cell r="F86">
            <v>8.3000000000000004E-2</v>
          </cell>
        </row>
        <row r="87">
          <cell r="A87" t="str">
            <v>DuPont</v>
          </cell>
          <cell r="B87" t="str">
            <v>Pierce</v>
          </cell>
          <cell r="C87">
            <v>2704</v>
          </cell>
          <cell r="D87">
            <v>2.8000000000000001E-2</v>
          </cell>
          <cell r="E87">
            <v>6.5000000000000002E-2</v>
          </cell>
          <cell r="F87">
            <v>9.2999999999999999E-2</v>
          </cell>
        </row>
        <row r="88">
          <cell r="A88" t="str">
            <v>Duvall</v>
          </cell>
          <cell r="B88" t="str">
            <v>King</v>
          </cell>
          <cell r="C88">
            <v>1710</v>
          </cell>
          <cell r="D88">
            <v>2.4E-2</v>
          </cell>
          <cell r="E88">
            <v>6.5000000000000002E-2</v>
          </cell>
          <cell r="F88">
            <v>8.8999999999999996E-2</v>
          </cell>
        </row>
        <row r="89">
          <cell r="A89" t="str">
            <v>East Wenatchee</v>
          </cell>
          <cell r="B89" t="str">
            <v>Douglas</v>
          </cell>
          <cell r="C89">
            <v>902</v>
          </cell>
          <cell r="D89">
            <v>1.7999999999999999E-2</v>
          </cell>
          <cell r="E89">
            <v>6.5000000000000002E-2</v>
          </cell>
          <cell r="F89">
            <v>8.3000000000000004E-2</v>
          </cell>
        </row>
        <row r="90">
          <cell r="A90" t="str">
            <v>Eatonville</v>
          </cell>
          <cell r="B90" t="str">
            <v>Pierce</v>
          </cell>
          <cell r="C90">
            <v>2705</v>
          </cell>
          <cell r="D90">
            <v>1.4E-2</v>
          </cell>
          <cell r="E90">
            <v>6.5000000000000002E-2</v>
          </cell>
          <cell r="F90">
            <v>7.9000000000000001E-2</v>
          </cell>
        </row>
        <row r="91">
          <cell r="A91" t="str">
            <v>Edgewood</v>
          </cell>
          <cell r="B91" t="str">
            <v>Pierce</v>
          </cell>
          <cell r="C91">
            <v>2720</v>
          </cell>
          <cell r="D91">
            <v>3.4000000000000002E-2</v>
          </cell>
          <cell r="E91">
            <v>6.5000000000000002E-2</v>
          </cell>
          <cell r="F91">
            <v>9.9000000000000005E-2</v>
          </cell>
        </row>
        <row r="92">
          <cell r="A92" t="str">
            <v>Edmonds</v>
          </cell>
          <cell r="B92" t="str">
            <v>Snohomish</v>
          </cell>
          <cell r="C92">
            <v>3104</v>
          </cell>
          <cell r="D92">
            <v>3.9E-2</v>
          </cell>
          <cell r="E92">
            <v>6.5000000000000002E-2</v>
          </cell>
          <cell r="F92">
            <v>0.10400000000000001</v>
          </cell>
        </row>
        <row r="93">
          <cell r="A93" t="str">
            <v>Electric City</v>
          </cell>
          <cell r="B93" t="str">
            <v>Grant</v>
          </cell>
          <cell r="C93">
            <v>1302</v>
          </cell>
          <cell r="D93">
            <v>1.7000000000000001E-2</v>
          </cell>
          <cell r="E93">
            <v>6.5000000000000002E-2</v>
          </cell>
          <cell r="F93">
            <v>8.2000000000000003E-2</v>
          </cell>
        </row>
        <row r="94">
          <cell r="A94" t="str">
            <v xml:space="preserve">Ellensburg </v>
          </cell>
          <cell r="B94" t="str">
            <v>Kittitas</v>
          </cell>
          <cell r="C94">
            <v>1902</v>
          </cell>
          <cell r="D94">
            <v>1.7999999999999999E-2</v>
          </cell>
          <cell r="E94">
            <v>6.5000000000000002E-2</v>
          </cell>
          <cell r="F94">
            <v>8.3000000000000004E-2</v>
          </cell>
        </row>
        <row r="95">
          <cell r="A95" t="str">
            <v>Elma</v>
          </cell>
          <cell r="B95" t="str">
            <v>Grays Harbor</v>
          </cell>
          <cell r="C95">
            <v>1403</v>
          </cell>
          <cell r="D95">
            <v>2.4E-2</v>
          </cell>
          <cell r="E95">
            <v>6.5000000000000002E-2</v>
          </cell>
          <cell r="F95">
            <v>8.8999999999999996E-2</v>
          </cell>
        </row>
        <row r="96">
          <cell r="A96" t="str">
            <v>Elmer City</v>
          </cell>
          <cell r="B96" t="str">
            <v>Okanogan</v>
          </cell>
          <cell r="C96">
            <v>2404</v>
          </cell>
          <cell r="D96">
            <v>1.4999999999999999E-2</v>
          </cell>
          <cell r="E96">
            <v>6.5000000000000002E-2</v>
          </cell>
          <cell r="F96">
            <v>0.08</v>
          </cell>
        </row>
        <row r="97">
          <cell r="A97" t="str">
            <v>Endicott</v>
          </cell>
          <cell r="B97" t="str">
            <v>Whitman</v>
          </cell>
          <cell r="C97">
            <v>3804</v>
          </cell>
          <cell r="D97">
            <v>1.2999999999999999E-2</v>
          </cell>
          <cell r="E97">
            <v>6.5000000000000002E-2</v>
          </cell>
          <cell r="F97">
            <v>7.8E-2</v>
          </cell>
        </row>
        <row r="98">
          <cell r="A98" t="str">
            <v>Entiat</v>
          </cell>
          <cell r="B98" t="str">
            <v>Chelan</v>
          </cell>
          <cell r="C98">
            <v>403</v>
          </cell>
          <cell r="D98">
            <v>1.7999999999999999E-2</v>
          </cell>
          <cell r="E98">
            <v>6.5000000000000002E-2</v>
          </cell>
          <cell r="F98">
            <v>8.3000000000000004E-2</v>
          </cell>
        </row>
        <row r="99">
          <cell r="A99" t="str">
            <v>Enumclaw</v>
          </cell>
          <cell r="B99" t="str">
            <v>King</v>
          </cell>
          <cell r="C99">
            <v>1711</v>
          </cell>
          <cell r="D99">
            <v>2.3E-2</v>
          </cell>
          <cell r="E99">
            <v>6.5000000000000002E-2</v>
          </cell>
          <cell r="F99">
            <v>8.7999999999999995E-2</v>
          </cell>
        </row>
        <row r="100">
          <cell r="A100" t="str">
            <v>Ephrata</v>
          </cell>
          <cell r="B100" t="str">
            <v>Grant</v>
          </cell>
          <cell r="C100">
            <v>1303</v>
          </cell>
          <cell r="D100">
            <v>1.9E-2</v>
          </cell>
          <cell r="E100">
            <v>6.5000000000000002E-2</v>
          </cell>
          <cell r="F100">
            <v>8.4000000000000005E-2</v>
          </cell>
        </row>
        <row r="101">
          <cell r="A101" t="str">
            <v>Everett</v>
          </cell>
          <cell r="B101" t="str">
            <v>Snohomish</v>
          </cell>
          <cell r="C101">
            <v>3105</v>
          </cell>
          <cell r="D101">
            <v>3.3000000000000002E-2</v>
          </cell>
          <cell r="E101">
            <v>6.5000000000000002E-2</v>
          </cell>
          <cell r="F101">
            <v>9.8000000000000004E-2</v>
          </cell>
        </row>
        <row r="102">
          <cell r="A102" t="str">
            <v>Everett Non-RTA</v>
          </cell>
          <cell r="B102" t="str">
            <v>Snohomish</v>
          </cell>
          <cell r="C102">
            <v>4205</v>
          </cell>
          <cell r="D102">
            <v>1.9E-2</v>
          </cell>
          <cell r="E102">
            <v>6.5000000000000002E-2</v>
          </cell>
          <cell r="F102">
            <v>8.4000000000000005E-2</v>
          </cell>
        </row>
        <row r="103">
          <cell r="A103" t="str">
            <v>Everson</v>
          </cell>
          <cell r="B103" t="str">
            <v>Whatcom</v>
          </cell>
          <cell r="C103">
            <v>3703</v>
          </cell>
          <cell r="D103">
            <v>0.02</v>
          </cell>
          <cell r="E103">
            <v>6.5000000000000002E-2</v>
          </cell>
          <cell r="F103">
            <v>8.5000000000000006E-2</v>
          </cell>
        </row>
        <row r="104">
          <cell r="A104" t="str">
            <v>Fairfield</v>
          </cell>
          <cell r="B104" t="str">
            <v>Spokane</v>
          </cell>
          <cell r="C104">
            <v>3204</v>
          </cell>
          <cell r="D104">
            <v>1.6E-2</v>
          </cell>
          <cell r="E104">
            <v>6.5000000000000002E-2</v>
          </cell>
          <cell r="F104">
            <v>8.1000000000000003E-2</v>
          </cell>
        </row>
        <row r="105">
          <cell r="A105" t="str">
            <v>Farmington</v>
          </cell>
          <cell r="B105" t="str">
            <v>Whitman</v>
          </cell>
          <cell r="C105">
            <v>3805</v>
          </cell>
          <cell r="D105">
            <v>1.2999999999999999E-2</v>
          </cell>
          <cell r="E105">
            <v>6.5000000000000002E-2</v>
          </cell>
          <cell r="F105">
            <v>7.8E-2</v>
          </cell>
        </row>
        <row r="106">
          <cell r="A106" t="str">
            <v>Federal Way</v>
          </cell>
          <cell r="B106" t="str">
            <v>King</v>
          </cell>
          <cell r="C106">
            <v>1732</v>
          </cell>
          <cell r="D106">
            <v>3.5999999999999997E-2</v>
          </cell>
          <cell r="E106">
            <v>6.5000000000000002E-2</v>
          </cell>
          <cell r="F106">
            <v>0.10100000000000001</v>
          </cell>
        </row>
        <row r="107">
          <cell r="A107" t="str">
            <v xml:space="preserve">Ferndale </v>
          </cell>
          <cell r="B107" t="str">
            <v>Whatcom</v>
          </cell>
          <cell r="C107">
            <v>3704</v>
          </cell>
          <cell r="D107">
            <v>2.1999999999999999E-2</v>
          </cell>
          <cell r="E107">
            <v>6.5000000000000002E-2</v>
          </cell>
          <cell r="F107">
            <v>8.6999999999999994E-2</v>
          </cell>
        </row>
        <row r="108">
          <cell r="A108" t="str">
            <v>Ferry County Unincorp. Areas</v>
          </cell>
          <cell r="B108" t="str">
            <v>Ferry</v>
          </cell>
          <cell r="C108">
            <v>1000</v>
          </cell>
          <cell r="D108">
            <v>1.4999999999999999E-2</v>
          </cell>
          <cell r="E108">
            <v>6.5000000000000002E-2</v>
          </cell>
          <cell r="F108">
            <v>0.08</v>
          </cell>
        </row>
        <row r="109">
          <cell r="A109" t="str">
            <v>Fife</v>
          </cell>
          <cell r="B109" t="str">
            <v>Pierce</v>
          </cell>
          <cell r="C109">
            <v>2706</v>
          </cell>
          <cell r="D109">
            <v>3.4000000000000002E-2</v>
          </cell>
          <cell r="E109">
            <v>6.5000000000000002E-2</v>
          </cell>
          <cell r="F109">
            <v>9.9000000000000005E-2</v>
          </cell>
        </row>
        <row r="110">
          <cell r="A110" t="str">
            <v>Fircrest</v>
          </cell>
          <cell r="B110" t="str">
            <v>Pierce</v>
          </cell>
          <cell r="C110">
            <v>2707</v>
          </cell>
          <cell r="D110">
            <v>3.4000000000000002E-2</v>
          </cell>
          <cell r="E110">
            <v>6.5000000000000002E-2</v>
          </cell>
          <cell r="F110">
            <v>9.9000000000000005E-2</v>
          </cell>
        </row>
        <row r="111">
          <cell r="A111" t="str">
            <v>Forks</v>
          </cell>
          <cell r="B111" t="str">
            <v>Clallam</v>
          </cell>
          <cell r="C111">
            <v>501</v>
          </cell>
          <cell r="D111">
            <v>0.02</v>
          </cell>
          <cell r="E111">
            <v>6.5000000000000002E-2</v>
          </cell>
          <cell r="F111">
            <v>8.5000000000000006E-2</v>
          </cell>
        </row>
        <row r="112">
          <cell r="A112" t="str">
            <v>Franklin County Unincorp. Areas</v>
          </cell>
          <cell r="B112" t="str">
            <v>Franklin</v>
          </cell>
          <cell r="C112">
            <v>1100</v>
          </cell>
          <cell r="D112">
            <v>1.4999999999999999E-2</v>
          </cell>
          <cell r="E112">
            <v>6.5000000000000002E-2</v>
          </cell>
          <cell r="F112">
            <v>0.08</v>
          </cell>
        </row>
        <row r="113">
          <cell r="A113" t="str">
            <v>Franklin County Unincorp. PTBA</v>
          </cell>
          <cell r="B113" t="str">
            <v>Franklin</v>
          </cell>
          <cell r="C113">
            <v>1111</v>
          </cell>
          <cell r="D113">
            <v>2.1000000000000001E-2</v>
          </cell>
          <cell r="E113">
            <v>6.5000000000000002E-2</v>
          </cell>
          <cell r="F113">
            <v>8.6000000000000007E-2</v>
          </cell>
        </row>
        <row r="114">
          <cell r="A114" t="str">
            <v xml:space="preserve">Friday Harbor </v>
          </cell>
          <cell r="B114" t="str">
            <v>San Juan</v>
          </cell>
          <cell r="C114">
            <v>2801</v>
          </cell>
          <cell r="D114">
            <v>0.02</v>
          </cell>
          <cell r="E114">
            <v>6.5000000000000002E-2</v>
          </cell>
          <cell r="F114">
            <v>8.5000000000000006E-2</v>
          </cell>
        </row>
        <row r="115">
          <cell r="A115" t="str">
            <v>Garfield (City)</v>
          </cell>
          <cell r="B115" t="str">
            <v>Whitman</v>
          </cell>
          <cell r="C115">
            <v>3806</v>
          </cell>
          <cell r="D115">
            <v>1.2999999999999999E-2</v>
          </cell>
          <cell r="E115">
            <v>6.5000000000000002E-2</v>
          </cell>
          <cell r="F115">
            <v>7.8E-2</v>
          </cell>
        </row>
        <row r="116">
          <cell r="A116" t="str">
            <v>Garfield County Unincorp. Areas</v>
          </cell>
          <cell r="B116" t="str">
            <v>Garfield</v>
          </cell>
          <cell r="C116">
            <v>1200</v>
          </cell>
          <cell r="D116">
            <v>1.4E-2</v>
          </cell>
          <cell r="E116">
            <v>6.5000000000000002E-2</v>
          </cell>
          <cell r="F116">
            <v>7.9000000000000001E-2</v>
          </cell>
        </row>
        <row r="117">
          <cell r="A117" t="str">
            <v>George</v>
          </cell>
          <cell r="B117" t="str">
            <v>Grant</v>
          </cell>
          <cell r="C117">
            <v>1304</v>
          </cell>
          <cell r="D117">
            <v>1.9E-2</v>
          </cell>
          <cell r="E117">
            <v>6.5000000000000002E-2</v>
          </cell>
          <cell r="F117">
            <v>8.4000000000000005E-2</v>
          </cell>
        </row>
        <row r="118">
          <cell r="A118" t="str">
            <v>Gig Harbor</v>
          </cell>
          <cell r="B118" t="str">
            <v>Pierce</v>
          </cell>
          <cell r="C118">
            <v>2708</v>
          </cell>
          <cell r="D118">
            <v>2.1999999999999999E-2</v>
          </cell>
          <cell r="E118">
            <v>6.5000000000000002E-2</v>
          </cell>
          <cell r="F118">
            <v>8.6999999999999994E-2</v>
          </cell>
        </row>
        <row r="119">
          <cell r="A119" t="str">
            <v>Gig Harbor HBZ</v>
          </cell>
          <cell r="B119" t="str">
            <v>Pierce</v>
          </cell>
          <cell r="C119">
            <v>2788</v>
          </cell>
          <cell r="D119">
            <v>2.1999999999999999E-2</v>
          </cell>
          <cell r="E119">
            <v>6.5000000000000002E-2</v>
          </cell>
          <cell r="F119">
            <v>8.6999999999999994E-2</v>
          </cell>
        </row>
        <row r="120">
          <cell r="A120" t="str">
            <v>Gold Bar</v>
          </cell>
          <cell r="B120" t="str">
            <v>Snohomish</v>
          </cell>
          <cell r="C120">
            <v>3106</v>
          </cell>
          <cell r="D120">
            <v>2.5000000000000001E-2</v>
          </cell>
          <cell r="E120">
            <v>6.5000000000000002E-2</v>
          </cell>
          <cell r="F120">
            <v>0.09</v>
          </cell>
        </row>
        <row r="121">
          <cell r="A121" t="str">
            <v>Goldendale</v>
          </cell>
          <cell r="B121" t="str">
            <v>Klickitat</v>
          </cell>
          <cell r="C121">
            <v>2002</v>
          </cell>
          <cell r="D121">
            <v>0.01</v>
          </cell>
          <cell r="E121">
            <v>6.5000000000000002E-2</v>
          </cell>
          <cell r="F121">
            <v>7.4999999999999997E-2</v>
          </cell>
        </row>
        <row r="122">
          <cell r="A122" t="str">
            <v>Grand Coulee</v>
          </cell>
          <cell r="B122" t="str">
            <v>Grant</v>
          </cell>
          <cell r="C122">
            <v>1305</v>
          </cell>
          <cell r="D122">
            <v>1.9E-2</v>
          </cell>
          <cell r="E122">
            <v>6.5000000000000002E-2</v>
          </cell>
          <cell r="F122">
            <v>8.4000000000000005E-2</v>
          </cell>
        </row>
        <row r="123">
          <cell r="A123" t="str">
            <v>Grandview</v>
          </cell>
          <cell r="B123" t="str">
            <v>Yakima</v>
          </cell>
          <cell r="C123">
            <v>3901</v>
          </cell>
          <cell r="D123">
            <v>1.4999999999999999E-2</v>
          </cell>
          <cell r="E123">
            <v>6.5000000000000002E-2</v>
          </cell>
          <cell r="F123">
            <v>0.08</v>
          </cell>
        </row>
        <row r="124">
          <cell r="A124" t="str">
            <v>Granger</v>
          </cell>
          <cell r="B124" t="str">
            <v>Yakima</v>
          </cell>
          <cell r="C124">
            <v>3902</v>
          </cell>
          <cell r="D124">
            <v>1.4999999999999999E-2</v>
          </cell>
          <cell r="E124">
            <v>6.5000000000000002E-2</v>
          </cell>
          <cell r="F124">
            <v>0.08</v>
          </cell>
        </row>
        <row r="125">
          <cell r="A125" t="str">
            <v>Granite Falls</v>
          </cell>
          <cell r="B125" t="str">
            <v>Snohomish</v>
          </cell>
          <cell r="C125">
            <v>3107</v>
          </cell>
          <cell r="D125">
            <v>2.5000000000000001E-2</v>
          </cell>
          <cell r="E125">
            <v>6.5000000000000002E-2</v>
          </cell>
          <cell r="F125">
            <v>0.09</v>
          </cell>
        </row>
        <row r="126">
          <cell r="A126" t="str">
            <v>Grant County Unincorp. Areas</v>
          </cell>
          <cell r="B126" t="str">
            <v>Grant</v>
          </cell>
          <cell r="C126">
            <v>1300</v>
          </cell>
          <cell r="D126">
            <v>1.7000000000000001E-2</v>
          </cell>
          <cell r="E126">
            <v>6.5000000000000002E-2</v>
          </cell>
          <cell r="F126">
            <v>8.2000000000000003E-2</v>
          </cell>
        </row>
        <row r="127">
          <cell r="A127" t="str">
            <v>Grays Harbor County Unincorp. Areas</v>
          </cell>
          <cell r="B127" t="str">
            <v>Grays Harbor</v>
          </cell>
          <cell r="C127">
            <v>1400</v>
          </cell>
          <cell r="D127">
            <v>2.4E-2</v>
          </cell>
          <cell r="E127">
            <v>6.5000000000000002E-2</v>
          </cell>
          <cell r="F127">
            <v>8.8999999999999996E-2</v>
          </cell>
        </row>
        <row r="128">
          <cell r="A128" t="str">
            <v>Hamilton</v>
          </cell>
          <cell r="B128" t="str">
            <v>Skagit</v>
          </cell>
          <cell r="C128">
            <v>2904</v>
          </cell>
          <cell r="D128">
            <v>0.02</v>
          </cell>
          <cell r="E128">
            <v>6.5000000000000002E-2</v>
          </cell>
          <cell r="F128">
            <v>8.5000000000000006E-2</v>
          </cell>
        </row>
        <row r="129">
          <cell r="A129" t="str">
            <v>Harrah</v>
          </cell>
          <cell r="B129" t="str">
            <v>Yakima</v>
          </cell>
          <cell r="C129">
            <v>3903</v>
          </cell>
          <cell r="D129">
            <v>1.4999999999999999E-2</v>
          </cell>
          <cell r="E129">
            <v>6.5000000000000002E-2</v>
          </cell>
          <cell r="F129">
            <v>0.08</v>
          </cell>
        </row>
        <row r="130">
          <cell r="A130" t="str">
            <v>Harrington</v>
          </cell>
          <cell r="B130" t="str">
            <v>Lincoln</v>
          </cell>
          <cell r="C130">
            <v>2204</v>
          </cell>
          <cell r="D130">
            <v>1.4999999999999999E-2</v>
          </cell>
          <cell r="E130">
            <v>6.5000000000000002E-2</v>
          </cell>
          <cell r="F130">
            <v>0.08</v>
          </cell>
        </row>
        <row r="131">
          <cell r="A131" t="str">
            <v>Hartline</v>
          </cell>
          <cell r="B131" t="str">
            <v>Grant</v>
          </cell>
          <cell r="C131">
            <v>1306</v>
          </cell>
          <cell r="D131">
            <v>1.7000000000000001E-2</v>
          </cell>
          <cell r="E131">
            <v>6.5000000000000002E-2</v>
          </cell>
          <cell r="F131">
            <v>8.2000000000000003E-2</v>
          </cell>
        </row>
        <row r="132">
          <cell r="A132" t="str">
            <v>Hatton</v>
          </cell>
          <cell r="B132" t="str">
            <v>Adams</v>
          </cell>
          <cell r="C132">
            <v>101</v>
          </cell>
          <cell r="D132">
            <v>1.4999999999999999E-2</v>
          </cell>
          <cell r="E132">
            <v>6.5000000000000002E-2</v>
          </cell>
          <cell r="F132">
            <v>0.08</v>
          </cell>
        </row>
        <row r="133">
          <cell r="A133" t="str">
            <v>Hoquiam</v>
          </cell>
          <cell r="B133" t="str">
            <v>Grays Harbor</v>
          </cell>
          <cell r="C133">
            <v>1404</v>
          </cell>
          <cell r="D133">
            <v>2.4E-2</v>
          </cell>
          <cell r="E133">
            <v>6.5000000000000002E-2</v>
          </cell>
          <cell r="F133">
            <v>8.8999999999999996E-2</v>
          </cell>
        </row>
        <row r="134">
          <cell r="A134" t="str">
            <v>Hunts Point</v>
          </cell>
          <cell r="B134" t="str">
            <v>King</v>
          </cell>
          <cell r="C134">
            <v>1713</v>
          </cell>
          <cell r="D134">
            <v>3.5999999999999997E-2</v>
          </cell>
          <cell r="E134">
            <v>6.5000000000000002E-2</v>
          </cell>
          <cell r="F134">
            <v>0.10100000000000001</v>
          </cell>
        </row>
        <row r="135">
          <cell r="A135" t="str">
            <v>Ilwaco</v>
          </cell>
          <cell r="B135" t="str">
            <v>Pacific</v>
          </cell>
          <cell r="C135">
            <v>2501</v>
          </cell>
          <cell r="D135">
            <v>1.6E-2</v>
          </cell>
          <cell r="E135">
            <v>6.5000000000000002E-2</v>
          </cell>
          <cell r="F135">
            <v>8.1000000000000003E-2</v>
          </cell>
        </row>
        <row r="136">
          <cell r="A136" t="str">
            <v>Index</v>
          </cell>
          <cell r="B136" t="str">
            <v>Snohomish</v>
          </cell>
          <cell r="C136">
            <v>3108</v>
          </cell>
          <cell r="D136">
            <v>2.5000000000000001E-2</v>
          </cell>
          <cell r="E136">
            <v>6.5000000000000002E-2</v>
          </cell>
          <cell r="F136">
            <v>0.09</v>
          </cell>
        </row>
        <row r="137">
          <cell r="A137" t="str">
            <v>Ione</v>
          </cell>
          <cell r="B137" t="str">
            <v>Pend Oreille</v>
          </cell>
          <cell r="C137">
            <v>2602</v>
          </cell>
          <cell r="D137">
            <v>1.2E-2</v>
          </cell>
          <cell r="E137">
            <v>6.5000000000000002E-2</v>
          </cell>
          <cell r="F137">
            <v>7.6999999999999999E-2</v>
          </cell>
        </row>
        <row r="138">
          <cell r="A138" t="str">
            <v>Island County Unincorp. Areas</v>
          </cell>
          <cell r="B138" t="str">
            <v>Island</v>
          </cell>
          <cell r="C138">
            <v>1500</v>
          </cell>
          <cell r="D138">
            <v>2.1999999999999999E-2</v>
          </cell>
          <cell r="E138">
            <v>6.5000000000000002E-2</v>
          </cell>
          <cell r="F138">
            <v>8.6999999999999994E-2</v>
          </cell>
        </row>
        <row r="139">
          <cell r="A139" t="str">
            <v>Issaquah</v>
          </cell>
          <cell r="B139" t="str">
            <v>King</v>
          </cell>
          <cell r="C139">
            <v>1714</v>
          </cell>
          <cell r="D139">
            <v>3.5999999999999997E-2</v>
          </cell>
          <cell r="E139">
            <v>6.5000000000000002E-2</v>
          </cell>
          <cell r="F139">
            <v>0.10100000000000001</v>
          </cell>
        </row>
        <row r="140">
          <cell r="A140" t="str">
            <v>Issaquah Non-RTA</v>
          </cell>
          <cell r="B140" t="str">
            <v>King</v>
          </cell>
          <cell r="C140">
            <v>4014</v>
          </cell>
          <cell r="D140">
            <v>2.1999999999999999E-2</v>
          </cell>
          <cell r="E140">
            <v>6.5000000000000002E-2</v>
          </cell>
          <cell r="F140">
            <v>8.6999999999999994E-2</v>
          </cell>
        </row>
        <row r="141">
          <cell r="A141" t="str">
            <v>Jefferson County Unincorp. Areas</v>
          </cell>
          <cell r="B141" t="str">
            <v>Jefferson</v>
          </cell>
          <cell r="C141">
            <v>1600</v>
          </cell>
          <cell r="D141">
            <v>2.5000000000000001E-2</v>
          </cell>
          <cell r="E141">
            <v>6.5000000000000002E-2</v>
          </cell>
          <cell r="F141">
            <v>0.09</v>
          </cell>
        </row>
        <row r="142">
          <cell r="A142" t="str">
            <v>Kahlotus</v>
          </cell>
          <cell r="B142" t="str">
            <v>Franklin</v>
          </cell>
          <cell r="C142">
            <v>1102</v>
          </cell>
          <cell r="D142">
            <v>1.4999999999999999E-2</v>
          </cell>
          <cell r="E142">
            <v>6.5000000000000002E-2</v>
          </cell>
          <cell r="F142">
            <v>0.08</v>
          </cell>
        </row>
        <row r="143">
          <cell r="A143" t="str">
            <v>Kalama</v>
          </cell>
          <cell r="B143" t="str">
            <v>Cowlitz</v>
          </cell>
          <cell r="C143">
            <v>802</v>
          </cell>
          <cell r="D143">
            <v>1.4E-2</v>
          </cell>
          <cell r="E143">
            <v>6.5000000000000002E-2</v>
          </cell>
          <cell r="F143">
            <v>7.9000000000000001E-2</v>
          </cell>
        </row>
        <row r="144">
          <cell r="A144" t="str">
            <v>Kelso</v>
          </cell>
          <cell r="B144" t="str">
            <v>Cowlitz</v>
          </cell>
          <cell r="C144">
            <v>803</v>
          </cell>
          <cell r="D144">
            <v>1.6E-2</v>
          </cell>
          <cell r="E144">
            <v>6.5000000000000002E-2</v>
          </cell>
          <cell r="F144">
            <v>8.1000000000000003E-2</v>
          </cell>
        </row>
        <row r="145">
          <cell r="A145" t="str">
            <v>Kenmore</v>
          </cell>
          <cell r="B145" t="str">
            <v>King</v>
          </cell>
          <cell r="C145">
            <v>1738</v>
          </cell>
          <cell r="D145">
            <v>3.5999999999999997E-2</v>
          </cell>
          <cell r="E145">
            <v>6.5000000000000002E-2</v>
          </cell>
          <cell r="F145">
            <v>0.10100000000000001</v>
          </cell>
        </row>
        <row r="146">
          <cell r="A146" t="str">
            <v>Kennewick</v>
          </cell>
          <cell r="B146" t="str">
            <v>Benton</v>
          </cell>
          <cell r="C146">
            <v>302</v>
          </cell>
          <cell r="D146">
            <v>2.1000000000000001E-2</v>
          </cell>
          <cell r="E146">
            <v>6.5000000000000002E-2</v>
          </cell>
          <cell r="F146">
            <v>8.6000000000000007E-2</v>
          </cell>
        </row>
        <row r="147">
          <cell r="A147" t="str">
            <v>Kent</v>
          </cell>
          <cell r="B147" t="str">
            <v>King</v>
          </cell>
          <cell r="C147">
            <v>1715</v>
          </cell>
          <cell r="D147">
            <v>3.5999999999999997E-2</v>
          </cell>
          <cell r="E147">
            <v>6.5000000000000002E-2</v>
          </cell>
          <cell r="F147">
            <v>0.10100000000000001</v>
          </cell>
        </row>
        <row r="148">
          <cell r="A148" t="str">
            <v>Kent Non-RTA</v>
          </cell>
          <cell r="B148" t="str">
            <v>King</v>
          </cell>
          <cell r="C148">
            <v>4015</v>
          </cell>
          <cell r="D148">
            <v>2.1999999999999999E-2</v>
          </cell>
          <cell r="E148">
            <v>6.5000000000000002E-2</v>
          </cell>
          <cell r="F148">
            <v>8.6999999999999994E-2</v>
          </cell>
        </row>
        <row r="149">
          <cell r="A149" t="str">
            <v>Kettle Falls</v>
          </cell>
          <cell r="B149" t="str">
            <v>Stevens</v>
          </cell>
          <cell r="C149">
            <v>3303</v>
          </cell>
          <cell r="D149">
            <v>1.0999999999999999E-2</v>
          </cell>
          <cell r="E149">
            <v>6.5000000000000002E-2</v>
          </cell>
          <cell r="F149">
            <v>7.5999999999999998E-2</v>
          </cell>
        </row>
        <row r="150">
          <cell r="A150" t="str">
            <v>King County Unincorp. Areas</v>
          </cell>
          <cell r="B150" t="str">
            <v>King</v>
          </cell>
          <cell r="C150">
            <v>1700</v>
          </cell>
          <cell r="D150">
            <v>3.5999999999999997E-2</v>
          </cell>
          <cell r="E150">
            <v>6.5000000000000002E-2</v>
          </cell>
          <cell r="F150">
            <v>0.10100000000000001</v>
          </cell>
        </row>
        <row r="151">
          <cell r="A151" t="str">
            <v>King County Unincorp. Non-RTA</v>
          </cell>
          <cell r="B151" t="str">
            <v>King</v>
          </cell>
          <cell r="C151">
            <v>4000</v>
          </cell>
          <cell r="D151">
            <v>2.1999999999999999E-2</v>
          </cell>
          <cell r="E151">
            <v>6.5000000000000002E-2</v>
          </cell>
          <cell r="F151">
            <v>8.6999999999999994E-2</v>
          </cell>
        </row>
        <row r="152">
          <cell r="A152" t="str">
            <v>Kirkland</v>
          </cell>
          <cell r="B152" t="str">
            <v>King</v>
          </cell>
          <cell r="C152">
            <v>1716</v>
          </cell>
          <cell r="D152">
            <v>3.6999999999999998E-2</v>
          </cell>
          <cell r="E152">
            <v>6.5000000000000002E-2</v>
          </cell>
          <cell r="F152">
            <v>0.10200000000000001</v>
          </cell>
        </row>
        <row r="153">
          <cell r="A153" t="str">
            <v>Kitsap County Unincorp. Areas</v>
          </cell>
          <cell r="B153" t="str">
            <v>Kitsap</v>
          </cell>
          <cell r="C153">
            <v>1800</v>
          </cell>
          <cell r="D153">
            <v>2.5000000000000001E-2</v>
          </cell>
          <cell r="E153">
            <v>6.5000000000000002E-2</v>
          </cell>
          <cell r="F153">
            <v>0.09</v>
          </cell>
        </row>
        <row r="154">
          <cell r="A154" t="str">
            <v>Kittitas City</v>
          </cell>
          <cell r="B154" t="str">
            <v>Kittitas</v>
          </cell>
          <cell r="C154">
            <v>1903</v>
          </cell>
          <cell r="D154">
            <v>1.4999999999999999E-2</v>
          </cell>
          <cell r="E154">
            <v>6.5000000000000002E-2</v>
          </cell>
          <cell r="F154">
            <v>0.08</v>
          </cell>
        </row>
        <row r="155">
          <cell r="A155" t="str">
            <v>Kittitas County Unincorp. Areas</v>
          </cell>
          <cell r="B155" t="str">
            <v>Kittitas</v>
          </cell>
          <cell r="C155">
            <v>1900</v>
          </cell>
          <cell r="D155">
            <v>1.4999999999999999E-2</v>
          </cell>
          <cell r="E155">
            <v>6.5000000000000002E-2</v>
          </cell>
          <cell r="F155">
            <v>0.08</v>
          </cell>
        </row>
        <row r="156">
          <cell r="A156" t="str">
            <v>Klickitat County Unincorp. Areas</v>
          </cell>
          <cell r="B156" t="str">
            <v>Klickitat</v>
          </cell>
          <cell r="C156">
            <v>2000</v>
          </cell>
          <cell r="D156">
            <v>5.0000000000000001E-3</v>
          </cell>
          <cell r="E156">
            <v>6.5000000000000002E-2</v>
          </cell>
          <cell r="F156">
            <v>7.0000000000000007E-2</v>
          </cell>
        </row>
        <row r="157">
          <cell r="A157" t="str">
            <v>Krupp</v>
          </cell>
          <cell r="B157" t="str">
            <v>Grant</v>
          </cell>
          <cell r="C157">
            <v>1307</v>
          </cell>
          <cell r="D157">
            <v>1.7000000000000001E-2</v>
          </cell>
          <cell r="E157">
            <v>6.5000000000000002E-2</v>
          </cell>
          <cell r="F157">
            <v>8.2000000000000003E-2</v>
          </cell>
        </row>
        <row r="158">
          <cell r="A158" t="str">
            <v>La Center</v>
          </cell>
          <cell r="B158" t="str">
            <v>Clark</v>
          </cell>
          <cell r="C158">
            <v>603</v>
          </cell>
          <cell r="D158">
            <v>1.9E-2</v>
          </cell>
          <cell r="E158">
            <v>6.5000000000000002E-2</v>
          </cell>
          <cell r="F158">
            <v>8.4000000000000005E-2</v>
          </cell>
        </row>
        <row r="159">
          <cell r="A159" t="str">
            <v>La Conner</v>
          </cell>
          <cell r="B159" t="str">
            <v>Skagit</v>
          </cell>
          <cell r="C159">
            <v>2905</v>
          </cell>
          <cell r="D159">
            <v>0.02</v>
          </cell>
          <cell r="E159">
            <v>6.5000000000000002E-2</v>
          </cell>
          <cell r="F159">
            <v>8.5000000000000006E-2</v>
          </cell>
        </row>
        <row r="160">
          <cell r="A160" t="str">
            <v>LaCrosse</v>
          </cell>
          <cell r="B160" t="str">
            <v>Whitman</v>
          </cell>
          <cell r="C160">
            <v>3807</v>
          </cell>
          <cell r="D160">
            <v>1.2999999999999999E-2</v>
          </cell>
          <cell r="E160">
            <v>6.5000000000000002E-2</v>
          </cell>
          <cell r="F160">
            <v>7.8E-2</v>
          </cell>
        </row>
        <row r="161">
          <cell r="A161" t="str">
            <v>Lacey</v>
          </cell>
          <cell r="B161" t="str">
            <v>Thurston</v>
          </cell>
          <cell r="C161">
            <v>3402</v>
          </cell>
          <cell r="D161">
            <v>2.9000000000000001E-2</v>
          </cell>
          <cell r="E161">
            <v>6.5000000000000002E-2</v>
          </cell>
          <cell r="F161">
            <v>9.4E-2</v>
          </cell>
        </row>
        <row r="162">
          <cell r="A162" t="str">
            <v>Lake Forest Park</v>
          </cell>
          <cell r="B162" t="str">
            <v>King</v>
          </cell>
          <cell r="C162">
            <v>1717</v>
          </cell>
          <cell r="D162">
            <v>3.5999999999999997E-2</v>
          </cell>
          <cell r="E162">
            <v>6.5000000000000002E-2</v>
          </cell>
          <cell r="F162">
            <v>0.10100000000000001</v>
          </cell>
        </row>
        <row r="163">
          <cell r="A163" t="str">
            <v>Lake Stevens</v>
          </cell>
          <cell r="B163" t="str">
            <v>Snohomish</v>
          </cell>
          <cell r="C163">
            <v>3109</v>
          </cell>
          <cell r="D163">
            <v>2.5000000000000001E-2</v>
          </cell>
          <cell r="E163">
            <v>6.5000000000000002E-2</v>
          </cell>
          <cell r="F163">
            <v>0.09</v>
          </cell>
        </row>
        <row r="164">
          <cell r="A164" t="str">
            <v>Lakewood</v>
          </cell>
          <cell r="B164" t="str">
            <v>Pierce</v>
          </cell>
          <cell r="C164">
            <v>2721</v>
          </cell>
          <cell r="D164">
            <v>3.4000000000000002E-2</v>
          </cell>
          <cell r="E164">
            <v>6.5000000000000002E-2</v>
          </cell>
          <cell r="F164">
            <v>9.9000000000000005E-2</v>
          </cell>
        </row>
        <row r="165">
          <cell r="A165" t="str">
            <v>Lamont</v>
          </cell>
          <cell r="B165" t="str">
            <v>Whitman</v>
          </cell>
          <cell r="C165">
            <v>3808</v>
          </cell>
          <cell r="D165">
            <v>1.2999999999999999E-2</v>
          </cell>
          <cell r="E165">
            <v>6.5000000000000002E-2</v>
          </cell>
          <cell r="F165">
            <v>7.8E-2</v>
          </cell>
        </row>
        <row r="166">
          <cell r="A166" t="str">
            <v>Langley</v>
          </cell>
          <cell r="B166" t="str">
            <v>Island</v>
          </cell>
          <cell r="C166">
            <v>1502</v>
          </cell>
          <cell r="D166">
            <v>2.1999999999999999E-2</v>
          </cell>
          <cell r="E166">
            <v>6.5000000000000002E-2</v>
          </cell>
          <cell r="F166">
            <v>8.6999999999999994E-2</v>
          </cell>
        </row>
        <row r="167">
          <cell r="A167" t="str">
            <v>Latah</v>
          </cell>
          <cell r="B167" t="str">
            <v>Spokane</v>
          </cell>
          <cell r="C167">
            <v>3205</v>
          </cell>
          <cell r="D167">
            <v>1.6E-2</v>
          </cell>
          <cell r="E167">
            <v>6.5000000000000002E-2</v>
          </cell>
          <cell r="F167">
            <v>8.1000000000000003E-2</v>
          </cell>
        </row>
        <row r="168">
          <cell r="A168" t="str">
            <v>Leavenworth</v>
          </cell>
          <cell r="B168" t="str">
            <v>Chelan</v>
          </cell>
          <cell r="C168">
            <v>404</v>
          </cell>
          <cell r="D168">
            <v>0.02</v>
          </cell>
          <cell r="E168">
            <v>6.5000000000000002E-2</v>
          </cell>
          <cell r="F168">
            <v>8.5000000000000006E-2</v>
          </cell>
        </row>
        <row r="169">
          <cell r="A169" t="str">
            <v>Lewis County Unincorp. Areas</v>
          </cell>
          <cell r="B169" t="str">
            <v>Lewis</v>
          </cell>
          <cell r="C169">
            <v>2100</v>
          </cell>
          <cell r="D169">
            <v>1.2999999999999999E-2</v>
          </cell>
          <cell r="E169">
            <v>6.5000000000000002E-2</v>
          </cell>
          <cell r="F169">
            <v>7.8E-2</v>
          </cell>
        </row>
        <row r="170">
          <cell r="A170" t="str">
            <v>Liberty Lake</v>
          </cell>
          <cell r="B170" t="str">
            <v>Spokane</v>
          </cell>
          <cell r="C170">
            <v>3212</v>
          </cell>
          <cell r="D170">
            <v>2.4E-2</v>
          </cell>
          <cell r="E170">
            <v>6.5000000000000002E-2</v>
          </cell>
          <cell r="F170">
            <v>8.8999999999999996E-2</v>
          </cell>
        </row>
        <row r="171">
          <cell r="A171" t="str">
            <v>Lincoln County Unincorp. Areas</v>
          </cell>
          <cell r="B171" t="str">
            <v>Lincoln</v>
          </cell>
          <cell r="C171">
            <v>2200</v>
          </cell>
          <cell r="D171">
            <v>1.4999999999999999E-2</v>
          </cell>
          <cell r="E171">
            <v>6.5000000000000002E-2</v>
          </cell>
          <cell r="F171">
            <v>0.08</v>
          </cell>
        </row>
        <row r="172">
          <cell r="A172" t="str">
            <v>Lind</v>
          </cell>
          <cell r="B172" t="str">
            <v>Adams</v>
          </cell>
          <cell r="C172">
            <v>102</v>
          </cell>
          <cell r="D172">
            <v>1.4999999999999999E-2</v>
          </cell>
          <cell r="E172">
            <v>6.5000000000000002E-2</v>
          </cell>
          <cell r="F172">
            <v>0.08</v>
          </cell>
        </row>
        <row r="173">
          <cell r="A173" t="str">
            <v>Long Beach</v>
          </cell>
          <cell r="B173" t="str">
            <v>Pacific</v>
          </cell>
          <cell r="C173">
            <v>2502</v>
          </cell>
          <cell r="D173">
            <v>1.7999999999999999E-2</v>
          </cell>
          <cell r="E173">
            <v>6.5000000000000002E-2</v>
          </cell>
          <cell r="F173">
            <v>8.3000000000000004E-2</v>
          </cell>
        </row>
        <row r="174">
          <cell r="A174" t="str">
            <v>Longview</v>
          </cell>
          <cell r="B174" t="str">
            <v>Cowlitz</v>
          </cell>
          <cell r="C174">
            <v>804</v>
          </cell>
          <cell r="D174">
            <v>1.6E-2</v>
          </cell>
          <cell r="E174">
            <v>6.5000000000000002E-2</v>
          </cell>
          <cell r="F174">
            <v>8.1000000000000003E-2</v>
          </cell>
        </row>
        <row r="175">
          <cell r="A175" t="str">
            <v>Lyman</v>
          </cell>
          <cell r="B175" t="str">
            <v>Skagit</v>
          </cell>
          <cell r="C175">
            <v>2906</v>
          </cell>
          <cell r="D175">
            <v>0.02</v>
          </cell>
          <cell r="E175">
            <v>6.5000000000000002E-2</v>
          </cell>
          <cell r="F175">
            <v>8.5000000000000006E-2</v>
          </cell>
        </row>
        <row r="176">
          <cell r="A176" t="str">
            <v xml:space="preserve">Lynden </v>
          </cell>
          <cell r="B176" t="str">
            <v>Whatcom</v>
          </cell>
          <cell r="C176">
            <v>3705</v>
          </cell>
          <cell r="D176">
            <v>2.1999999999999999E-2</v>
          </cell>
          <cell r="E176">
            <v>6.5000000000000002E-2</v>
          </cell>
          <cell r="F176">
            <v>8.6999999999999994E-2</v>
          </cell>
        </row>
        <row r="177">
          <cell r="A177" t="str">
            <v>Lynnwood</v>
          </cell>
          <cell r="B177" t="str">
            <v>Snohomish</v>
          </cell>
          <cell r="C177">
            <v>3110</v>
          </cell>
          <cell r="D177">
            <v>0.04</v>
          </cell>
          <cell r="E177">
            <v>6.5000000000000002E-2</v>
          </cell>
          <cell r="F177">
            <v>0.10500000000000001</v>
          </cell>
        </row>
        <row r="178">
          <cell r="A178" t="str">
            <v>Mabton</v>
          </cell>
          <cell r="B178" t="str">
            <v>Yakima</v>
          </cell>
          <cell r="C178">
            <v>3904</v>
          </cell>
          <cell r="D178">
            <v>1.4999999999999999E-2</v>
          </cell>
          <cell r="E178">
            <v>6.5000000000000002E-2</v>
          </cell>
          <cell r="F178">
            <v>0.08</v>
          </cell>
        </row>
        <row r="179">
          <cell r="A179" t="str">
            <v>Malden</v>
          </cell>
          <cell r="B179" t="str">
            <v>Whitman</v>
          </cell>
          <cell r="C179">
            <v>3809</v>
          </cell>
          <cell r="D179">
            <v>1.2999999999999999E-2</v>
          </cell>
          <cell r="E179">
            <v>6.5000000000000002E-2</v>
          </cell>
          <cell r="F179">
            <v>7.8E-2</v>
          </cell>
        </row>
        <row r="180">
          <cell r="A180" t="str">
            <v>Mansfield</v>
          </cell>
          <cell r="B180" t="str">
            <v>Douglas</v>
          </cell>
          <cell r="C180">
            <v>903</v>
          </cell>
          <cell r="D180">
            <v>1.2E-2</v>
          </cell>
          <cell r="E180">
            <v>6.5000000000000002E-2</v>
          </cell>
          <cell r="F180">
            <v>7.6999999999999999E-2</v>
          </cell>
        </row>
        <row r="181">
          <cell r="A181" t="str">
            <v>Maple Valley</v>
          </cell>
          <cell r="B181" t="str">
            <v>King</v>
          </cell>
          <cell r="C181">
            <v>1720</v>
          </cell>
          <cell r="D181">
            <v>2.1999999999999999E-2</v>
          </cell>
          <cell r="E181">
            <v>6.5000000000000002E-2</v>
          </cell>
          <cell r="F181">
            <v>8.6999999999999994E-2</v>
          </cell>
        </row>
        <row r="182">
          <cell r="A182" t="str">
            <v>Marcus</v>
          </cell>
          <cell r="B182" t="str">
            <v>Stevens</v>
          </cell>
          <cell r="C182">
            <v>3304</v>
          </cell>
          <cell r="D182">
            <v>1.0999999999999999E-2</v>
          </cell>
          <cell r="E182">
            <v>6.5000000000000002E-2</v>
          </cell>
          <cell r="F182">
            <v>7.5999999999999998E-2</v>
          </cell>
        </row>
        <row r="183">
          <cell r="A183" t="str">
            <v xml:space="preserve">Marysville </v>
          </cell>
          <cell r="B183" t="str">
            <v>Snohomish</v>
          </cell>
          <cell r="C183">
            <v>3111</v>
          </cell>
          <cell r="D183">
            <v>2.8000000000000001E-2</v>
          </cell>
          <cell r="E183">
            <v>6.5000000000000002E-2</v>
          </cell>
          <cell r="F183">
            <v>9.2999999999999999E-2</v>
          </cell>
        </row>
        <row r="184">
          <cell r="A184" t="str">
            <v>Mason County Unincorp. Areas</v>
          </cell>
          <cell r="B184" t="str">
            <v>Mason</v>
          </cell>
          <cell r="C184">
            <v>2300</v>
          </cell>
          <cell r="D184">
            <v>0.02</v>
          </cell>
          <cell r="E184">
            <v>6.5000000000000002E-2</v>
          </cell>
          <cell r="F184">
            <v>8.5000000000000006E-2</v>
          </cell>
        </row>
        <row r="185">
          <cell r="A185" t="str">
            <v>Mattawa</v>
          </cell>
          <cell r="B185" t="str">
            <v>Grant</v>
          </cell>
          <cell r="C185">
            <v>1308</v>
          </cell>
          <cell r="D185">
            <v>1.9E-2</v>
          </cell>
          <cell r="E185">
            <v>6.5000000000000002E-2</v>
          </cell>
          <cell r="F185">
            <v>8.4000000000000005E-2</v>
          </cell>
        </row>
        <row r="186">
          <cell r="A186" t="str">
            <v>McCleary</v>
          </cell>
          <cell r="B186" t="str">
            <v>Grays Harbor</v>
          </cell>
          <cell r="C186">
            <v>1405</v>
          </cell>
          <cell r="D186">
            <v>2.4E-2</v>
          </cell>
          <cell r="E186">
            <v>6.5000000000000002E-2</v>
          </cell>
          <cell r="F186">
            <v>8.8999999999999996E-2</v>
          </cell>
        </row>
        <row r="187">
          <cell r="A187" t="str">
            <v>Medical Lake</v>
          </cell>
          <cell r="B187" t="str">
            <v>Spokane</v>
          </cell>
          <cell r="C187">
            <v>3206</v>
          </cell>
          <cell r="D187">
            <v>2.4E-2</v>
          </cell>
          <cell r="E187">
            <v>6.5000000000000002E-2</v>
          </cell>
          <cell r="F187">
            <v>8.8999999999999996E-2</v>
          </cell>
        </row>
        <row r="188">
          <cell r="A188" t="str">
            <v>Medina</v>
          </cell>
          <cell r="B188" t="str">
            <v>King</v>
          </cell>
          <cell r="C188">
            <v>1718</v>
          </cell>
          <cell r="D188">
            <v>3.5999999999999997E-2</v>
          </cell>
          <cell r="E188">
            <v>6.5000000000000002E-2</v>
          </cell>
          <cell r="F188">
            <v>0.10100000000000001</v>
          </cell>
        </row>
        <row r="189">
          <cell r="A189" t="str">
            <v>Mercer Island</v>
          </cell>
          <cell r="B189" t="str">
            <v>King</v>
          </cell>
          <cell r="C189">
            <v>1719</v>
          </cell>
          <cell r="D189">
            <v>3.5999999999999997E-2</v>
          </cell>
          <cell r="E189">
            <v>6.5000000000000002E-2</v>
          </cell>
          <cell r="F189">
            <v>0.10100000000000001</v>
          </cell>
        </row>
        <row r="190">
          <cell r="A190" t="str">
            <v>Mesa</v>
          </cell>
          <cell r="B190" t="str">
            <v>Franklin</v>
          </cell>
          <cell r="C190">
            <v>1103</v>
          </cell>
          <cell r="D190">
            <v>1.4999999999999999E-2</v>
          </cell>
          <cell r="E190">
            <v>6.5000000000000002E-2</v>
          </cell>
          <cell r="F190">
            <v>0.08</v>
          </cell>
        </row>
        <row r="191">
          <cell r="A191" t="str">
            <v>Metaline</v>
          </cell>
          <cell r="B191" t="str">
            <v>Pend Oreille</v>
          </cell>
          <cell r="C191">
            <v>2603</v>
          </cell>
          <cell r="D191">
            <v>1.2E-2</v>
          </cell>
          <cell r="E191">
            <v>6.5000000000000002E-2</v>
          </cell>
          <cell r="F191">
            <v>7.6999999999999999E-2</v>
          </cell>
        </row>
        <row r="192">
          <cell r="A192" t="str">
            <v>Metaline Falls</v>
          </cell>
          <cell r="B192" t="str">
            <v>Pend Oreille</v>
          </cell>
          <cell r="C192">
            <v>2604</v>
          </cell>
          <cell r="D192">
            <v>1.2E-2</v>
          </cell>
          <cell r="E192">
            <v>6.5000000000000002E-2</v>
          </cell>
          <cell r="F192">
            <v>7.6999999999999999E-2</v>
          </cell>
        </row>
        <row r="193">
          <cell r="A193" t="str">
            <v>Mill Creek</v>
          </cell>
          <cell r="B193" t="str">
            <v>Snohomish</v>
          </cell>
          <cell r="C193">
            <v>3119</v>
          </cell>
          <cell r="D193">
            <v>0.04</v>
          </cell>
          <cell r="E193">
            <v>6.5000000000000002E-2</v>
          </cell>
          <cell r="F193">
            <v>0.10500000000000001</v>
          </cell>
        </row>
        <row r="194">
          <cell r="A194" t="str">
            <v>Millwood</v>
          </cell>
          <cell r="B194" t="str">
            <v>Spokane</v>
          </cell>
          <cell r="C194">
            <v>3207</v>
          </cell>
          <cell r="D194">
            <v>2.4E-2</v>
          </cell>
          <cell r="E194">
            <v>6.5000000000000002E-2</v>
          </cell>
          <cell r="F194">
            <v>8.8999999999999996E-2</v>
          </cell>
        </row>
        <row r="195">
          <cell r="A195" t="str">
            <v>Milton in King County</v>
          </cell>
          <cell r="B195" t="str">
            <v>King</v>
          </cell>
          <cell r="C195">
            <v>1731</v>
          </cell>
          <cell r="D195">
            <v>3.5999999999999997E-2</v>
          </cell>
          <cell r="E195">
            <v>6.5000000000000002E-2</v>
          </cell>
          <cell r="F195">
            <v>0.10100000000000001</v>
          </cell>
        </row>
        <row r="196">
          <cell r="A196" t="str">
            <v>Milton in Pierce County</v>
          </cell>
          <cell r="B196" t="str">
            <v>Pierce</v>
          </cell>
          <cell r="C196">
            <v>2709</v>
          </cell>
          <cell r="D196">
            <v>3.4000000000000002E-2</v>
          </cell>
          <cell r="E196">
            <v>6.5000000000000002E-2</v>
          </cell>
          <cell r="F196">
            <v>9.9000000000000005E-2</v>
          </cell>
        </row>
        <row r="197">
          <cell r="A197" t="str">
            <v xml:space="preserve">Monroe </v>
          </cell>
          <cell r="B197" t="str">
            <v>Snohomish</v>
          </cell>
          <cell r="C197">
            <v>3112</v>
          </cell>
          <cell r="D197">
            <v>2.8000000000000001E-2</v>
          </cell>
          <cell r="E197">
            <v>6.5000000000000002E-2</v>
          </cell>
          <cell r="F197">
            <v>9.2999999999999999E-2</v>
          </cell>
        </row>
        <row r="198">
          <cell r="A198" t="str">
            <v>Montesano</v>
          </cell>
          <cell r="B198" t="str">
            <v>Grays Harbor</v>
          </cell>
          <cell r="C198">
            <v>1406</v>
          </cell>
          <cell r="D198">
            <v>2.4E-2</v>
          </cell>
          <cell r="E198">
            <v>6.5000000000000002E-2</v>
          </cell>
          <cell r="F198">
            <v>8.8999999999999996E-2</v>
          </cell>
        </row>
        <row r="199">
          <cell r="A199" t="str">
            <v>Morton</v>
          </cell>
          <cell r="B199" t="str">
            <v>Lewis</v>
          </cell>
          <cell r="C199">
            <v>2103</v>
          </cell>
          <cell r="D199">
            <v>1.2999999999999999E-2</v>
          </cell>
          <cell r="E199">
            <v>6.5000000000000002E-2</v>
          </cell>
          <cell r="F199">
            <v>7.8E-2</v>
          </cell>
        </row>
        <row r="200">
          <cell r="A200" t="str">
            <v>Moses Lake</v>
          </cell>
          <cell r="B200" t="str">
            <v>Grant</v>
          </cell>
          <cell r="C200">
            <v>1309</v>
          </cell>
          <cell r="D200">
            <v>1.9E-2</v>
          </cell>
          <cell r="E200">
            <v>6.5000000000000002E-2</v>
          </cell>
          <cell r="F200">
            <v>8.4000000000000005E-2</v>
          </cell>
        </row>
        <row r="201">
          <cell r="A201" t="str">
            <v>Mossyrock</v>
          </cell>
          <cell r="B201" t="str">
            <v>Lewis</v>
          </cell>
          <cell r="C201">
            <v>2104</v>
          </cell>
          <cell r="D201">
            <v>1.2999999999999999E-2</v>
          </cell>
          <cell r="E201">
            <v>6.5000000000000002E-2</v>
          </cell>
          <cell r="F201">
            <v>7.8E-2</v>
          </cell>
        </row>
        <row r="202">
          <cell r="A202" t="str">
            <v>Mount Vernon</v>
          </cell>
          <cell r="B202" t="str">
            <v>Skagit</v>
          </cell>
          <cell r="C202">
            <v>2907</v>
          </cell>
          <cell r="D202">
            <v>2.1999999999999999E-2</v>
          </cell>
          <cell r="E202">
            <v>6.5000000000000002E-2</v>
          </cell>
          <cell r="F202">
            <v>8.6999999999999994E-2</v>
          </cell>
        </row>
        <row r="203">
          <cell r="A203" t="str">
            <v>Mountlake Terrace</v>
          </cell>
          <cell r="B203" t="str">
            <v>Snohomish</v>
          </cell>
          <cell r="C203">
            <v>3113</v>
          </cell>
          <cell r="D203">
            <v>3.9E-2</v>
          </cell>
          <cell r="E203">
            <v>6.5000000000000002E-2</v>
          </cell>
          <cell r="F203">
            <v>0.10400000000000001</v>
          </cell>
        </row>
        <row r="204">
          <cell r="A204" t="str">
            <v>Moxee City</v>
          </cell>
          <cell r="B204" t="str">
            <v>Yakima</v>
          </cell>
          <cell r="C204">
            <v>3905</v>
          </cell>
          <cell r="D204">
            <v>1.4999999999999999E-2</v>
          </cell>
          <cell r="E204">
            <v>6.5000000000000002E-2</v>
          </cell>
          <cell r="F204">
            <v>0.08</v>
          </cell>
        </row>
        <row r="205">
          <cell r="A205" t="str">
            <v>Mukilteo</v>
          </cell>
          <cell r="B205" t="str">
            <v>Snohomish</v>
          </cell>
          <cell r="C205">
            <v>3114</v>
          </cell>
          <cell r="D205">
            <v>0.04</v>
          </cell>
          <cell r="E205">
            <v>6.5000000000000002E-2</v>
          </cell>
          <cell r="F205">
            <v>0.10500000000000001</v>
          </cell>
        </row>
        <row r="206">
          <cell r="A206" t="str">
            <v>Naches</v>
          </cell>
          <cell r="B206" t="str">
            <v>Yakima</v>
          </cell>
          <cell r="C206">
            <v>3906</v>
          </cell>
          <cell r="D206">
            <v>1.4999999999999999E-2</v>
          </cell>
          <cell r="E206">
            <v>6.5000000000000002E-2</v>
          </cell>
          <cell r="F206">
            <v>0.08</v>
          </cell>
        </row>
        <row r="207">
          <cell r="A207" t="str">
            <v>Napavine</v>
          </cell>
          <cell r="B207" t="str">
            <v>Lewis</v>
          </cell>
          <cell r="C207">
            <v>2105</v>
          </cell>
          <cell r="D207">
            <v>1.2999999999999999E-2</v>
          </cell>
          <cell r="E207">
            <v>6.5000000000000002E-2</v>
          </cell>
          <cell r="F207">
            <v>7.8E-2</v>
          </cell>
        </row>
        <row r="208">
          <cell r="A208" t="str">
            <v>Nespelem</v>
          </cell>
          <cell r="B208" t="str">
            <v>Okanogan</v>
          </cell>
          <cell r="C208">
            <v>2405</v>
          </cell>
          <cell r="D208">
            <v>1.4999999999999999E-2</v>
          </cell>
          <cell r="E208">
            <v>6.5000000000000002E-2</v>
          </cell>
          <cell r="F208">
            <v>0.08</v>
          </cell>
        </row>
        <row r="209">
          <cell r="A209" t="str">
            <v>Newcastle</v>
          </cell>
          <cell r="B209" t="str">
            <v>King</v>
          </cell>
          <cell r="C209">
            <v>1736</v>
          </cell>
          <cell r="D209">
            <v>3.5999999999999997E-2</v>
          </cell>
          <cell r="E209">
            <v>6.5000000000000002E-2</v>
          </cell>
          <cell r="F209">
            <v>0.10100000000000001</v>
          </cell>
        </row>
        <row r="210">
          <cell r="A210" t="str">
            <v>Newcastle Non-RTA</v>
          </cell>
          <cell r="B210" t="str">
            <v>King</v>
          </cell>
          <cell r="C210">
            <v>4036</v>
          </cell>
          <cell r="D210">
            <v>2.1999999999999999E-2</v>
          </cell>
          <cell r="E210">
            <v>6.5000000000000002E-2</v>
          </cell>
          <cell r="F210">
            <v>8.6999999999999994E-2</v>
          </cell>
        </row>
        <row r="211">
          <cell r="A211" t="str">
            <v>Newport</v>
          </cell>
          <cell r="B211" t="str">
            <v>Pend Oreille</v>
          </cell>
          <cell r="C211">
            <v>2605</v>
          </cell>
          <cell r="D211">
            <v>1.2E-2</v>
          </cell>
          <cell r="E211">
            <v>6.5000000000000002E-2</v>
          </cell>
          <cell r="F211">
            <v>7.6999999999999999E-2</v>
          </cell>
        </row>
        <row r="212">
          <cell r="A212" t="str">
            <v>Nooksack</v>
          </cell>
          <cell r="B212" t="str">
            <v>Whatcom</v>
          </cell>
          <cell r="C212">
            <v>3706</v>
          </cell>
          <cell r="D212">
            <v>0.02</v>
          </cell>
          <cell r="E212">
            <v>6.5000000000000002E-2</v>
          </cell>
          <cell r="F212">
            <v>8.5000000000000006E-2</v>
          </cell>
        </row>
        <row r="213">
          <cell r="A213" t="str">
            <v>Normandy Park</v>
          </cell>
          <cell r="B213" t="str">
            <v>King</v>
          </cell>
          <cell r="C213">
            <v>1721</v>
          </cell>
          <cell r="D213">
            <v>3.5999999999999997E-2</v>
          </cell>
          <cell r="E213">
            <v>6.5000000000000002E-2</v>
          </cell>
          <cell r="F213">
            <v>0.10100000000000001</v>
          </cell>
        </row>
        <row r="214">
          <cell r="A214" t="str">
            <v>North Bend</v>
          </cell>
          <cell r="B214" t="str">
            <v>King</v>
          </cell>
          <cell r="C214">
            <v>1722</v>
          </cell>
          <cell r="D214">
            <v>2.5000000000000001E-2</v>
          </cell>
          <cell r="E214">
            <v>6.5000000000000002E-2</v>
          </cell>
          <cell r="F214">
            <v>0.09</v>
          </cell>
        </row>
        <row r="215">
          <cell r="A215" t="str">
            <v>North Bonneville</v>
          </cell>
          <cell r="B215" t="str">
            <v>Skamania</v>
          </cell>
          <cell r="C215">
            <v>3001</v>
          </cell>
          <cell r="D215">
            <v>1.2E-2</v>
          </cell>
          <cell r="E215">
            <v>6.5000000000000002E-2</v>
          </cell>
          <cell r="F215">
            <v>7.6999999999999999E-2</v>
          </cell>
        </row>
        <row r="216">
          <cell r="A216" t="str">
            <v>Northport</v>
          </cell>
          <cell r="B216" t="str">
            <v>Stevens</v>
          </cell>
          <cell r="C216">
            <v>3305</v>
          </cell>
          <cell r="D216">
            <v>1.0999999999999999E-2</v>
          </cell>
          <cell r="E216">
            <v>6.5000000000000002E-2</v>
          </cell>
          <cell r="F216">
            <v>7.5999999999999998E-2</v>
          </cell>
        </row>
        <row r="217">
          <cell r="A217" t="str">
            <v>Oak Harbor</v>
          </cell>
          <cell r="B217" t="str">
            <v>Island</v>
          </cell>
          <cell r="C217">
            <v>1503</v>
          </cell>
          <cell r="D217">
            <v>2.4E-2</v>
          </cell>
          <cell r="E217">
            <v>6.5000000000000002E-2</v>
          </cell>
          <cell r="F217">
            <v>8.8999999999999996E-2</v>
          </cell>
        </row>
        <row r="218">
          <cell r="A218" t="str">
            <v>Oakesdale</v>
          </cell>
          <cell r="B218" t="str">
            <v>Whitman</v>
          </cell>
          <cell r="C218">
            <v>3810</v>
          </cell>
          <cell r="D218">
            <v>1.2999999999999999E-2</v>
          </cell>
          <cell r="E218">
            <v>6.5000000000000002E-2</v>
          </cell>
          <cell r="F218">
            <v>7.8E-2</v>
          </cell>
        </row>
        <row r="219">
          <cell r="A219" t="str">
            <v>Oakville</v>
          </cell>
          <cell r="B219" t="str">
            <v>Grays Harbor</v>
          </cell>
          <cell r="C219">
            <v>1407</v>
          </cell>
          <cell r="D219">
            <v>2.4E-2</v>
          </cell>
          <cell r="E219">
            <v>6.5000000000000002E-2</v>
          </cell>
          <cell r="F219">
            <v>8.8999999999999996E-2</v>
          </cell>
        </row>
        <row r="220">
          <cell r="A220" t="str">
            <v>Ocean Shores</v>
          </cell>
          <cell r="B220" t="str">
            <v>Grays Harbor</v>
          </cell>
          <cell r="C220">
            <v>1409</v>
          </cell>
          <cell r="D220">
            <v>2.5999999999999999E-2</v>
          </cell>
          <cell r="E220">
            <v>6.5000000000000002E-2</v>
          </cell>
          <cell r="F220">
            <v>9.0999999999999998E-2</v>
          </cell>
        </row>
        <row r="221">
          <cell r="A221" t="str">
            <v>Odessa</v>
          </cell>
          <cell r="B221" t="str">
            <v>Lincoln</v>
          </cell>
          <cell r="C221">
            <v>2205</v>
          </cell>
          <cell r="D221">
            <v>1.4999999999999999E-2</v>
          </cell>
          <cell r="E221">
            <v>6.5000000000000002E-2</v>
          </cell>
          <cell r="F221">
            <v>0.08</v>
          </cell>
        </row>
        <row r="222">
          <cell r="A222" t="str">
            <v>Okanogan (City)</v>
          </cell>
          <cell r="B222" t="str">
            <v>Okanogan</v>
          </cell>
          <cell r="C222">
            <v>2406</v>
          </cell>
          <cell r="D222">
            <v>0.02</v>
          </cell>
          <cell r="E222">
            <v>6.5000000000000002E-2</v>
          </cell>
          <cell r="F222">
            <v>8.5000000000000006E-2</v>
          </cell>
        </row>
        <row r="223">
          <cell r="A223" t="str">
            <v>Okanogan County Unincorp. Areas</v>
          </cell>
          <cell r="B223" t="str">
            <v>Okanogan</v>
          </cell>
          <cell r="C223">
            <v>2400</v>
          </cell>
          <cell r="D223">
            <v>1.4999999999999999E-2</v>
          </cell>
          <cell r="E223">
            <v>6.5000000000000002E-2</v>
          </cell>
          <cell r="F223">
            <v>0.08</v>
          </cell>
        </row>
        <row r="224">
          <cell r="A224" t="str">
            <v>Okanogan County Unincorp. PTBA</v>
          </cell>
          <cell r="B224" t="str">
            <v>Okanogan</v>
          </cell>
          <cell r="C224">
            <v>2424</v>
          </cell>
          <cell r="D224">
            <v>1.9E-2</v>
          </cell>
          <cell r="E224">
            <v>6.5000000000000002E-2</v>
          </cell>
          <cell r="F224">
            <v>8.4000000000000005E-2</v>
          </cell>
        </row>
        <row r="225">
          <cell r="A225" t="str">
            <v>Olympia</v>
          </cell>
          <cell r="B225" t="str">
            <v>Thurston</v>
          </cell>
          <cell r="C225">
            <v>3403</v>
          </cell>
          <cell r="D225">
            <v>2.9000000000000001E-2</v>
          </cell>
          <cell r="E225">
            <v>6.5000000000000002E-2</v>
          </cell>
          <cell r="F225">
            <v>9.4E-2</v>
          </cell>
        </row>
        <row r="226">
          <cell r="A226" t="str">
            <v>Omak</v>
          </cell>
          <cell r="B226" t="str">
            <v>Okanogan</v>
          </cell>
          <cell r="C226">
            <v>2407</v>
          </cell>
          <cell r="D226">
            <v>1.9E-2</v>
          </cell>
          <cell r="E226">
            <v>6.5000000000000002E-2</v>
          </cell>
          <cell r="F226">
            <v>8.4000000000000005E-2</v>
          </cell>
        </row>
        <row r="227">
          <cell r="A227" t="str">
            <v>Oroville</v>
          </cell>
          <cell r="B227" t="str">
            <v>Okanogan</v>
          </cell>
          <cell r="C227">
            <v>2408</v>
          </cell>
          <cell r="D227">
            <v>1.9E-2</v>
          </cell>
          <cell r="E227">
            <v>6.5000000000000002E-2</v>
          </cell>
          <cell r="F227">
            <v>8.4000000000000005E-2</v>
          </cell>
        </row>
        <row r="228">
          <cell r="A228" t="str">
            <v>Orting</v>
          </cell>
          <cell r="B228" t="str">
            <v>Pierce</v>
          </cell>
          <cell r="C228">
            <v>2710</v>
          </cell>
          <cell r="D228">
            <v>2.8000000000000001E-2</v>
          </cell>
          <cell r="E228">
            <v>6.5000000000000002E-2</v>
          </cell>
          <cell r="F228">
            <v>9.2999999999999999E-2</v>
          </cell>
        </row>
        <row r="229">
          <cell r="A229" t="str">
            <v>Othello</v>
          </cell>
          <cell r="B229" t="str">
            <v>Adams</v>
          </cell>
          <cell r="C229">
            <v>103</v>
          </cell>
          <cell r="D229">
            <v>1.7000000000000001E-2</v>
          </cell>
          <cell r="E229">
            <v>6.5000000000000002E-2</v>
          </cell>
          <cell r="F229">
            <v>8.2000000000000003E-2</v>
          </cell>
        </row>
        <row r="230">
          <cell r="A230" t="str">
            <v>Pacific County Unincorp. Areas</v>
          </cell>
          <cell r="B230" t="str">
            <v>Pacific</v>
          </cell>
          <cell r="C230">
            <v>2500</v>
          </cell>
          <cell r="D230">
            <v>1.6E-2</v>
          </cell>
          <cell r="E230">
            <v>6.5000000000000002E-2</v>
          </cell>
          <cell r="F230">
            <v>8.1000000000000003E-2</v>
          </cell>
        </row>
        <row r="231">
          <cell r="A231" t="str">
            <v>Pacific in King County</v>
          </cell>
          <cell r="B231" t="str">
            <v>King</v>
          </cell>
          <cell r="C231">
            <v>1723</v>
          </cell>
          <cell r="D231">
            <v>3.5999999999999997E-2</v>
          </cell>
          <cell r="E231">
            <v>6.5000000000000002E-2</v>
          </cell>
          <cell r="F231">
            <v>0.10100000000000001</v>
          </cell>
        </row>
        <row r="232">
          <cell r="A232" t="str">
            <v>Pacific in Pierce County</v>
          </cell>
          <cell r="B232" t="str">
            <v>Pierce</v>
          </cell>
          <cell r="C232">
            <v>2723</v>
          </cell>
          <cell r="D232">
            <v>3.4000000000000002E-2</v>
          </cell>
          <cell r="E232">
            <v>6.5000000000000002E-2</v>
          </cell>
          <cell r="F232">
            <v>9.9000000000000005E-2</v>
          </cell>
        </row>
        <row r="233">
          <cell r="A233" t="str">
            <v>Palouse</v>
          </cell>
          <cell r="B233" t="str">
            <v>Whitman</v>
          </cell>
          <cell r="C233">
            <v>3811</v>
          </cell>
          <cell r="D233">
            <v>1.2999999999999999E-2</v>
          </cell>
          <cell r="E233">
            <v>6.5000000000000002E-2</v>
          </cell>
          <cell r="F233">
            <v>7.8E-2</v>
          </cell>
        </row>
        <row r="234">
          <cell r="A234" t="str">
            <v>Pasco</v>
          </cell>
          <cell r="B234" t="str">
            <v>Franklin</v>
          </cell>
          <cell r="C234">
            <v>1104</v>
          </cell>
          <cell r="D234">
            <v>2.1000000000000001E-2</v>
          </cell>
          <cell r="E234">
            <v>6.5000000000000002E-2</v>
          </cell>
          <cell r="F234">
            <v>8.6000000000000007E-2</v>
          </cell>
        </row>
        <row r="235">
          <cell r="A235" t="str">
            <v>Pateros</v>
          </cell>
          <cell r="B235" t="str">
            <v>Okanogan</v>
          </cell>
          <cell r="C235">
            <v>2409</v>
          </cell>
          <cell r="D235">
            <v>1.9E-2</v>
          </cell>
          <cell r="E235">
            <v>6.5000000000000002E-2</v>
          </cell>
          <cell r="F235">
            <v>8.4000000000000005E-2</v>
          </cell>
        </row>
        <row r="236">
          <cell r="A236" t="str">
            <v>Pe Ell</v>
          </cell>
          <cell r="B236" t="str">
            <v>Lewis</v>
          </cell>
          <cell r="C236">
            <v>2106</v>
          </cell>
          <cell r="D236">
            <v>1.2999999999999999E-2</v>
          </cell>
          <cell r="E236">
            <v>6.5000000000000002E-2</v>
          </cell>
          <cell r="F236">
            <v>7.8E-2</v>
          </cell>
        </row>
        <row r="237">
          <cell r="A237" t="str">
            <v>Pend Oreille County Unincorp. Areas</v>
          </cell>
          <cell r="B237" t="str">
            <v>Pend Oreille</v>
          </cell>
          <cell r="C237">
            <v>2600</v>
          </cell>
          <cell r="D237">
            <v>1.2E-2</v>
          </cell>
          <cell r="E237">
            <v>6.5000000000000002E-2</v>
          </cell>
          <cell r="F237">
            <v>7.6999999999999999E-2</v>
          </cell>
        </row>
        <row r="238">
          <cell r="A238" t="str">
            <v>Pierce County Unincorp. Areas</v>
          </cell>
          <cell r="B238" t="str">
            <v>Pierce</v>
          </cell>
          <cell r="C238">
            <v>2700</v>
          </cell>
          <cell r="D238">
            <v>2.8000000000000001E-2</v>
          </cell>
          <cell r="E238">
            <v>6.5000000000000002E-2</v>
          </cell>
          <cell r="F238">
            <v>9.2999999999999999E-2</v>
          </cell>
        </row>
        <row r="239">
          <cell r="A239" t="str">
            <v>Pierce County Unincorp. Areas Non-RTA</v>
          </cell>
          <cell r="B239" t="str">
            <v>Pierce</v>
          </cell>
          <cell r="C239">
            <v>4100</v>
          </cell>
          <cell r="D239">
            <v>1.4E-2</v>
          </cell>
          <cell r="E239">
            <v>6.5000000000000002E-2</v>
          </cell>
          <cell r="F239">
            <v>7.9000000000000001E-2</v>
          </cell>
        </row>
        <row r="240">
          <cell r="A240" t="str">
            <v>Pierce County Unincorp. Areas Non-RTA HBZ</v>
          </cell>
          <cell r="B240" t="str">
            <v>Pierce</v>
          </cell>
          <cell r="C240">
            <v>2789</v>
          </cell>
          <cell r="D240">
            <v>1.4E-2</v>
          </cell>
          <cell r="E240">
            <v>6.5000000000000002E-2</v>
          </cell>
          <cell r="F240">
            <v>7.9000000000000001E-2</v>
          </cell>
        </row>
        <row r="241">
          <cell r="A241" t="str">
            <v>Pierce County Unincorp. PTBA</v>
          </cell>
          <cell r="B241" t="str">
            <v>Pierce</v>
          </cell>
          <cell r="C241">
            <v>2727</v>
          </cell>
          <cell r="D241">
            <v>3.4000000000000002E-2</v>
          </cell>
          <cell r="E241">
            <v>6.5000000000000002E-2</v>
          </cell>
          <cell r="F241">
            <v>9.9000000000000005E-2</v>
          </cell>
        </row>
        <row r="242">
          <cell r="A242" t="str">
            <v>Pierce County Unincorp. PTBA HBZ</v>
          </cell>
          <cell r="B242" t="str">
            <v>Pierce</v>
          </cell>
          <cell r="C242">
            <v>2787</v>
          </cell>
          <cell r="D242">
            <v>0.02</v>
          </cell>
          <cell r="E242">
            <v>6.5000000000000002E-2</v>
          </cell>
          <cell r="F242">
            <v>8.5000000000000006E-2</v>
          </cell>
        </row>
        <row r="243">
          <cell r="A243" t="str">
            <v>Pierce County Unincorp. PTBA
Non-RTA</v>
          </cell>
          <cell r="B243" t="str">
            <v>Pierce</v>
          </cell>
          <cell r="C243">
            <v>4127</v>
          </cell>
          <cell r="D243">
            <v>0.02</v>
          </cell>
          <cell r="E243">
            <v>6.5000000000000002E-2</v>
          </cell>
          <cell r="F243">
            <v>8.5000000000000006E-2</v>
          </cell>
        </row>
        <row r="244">
          <cell r="A244" t="str">
            <v>Pomeroy</v>
          </cell>
          <cell r="B244" t="str">
            <v>Garfield</v>
          </cell>
          <cell r="C244">
            <v>1201</v>
          </cell>
          <cell r="D244">
            <v>1.4E-2</v>
          </cell>
          <cell r="E244">
            <v>6.5000000000000002E-2</v>
          </cell>
          <cell r="F244">
            <v>7.9000000000000001E-2</v>
          </cell>
        </row>
        <row r="245">
          <cell r="A245" t="str">
            <v>Port Angeles</v>
          </cell>
          <cell r="B245" t="str">
            <v>Clallam</v>
          </cell>
          <cell r="C245">
            <v>502</v>
          </cell>
          <cell r="D245">
            <v>2.3E-2</v>
          </cell>
          <cell r="E245">
            <v>6.5000000000000002E-2</v>
          </cell>
          <cell r="F245">
            <v>8.7999999999999995E-2</v>
          </cell>
        </row>
        <row r="246">
          <cell r="A246" t="str">
            <v>Port Orchard</v>
          </cell>
          <cell r="B246" t="str">
            <v>Kitsap</v>
          </cell>
          <cell r="C246">
            <v>1802</v>
          </cell>
          <cell r="D246">
            <v>2.5000000000000001E-2</v>
          </cell>
          <cell r="E246">
            <v>6.5000000000000002E-2</v>
          </cell>
          <cell r="F246">
            <v>0.09</v>
          </cell>
        </row>
        <row r="247">
          <cell r="A247" t="str">
            <v>Port Townsend</v>
          </cell>
          <cell r="B247" t="str">
            <v>Jefferson</v>
          </cell>
          <cell r="C247">
            <v>1601</v>
          </cell>
          <cell r="D247">
            <v>2.5000000000000001E-2</v>
          </cell>
          <cell r="E247">
            <v>6.5000000000000002E-2</v>
          </cell>
          <cell r="F247">
            <v>0.09</v>
          </cell>
        </row>
        <row r="248">
          <cell r="A248" t="str">
            <v>Poulsbo</v>
          </cell>
          <cell r="B248" t="str">
            <v>Kitsap</v>
          </cell>
          <cell r="C248">
            <v>1803</v>
          </cell>
          <cell r="D248">
            <v>2.5000000000000001E-2</v>
          </cell>
          <cell r="E248">
            <v>6.5000000000000002E-2</v>
          </cell>
          <cell r="F248">
            <v>0.09</v>
          </cell>
        </row>
        <row r="249">
          <cell r="A249" t="str">
            <v>Prescott</v>
          </cell>
          <cell r="B249" t="str">
            <v>Walla Walla</v>
          </cell>
          <cell r="C249">
            <v>3602</v>
          </cell>
          <cell r="D249">
            <v>1.6E-2</v>
          </cell>
          <cell r="E249">
            <v>6.5000000000000002E-2</v>
          </cell>
          <cell r="F249">
            <v>8.1000000000000003E-2</v>
          </cell>
        </row>
        <row r="250">
          <cell r="A250" t="str">
            <v>Prosser</v>
          </cell>
          <cell r="B250" t="str">
            <v>Benton</v>
          </cell>
          <cell r="C250">
            <v>303</v>
          </cell>
          <cell r="D250">
            <v>2.1000000000000001E-2</v>
          </cell>
          <cell r="E250">
            <v>6.5000000000000002E-2</v>
          </cell>
          <cell r="F250">
            <v>8.6000000000000007E-2</v>
          </cell>
        </row>
        <row r="251">
          <cell r="A251" t="str">
            <v>Pullman</v>
          </cell>
          <cell r="B251" t="str">
            <v>Whitman</v>
          </cell>
          <cell r="C251">
            <v>3812</v>
          </cell>
          <cell r="D251">
            <v>1.2999999999999999E-2</v>
          </cell>
          <cell r="E251">
            <v>6.5000000000000002E-2</v>
          </cell>
          <cell r="F251">
            <v>7.8E-2</v>
          </cell>
        </row>
        <row r="252">
          <cell r="A252" t="str">
            <v>Puyallup</v>
          </cell>
          <cell r="B252" t="str">
            <v>Pierce</v>
          </cell>
          <cell r="C252">
            <v>2711</v>
          </cell>
          <cell r="D252">
            <v>3.4000000000000002E-2</v>
          </cell>
          <cell r="E252">
            <v>6.5000000000000002E-2</v>
          </cell>
          <cell r="F252">
            <v>9.9000000000000005E-2</v>
          </cell>
        </row>
        <row r="253">
          <cell r="A253" t="str">
            <v>Quincy</v>
          </cell>
          <cell r="B253" t="str">
            <v>Grant</v>
          </cell>
          <cell r="C253">
            <v>1310</v>
          </cell>
          <cell r="D253">
            <v>1.7000000000000001E-2</v>
          </cell>
          <cell r="E253">
            <v>6.5000000000000002E-2</v>
          </cell>
          <cell r="F253">
            <v>8.2000000000000003E-2</v>
          </cell>
        </row>
        <row r="254">
          <cell r="A254" t="str">
            <v>Rainier</v>
          </cell>
          <cell r="B254" t="str">
            <v>Thurston</v>
          </cell>
          <cell r="C254">
            <v>3404</v>
          </cell>
          <cell r="D254">
            <v>1.4999999999999999E-2</v>
          </cell>
          <cell r="E254">
            <v>6.5000000000000002E-2</v>
          </cell>
          <cell r="F254">
            <v>0.08</v>
          </cell>
        </row>
        <row r="255">
          <cell r="A255" t="str">
            <v>Raymond</v>
          </cell>
          <cell r="B255" t="str">
            <v>Pacific</v>
          </cell>
          <cell r="C255">
            <v>2503</v>
          </cell>
          <cell r="D255">
            <v>1.6E-2</v>
          </cell>
          <cell r="E255">
            <v>6.5000000000000002E-2</v>
          </cell>
          <cell r="F255">
            <v>8.1000000000000003E-2</v>
          </cell>
        </row>
        <row r="256">
          <cell r="A256" t="str">
            <v>Reardan</v>
          </cell>
          <cell r="B256" t="str">
            <v>Lincoln</v>
          </cell>
          <cell r="C256">
            <v>2206</v>
          </cell>
          <cell r="D256">
            <v>1.4999999999999999E-2</v>
          </cell>
          <cell r="E256">
            <v>6.5000000000000002E-2</v>
          </cell>
          <cell r="F256">
            <v>0.08</v>
          </cell>
        </row>
        <row r="257">
          <cell r="A257" t="str">
            <v>Redmond</v>
          </cell>
          <cell r="B257" t="str">
            <v>King</v>
          </cell>
          <cell r="C257">
            <v>1724</v>
          </cell>
          <cell r="D257">
            <v>3.5999999999999997E-2</v>
          </cell>
          <cell r="E257">
            <v>6.5000000000000002E-2</v>
          </cell>
          <cell r="F257">
            <v>0.10100000000000001</v>
          </cell>
        </row>
        <row r="258">
          <cell r="A258" t="str">
            <v>Redmond Non-RTA</v>
          </cell>
          <cell r="B258" t="str">
            <v>King</v>
          </cell>
          <cell r="C258">
            <v>4024</v>
          </cell>
          <cell r="D258">
            <v>2.1999999999999999E-2</v>
          </cell>
          <cell r="E258">
            <v>6.5000000000000002E-2</v>
          </cell>
          <cell r="F258">
            <v>8.6999999999999994E-2</v>
          </cell>
        </row>
        <row r="259">
          <cell r="A259" t="str">
            <v>Renton</v>
          </cell>
          <cell r="B259" t="str">
            <v>King</v>
          </cell>
          <cell r="C259">
            <v>1725</v>
          </cell>
          <cell r="D259">
            <v>3.5999999999999997E-2</v>
          </cell>
          <cell r="E259">
            <v>6.5000000000000002E-2</v>
          </cell>
          <cell r="F259">
            <v>0.10100000000000001</v>
          </cell>
        </row>
        <row r="260">
          <cell r="A260" t="str">
            <v>Renton Non-RTA</v>
          </cell>
          <cell r="B260" t="str">
            <v>King</v>
          </cell>
          <cell r="C260">
            <v>4025</v>
          </cell>
          <cell r="D260">
            <v>2.1999999999999999E-2</v>
          </cell>
          <cell r="E260">
            <v>6.5000000000000002E-2</v>
          </cell>
          <cell r="F260">
            <v>8.6999999999999994E-2</v>
          </cell>
        </row>
        <row r="261">
          <cell r="A261" t="str">
            <v>Republic</v>
          </cell>
          <cell r="B261" t="str">
            <v>Ferry</v>
          </cell>
          <cell r="C261">
            <v>1001</v>
          </cell>
          <cell r="D261">
            <v>1.4999999999999999E-2</v>
          </cell>
          <cell r="E261">
            <v>6.5000000000000002E-2</v>
          </cell>
          <cell r="F261">
            <v>0.08</v>
          </cell>
        </row>
        <row r="262">
          <cell r="A262" t="str">
            <v xml:space="preserve">Richland </v>
          </cell>
          <cell r="B262" t="str">
            <v>Benton</v>
          </cell>
          <cell r="C262">
            <v>304</v>
          </cell>
          <cell r="D262">
            <v>2.1000000000000001E-2</v>
          </cell>
          <cell r="E262">
            <v>6.5000000000000002E-2</v>
          </cell>
          <cell r="F262">
            <v>8.6000000000000007E-2</v>
          </cell>
        </row>
        <row r="263">
          <cell r="A263" t="str">
            <v>Ridgefield</v>
          </cell>
          <cell r="B263" t="str">
            <v>Clark</v>
          </cell>
          <cell r="C263">
            <v>604</v>
          </cell>
          <cell r="D263">
            <v>1.9E-2</v>
          </cell>
          <cell r="E263">
            <v>6.5000000000000002E-2</v>
          </cell>
          <cell r="F263">
            <v>8.4000000000000005E-2</v>
          </cell>
        </row>
        <row r="264">
          <cell r="A264" t="str">
            <v xml:space="preserve">Ritzville </v>
          </cell>
          <cell r="B264" t="str">
            <v>Adams</v>
          </cell>
          <cell r="C264">
            <v>104</v>
          </cell>
          <cell r="D264">
            <v>1.4999999999999999E-2</v>
          </cell>
          <cell r="E264">
            <v>6.5000000000000002E-2</v>
          </cell>
          <cell r="F264">
            <v>0.08</v>
          </cell>
        </row>
        <row r="265">
          <cell r="A265" t="str">
            <v>Riverside</v>
          </cell>
          <cell r="B265" t="str">
            <v>Okanogan</v>
          </cell>
          <cell r="C265">
            <v>2410</v>
          </cell>
          <cell r="D265">
            <v>1.9E-2</v>
          </cell>
          <cell r="E265">
            <v>6.5000000000000002E-2</v>
          </cell>
          <cell r="F265">
            <v>8.4000000000000005E-2</v>
          </cell>
        </row>
        <row r="266">
          <cell r="A266" t="str">
            <v>Rock Island</v>
          </cell>
          <cell r="B266" t="str">
            <v>Douglas</v>
          </cell>
          <cell r="C266">
            <v>904</v>
          </cell>
          <cell r="D266">
            <v>1.7999999999999999E-2</v>
          </cell>
          <cell r="E266">
            <v>6.5000000000000002E-2</v>
          </cell>
          <cell r="F266">
            <v>8.3000000000000004E-2</v>
          </cell>
        </row>
        <row r="267">
          <cell r="A267" t="str">
            <v>Rockford</v>
          </cell>
          <cell r="B267" t="str">
            <v>Spokane</v>
          </cell>
          <cell r="C267">
            <v>3208</v>
          </cell>
          <cell r="D267">
            <v>1.6E-2</v>
          </cell>
          <cell r="E267">
            <v>6.5000000000000002E-2</v>
          </cell>
          <cell r="F267">
            <v>8.1000000000000003E-2</v>
          </cell>
        </row>
        <row r="268">
          <cell r="A268" t="str">
            <v>Rosalia</v>
          </cell>
          <cell r="B268" t="str">
            <v>Whitman</v>
          </cell>
          <cell r="C268">
            <v>3813</v>
          </cell>
          <cell r="D268">
            <v>1.2999999999999999E-2</v>
          </cell>
          <cell r="E268">
            <v>6.5000000000000002E-2</v>
          </cell>
          <cell r="F268">
            <v>7.8E-2</v>
          </cell>
        </row>
        <row r="269">
          <cell r="A269" t="str">
            <v>Roslyn</v>
          </cell>
          <cell r="B269" t="str">
            <v>Kittitas</v>
          </cell>
          <cell r="C269">
            <v>1904</v>
          </cell>
          <cell r="D269">
            <v>1.4999999999999999E-2</v>
          </cell>
          <cell r="E269">
            <v>6.5000000000000002E-2</v>
          </cell>
          <cell r="F269">
            <v>0.08</v>
          </cell>
        </row>
        <row r="270">
          <cell r="A270" t="str">
            <v>Roy</v>
          </cell>
          <cell r="B270" t="str">
            <v>Pierce</v>
          </cell>
          <cell r="C270">
            <v>2712</v>
          </cell>
          <cell r="D270">
            <v>1.4999999999999999E-2</v>
          </cell>
          <cell r="E270">
            <v>6.5000000000000002E-2</v>
          </cell>
          <cell r="F270">
            <v>0.08</v>
          </cell>
        </row>
        <row r="271">
          <cell r="A271" t="str">
            <v>Royal City</v>
          </cell>
          <cell r="B271" t="str">
            <v>Grant</v>
          </cell>
          <cell r="C271">
            <v>1311</v>
          </cell>
          <cell r="D271">
            <v>1.7000000000000001E-2</v>
          </cell>
          <cell r="E271">
            <v>6.5000000000000002E-2</v>
          </cell>
          <cell r="F271">
            <v>8.2000000000000003E-2</v>
          </cell>
        </row>
        <row r="272">
          <cell r="A272" t="str">
            <v>Ruston</v>
          </cell>
          <cell r="B272" t="str">
            <v>Pierce</v>
          </cell>
          <cell r="C272">
            <v>2713</v>
          </cell>
          <cell r="D272">
            <v>3.4000000000000002E-2</v>
          </cell>
          <cell r="E272">
            <v>6.5000000000000002E-2</v>
          </cell>
          <cell r="F272">
            <v>9.9000000000000005E-2</v>
          </cell>
        </row>
        <row r="273">
          <cell r="A273" t="str">
            <v>Sammamish</v>
          </cell>
          <cell r="B273" t="str">
            <v>King</v>
          </cell>
          <cell r="C273">
            <v>1739</v>
          </cell>
          <cell r="D273">
            <v>3.5999999999999997E-2</v>
          </cell>
          <cell r="E273">
            <v>6.5000000000000002E-2</v>
          </cell>
          <cell r="F273">
            <v>0.10100000000000001</v>
          </cell>
        </row>
        <row r="274">
          <cell r="A274" t="str">
            <v>Sammamish Non-RTA</v>
          </cell>
          <cell r="B274" t="str">
            <v>King</v>
          </cell>
          <cell r="C274">
            <v>4039</v>
          </cell>
          <cell r="D274">
            <v>2.1999999999999999E-2</v>
          </cell>
          <cell r="E274">
            <v>6.5000000000000002E-2</v>
          </cell>
          <cell r="F274">
            <v>8.6999999999999994E-2</v>
          </cell>
        </row>
        <row r="275">
          <cell r="A275" t="str">
            <v>San Juan County Unincorp. Areas</v>
          </cell>
          <cell r="B275" t="str">
            <v>San Juan</v>
          </cell>
          <cell r="C275">
            <v>2800</v>
          </cell>
          <cell r="D275">
            <v>1.7999999999999999E-2</v>
          </cell>
          <cell r="E275">
            <v>6.5000000000000002E-2</v>
          </cell>
          <cell r="F275">
            <v>8.3000000000000004E-2</v>
          </cell>
        </row>
        <row r="276">
          <cell r="A276" t="str">
            <v>SeaTac</v>
          </cell>
          <cell r="B276" t="str">
            <v>King</v>
          </cell>
          <cell r="C276">
            <v>1733</v>
          </cell>
          <cell r="D276">
            <v>3.5999999999999997E-2</v>
          </cell>
          <cell r="E276">
            <v>6.5000000000000002E-2</v>
          </cell>
          <cell r="F276">
            <v>0.10100000000000001</v>
          </cell>
        </row>
        <row r="277">
          <cell r="A277" t="str">
            <v xml:space="preserve">Seattle </v>
          </cell>
          <cell r="B277" t="str">
            <v>King</v>
          </cell>
          <cell r="C277">
            <v>1726</v>
          </cell>
          <cell r="D277">
            <v>3.5999999999999997E-2</v>
          </cell>
          <cell r="E277">
            <v>6.5000000000000002E-2</v>
          </cell>
          <cell r="F277">
            <v>0.10100000000000001</v>
          </cell>
        </row>
        <row r="278">
          <cell r="A278" t="str">
            <v>Sedro-Woolley</v>
          </cell>
          <cell r="B278" t="str">
            <v>Skagit</v>
          </cell>
          <cell r="C278">
            <v>2908</v>
          </cell>
          <cell r="D278">
            <v>0.02</v>
          </cell>
          <cell r="E278">
            <v>6.5000000000000002E-2</v>
          </cell>
          <cell r="F278">
            <v>8.5000000000000006E-2</v>
          </cell>
        </row>
        <row r="279">
          <cell r="A279" t="str">
            <v>Selah</v>
          </cell>
          <cell r="B279" t="str">
            <v>Yakima</v>
          </cell>
          <cell r="C279">
            <v>3907</v>
          </cell>
          <cell r="D279">
            <v>1.7999999999999999E-2</v>
          </cell>
          <cell r="E279">
            <v>6.5000000000000002E-2</v>
          </cell>
          <cell r="F279">
            <v>8.3000000000000004E-2</v>
          </cell>
        </row>
        <row r="280">
          <cell r="A280" t="str">
            <v>Sequim</v>
          </cell>
          <cell r="B280" t="str">
            <v>Clallam</v>
          </cell>
          <cell r="C280">
            <v>503</v>
          </cell>
          <cell r="D280">
            <v>2.3E-2</v>
          </cell>
          <cell r="E280">
            <v>6.5000000000000002E-2</v>
          </cell>
          <cell r="F280">
            <v>8.7999999999999995E-2</v>
          </cell>
        </row>
        <row r="281">
          <cell r="A281" t="str">
            <v xml:space="preserve">Shelton </v>
          </cell>
          <cell r="B281" t="str">
            <v>Mason</v>
          </cell>
          <cell r="C281">
            <v>2301</v>
          </cell>
          <cell r="D281">
            <v>2.3E-2</v>
          </cell>
          <cell r="E281">
            <v>6.5000000000000002E-2</v>
          </cell>
          <cell r="F281">
            <v>8.7999999999999995E-2</v>
          </cell>
        </row>
        <row r="282">
          <cell r="A282" t="str">
            <v>Shoreline</v>
          </cell>
          <cell r="B282" t="str">
            <v>King</v>
          </cell>
          <cell r="C282">
            <v>1737</v>
          </cell>
          <cell r="D282">
            <v>3.7999999999999999E-2</v>
          </cell>
          <cell r="E282">
            <v>6.5000000000000002E-2</v>
          </cell>
          <cell r="F282">
            <v>0.10300000000000001</v>
          </cell>
        </row>
        <row r="283">
          <cell r="A283" t="str">
            <v>Skagit County Unincorp. Areas</v>
          </cell>
          <cell r="B283" t="str">
            <v>Skagit</v>
          </cell>
          <cell r="C283">
            <v>2900</v>
          </cell>
          <cell r="D283">
            <v>1.6E-2</v>
          </cell>
          <cell r="E283">
            <v>6.5000000000000002E-2</v>
          </cell>
          <cell r="F283">
            <v>8.1000000000000003E-2</v>
          </cell>
        </row>
        <row r="284">
          <cell r="A284" t="str">
            <v>Skagit County Unincorp. PTBA</v>
          </cell>
          <cell r="B284" t="str">
            <v>Skagit</v>
          </cell>
          <cell r="C284">
            <v>2929</v>
          </cell>
          <cell r="D284">
            <v>0.02</v>
          </cell>
          <cell r="E284">
            <v>6.5000000000000002E-2</v>
          </cell>
          <cell r="F284">
            <v>8.5000000000000006E-2</v>
          </cell>
        </row>
        <row r="285">
          <cell r="A285" t="str">
            <v>Skamania County Unincorp. Areas</v>
          </cell>
          <cell r="B285" t="str">
            <v>Skamania</v>
          </cell>
          <cell r="C285">
            <v>3000</v>
          </cell>
          <cell r="D285">
            <v>1.2E-2</v>
          </cell>
          <cell r="E285">
            <v>6.5000000000000002E-2</v>
          </cell>
          <cell r="F285">
            <v>7.6999999999999999E-2</v>
          </cell>
        </row>
        <row r="286">
          <cell r="A286" t="str">
            <v>Skykomish</v>
          </cell>
          <cell r="B286" t="str">
            <v>King</v>
          </cell>
          <cell r="C286">
            <v>1727</v>
          </cell>
          <cell r="D286">
            <v>2.1999999999999999E-2</v>
          </cell>
          <cell r="E286">
            <v>6.5000000000000002E-2</v>
          </cell>
          <cell r="F286">
            <v>8.6999999999999994E-2</v>
          </cell>
        </row>
        <row r="287">
          <cell r="A287" t="str">
            <v xml:space="preserve">Snohomish (City) </v>
          </cell>
          <cell r="B287" t="str">
            <v>Snohomish</v>
          </cell>
          <cell r="C287">
            <v>3115</v>
          </cell>
          <cell r="D287">
            <v>2.7E-2</v>
          </cell>
          <cell r="E287">
            <v>6.5000000000000002E-2</v>
          </cell>
          <cell r="F287">
            <v>9.1999999999999998E-2</v>
          </cell>
        </row>
        <row r="288">
          <cell r="A288" t="str">
            <v>Snohomish County Unincorp. Areas</v>
          </cell>
          <cell r="B288" t="str">
            <v>Snohomish</v>
          </cell>
          <cell r="C288">
            <v>3100</v>
          </cell>
          <cell r="D288">
            <v>2.7E-2</v>
          </cell>
          <cell r="E288">
            <v>6.5000000000000002E-2</v>
          </cell>
          <cell r="F288">
            <v>9.1999999999999998E-2</v>
          </cell>
        </row>
        <row r="289">
          <cell r="A289" t="str">
            <v>Snohomish County Unincorp. Areas Non-RTA</v>
          </cell>
          <cell r="B289" t="str">
            <v>Snohomish</v>
          </cell>
          <cell r="C289">
            <v>4200</v>
          </cell>
          <cell r="D289">
            <v>1.2999999999999999E-2</v>
          </cell>
          <cell r="E289">
            <v>6.5000000000000002E-2</v>
          </cell>
          <cell r="F289">
            <v>7.8E-2</v>
          </cell>
        </row>
        <row r="290">
          <cell r="A290" t="str">
            <v>Snohomish County Unincorp. PTBA</v>
          </cell>
          <cell r="B290" t="str">
            <v>Snohomish</v>
          </cell>
          <cell r="C290">
            <v>3131</v>
          </cell>
          <cell r="D290">
            <v>3.9E-2</v>
          </cell>
          <cell r="E290">
            <v>6.5000000000000002E-2</v>
          </cell>
          <cell r="F290">
            <v>0.10400000000000001</v>
          </cell>
        </row>
        <row r="291">
          <cell r="A291" t="str">
            <v>Snohomish County Unincorp. PTBA Non-RTA</v>
          </cell>
          <cell r="B291" t="str">
            <v>Snohomish</v>
          </cell>
          <cell r="C291">
            <v>4231</v>
          </cell>
          <cell r="D291">
            <v>2.5000000000000001E-2</v>
          </cell>
          <cell r="E291">
            <v>6.5000000000000002E-2</v>
          </cell>
          <cell r="F291">
            <v>0.09</v>
          </cell>
        </row>
        <row r="292">
          <cell r="A292" t="str">
            <v>Snoqualmie</v>
          </cell>
          <cell r="B292" t="str">
            <v>King</v>
          </cell>
          <cell r="C292">
            <v>1728</v>
          </cell>
          <cell r="D292">
            <v>2.1999999999999999E-2</v>
          </cell>
          <cell r="E292">
            <v>6.5000000000000002E-2</v>
          </cell>
          <cell r="F292">
            <v>8.6999999999999994E-2</v>
          </cell>
        </row>
        <row r="293">
          <cell r="A293" t="str">
            <v>Soap Lake</v>
          </cell>
          <cell r="B293" t="str">
            <v>Grant</v>
          </cell>
          <cell r="C293">
            <v>1312</v>
          </cell>
          <cell r="D293">
            <v>1.7000000000000001E-2</v>
          </cell>
          <cell r="E293">
            <v>6.5000000000000002E-2</v>
          </cell>
          <cell r="F293">
            <v>8.2000000000000003E-2</v>
          </cell>
        </row>
        <row r="294">
          <cell r="A294" t="str">
            <v>South Bend</v>
          </cell>
          <cell r="B294" t="str">
            <v>Pacific</v>
          </cell>
          <cell r="C294">
            <v>2504</v>
          </cell>
          <cell r="D294">
            <v>1.6E-2</v>
          </cell>
          <cell r="E294">
            <v>6.5000000000000002E-2</v>
          </cell>
          <cell r="F294">
            <v>8.1000000000000003E-2</v>
          </cell>
        </row>
        <row r="295">
          <cell r="A295" t="str">
            <v>South Cle Elum</v>
          </cell>
          <cell r="B295" t="str">
            <v>Kittitas</v>
          </cell>
          <cell r="C295">
            <v>1905</v>
          </cell>
          <cell r="D295">
            <v>1.4999999999999999E-2</v>
          </cell>
          <cell r="E295">
            <v>6.5000000000000002E-2</v>
          </cell>
          <cell r="F295">
            <v>0.08</v>
          </cell>
        </row>
        <row r="296">
          <cell r="A296" t="str">
            <v>South Prairie</v>
          </cell>
          <cell r="B296" t="str">
            <v>Pierce</v>
          </cell>
          <cell r="C296">
            <v>2714</v>
          </cell>
          <cell r="D296">
            <v>1.4E-2</v>
          </cell>
          <cell r="E296">
            <v>6.5000000000000002E-2</v>
          </cell>
          <cell r="F296">
            <v>7.9000000000000001E-2</v>
          </cell>
        </row>
        <row r="297">
          <cell r="A297" t="str">
            <v>Spangle</v>
          </cell>
          <cell r="B297" t="str">
            <v>Spokane</v>
          </cell>
          <cell r="C297">
            <v>3209</v>
          </cell>
          <cell r="D297">
            <v>1.6E-2</v>
          </cell>
          <cell r="E297">
            <v>6.5000000000000002E-2</v>
          </cell>
          <cell r="F297">
            <v>8.1000000000000003E-2</v>
          </cell>
        </row>
        <row r="298">
          <cell r="A298" t="str">
            <v>Spokane (City)</v>
          </cell>
          <cell r="B298" t="str">
            <v>Spokane</v>
          </cell>
          <cell r="C298">
            <v>3210</v>
          </cell>
          <cell r="D298">
            <v>2.4E-2</v>
          </cell>
          <cell r="E298">
            <v>6.5000000000000002E-2</v>
          </cell>
          <cell r="F298">
            <v>8.8999999999999996E-2</v>
          </cell>
        </row>
        <row r="299">
          <cell r="A299" t="str">
            <v>Spokane County Unincorp. Areas</v>
          </cell>
          <cell r="B299" t="str">
            <v>Spokane</v>
          </cell>
          <cell r="C299">
            <v>3200</v>
          </cell>
          <cell r="D299">
            <v>1.6E-2</v>
          </cell>
          <cell r="E299">
            <v>6.5000000000000002E-2</v>
          </cell>
          <cell r="F299">
            <v>8.1000000000000003E-2</v>
          </cell>
        </row>
        <row r="300">
          <cell r="A300" t="str">
            <v>Spokane County Unincorp. PTBA</v>
          </cell>
          <cell r="B300" t="str">
            <v>Spokane</v>
          </cell>
          <cell r="C300">
            <v>3232</v>
          </cell>
          <cell r="D300">
            <v>2.4E-2</v>
          </cell>
          <cell r="E300">
            <v>6.5000000000000002E-2</v>
          </cell>
          <cell r="F300">
            <v>8.8999999999999996E-2</v>
          </cell>
        </row>
        <row r="301">
          <cell r="A301" t="str">
            <v>Spokane Valley</v>
          </cell>
          <cell r="B301" t="str">
            <v>Spokane</v>
          </cell>
          <cell r="C301">
            <v>3213</v>
          </cell>
          <cell r="D301">
            <v>2.4E-2</v>
          </cell>
          <cell r="E301">
            <v>6.5000000000000002E-2</v>
          </cell>
          <cell r="F301">
            <v>8.8999999999999996E-2</v>
          </cell>
        </row>
        <row r="302">
          <cell r="A302" t="str">
            <v>Sprague</v>
          </cell>
          <cell r="B302" t="str">
            <v>Lincoln</v>
          </cell>
          <cell r="C302">
            <v>2207</v>
          </cell>
          <cell r="D302">
            <v>1.4999999999999999E-2</v>
          </cell>
          <cell r="E302">
            <v>6.5000000000000002E-2</v>
          </cell>
          <cell r="F302">
            <v>0.08</v>
          </cell>
        </row>
        <row r="303">
          <cell r="A303" t="str">
            <v>Springdale</v>
          </cell>
          <cell r="B303" t="str">
            <v>Stevens</v>
          </cell>
          <cell r="C303">
            <v>3306</v>
          </cell>
          <cell r="D303">
            <v>1.0999999999999999E-2</v>
          </cell>
          <cell r="E303">
            <v>6.5000000000000002E-2</v>
          </cell>
          <cell r="F303">
            <v>7.5999999999999998E-2</v>
          </cell>
        </row>
        <row r="304">
          <cell r="A304" t="str">
            <v>St. John</v>
          </cell>
          <cell r="B304" t="str">
            <v>Whitman</v>
          </cell>
          <cell r="C304">
            <v>3814</v>
          </cell>
          <cell r="D304">
            <v>1.2999999999999999E-2</v>
          </cell>
          <cell r="E304">
            <v>6.5000000000000002E-2</v>
          </cell>
          <cell r="F304">
            <v>7.8E-2</v>
          </cell>
        </row>
        <row r="305">
          <cell r="A305" t="str">
            <v xml:space="preserve">Stanwood </v>
          </cell>
          <cell r="B305" t="str">
            <v>Snohomish</v>
          </cell>
          <cell r="C305">
            <v>3116</v>
          </cell>
          <cell r="D305">
            <v>2.7E-2</v>
          </cell>
          <cell r="E305">
            <v>6.5000000000000002E-2</v>
          </cell>
          <cell r="F305">
            <v>9.1999999999999998E-2</v>
          </cell>
        </row>
        <row r="306">
          <cell r="A306" t="str">
            <v>Starbuck</v>
          </cell>
          <cell r="B306" t="str">
            <v>Columbia</v>
          </cell>
          <cell r="C306">
            <v>702</v>
          </cell>
          <cell r="D306">
            <v>1.7000000000000001E-2</v>
          </cell>
          <cell r="E306">
            <v>6.5000000000000002E-2</v>
          </cell>
          <cell r="F306">
            <v>8.2000000000000003E-2</v>
          </cell>
        </row>
        <row r="307">
          <cell r="A307" t="str">
            <v>Steilacoom</v>
          </cell>
          <cell r="B307" t="str">
            <v>Pierce</v>
          </cell>
          <cell r="C307">
            <v>2715</v>
          </cell>
          <cell r="D307">
            <v>3.4000000000000002E-2</v>
          </cell>
          <cell r="E307">
            <v>6.5000000000000002E-2</v>
          </cell>
          <cell r="F307">
            <v>9.9000000000000005E-2</v>
          </cell>
        </row>
        <row r="308">
          <cell r="A308" t="str">
            <v>Stevens County Unincorp. Areas</v>
          </cell>
          <cell r="B308" t="str">
            <v>Stevens</v>
          </cell>
          <cell r="C308">
            <v>3300</v>
          </cell>
          <cell r="D308">
            <v>1.0999999999999999E-2</v>
          </cell>
          <cell r="E308">
            <v>6.5000000000000002E-2</v>
          </cell>
          <cell r="F308">
            <v>7.5999999999999998E-2</v>
          </cell>
        </row>
        <row r="309">
          <cell r="A309" t="str">
            <v>Stevenson</v>
          </cell>
          <cell r="B309" t="str">
            <v>Skamania</v>
          </cell>
          <cell r="C309">
            <v>3002</v>
          </cell>
          <cell r="D309">
            <v>1.2E-2</v>
          </cell>
          <cell r="E309">
            <v>6.5000000000000002E-2</v>
          </cell>
          <cell r="F309">
            <v>7.6999999999999999E-2</v>
          </cell>
        </row>
        <row r="310">
          <cell r="A310" t="str">
            <v>Sultan</v>
          </cell>
          <cell r="B310" t="str">
            <v>Snohomish</v>
          </cell>
          <cell r="C310">
            <v>3117</v>
          </cell>
          <cell r="D310">
            <v>2.5000000000000001E-2</v>
          </cell>
          <cell r="E310">
            <v>6.5000000000000002E-2</v>
          </cell>
          <cell r="F310">
            <v>0.09</v>
          </cell>
        </row>
        <row r="311">
          <cell r="A311" t="str">
            <v>Sumas</v>
          </cell>
          <cell r="B311" t="str">
            <v>Whatcom</v>
          </cell>
          <cell r="C311">
            <v>3707</v>
          </cell>
          <cell r="D311">
            <v>0.02</v>
          </cell>
          <cell r="E311">
            <v>6.5000000000000002E-2</v>
          </cell>
          <cell r="F311">
            <v>8.5000000000000006E-2</v>
          </cell>
        </row>
        <row r="312">
          <cell r="A312" t="str">
            <v>Sumner</v>
          </cell>
          <cell r="B312" t="str">
            <v>Pierce</v>
          </cell>
          <cell r="C312">
            <v>2716</v>
          </cell>
          <cell r="D312">
            <v>2.8000000000000001E-2</v>
          </cell>
          <cell r="E312">
            <v>6.5000000000000002E-2</v>
          </cell>
          <cell r="F312">
            <v>9.2999999999999999E-2</v>
          </cell>
        </row>
        <row r="313">
          <cell r="A313" t="str">
            <v>Sunnyside</v>
          </cell>
          <cell r="B313" t="str">
            <v>Yakima</v>
          </cell>
          <cell r="C313">
            <v>3908</v>
          </cell>
          <cell r="D313">
            <v>1.7000000000000001E-2</v>
          </cell>
          <cell r="E313">
            <v>6.5000000000000002E-2</v>
          </cell>
          <cell r="F313">
            <v>8.2000000000000003E-2</v>
          </cell>
        </row>
        <row r="314">
          <cell r="A314" t="str">
            <v xml:space="preserve">Tacoma </v>
          </cell>
          <cell r="B314" t="str">
            <v>Pierce</v>
          </cell>
          <cell r="C314">
            <v>2717</v>
          </cell>
          <cell r="D314">
            <v>3.6999999999999998E-2</v>
          </cell>
          <cell r="E314">
            <v>6.5000000000000002E-2</v>
          </cell>
          <cell r="F314">
            <v>0.10200000000000001</v>
          </cell>
        </row>
        <row r="315">
          <cell r="A315" t="str">
            <v>Tekoa</v>
          </cell>
          <cell r="B315" t="str">
            <v>Whitman</v>
          </cell>
          <cell r="C315">
            <v>3815</v>
          </cell>
          <cell r="D315">
            <v>1.2999999999999999E-2</v>
          </cell>
          <cell r="E315">
            <v>6.5000000000000002E-2</v>
          </cell>
          <cell r="F315">
            <v>7.8E-2</v>
          </cell>
        </row>
        <row r="316">
          <cell r="A316" t="str">
            <v>Tenino</v>
          </cell>
          <cell r="B316" t="str">
            <v>Thurston</v>
          </cell>
          <cell r="C316">
            <v>3405</v>
          </cell>
          <cell r="D316">
            <v>1.4999999999999999E-2</v>
          </cell>
          <cell r="E316">
            <v>6.5000000000000002E-2</v>
          </cell>
          <cell r="F316">
            <v>0.08</v>
          </cell>
        </row>
        <row r="317">
          <cell r="A317" t="str">
            <v>Thurston County Unincorp. Areas</v>
          </cell>
          <cell r="B317" t="str">
            <v>Thurston</v>
          </cell>
          <cell r="C317">
            <v>3400</v>
          </cell>
          <cell r="D317">
            <v>1.4999999999999999E-2</v>
          </cell>
          <cell r="E317">
            <v>6.5000000000000002E-2</v>
          </cell>
          <cell r="F317">
            <v>0.08</v>
          </cell>
        </row>
        <row r="318">
          <cell r="A318" t="str">
            <v>Thurston County Unincorp. PTBA</v>
          </cell>
          <cell r="B318" t="str">
            <v>Thurston</v>
          </cell>
          <cell r="C318">
            <v>3434</v>
          </cell>
          <cell r="D318">
            <v>2.7E-2</v>
          </cell>
          <cell r="E318">
            <v>6.5000000000000002E-2</v>
          </cell>
          <cell r="F318">
            <v>9.1999999999999998E-2</v>
          </cell>
        </row>
        <row r="319">
          <cell r="A319" t="str">
            <v>Tieton</v>
          </cell>
          <cell r="B319" t="str">
            <v>Yakima</v>
          </cell>
          <cell r="C319">
            <v>3909</v>
          </cell>
          <cell r="D319">
            <v>1.4999999999999999E-2</v>
          </cell>
          <cell r="E319">
            <v>6.5000000000000002E-2</v>
          </cell>
          <cell r="F319">
            <v>0.08</v>
          </cell>
        </row>
        <row r="320">
          <cell r="A320" t="str">
            <v>Toledo</v>
          </cell>
          <cell r="B320" t="str">
            <v>Lewis</v>
          </cell>
          <cell r="C320">
            <v>2107</v>
          </cell>
          <cell r="D320">
            <v>1.2999999999999999E-2</v>
          </cell>
          <cell r="E320">
            <v>6.5000000000000002E-2</v>
          </cell>
          <cell r="F320">
            <v>7.8E-2</v>
          </cell>
        </row>
        <row r="321">
          <cell r="A321" t="str">
            <v>Tonasket</v>
          </cell>
          <cell r="B321" t="str">
            <v>Okanogan</v>
          </cell>
          <cell r="C321">
            <v>2411</v>
          </cell>
          <cell r="D321">
            <v>0.02</v>
          </cell>
          <cell r="E321">
            <v>6.5000000000000002E-2</v>
          </cell>
          <cell r="F321">
            <v>8.5000000000000006E-2</v>
          </cell>
        </row>
        <row r="322">
          <cell r="A322" t="str">
            <v>Toppenish</v>
          </cell>
          <cell r="B322" t="str">
            <v>Yakima</v>
          </cell>
          <cell r="C322">
            <v>3910</v>
          </cell>
          <cell r="D322">
            <v>1.4999999999999999E-2</v>
          </cell>
          <cell r="E322">
            <v>6.5000000000000002E-2</v>
          </cell>
          <cell r="F322">
            <v>0.08</v>
          </cell>
        </row>
        <row r="323">
          <cell r="A323" t="str">
            <v>Tukwila</v>
          </cell>
          <cell r="B323" t="str">
            <v>King</v>
          </cell>
          <cell r="C323">
            <v>1729</v>
          </cell>
          <cell r="D323">
            <v>3.5999999999999997E-2</v>
          </cell>
          <cell r="E323">
            <v>6.5000000000000002E-2</v>
          </cell>
          <cell r="F323">
            <v>0.10100000000000001</v>
          </cell>
        </row>
        <row r="324">
          <cell r="A324" t="str">
            <v>Tulalip Tribes - Marysville</v>
          </cell>
          <cell r="B324" t="str">
            <v>Snohomish</v>
          </cell>
          <cell r="C324">
            <v>3121</v>
          </cell>
          <cell r="D324">
            <v>2.8000000000000001E-2</v>
          </cell>
          <cell r="E324">
            <v>6.5000000000000002E-2</v>
          </cell>
          <cell r="F324">
            <v>9.2999999999999999E-2</v>
          </cell>
        </row>
        <row r="325">
          <cell r="A325" t="str">
            <v>Tulalip Tribes - Unincorp. PTBA Non-RTA</v>
          </cell>
          <cell r="B325" t="str">
            <v>Snohomish</v>
          </cell>
          <cell r="C325">
            <v>4233</v>
          </cell>
          <cell r="D325">
            <v>2.5000000000000001E-2</v>
          </cell>
          <cell r="E325">
            <v>6.5000000000000002E-2</v>
          </cell>
          <cell r="F325">
            <v>0.09</v>
          </cell>
        </row>
        <row r="326">
          <cell r="A326" t="str">
            <v>Tumwater</v>
          </cell>
          <cell r="B326" t="str">
            <v>Thurston</v>
          </cell>
          <cell r="C326">
            <v>3406</v>
          </cell>
          <cell r="D326">
            <v>2.9000000000000001E-2</v>
          </cell>
          <cell r="E326">
            <v>6.5000000000000002E-2</v>
          </cell>
          <cell r="F326">
            <v>9.4E-2</v>
          </cell>
        </row>
        <row r="327">
          <cell r="A327" t="str">
            <v xml:space="preserve">Twisp </v>
          </cell>
          <cell r="B327" t="str">
            <v>Okanogan</v>
          </cell>
          <cell r="C327">
            <v>2412</v>
          </cell>
          <cell r="D327">
            <v>2.1999999999999999E-2</v>
          </cell>
          <cell r="E327">
            <v>6.5000000000000002E-2</v>
          </cell>
          <cell r="F327">
            <v>8.6999999999999994E-2</v>
          </cell>
        </row>
        <row r="328">
          <cell r="A328" t="str">
            <v>Union Gap</v>
          </cell>
          <cell r="B328" t="str">
            <v>Yakima</v>
          </cell>
          <cell r="C328">
            <v>3911</v>
          </cell>
          <cell r="D328">
            <v>1.7000000000000001E-2</v>
          </cell>
          <cell r="E328">
            <v>6.5000000000000002E-2</v>
          </cell>
          <cell r="F328">
            <v>8.2000000000000003E-2</v>
          </cell>
        </row>
        <row r="329">
          <cell r="A329" t="str">
            <v>Uniontown</v>
          </cell>
          <cell r="B329" t="str">
            <v>Whitman</v>
          </cell>
          <cell r="C329">
            <v>3816</v>
          </cell>
          <cell r="D329">
            <v>1.2999999999999999E-2</v>
          </cell>
          <cell r="E329">
            <v>6.5000000000000002E-2</v>
          </cell>
          <cell r="F329">
            <v>7.8E-2</v>
          </cell>
        </row>
        <row r="330">
          <cell r="A330" t="str">
            <v>University Place</v>
          </cell>
          <cell r="B330" t="str">
            <v>Pierce</v>
          </cell>
          <cell r="C330">
            <v>2719</v>
          </cell>
          <cell r="D330">
            <v>3.4000000000000002E-2</v>
          </cell>
          <cell r="E330">
            <v>6.5000000000000002E-2</v>
          </cell>
          <cell r="F330">
            <v>9.9000000000000005E-2</v>
          </cell>
        </row>
        <row r="331">
          <cell r="A331" t="str">
            <v>Vader</v>
          </cell>
          <cell r="B331" t="str">
            <v>Lewis</v>
          </cell>
          <cell r="C331">
            <v>2108</v>
          </cell>
          <cell r="D331">
            <v>1.2999999999999999E-2</v>
          </cell>
          <cell r="E331">
            <v>6.5000000000000002E-2</v>
          </cell>
          <cell r="F331">
            <v>7.8E-2</v>
          </cell>
        </row>
        <row r="332">
          <cell r="A332" t="str">
            <v>Vancouver</v>
          </cell>
          <cell r="B332" t="str">
            <v>Clark</v>
          </cell>
          <cell r="C332">
            <v>605</v>
          </cell>
          <cell r="D332">
            <v>1.9E-2</v>
          </cell>
          <cell r="E332">
            <v>6.5000000000000002E-2</v>
          </cell>
          <cell r="F332">
            <v>8.4000000000000005E-2</v>
          </cell>
        </row>
        <row r="333">
          <cell r="A333" t="str">
            <v>Wahkiakum County Unincorp. Areas</v>
          </cell>
          <cell r="B333" t="str">
            <v>Wahkiakum</v>
          </cell>
          <cell r="C333">
            <v>3500</v>
          </cell>
          <cell r="D333">
            <v>1.0999999999999999E-2</v>
          </cell>
          <cell r="E333">
            <v>6.5000000000000002E-2</v>
          </cell>
          <cell r="F333">
            <v>7.5999999999999998E-2</v>
          </cell>
        </row>
        <row r="334">
          <cell r="A334" t="str">
            <v xml:space="preserve">Waitsburg </v>
          </cell>
          <cell r="B334" t="str">
            <v>Walla Walla</v>
          </cell>
          <cell r="C334">
            <v>3603</v>
          </cell>
          <cell r="D334">
            <v>1.7000000000000001E-2</v>
          </cell>
          <cell r="E334">
            <v>6.5000000000000002E-2</v>
          </cell>
          <cell r="F334">
            <v>8.2000000000000003E-2</v>
          </cell>
        </row>
        <row r="335">
          <cell r="A335" t="str">
            <v xml:space="preserve">Walla Walla (City) </v>
          </cell>
          <cell r="B335" t="str">
            <v>Walla Walla</v>
          </cell>
          <cell r="C335">
            <v>3604</v>
          </cell>
          <cell r="D335">
            <v>2.4E-2</v>
          </cell>
          <cell r="E335">
            <v>6.5000000000000002E-2</v>
          </cell>
          <cell r="F335">
            <v>8.8999999999999996E-2</v>
          </cell>
        </row>
        <row r="336">
          <cell r="A336" t="str">
            <v>Walla Walla County Unincorp. Areas</v>
          </cell>
          <cell r="B336" t="str">
            <v>Walla Walla</v>
          </cell>
          <cell r="C336">
            <v>3600</v>
          </cell>
          <cell r="D336">
            <v>1.6E-2</v>
          </cell>
          <cell r="E336">
            <v>6.5000000000000002E-2</v>
          </cell>
          <cell r="F336">
            <v>8.1000000000000003E-2</v>
          </cell>
        </row>
        <row r="337">
          <cell r="A337" t="str">
            <v>Walla Walla County Unincorp. PTBA</v>
          </cell>
          <cell r="B337" t="str">
            <v>Walla Walla</v>
          </cell>
          <cell r="C337">
            <v>3636</v>
          </cell>
          <cell r="D337">
            <v>2.1999999999999999E-2</v>
          </cell>
          <cell r="E337">
            <v>6.5000000000000002E-2</v>
          </cell>
          <cell r="F337">
            <v>8.6999999999999994E-2</v>
          </cell>
        </row>
        <row r="338">
          <cell r="A338" t="str">
            <v>Wapato</v>
          </cell>
          <cell r="B338" t="str">
            <v>Yakima</v>
          </cell>
          <cell r="C338">
            <v>3912</v>
          </cell>
          <cell r="D338">
            <v>1.4999999999999999E-2</v>
          </cell>
          <cell r="E338">
            <v>6.5000000000000002E-2</v>
          </cell>
          <cell r="F338">
            <v>0.08</v>
          </cell>
        </row>
        <row r="339">
          <cell r="A339" t="str">
            <v>Warden</v>
          </cell>
          <cell r="B339" t="str">
            <v>Grant</v>
          </cell>
          <cell r="C339">
            <v>1313</v>
          </cell>
          <cell r="D339">
            <v>1.7000000000000001E-2</v>
          </cell>
          <cell r="E339">
            <v>6.5000000000000002E-2</v>
          </cell>
          <cell r="F339">
            <v>8.2000000000000003E-2</v>
          </cell>
        </row>
        <row r="340">
          <cell r="A340" t="str">
            <v>Washougal</v>
          </cell>
          <cell r="B340" t="str">
            <v>Clark</v>
          </cell>
          <cell r="C340">
            <v>606</v>
          </cell>
          <cell r="D340">
            <v>1.9E-2</v>
          </cell>
          <cell r="E340">
            <v>6.5000000000000002E-2</v>
          </cell>
          <cell r="F340">
            <v>8.4000000000000005E-2</v>
          </cell>
        </row>
        <row r="341">
          <cell r="A341" t="str">
            <v>Washtucna</v>
          </cell>
          <cell r="B341" t="str">
            <v>Adams</v>
          </cell>
          <cell r="C341">
            <v>105</v>
          </cell>
          <cell r="D341">
            <v>1.4999999999999999E-2</v>
          </cell>
          <cell r="E341">
            <v>6.5000000000000002E-2</v>
          </cell>
          <cell r="F341">
            <v>0.08</v>
          </cell>
        </row>
        <row r="342">
          <cell r="A342" t="str">
            <v>Waterville</v>
          </cell>
          <cell r="B342" t="str">
            <v>Douglas</v>
          </cell>
          <cell r="C342">
            <v>905</v>
          </cell>
          <cell r="D342">
            <v>1.7999999999999999E-2</v>
          </cell>
          <cell r="E342">
            <v>6.5000000000000002E-2</v>
          </cell>
          <cell r="F342">
            <v>8.3000000000000004E-2</v>
          </cell>
        </row>
        <row r="343">
          <cell r="A343" t="str">
            <v>Waverly</v>
          </cell>
          <cell r="B343" t="str">
            <v>Spokane</v>
          </cell>
          <cell r="C343">
            <v>3211</v>
          </cell>
          <cell r="D343">
            <v>1.6E-2</v>
          </cell>
          <cell r="E343">
            <v>6.5000000000000002E-2</v>
          </cell>
          <cell r="F343">
            <v>8.1000000000000003E-2</v>
          </cell>
        </row>
        <row r="344">
          <cell r="A344" t="str">
            <v>Wenatchee</v>
          </cell>
          <cell r="B344" t="str">
            <v>Chelan</v>
          </cell>
          <cell r="C344">
            <v>405</v>
          </cell>
          <cell r="D344">
            <v>0.02</v>
          </cell>
          <cell r="E344">
            <v>6.5000000000000002E-2</v>
          </cell>
          <cell r="F344">
            <v>8.5000000000000006E-2</v>
          </cell>
        </row>
        <row r="345">
          <cell r="A345" t="str">
            <v>West Richland</v>
          </cell>
          <cell r="B345" t="str">
            <v>Benton</v>
          </cell>
          <cell r="C345">
            <v>305</v>
          </cell>
          <cell r="D345">
            <v>2.1000000000000001E-2</v>
          </cell>
          <cell r="E345">
            <v>6.5000000000000002E-2</v>
          </cell>
          <cell r="F345">
            <v>8.6000000000000007E-2</v>
          </cell>
        </row>
        <row r="346">
          <cell r="A346" t="str">
            <v>Westport</v>
          </cell>
          <cell r="B346" t="str">
            <v>Grays Harbor</v>
          </cell>
          <cell r="C346">
            <v>1408</v>
          </cell>
          <cell r="D346">
            <v>2.4E-2</v>
          </cell>
          <cell r="E346">
            <v>6.5000000000000002E-2</v>
          </cell>
          <cell r="F346">
            <v>8.8999999999999996E-2</v>
          </cell>
        </row>
        <row r="347">
          <cell r="A347" t="str">
            <v>Whatcom County Unincorp. Areas</v>
          </cell>
          <cell r="B347" t="str">
            <v>Whatcom</v>
          </cell>
          <cell r="C347">
            <v>3700</v>
          </cell>
          <cell r="D347">
            <v>1.4E-2</v>
          </cell>
          <cell r="E347">
            <v>6.5000000000000002E-2</v>
          </cell>
          <cell r="F347">
            <v>7.9000000000000001E-2</v>
          </cell>
        </row>
        <row r="348">
          <cell r="A348" t="str">
            <v>Whatcom County Unincorp. PTBA</v>
          </cell>
          <cell r="B348" t="str">
            <v>Whatcom</v>
          </cell>
          <cell r="C348">
            <v>3737</v>
          </cell>
          <cell r="D348">
            <v>0.02</v>
          </cell>
          <cell r="E348">
            <v>6.5000000000000002E-2</v>
          </cell>
          <cell r="F348">
            <v>8.5000000000000006E-2</v>
          </cell>
        </row>
        <row r="349">
          <cell r="A349" t="str">
            <v>White Salmon</v>
          </cell>
          <cell r="B349" t="str">
            <v>Klickitat</v>
          </cell>
          <cell r="C349">
            <v>2003</v>
          </cell>
          <cell r="D349">
            <v>0.01</v>
          </cell>
          <cell r="E349">
            <v>6.5000000000000002E-2</v>
          </cell>
          <cell r="F349">
            <v>7.4999999999999997E-2</v>
          </cell>
        </row>
        <row r="350">
          <cell r="A350" t="str">
            <v>Whitman County Unincorp. Areas</v>
          </cell>
          <cell r="B350" t="str">
            <v>Whitman</v>
          </cell>
          <cell r="C350">
            <v>3800</v>
          </cell>
          <cell r="D350">
            <v>1.2999999999999999E-2</v>
          </cell>
          <cell r="E350">
            <v>6.5000000000000002E-2</v>
          </cell>
          <cell r="F350">
            <v>7.8E-2</v>
          </cell>
        </row>
        <row r="351">
          <cell r="A351" t="str">
            <v>Wilbur</v>
          </cell>
          <cell r="B351" t="str">
            <v>Lincoln</v>
          </cell>
          <cell r="C351">
            <v>2208</v>
          </cell>
          <cell r="D351">
            <v>1.4999999999999999E-2</v>
          </cell>
          <cell r="E351">
            <v>6.5000000000000002E-2</v>
          </cell>
          <cell r="F351">
            <v>0.08</v>
          </cell>
        </row>
        <row r="352">
          <cell r="A352" t="str">
            <v>Wilkeson</v>
          </cell>
          <cell r="B352" t="str">
            <v>Pierce</v>
          </cell>
          <cell r="C352">
            <v>2718</v>
          </cell>
          <cell r="D352">
            <v>1.4E-2</v>
          </cell>
          <cell r="E352">
            <v>6.5000000000000002E-2</v>
          </cell>
          <cell r="F352">
            <v>7.9000000000000001E-2</v>
          </cell>
        </row>
        <row r="353">
          <cell r="A353" t="str">
            <v>Wilson Creek</v>
          </cell>
          <cell r="B353" t="str">
            <v>Grant</v>
          </cell>
          <cell r="C353">
            <v>1315</v>
          </cell>
          <cell r="D353">
            <v>1.7000000000000001E-2</v>
          </cell>
          <cell r="E353">
            <v>6.5000000000000002E-2</v>
          </cell>
          <cell r="F353">
            <v>8.2000000000000003E-2</v>
          </cell>
        </row>
        <row r="354">
          <cell r="A354" t="str">
            <v>Winlock</v>
          </cell>
          <cell r="B354" t="str">
            <v>Lewis</v>
          </cell>
          <cell r="C354">
            <v>2109</v>
          </cell>
          <cell r="D354">
            <v>1.2999999999999999E-2</v>
          </cell>
          <cell r="E354">
            <v>6.5000000000000002E-2</v>
          </cell>
          <cell r="F354">
            <v>7.8E-2</v>
          </cell>
        </row>
        <row r="355">
          <cell r="A355" t="str">
            <v>Winthrop</v>
          </cell>
          <cell r="B355" t="str">
            <v>Okanogan</v>
          </cell>
          <cell r="C355">
            <v>2413</v>
          </cell>
          <cell r="D355">
            <v>0.02</v>
          </cell>
          <cell r="E355">
            <v>6.5000000000000002E-2</v>
          </cell>
          <cell r="F355">
            <v>8.5000000000000006E-2</v>
          </cell>
        </row>
        <row r="356">
          <cell r="A356" t="str">
            <v>Woodinville</v>
          </cell>
          <cell r="B356" t="str">
            <v>King</v>
          </cell>
          <cell r="C356">
            <v>1735</v>
          </cell>
          <cell r="D356">
            <v>3.5999999999999997E-2</v>
          </cell>
          <cell r="E356">
            <v>6.5000000000000002E-2</v>
          </cell>
          <cell r="F356">
            <v>0.10100000000000001</v>
          </cell>
        </row>
        <row r="357">
          <cell r="A357" t="str">
            <v>Woodinville Non-RTA</v>
          </cell>
          <cell r="B357" t="str">
            <v>King</v>
          </cell>
          <cell r="C357">
            <v>4035</v>
          </cell>
          <cell r="D357">
            <v>2.1999999999999999E-2</v>
          </cell>
          <cell r="E357">
            <v>6.5000000000000002E-2</v>
          </cell>
          <cell r="F357">
            <v>8.6999999999999994E-2</v>
          </cell>
        </row>
        <row r="358">
          <cell r="A358" t="str">
            <v>Woodland</v>
          </cell>
          <cell r="B358" t="str">
            <v>Cowlitz</v>
          </cell>
          <cell r="C358">
            <v>805</v>
          </cell>
          <cell r="D358">
            <v>1.4E-2</v>
          </cell>
          <cell r="E358">
            <v>6.5000000000000002E-2</v>
          </cell>
          <cell r="F358">
            <v>7.9000000000000001E-2</v>
          </cell>
        </row>
        <row r="359">
          <cell r="A359" t="str">
            <v>Woodway</v>
          </cell>
          <cell r="B359" t="str">
            <v>Snohomish</v>
          </cell>
          <cell r="C359">
            <v>3118</v>
          </cell>
          <cell r="D359">
            <v>3.9E-2</v>
          </cell>
          <cell r="E359">
            <v>6.5000000000000002E-2</v>
          </cell>
          <cell r="F359">
            <v>0.10400000000000001</v>
          </cell>
        </row>
        <row r="360">
          <cell r="A360" t="str">
            <v>Yacolt</v>
          </cell>
          <cell r="B360" t="str">
            <v>Clark</v>
          </cell>
          <cell r="C360">
            <v>607</v>
          </cell>
          <cell r="D360">
            <v>1.9E-2</v>
          </cell>
          <cell r="E360">
            <v>6.5000000000000002E-2</v>
          </cell>
          <cell r="F360">
            <v>8.4000000000000005E-2</v>
          </cell>
        </row>
        <row r="361">
          <cell r="A361" t="str">
            <v>Yakima (City)</v>
          </cell>
          <cell r="B361" t="str">
            <v>Yakima</v>
          </cell>
          <cell r="C361">
            <v>3913</v>
          </cell>
          <cell r="D361">
            <v>1.7999999999999999E-2</v>
          </cell>
          <cell r="E361">
            <v>6.5000000000000002E-2</v>
          </cell>
          <cell r="F361">
            <v>8.3000000000000004E-2</v>
          </cell>
        </row>
        <row r="362">
          <cell r="A362" t="str">
            <v>Yakima County Unincorp. Areas</v>
          </cell>
          <cell r="B362" t="str">
            <v>Yakima</v>
          </cell>
          <cell r="C362">
            <v>3900</v>
          </cell>
          <cell r="D362">
            <v>1.4999999999999999E-2</v>
          </cell>
          <cell r="E362">
            <v>6.5000000000000002E-2</v>
          </cell>
          <cell r="F362">
            <v>0.08</v>
          </cell>
        </row>
        <row r="363">
          <cell r="A363" t="str">
            <v>Yarrow Point</v>
          </cell>
          <cell r="B363" t="str">
            <v>King</v>
          </cell>
          <cell r="C363">
            <v>1730</v>
          </cell>
          <cell r="D363">
            <v>3.5999999999999997E-2</v>
          </cell>
          <cell r="E363">
            <v>6.5000000000000002E-2</v>
          </cell>
          <cell r="F363">
            <v>0.10100000000000001</v>
          </cell>
        </row>
        <row r="364">
          <cell r="A364" t="str">
            <v>Yelm</v>
          </cell>
          <cell r="B364" t="str">
            <v>Thurston</v>
          </cell>
          <cell r="C364">
            <v>3407</v>
          </cell>
          <cell r="D364">
            <v>2.7E-2</v>
          </cell>
          <cell r="E364">
            <v>6.5000000000000002E-2</v>
          </cell>
          <cell r="F364">
            <v>9.1999999999999998E-2</v>
          </cell>
        </row>
        <row r="365">
          <cell r="A365" t="str">
            <v>Zillah</v>
          </cell>
          <cell r="B365" t="str">
            <v>Yakima</v>
          </cell>
          <cell r="C365">
            <v>3914</v>
          </cell>
          <cell r="D365">
            <v>1.4999999999999999E-2</v>
          </cell>
          <cell r="E365">
            <v>6.5000000000000002E-2</v>
          </cell>
          <cell r="F365">
            <v>0.08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il2018CityRates"/>
      <sheetName val="CA Sales Tax"/>
    </sheetNames>
    <sheetDataSet>
      <sheetData sheetId="0">
        <row r="8">
          <cell r="A8" t="str">
            <v>Acton</v>
          </cell>
        </row>
        <row r="9">
          <cell r="A9" t="str">
            <v>Adelaida</v>
          </cell>
          <cell r="B9" t="str">
            <v>Adelaida</v>
          </cell>
          <cell r="C9">
            <v>7.2499999999999995E-2</v>
          </cell>
        </row>
        <row r="10">
          <cell r="A10" t="str">
            <v>Adelanto</v>
          </cell>
          <cell r="B10" t="str">
            <v>Adelanto*</v>
          </cell>
          <cell r="C10">
            <v>7.7499999999999999E-2</v>
          </cell>
        </row>
        <row r="11">
          <cell r="A11" t="str">
            <v>Adin</v>
          </cell>
          <cell r="B11" t="str">
            <v>Adin</v>
          </cell>
          <cell r="C11">
            <v>7.2499999999999995E-2</v>
          </cell>
        </row>
        <row r="12">
          <cell r="A12" t="str">
            <v>Agoura</v>
          </cell>
          <cell r="B12" t="str">
            <v>Agoura</v>
          </cell>
          <cell r="C12">
            <v>9.5000000000000001E-2</v>
          </cell>
        </row>
        <row r="13">
          <cell r="A13" t="str">
            <v>Agoura Hills</v>
          </cell>
          <cell r="B13" t="str">
            <v>Agoura Hills*</v>
          </cell>
          <cell r="C13">
            <v>9.5000000000000001E-2</v>
          </cell>
        </row>
        <row r="14">
          <cell r="A14" t="str">
            <v>Agua Caliente</v>
          </cell>
          <cell r="B14" t="str">
            <v>Agua Caliente</v>
          </cell>
          <cell r="C14">
            <v>8.5000000000000006E-2</v>
          </cell>
        </row>
        <row r="15">
          <cell r="A15" t="str">
            <v>Agua Caliente Springs</v>
          </cell>
          <cell r="B15" t="str">
            <v>Agua Caliente Springs</v>
          </cell>
          <cell r="C15">
            <v>7.7499999999999999E-2</v>
          </cell>
        </row>
        <row r="16">
          <cell r="A16" t="str">
            <v>Agua Dulce</v>
          </cell>
          <cell r="B16" t="str">
            <v>Agua Dulce</v>
          </cell>
          <cell r="C16">
            <v>9.5000000000000001E-2</v>
          </cell>
        </row>
        <row r="17">
          <cell r="A17" t="str">
            <v>Aguanga</v>
          </cell>
          <cell r="B17" t="str">
            <v>Aguanga</v>
          </cell>
          <cell r="C17">
            <v>7.7499999999999999E-2</v>
          </cell>
        </row>
        <row r="18">
          <cell r="A18" t="str">
            <v>Ahwahnee</v>
          </cell>
          <cell r="B18" t="str">
            <v>Ahwahnee</v>
          </cell>
          <cell r="C18">
            <v>7.7499999999999999E-2</v>
          </cell>
        </row>
        <row r="19">
          <cell r="A19" t="str">
            <v>Al Tahoe</v>
          </cell>
          <cell r="B19" t="str">
            <v>Al Tahoe</v>
          </cell>
          <cell r="C19">
            <v>7.2499999999999995E-2</v>
          </cell>
        </row>
        <row r="20">
          <cell r="A20" t="str">
            <v>Alameda</v>
          </cell>
          <cell r="B20" t="str">
            <v>Alameda*</v>
          </cell>
          <cell r="C20">
            <v>0.1075</v>
          </cell>
        </row>
        <row r="21">
          <cell r="A21" t="str">
            <v>Alamo</v>
          </cell>
          <cell r="B21" t="str">
            <v>Alamo</v>
          </cell>
          <cell r="C21">
            <v>8.7499999999999994E-2</v>
          </cell>
        </row>
        <row r="22">
          <cell r="A22" t="str">
            <v>Albany</v>
          </cell>
          <cell r="B22" t="str">
            <v>Albany*</v>
          </cell>
          <cell r="C22">
            <v>0.1075</v>
          </cell>
        </row>
        <row r="23">
          <cell r="A23" t="str">
            <v>Alberhill</v>
          </cell>
          <cell r="B23" t="str">
            <v>Alberhill (Lake Elsinore*)</v>
          </cell>
          <cell r="C23">
            <v>7.7499999999999999E-2</v>
          </cell>
        </row>
        <row r="24">
          <cell r="A24" t="str">
            <v>Albion</v>
          </cell>
          <cell r="B24" t="str">
            <v>Albion</v>
          </cell>
          <cell r="C24">
            <v>7.8750000000000001E-2</v>
          </cell>
        </row>
        <row r="25">
          <cell r="A25" t="str">
            <v>Alderpoint</v>
          </cell>
          <cell r="B25" t="str">
            <v>Alderpoint</v>
          </cell>
          <cell r="C25">
            <v>7.7499999999999999E-2</v>
          </cell>
        </row>
        <row r="26">
          <cell r="A26" t="str">
            <v>Alhambra</v>
          </cell>
          <cell r="B26" t="str">
            <v>Alhambra*</v>
          </cell>
          <cell r="C26">
            <v>0.10249999999999999</v>
          </cell>
        </row>
        <row r="27">
          <cell r="A27" t="str">
            <v>Aliso Viejo</v>
          </cell>
          <cell r="B27" t="str">
            <v>Aliso Viejo*</v>
          </cell>
          <cell r="C27">
            <v>7.7499999999999999E-2</v>
          </cell>
        </row>
        <row r="28">
          <cell r="A28" t="str">
            <v>Alleghany</v>
          </cell>
          <cell r="B28" t="str">
            <v>Alleghany</v>
          </cell>
          <cell r="C28">
            <v>7.2499999999999995E-2</v>
          </cell>
        </row>
        <row r="29">
          <cell r="A29" t="str">
            <v>Almaden Valley</v>
          </cell>
          <cell r="B29" t="str">
            <v>Almaden Valley</v>
          </cell>
          <cell r="C29">
            <v>9.1249999999999998E-2</v>
          </cell>
        </row>
        <row r="30">
          <cell r="A30" t="str">
            <v>Almanor</v>
          </cell>
          <cell r="B30" t="str">
            <v>Almanor</v>
          </cell>
          <cell r="C30">
            <v>7.2499999999999995E-2</v>
          </cell>
        </row>
        <row r="31">
          <cell r="A31" t="str">
            <v>Almondale</v>
          </cell>
          <cell r="B31" t="str">
            <v>Almondale</v>
          </cell>
          <cell r="C31">
            <v>9.5000000000000001E-2</v>
          </cell>
        </row>
        <row r="32">
          <cell r="A32" t="str">
            <v>Alondra</v>
          </cell>
          <cell r="B32" t="str">
            <v>Alondra</v>
          </cell>
          <cell r="C32">
            <v>9.5000000000000001E-2</v>
          </cell>
        </row>
        <row r="33">
          <cell r="A33" t="str">
            <v>Alpaugh</v>
          </cell>
          <cell r="B33" t="str">
            <v>Alpaugh</v>
          </cell>
          <cell r="C33">
            <v>7.7499999999999999E-2</v>
          </cell>
        </row>
        <row r="34">
          <cell r="A34" t="str">
            <v>Alpine</v>
          </cell>
          <cell r="B34" t="str">
            <v>Alpine</v>
          </cell>
          <cell r="C34">
            <v>7.7499999999999999E-2</v>
          </cell>
        </row>
        <row r="35">
          <cell r="A35" t="str">
            <v>Alta</v>
          </cell>
          <cell r="B35" t="str">
            <v>Alta</v>
          </cell>
          <cell r="C35">
            <v>7.2499999999999995E-2</v>
          </cell>
        </row>
        <row r="36">
          <cell r="A36" t="str">
            <v>Alta Loma</v>
          </cell>
          <cell r="B36" t="str">
            <v>Alta Loma (Rancho Cucamonga*)</v>
          </cell>
          <cell r="C36">
            <v>7.7499999999999999E-2</v>
          </cell>
        </row>
        <row r="37">
          <cell r="A37" t="str">
            <v>Altadena</v>
          </cell>
          <cell r="B37" t="str">
            <v>Altadena</v>
          </cell>
          <cell r="C37">
            <v>9.5000000000000001E-2</v>
          </cell>
        </row>
        <row r="38">
          <cell r="A38" t="str">
            <v>Altaville</v>
          </cell>
          <cell r="B38" t="str">
            <v>Altaville</v>
          </cell>
          <cell r="C38">
            <v>7.2499999999999995E-2</v>
          </cell>
        </row>
        <row r="39">
          <cell r="A39" t="str">
            <v>Alton</v>
          </cell>
          <cell r="B39" t="str">
            <v>Alton</v>
          </cell>
          <cell r="C39">
            <v>7.7499999999999999E-2</v>
          </cell>
        </row>
        <row r="40">
          <cell r="A40" t="str">
            <v>Alturas</v>
          </cell>
          <cell r="B40" t="str">
            <v>Alturas*</v>
          </cell>
          <cell r="C40">
            <v>7.2499999999999995E-2</v>
          </cell>
        </row>
        <row r="41">
          <cell r="A41" t="str">
            <v>Alviso</v>
          </cell>
          <cell r="B41" t="str">
            <v>Alviso (San Jose*)</v>
          </cell>
          <cell r="C41">
            <v>9.375E-2</v>
          </cell>
        </row>
        <row r="42">
          <cell r="A42" t="str">
            <v>Amador City</v>
          </cell>
          <cell r="B42" t="str">
            <v>Amador City*</v>
          </cell>
          <cell r="C42">
            <v>7.7499999999999999E-2</v>
          </cell>
        </row>
        <row r="43">
          <cell r="A43" t="str">
            <v>Amargosa</v>
          </cell>
          <cell r="B43" t="str">
            <v>Amargosa (Death Valley)</v>
          </cell>
          <cell r="C43">
            <v>7.7499999999999999E-2</v>
          </cell>
        </row>
        <row r="44">
          <cell r="A44" t="str">
            <v>Amboy</v>
          </cell>
          <cell r="B44" t="str">
            <v>Amboy</v>
          </cell>
          <cell r="C44">
            <v>7.7499999999999999E-2</v>
          </cell>
        </row>
        <row r="45">
          <cell r="A45" t="str">
            <v>American Canyon</v>
          </cell>
          <cell r="B45" t="str">
            <v>American Canyon*</v>
          </cell>
          <cell r="C45">
            <v>7.7499999999999999E-2</v>
          </cell>
        </row>
        <row r="46">
          <cell r="A46" t="str">
            <v>Anaheim</v>
          </cell>
          <cell r="B46" t="str">
            <v>Anaheim*</v>
          </cell>
          <cell r="C46">
            <v>7.7499999999999999E-2</v>
          </cell>
        </row>
        <row r="47">
          <cell r="A47" t="str">
            <v>Anderson</v>
          </cell>
          <cell r="B47" t="str">
            <v>Anderson*</v>
          </cell>
          <cell r="C47">
            <v>7.7499999999999999E-2</v>
          </cell>
        </row>
        <row r="48">
          <cell r="A48" t="str">
            <v>Angels Camp</v>
          </cell>
          <cell r="B48" t="str">
            <v>Angels Camp*</v>
          </cell>
          <cell r="C48">
            <v>7.7499999999999999E-2</v>
          </cell>
        </row>
        <row r="49">
          <cell r="A49" t="str">
            <v>Angelus Oaks</v>
          </cell>
          <cell r="B49" t="str">
            <v>Angelus Oaks</v>
          </cell>
          <cell r="C49">
            <v>7.7499999999999999E-2</v>
          </cell>
        </row>
        <row r="50">
          <cell r="A50" t="str">
            <v>Angwin</v>
          </cell>
          <cell r="B50" t="str">
            <v>Angwin</v>
          </cell>
          <cell r="C50">
            <v>7.7499999999999999E-2</v>
          </cell>
        </row>
        <row r="51">
          <cell r="A51" t="str">
            <v>Annapolis</v>
          </cell>
          <cell r="B51" t="str">
            <v>Annapolis</v>
          </cell>
          <cell r="C51">
            <v>8.5000000000000006E-2</v>
          </cell>
        </row>
        <row r="52">
          <cell r="A52" t="str">
            <v>Antelope</v>
          </cell>
          <cell r="B52" t="str">
            <v>Antelope</v>
          </cell>
          <cell r="C52">
            <v>7.7499999999999999E-2</v>
          </cell>
        </row>
        <row r="53">
          <cell r="A53" t="str">
            <v>Antelope Acres</v>
          </cell>
          <cell r="B53" t="str">
            <v>Antelope Acres</v>
          </cell>
          <cell r="C53">
            <v>9.5000000000000001E-2</v>
          </cell>
        </row>
        <row r="54">
          <cell r="A54" t="str">
            <v>Antioch</v>
          </cell>
          <cell r="B54" t="str">
            <v>Antioch*</v>
          </cell>
          <cell r="C54">
            <v>9.7500000000000003E-2</v>
          </cell>
        </row>
        <row r="55">
          <cell r="A55" t="str">
            <v>Anza</v>
          </cell>
          <cell r="B55" t="str">
            <v>Anza</v>
          </cell>
          <cell r="C55">
            <v>7.7499999999999999E-2</v>
          </cell>
        </row>
        <row r="56">
          <cell r="A56" t="str">
            <v>Apple Valley</v>
          </cell>
          <cell r="B56" t="str">
            <v>Apple Valley*</v>
          </cell>
          <cell r="C56">
            <v>7.7499999999999999E-2</v>
          </cell>
        </row>
        <row r="57">
          <cell r="A57" t="str">
            <v>Applegate</v>
          </cell>
          <cell r="B57" t="str">
            <v>Applegate</v>
          </cell>
          <cell r="C57">
            <v>7.2499999999999995E-2</v>
          </cell>
        </row>
        <row r="58">
          <cell r="A58" t="str">
            <v>Aptos</v>
          </cell>
          <cell r="B58" t="str">
            <v>Aptos</v>
          </cell>
          <cell r="C58">
            <v>0.09</v>
          </cell>
        </row>
        <row r="59">
          <cell r="A59" t="str">
            <v>Arbuckle</v>
          </cell>
          <cell r="B59" t="str">
            <v>Arbuckle</v>
          </cell>
          <cell r="C59">
            <v>7.2499999999999995E-2</v>
          </cell>
        </row>
        <row r="60">
          <cell r="A60" t="str">
            <v>Arcadia</v>
          </cell>
          <cell r="B60" t="str">
            <v>Arcadia*</v>
          </cell>
          <cell r="C60">
            <v>0.10249999999999999</v>
          </cell>
        </row>
        <row r="61">
          <cell r="A61" t="str">
            <v>Arcata</v>
          </cell>
          <cell r="B61" t="str">
            <v>Arcata*</v>
          </cell>
          <cell r="C61">
            <v>8.5000000000000006E-2</v>
          </cell>
        </row>
        <row r="62">
          <cell r="A62" t="str">
            <v>Argus</v>
          </cell>
          <cell r="B62" t="str">
            <v>Argus</v>
          </cell>
          <cell r="C62">
            <v>7.7499999999999999E-2</v>
          </cell>
        </row>
        <row r="63">
          <cell r="A63" t="str">
            <v>Arleta</v>
          </cell>
          <cell r="B63" t="str">
            <v>Arleta (Los Angeles*)</v>
          </cell>
          <cell r="C63">
            <v>9.5000000000000001E-2</v>
          </cell>
        </row>
        <row r="64">
          <cell r="A64" t="str">
            <v>Arlington</v>
          </cell>
          <cell r="B64" t="str">
            <v>Arlington (Riverside*)</v>
          </cell>
          <cell r="C64">
            <v>8.7499999999999994E-2</v>
          </cell>
        </row>
        <row r="65">
          <cell r="A65" t="str">
            <v>Armona</v>
          </cell>
          <cell r="B65" t="str">
            <v>Armona</v>
          </cell>
          <cell r="C65">
            <v>7.2499999999999995E-2</v>
          </cell>
        </row>
        <row r="66">
          <cell r="A66" t="str">
            <v>Army Terminal</v>
          </cell>
          <cell r="B66" t="str">
            <v>Army Terminal</v>
          </cell>
          <cell r="C66">
            <v>0.10249999999999999</v>
          </cell>
        </row>
        <row r="67">
          <cell r="A67" t="str">
            <v>Arnold</v>
          </cell>
          <cell r="B67" t="str">
            <v>Arnold</v>
          </cell>
          <cell r="C67">
            <v>7.2499999999999995E-2</v>
          </cell>
        </row>
        <row r="68">
          <cell r="A68" t="str">
            <v>Aromas</v>
          </cell>
          <cell r="B68" t="str">
            <v>Aromas</v>
          </cell>
          <cell r="C68">
            <v>7.7499999999999999E-2</v>
          </cell>
        </row>
        <row r="69">
          <cell r="A69" t="str">
            <v>Aromas</v>
          </cell>
          <cell r="B69" t="str">
            <v>Aromas</v>
          </cell>
          <cell r="C69">
            <v>8.2500000000000004E-2</v>
          </cell>
        </row>
        <row r="70">
          <cell r="A70" t="str">
            <v>Arrowbear Lake</v>
          </cell>
          <cell r="B70" t="str">
            <v>Arrowbear Lake</v>
          </cell>
          <cell r="C70">
            <v>7.7499999999999999E-2</v>
          </cell>
        </row>
        <row r="71">
          <cell r="A71" t="str">
            <v>Arrowhead Highlands</v>
          </cell>
          <cell r="B71" t="str">
            <v>Arrowhead Highlands</v>
          </cell>
          <cell r="C71">
            <v>7.7499999999999999E-2</v>
          </cell>
        </row>
        <row r="72">
          <cell r="A72" t="str">
            <v>Arroyo Grande</v>
          </cell>
          <cell r="B72" t="str">
            <v>Arroyo Grande*</v>
          </cell>
          <cell r="C72">
            <v>7.7499999999999999E-2</v>
          </cell>
        </row>
        <row r="73">
          <cell r="A73" t="str">
            <v>Artesia</v>
          </cell>
          <cell r="B73" t="str">
            <v>Artesia*</v>
          </cell>
          <cell r="C73">
            <v>9.5000000000000001E-2</v>
          </cell>
        </row>
        <row r="74">
          <cell r="A74" t="str">
            <v>Artois</v>
          </cell>
          <cell r="B74" t="str">
            <v>Artois</v>
          </cell>
          <cell r="C74">
            <v>7.2499999999999995E-2</v>
          </cell>
        </row>
        <row r="75">
          <cell r="A75" t="str">
            <v>Arvin</v>
          </cell>
          <cell r="B75" t="str">
            <v>Arvin*</v>
          </cell>
          <cell r="C75">
            <v>8.2500000000000004E-2</v>
          </cell>
        </row>
        <row r="76">
          <cell r="A76" t="str">
            <v>Ashland</v>
          </cell>
          <cell r="B76" t="str">
            <v>Ashland</v>
          </cell>
          <cell r="C76">
            <v>0.10249999999999999</v>
          </cell>
        </row>
        <row r="77">
          <cell r="A77" t="str">
            <v>Asti</v>
          </cell>
          <cell r="B77" t="str">
            <v>Asti</v>
          </cell>
          <cell r="C77">
            <v>8.5000000000000006E-2</v>
          </cell>
        </row>
        <row r="78">
          <cell r="A78" t="str">
            <v>Atascadero</v>
          </cell>
          <cell r="B78" t="str">
            <v>Atascadero*</v>
          </cell>
          <cell r="C78">
            <v>8.7499999999999994E-2</v>
          </cell>
        </row>
        <row r="79">
          <cell r="A79" t="str">
            <v>Athens</v>
          </cell>
          <cell r="B79" t="str">
            <v>Athens</v>
          </cell>
          <cell r="C79">
            <v>9.5000000000000001E-2</v>
          </cell>
        </row>
        <row r="80">
          <cell r="A80" t="str">
            <v>Atherton</v>
          </cell>
          <cell r="B80" t="str">
            <v>Atherton*</v>
          </cell>
          <cell r="C80">
            <v>9.375E-2</v>
          </cell>
        </row>
        <row r="81">
          <cell r="A81" t="str">
            <v>Atwater</v>
          </cell>
          <cell r="B81" t="str">
            <v>Atwater*</v>
          </cell>
          <cell r="C81">
            <v>8.2500000000000004E-2</v>
          </cell>
        </row>
        <row r="82">
          <cell r="A82" t="str">
            <v>Atwood</v>
          </cell>
          <cell r="B82" t="str">
            <v>Atwood</v>
          </cell>
          <cell r="C82">
            <v>7.7499999999999999E-2</v>
          </cell>
        </row>
        <row r="83">
          <cell r="A83" t="str">
            <v>Auberry</v>
          </cell>
          <cell r="B83" t="str">
            <v>Auberry</v>
          </cell>
          <cell r="C83">
            <v>7.9750000000000001E-2</v>
          </cell>
        </row>
        <row r="84">
          <cell r="A84" t="str">
            <v>Auburn</v>
          </cell>
          <cell r="B84" t="str">
            <v>Auburn*</v>
          </cell>
          <cell r="C84">
            <v>7.2499999999999995E-2</v>
          </cell>
        </row>
        <row r="85">
          <cell r="A85" t="str">
            <v>Avalon</v>
          </cell>
          <cell r="B85" t="str">
            <v>Avalon*</v>
          </cell>
          <cell r="C85">
            <v>0.1</v>
          </cell>
        </row>
        <row r="86">
          <cell r="A86" t="str">
            <v>Avenal</v>
          </cell>
          <cell r="B86" t="str">
            <v>Avenal*</v>
          </cell>
          <cell r="C86">
            <v>7.2499999999999995E-2</v>
          </cell>
        </row>
        <row r="87">
          <cell r="A87" t="str">
            <v>Avery</v>
          </cell>
          <cell r="B87" t="str">
            <v>Avery</v>
          </cell>
          <cell r="C87">
            <v>7.2499999999999995E-2</v>
          </cell>
        </row>
        <row r="88">
          <cell r="A88" t="str">
            <v>Avila Beach</v>
          </cell>
          <cell r="B88" t="str">
            <v>Avila Beach</v>
          </cell>
          <cell r="C88">
            <v>7.2499999999999995E-2</v>
          </cell>
        </row>
        <row r="89">
          <cell r="A89" t="str">
            <v>Azusa</v>
          </cell>
          <cell r="B89" t="str">
            <v>Azusa*</v>
          </cell>
          <cell r="C89">
            <v>0.10249999999999999</v>
          </cell>
        </row>
        <row r="90">
          <cell r="A90" t="str">
            <v>Badger</v>
          </cell>
          <cell r="B90" t="str">
            <v>Badger</v>
          </cell>
          <cell r="C90">
            <v>7.7499999999999999E-2</v>
          </cell>
        </row>
        <row r="91">
          <cell r="A91" t="str">
            <v>Bailey</v>
          </cell>
          <cell r="B91" t="str">
            <v>Bailey</v>
          </cell>
          <cell r="C91">
            <v>9.5000000000000001E-2</v>
          </cell>
        </row>
        <row r="92">
          <cell r="A92" t="str">
            <v>Baker</v>
          </cell>
          <cell r="B92" t="str">
            <v>Baker</v>
          </cell>
          <cell r="C92">
            <v>7.7499999999999999E-2</v>
          </cell>
        </row>
        <row r="93">
          <cell r="A93" t="str">
            <v>Bakersfield</v>
          </cell>
          <cell r="B93" t="str">
            <v>Bakersfield*</v>
          </cell>
          <cell r="C93">
            <v>8.2500000000000004E-2</v>
          </cell>
        </row>
        <row r="94">
          <cell r="A94" t="str">
            <v>Balboa</v>
          </cell>
          <cell r="B94" t="str">
            <v>Balboa (Newport Beach*)</v>
          </cell>
          <cell r="C94">
            <v>7.7499999999999999E-2</v>
          </cell>
        </row>
        <row r="95">
          <cell r="A95" t="str">
            <v>Balboa Island</v>
          </cell>
          <cell r="B95" t="str">
            <v>Balboa Island (Newport Beach*)</v>
          </cell>
          <cell r="C95">
            <v>7.7499999999999999E-2</v>
          </cell>
        </row>
        <row r="96">
          <cell r="A96" t="str">
            <v>Balboa Park</v>
          </cell>
          <cell r="B96" t="str">
            <v>Balboa Park (San Diego*)</v>
          </cell>
          <cell r="C96">
            <v>7.7499999999999999E-2</v>
          </cell>
        </row>
        <row r="97">
          <cell r="A97" t="str">
            <v>Baldwin Park</v>
          </cell>
          <cell r="B97" t="str">
            <v>Baldwin Park*</v>
          </cell>
          <cell r="C97">
            <v>9.5000000000000001E-2</v>
          </cell>
        </row>
        <row r="98">
          <cell r="A98" t="str">
            <v>Ballard</v>
          </cell>
          <cell r="B98" t="str">
            <v>Ballard</v>
          </cell>
          <cell r="C98">
            <v>7.7499999999999999E-2</v>
          </cell>
        </row>
        <row r="99">
          <cell r="A99" t="str">
            <v>Ballico</v>
          </cell>
          <cell r="B99" t="str">
            <v>Ballico</v>
          </cell>
          <cell r="C99">
            <v>7.7499999999999999E-2</v>
          </cell>
        </row>
        <row r="100">
          <cell r="A100" t="str">
            <v>Ballroad</v>
          </cell>
          <cell r="B100" t="str">
            <v>Ballroad</v>
          </cell>
          <cell r="C100">
            <v>7.7499999999999999E-2</v>
          </cell>
        </row>
        <row r="101">
          <cell r="A101" t="str">
            <v>Bangor</v>
          </cell>
          <cell r="B101" t="str">
            <v>Bangor</v>
          </cell>
          <cell r="C101">
            <v>7.2499999999999995E-2</v>
          </cell>
        </row>
        <row r="102">
          <cell r="A102" t="str">
            <v>Banning</v>
          </cell>
          <cell r="B102" t="str">
            <v>Banning*</v>
          </cell>
          <cell r="C102">
            <v>7.7499999999999999E-2</v>
          </cell>
        </row>
        <row r="103">
          <cell r="A103" t="str">
            <v>Banta</v>
          </cell>
          <cell r="B103" t="str">
            <v>Banta</v>
          </cell>
          <cell r="C103">
            <v>7.7499999999999999E-2</v>
          </cell>
        </row>
        <row r="104">
          <cell r="A104" t="str">
            <v>Bard</v>
          </cell>
          <cell r="B104" t="str">
            <v>Bard</v>
          </cell>
          <cell r="C104">
            <v>7.7499999999999999E-2</v>
          </cell>
        </row>
        <row r="105">
          <cell r="A105" t="str">
            <v>Barrington</v>
          </cell>
          <cell r="B105" t="str">
            <v>Barrington</v>
          </cell>
          <cell r="C105">
            <v>9.5000000000000001E-2</v>
          </cell>
        </row>
        <row r="106">
          <cell r="A106" t="str">
            <v>Barstow</v>
          </cell>
          <cell r="B106" t="str">
            <v>Barstow*</v>
          </cell>
          <cell r="C106">
            <v>8.7499999999999994E-2</v>
          </cell>
        </row>
        <row r="107">
          <cell r="A107" t="str">
            <v>Bartlett</v>
          </cell>
          <cell r="B107" t="str">
            <v>Bartlett</v>
          </cell>
          <cell r="C107">
            <v>7.7499999999999999E-2</v>
          </cell>
        </row>
        <row r="108">
          <cell r="A108" t="str">
            <v>Barton</v>
          </cell>
          <cell r="B108" t="str">
            <v>Barton</v>
          </cell>
          <cell r="C108">
            <v>7.9750000000000001E-2</v>
          </cell>
        </row>
        <row r="109">
          <cell r="A109" t="str">
            <v>Base Line</v>
          </cell>
          <cell r="B109" t="str">
            <v>Base Line</v>
          </cell>
          <cell r="C109">
            <v>7.7499999999999999E-2</v>
          </cell>
        </row>
        <row r="110">
          <cell r="A110" t="str">
            <v>Bass Lake</v>
          </cell>
          <cell r="B110" t="str">
            <v>Bass Lake</v>
          </cell>
          <cell r="C110">
            <v>7.7499999999999999E-2</v>
          </cell>
        </row>
        <row r="111">
          <cell r="A111" t="str">
            <v>Bassett</v>
          </cell>
          <cell r="B111" t="str">
            <v>Bassett</v>
          </cell>
          <cell r="C111">
            <v>9.5000000000000001E-2</v>
          </cell>
        </row>
        <row r="112">
          <cell r="A112" t="str">
            <v>Baxter</v>
          </cell>
          <cell r="B112" t="str">
            <v>Baxter</v>
          </cell>
          <cell r="C112">
            <v>7.2499999999999995E-2</v>
          </cell>
        </row>
        <row r="113">
          <cell r="A113" t="str">
            <v>Bay Point</v>
          </cell>
          <cell r="B113" t="str">
            <v>Bay Point (formally West Pittsburg)</v>
          </cell>
          <cell r="C113">
            <v>8.7499999999999994E-2</v>
          </cell>
        </row>
        <row r="114">
          <cell r="A114" t="str">
            <v>Bayside</v>
          </cell>
          <cell r="B114" t="str">
            <v>Bayside</v>
          </cell>
          <cell r="C114">
            <v>7.7499999999999999E-2</v>
          </cell>
        </row>
        <row r="115">
          <cell r="A115" t="str">
            <v>Baywood Park</v>
          </cell>
          <cell r="B115" t="str">
            <v>Baywood Park</v>
          </cell>
          <cell r="C115">
            <v>7.2499999999999995E-2</v>
          </cell>
        </row>
        <row r="116">
          <cell r="A116" t="str">
            <v>Beale A.F.B.</v>
          </cell>
          <cell r="B116" t="str">
            <v>Beale A.F.B.</v>
          </cell>
          <cell r="C116">
            <v>8.2500000000000004E-2</v>
          </cell>
        </row>
        <row r="117">
          <cell r="A117" t="str">
            <v>Bear River Lake</v>
          </cell>
          <cell r="B117" t="str">
            <v>Bear River Lake</v>
          </cell>
          <cell r="C117">
            <v>7.7499999999999999E-2</v>
          </cell>
        </row>
        <row r="118">
          <cell r="A118" t="str">
            <v>Bear Valley</v>
          </cell>
          <cell r="B118" t="str">
            <v>Bear Valley</v>
          </cell>
          <cell r="C118">
            <v>7.2499999999999995E-2</v>
          </cell>
        </row>
        <row r="119">
          <cell r="A119" t="str">
            <v>Bear Valley</v>
          </cell>
          <cell r="B119" t="str">
            <v>Bear Valley</v>
          </cell>
          <cell r="C119">
            <v>8.7499999999999994E-2</v>
          </cell>
        </row>
        <row r="120">
          <cell r="A120" t="str">
            <v>Beaumont</v>
          </cell>
          <cell r="B120" t="str">
            <v>Beaumont*</v>
          </cell>
          <cell r="C120">
            <v>7.7499999999999999E-2</v>
          </cell>
        </row>
        <row r="121">
          <cell r="A121" t="str">
            <v>Beckwourth</v>
          </cell>
          <cell r="B121" t="str">
            <v>Beckwourth</v>
          </cell>
          <cell r="C121">
            <v>7.2499999999999995E-2</v>
          </cell>
        </row>
        <row r="122">
          <cell r="A122" t="str">
            <v>Bel Air Estates</v>
          </cell>
          <cell r="B122" t="str">
            <v>Bel Air Estates (Los Angeles*)</v>
          </cell>
          <cell r="C122">
            <v>9.5000000000000001E-2</v>
          </cell>
        </row>
        <row r="123">
          <cell r="A123" t="str">
            <v>Belden</v>
          </cell>
          <cell r="B123" t="str">
            <v>Belden</v>
          </cell>
          <cell r="C123">
            <v>7.2499999999999995E-2</v>
          </cell>
        </row>
        <row r="124">
          <cell r="A124" t="str">
            <v>Bell Gardens</v>
          </cell>
          <cell r="B124" t="str">
            <v>Bell Gardens*</v>
          </cell>
          <cell r="C124">
            <v>0.10249999999999999</v>
          </cell>
        </row>
        <row r="125">
          <cell r="A125" t="str">
            <v>Bell</v>
          </cell>
          <cell r="B125" t="str">
            <v>Bell*</v>
          </cell>
          <cell r="C125">
            <v>9.5000000000000001E-2</v>
          </cell>
        </row>
        <row r="126">
          <cell r="A126" t="str">
            <v>Bella Vista</v>
          </cell>
          <cell r="B126" t="str">
            <v>Bella Vista</v>
          </cell>
          <cell r="C126">
            <v>7.2499999999999995E-2</v>
          </cell>
        </row>
        <row r="127">
          <cell r="A127" t="str">
            <v>Bellflower</v>
          </cell>
          <cell r="B127" t="str">
            <v>Bellflower*</v>
          </cell>
          <cell r="C127">
            <v>0.10249999999999999</v>
          </cell>
        </row>
        <row r="128">
          <cell r="A128" t="str">
            <v>Belmont</v>
          </cell>
          <cell r="B128" t="str">
            <v>Belmont*</v>
          </cell>
          <cell r="C128">
            <v>9.8750000000000004E-2</v>
          </cell>
        </row>
        <row r="129">
          <cell r="A129" t="str">
            <v>Belvedere</v>
          </cell>
          <cell r="B129" t="str">
            <v>Belvedere*</v>
          </cell>
          <cell r="C129">
            <v>8.2500000000000004E-2</v>
          </cell>
        </row>
        <row r="130">
          <cell r="A130" t="str">
            <v>Ben Lomond</v>
          </cell>
          <cell r="B130" t="str">
            <v>Ben Lomond</v>
          </cell>
          <cell r="C130">
            <v>0.09</v>
          </cell>
        </row>
        <row r="131">
          <cell r="A131" t="str">
            <v>Benicia</v>
          </cell>
          <cell r="B131" t="str">
            <v>Benicia*</v>
          </cell>
          <cell r="C131">
            <v>8.3750000000000005E-2</v>
          </cell>
        </row>
        <row r="132">
          <cell r="A132" t="str">
            <v>Benton</v>
          </cell>
          <cell r="B132" t="str">
            <v>Benton</v>
          </cell>
          <cell r="C132">
            <v>7.2499999999999995E-2</v>
          </cell>
        </row>
        <row r="133">
          <cell r="A133" t="str">
            <v>Berkeley</v>
          </cell>
          <cell r="B133" t="str">
            <v>Berkeley*</v>
          </cell>
          <cell r="C133">
            <v>0.10249999999999999</v>
          </cell>
        </row>
        <row r="134">
          <cell r="A134" t="str">
            <v>Bermuda Dunes</v>
          </cell>
          <cell r="B134" t="str">
            <v>Bermuda Dunes</v>
          </cell>
          <cell r="C134">
            <v>7.7499999999999999E-2</v>
          </cell>
        </row>
        <row r="135">
          <cell r="A135" t="str">
            <v>Berry Creek</v>
          </cell>
          <cell r="B135" t="str">
            <v>Berry Creek</v>
          </cell>
          <cell r="C135">
            <v>7.2499999999999995E-2</v>
          </cell>
        </row>
        <row r="136">
          <cell r="A136" t="str">
            <v>Bethel Island</v>
          </cell>
          <cell r="B136" t="str">
            <v>Bethel Island</v>
          </cell>
          <cell r="C136">
            <v>8.7499999999999994E-2</v>
          </cell>
        </row>
        <row r="137">
          <cell r="A137" t="str">
            <v>Betteravia</v>
          </cell>
          <cell r="B137" t="str">
            <v>Betteravia</v>
          </cell>
          <cell r="C137">
            <v>7.7499999999999999E-2</v>
          </cell>
        </row>
        <row r="138">
          <cell r="A138" t="str">
            <v>Beverly Hills</v>
          </cell>
          <cell r="B138" t="str">
            <v>Beverly Hills*</v>
          </cell>
          <cell r="C138">
            <v>9.5000000000000001E-2</v>
          </cell>
        </row>
        <row r="139">
          <cell r="A139" t="str">
            <v>Bieber</v>
          </cell>
          <cell r="B139" t="str">
            <v>Bieber</v>
          </cell>
          <cell r="C139">
            <v>7.2499999999999995E-2</v>
          </cell>
        </row>
        <row r="140">
          <cell r="A140" t="str">
            <v>Big Bar</v>
          </cell>
          <cell r="B140" t="str">
            <v>Big Bar</v>
          </cell>
          <cell r="C140">
            <v>7.2499999999999995E-2</v>
          </cell>
        </row>
        <row r="141">
          <cell r="A141" t="str">
            <v>Big Basin</v>
          </cell>
          <cell r="B141" t="str">
            <v>Big Basin</v>
          </cell>
          <cell r="C141">
            <v>0.09</v>
          </cell>
        </row>
        <row r="142">
          <cell r="A142" t="str">
            <v>Big Bear City</v>
          </cell>
          <cell r="B142" t="str">
            <v>Big Bear City</v>
          </cell>
          <cell r="C142">
            <v>7.7499999999999999E-2</v>
          </cell>
        </row>
        <row r="143">
          <cell r="A143" t="str">
            <v>Big Bear Lake</v>
          </cell>
          <cell r="B143" t="str">
            <v>Big Bear Lake*</v>
          </cell>
          <cell r="C143">
            <v>7.7499999999999999E-2</v>
          </cell>
        </row>
        <row r="144">
          <cell r="A144" t="str">
            <v>Big Bend</v>
          </cell>
          <cell r="B144" t="str">
            <v>Big Bend</v>
          </cell>
          <cell r="C144">
            <v>7.2499999999999995E-2</v>
          </cell>
        </row>
        <row r="145">
          <cell r="A145" t="str">
            <v>Big Creek</v>
          </cell>
          <cell r="B145" t="str">
            <v>Big Creek</v>
          </cell>
          <cell r="C145">
            <v>7.9750000000000001E-2</v>
          </cell>
        </row>
        <row r="146">
          <cell r="A146" t="str">
            <v>Big Oak Flat</v>
          </cell>
          <cell r="B146" t="str">
            <v>Big Oak Flat</v>
          </cell>
          <cell r="C146">
            <v>7.2499999999999995E-2</v>
          </cell>
        </row>
        <row r="147">
          <cell r="A147" t="str">
            <v>Big Pine</v>
          </cell>
          <cell r="B147" t="str">
            <v>Big Pine</v>
          </cell>
          <cell r="C147">
            <v>7.7499999999999999E-2</v>
          </cell>
        </row>
        <row r="148">
          <cell r="A148" t="str">
            <v>Big River</v>
          </cell>
          <cell r="B148" t="str">
            <v>Big River</v>
          </cell>
          <cell r="C148">
            <v>7.7499999999999999E-2</v>
          </cell>
        </row>
        <row r="149">
          <cell r="A149" t="str">
            <v>Big Sur</v>
          </cell>
          <cell r="B149" t="str">
            <v>Big Sur</v>
          </cell>
          <cell r="C149">
            <v>7.7499999999999999E-2</v>
          </cell>
        </row>
        <row r="150">
          <cell r="A150" t="str">
            <v>Biggs</v>
          </cell>
          <cell r="B150" t="str">
            <v>Biggs*</v>
          </cell>
          <cell r="C150">
            <v>7.2499999999999995E-2</v>
          </cell>
        </row>
        <row r="151">
          <cell r="A151" t="str">
            <v>Bijou</v>
          </cell>
          <cell r="B151" t="str">
            <v>Bijou</v>
          </cell>
          <cell r="C151">
            <v>7.2499999999999995E-2</v>
          </cell>
        </row>
        <row r="152">
          <cell r="A152" t="str">
            <v>Biola</v>
          </cell>
          <cell r="B152" t="str">
            <v>Biola</v>
          </cell>
          <cell r="C152">
            <v>7.9750000000000001E-2</v>
          </cell>
        </row>
        <row r="153">
          <cell r="A153" t="str">
            <v>Biola College</v>
          </cell>
          <cell r="B153" t="str">
            <v>Biola College (La Mirada*)</v>
          </cell>
          <cell r="C153">
            <v>9.5000000000000001E-2</v>
          </cell>
        </row>
        <row r="154">
          <cell r="A154" t="str">
            <v>Birds Landing</v>
          </cell>
          <cell r="B154" t="str">
            <v>Birds Landing</v>
          </cell>
          <cell r="C154">
            <v>7.3749999999999996E-2</v>
          </cell>
        </row>
        <row r="155">
          <cell r="A155" t="str">
            <v>Bishop</v>
          </cell>
          <cell r="B155" t="str">
            <v>Bishop*</v>
          </cell>
          <cell r="C155">
            <v>8.7499999999999994E-2</v>
          </cell>
        </row>
        <row r="156">
          <cell r="A156" t="str">
            <v>Black Hawk</v>
          </cell>
          <cell r="B156" t="str">
            <v>Black Hawk</v>
          </cell>
          <cell r="C156">
            <v>8.7499999999999994E-2</v>
          </cell>
        </row>
        <row r="157">
          <cell r="A157" t="str">
            <v>Blairsden</v>
          </cell>
          <cell r="B157" t="str">
            <v>Blairsden</v>
          </cell>
          <cell r="C157">
            <v>7.2499999999999995E-2</v>
          </cell>
        </row>
        <row r="158">
          <cell r="A158" t="str">
            <v>Blocksburg</v>
          </cell>
          <cell r="B158" t="str">
            <v>Blocksburg</v>
          </cell>
          <cell r="C158">
            <v>7.7499999999999999E-2</v>
          </cell>
        </row>
        <row r="159">
          <cell r="A159" t="str">
            <v>Bloomington</v>
          </cell>
          <cell r="B159" t="str">
            <v>Bloomington</v>
          </cell>
          <cell r="C159">
            <v>7.7499999999999999E-2</v>
          </cell>
        </row>
        <row r="160">
          <cell r="A160" t="str">
            <v>Blossom Hill</v>
          </cell>
          <cell r="B160" t="str">
            <v>Blossom Hill</v>
          </cell>
          <cell r="C160">
            <v>9.1249999999999998E-2</v>
          </cell>
        </row>
        <row r="161">
          <cell r="A161" t="str">
            <v>Blossom Valley</v>
          </cell>
          <cell r="B161" t="str">
            <v>Blossom Valley</v>
          </cell>
          <cell r="C161">
            <v>9.1249999999999998E-2</v>
          </cell>
        </row>
        <row r="162">
          <cell r="A162" t="str">
            <v>Blue Jay</v>
          </cell>
          <cell r="B162" t="str">
            <v>Blue Jay</v>
          </cell>
          <cell r="C162">
            <v>7.7499999999999999E-2</v>
          </cell>
        </row>
        <row r="163">
          <cell r="A163" t="str">
            <v>Blue Lake</v>
          </cell>
          <cell r="B163" t="str">
            <v>Blue Lake*</v>
          </cell>
          <cell r="C163">
            <v>7.7499999999999999E-2</v>
          </cell>
        </row>
        <row r="164">
          <cell r="A164" t="str">
            <v>Blythe</v>
          </cell>
          <cell r="B164" t="str">
            <v>Blythe*</v>
          </cell>
          <cell r="C164">
            <v>8.7499999999999994E-2</v>
          </cell>
        </row>
        <row r="165">
          <cell r="A165" t="str">
            <v>Bodega</v>
          </cell>
          <cell r="B165" t="str">
            <v>Bodega</v>
          </cell>
          <cell r="C165">
            <v>8.5000000000000006E-2</v>
          </cell>
        </row>
        <row r="166">
          <cell r="A166" t="str">
            <v>Bodega Bay</v>
          </cell>
          <cell r="B166" t="str">
            <v>Bodega Bay</v>
          </cell>
          <cell r="C166">
            <v>8.5000000000000006E-2</v>
          </cell>
        </row>
        <row r="167">
          <cell r="A167" t="str">
            <v>Bodfish</v>
          </cell>
          <cell r="B167" t="str">
            <v>Bodfish</v>
          </cell>
          <cell r="C167">
            <v>7.2499999999999995E-2</v>
          </cell>
        </row>
        <row r="168">
          <cell r="A168" t="str">
            <v>Bolinas</v>
          </cell>
          <cell r="B168" t="str">
            <v>Bolinas</v>
          </cell>
          <cell r="C168">
            <v>8.2500000000000004E-2</v>
          </cell>
        </row>
        <row r="169">
          <cell r="A169" t="str">
            <v>Bolsa</v>
          </cell>
          <cell r="B169" t="str">
            <v>Bolsa</v>
          </cell>
          <cell r="C169">
            <v>7.7499999999999999E-2</v>
          </cell>
        </row>
        <row r="170">
          <cell r="A170" t="str">
            <v>Bombay Beach</v>
          </cell>
          <cell r="B170" t="str">
            <v>Bombay Beach</v>
          </cell>
          <cell r="C170">
            <v>7.7499999999999999E-2</v>
          </cell>
        </row>
        <row r="171">
          <cell r="A171" t="str">
            <v>Bonita</v>
          </cell>
          <cell r="B171" t="str">
            <v>Bonita</v>
          </cell>
          <cell r="C171">
            <v>7.7499999999999999E-2</v>
          </cell>
        </row>
        <row r="172">
          <cell r="A172" t="str">
            <v>Bonny Doon</v>
          </cell>
          <cell r="B172" t="str">
            <v>Bonny Doon</v>
          </cell>
          <cell r="C172">
            <v>0.09</v>
          </cell>
        </row>
        <row r="173">
          <cell r="A173" t="str">
            <v>Bonsall</v>
          </cell>
          <cell r="B173" t="str">
            <v>Bonsall</v>
          </cell>
          <cell r="C173">
            <v>7.7499999999999999E-2</v>
          </cell>
        </row>
        <row r="174">
          <cell r="A174" t="str">
            <v>Boonville</v>
          </cell>
          <cell r="B174" t="str">
            <v>Boonville</v>
          </cell>
          <cell r="C174">
            <v>7.8750000000000001E-2</v>
          </cell>
        </row>
        <row r="175">
          <cell r="A175" t="str">
            <v>Boron</v>
          </cell>
          <cell r="B175" t="str">
            <v>Boron</v>
          </cell>
          <cell r="C175">
            <v>7.2499999999999995E-2</v>
          </cell>
        </row>
        <row r="176">
          <cell r="A176" t="str">
            <v>Borrego Springs</v>
          </cell>
          <cell r="B176" t="str">
            <v>Borrego Springs</v>
          </cell>
          <cell r="C176">
            <v>7.7499999999999999E-2</v>
          </cell>
        </row>
        <row r="177">
          <cell r="A177" t="str">
            <v>Bostonia</v>
          </cell>
          <cell r="B177" t="str">
            <v>Bostonia</v>
          </cell>
          <cell r="C177">
            <v>7.7499999999999999E-2</v>
          </cell>
        </row>
        <row r="178">
          <cell r="A178" t="str">
            <v>Boulder Creek</v>
          </cell>
          <cell r="B178" t="str">
            <v>Boulder Creek</v>
          </cell>
          <cell r="C178">
            <v>0.09</v>
          </cell>
        </row>
        <row r="179">
          <cell r="A179" t="str">
            <v>Boulevard</v>
          </cell>
          <cell r="B179" t="str">
            <v>Boulevard</v>
          </cell>
          <cell r="C179">
            <v>7.7499999999999999E-2</v>
          </cell>
        </row>
        <row r="180">
          <cell r="A180" t="str">
            <v>Bouquet Canyon</v>
          </cell>
          <cell r="B180" t="str">
            <v>Bouquet Canyon (Santa Clarita*)</v>
          </cell>
          <cell r="C180">
            <v>9.5000000000000001E-2</v>
          </cell>
        </row>
        <row r="181">
          <cell r="A181" t="str">
            <v>Bowman</v>
          </cell>
          <cell r="B181" t="str">
            <v>Bowman</v>
          </cell>
          <cell r="C181">
            <v>7.2499999999999995E-2</v>
          </cell>
        </row>
        <row r="182">
          <cell r="A182" t="str">
            <v>Boyes Hot Springs</v>
          </cell>
          <cell r="B182" t="str">
            <v>Boyes Hot Springs</v>
          </cell>
          <cell r="C182">
            <v>8.5000000000000006E-2</v>
          </cell>
        </row>
        <row r="183">
          <cell r="A183" t="str">
            <v>Bradbury</v>
          </cell>
          <cell r="B183" t="str">
            <v>Bradbury*</v>
          </cell>
          <cell r="C183">
            <v>9.5000000000000001E-2</v>
          </cell>
        </row>
        <row r="184">
          <cell r="A184" t="str">
            <v>Bradford</v>
          </cell>
          <cell r="B184" t="str">
            <v>Bradford</v>
          </cell>
          <cell r="C184">
            <v>0.10249999999999999</v>
          </cell>
        </row>
        <row r="185">
          <cell r="A185" t="str">
            <v>Bradley</v>
          </cell>
          <cell r="B185" t="str">
            <v>Bradley</v>
          </cell>
          <cell r="C185">
            <v>7.7499999999999999E-2</v>
          </cell>
        </row>
        <row r="186">
          <cell r="A186" t="str">
            <v>Branscomb</v>
          </cell>
          <cell r="B186" t="str">
            <v>Branscomb</v>
          </cell>
          <cell r="C186">
            <v>7.8750000000000001E-2</v>
          </cell>
        </row>
        <row r="187">
          <cell r="A187" t="str">
            <v>Brawley</v>
          </cell>
          <cell r="B187" t="str">
            <v>Brawley*</v>
          </cell>
          <cell r="C187">
            <v>7.7499999999999999E-2</v>
          </cell>
        </row>
        <row r="188">
          <cell r="A188" t="str">
            <v>Brea</v>
          </cell>
          <cell r="B188" t="str">
            <v>Brea*</v>
          </cell>
          <cell r="C188">
            <v>7.7499999999999999E-2</v>
          </cell>
        </row>
        <row r="189">
          <cell r="A189" t="str">
            <v>Brents Junction</v>
          </cell>
          <cell r="B189" t="str">
            <v>Brents Junction</v>
          </cell>
          <cell r="C189">
            <v>9.5000000000000001E-2</v>
          </cell>
        </row>
        <row r="190">
          <cell r="A190" t="str">
            <v>Brentwood</v>
          </cell>
          <cell r="B190" t="str">
            <v>Brentwood (Los Angeles*)</v>
          </cell>
          <cell r="C190">
            <v>9.5000000000000001E-2</v>
          </cell>
        </row>
        <row r="191">
          <cell r="A191" t="str">
            <v>Brentwood</v>
          </cell>
          <cell r="B191" t="str">
            <v>Brentwood*</v>
          </cell>
          <cell r="C191">
            <v>8.7499999999999994E-2</v>
          </cell>
        </row>
        <row r="192">
          <cell r="A192" t="str">
            <v>Briceland</v>
          </cell>
          <cell r="B192" t="str">
            <v>Briceland</v>
          </cell>
          <cell r="C192">
            <v>7.7499999999999999E-2</v>
          </cell>
        </row>
        <row r="193">
          <cell r="A193" t="str">
            <v>Bridgeport</v>
          </cell>
          <cell r="B193" t="str">
            <v>Bridgeport</v>
          </cell>
          <cell r="C193">
            <v>8.7499999999999994E-2</v>
          </cell>
        </row>
        <row r="194">
          <cell r="A194" t="str">
            <v>Bridgeport</v>
          </cell>
          <cell r="B194" t="str">
            <v>Bridgeport</v>
          </cell>
          <cell r="C194">
            <v>7.2499999999999995E-2</v>
          </cell>
        </row>
        <row r="195">
          <cell r="A195" t="str">
            <v>Bridgeville</v>
          </cell>
          <cell r="B195" t="str">
            <v>Bridgeville</v>
          </cell>
          <cell r="C195">
            <v>7.7499999999999999E-2</v>
          </cell>
        </row>
        <row r="196">
          <cell r="A196" t="str">
            <v>Brisbane</v>
          </cell>
          <cell r="B196" t="str">
            <v>Brisbane*</v>
          </cell>
          <cell r="C196">
            <v>9.375E-2</v>
          </cell>
        </row>
        <row r="197">
          <cell r="A197" t="str">
            <v>Broderick</v>
          </cell>
          <cell r="B197" t="str">
            <v>Broderick (West Sacramento*)</v>
          </cell>
          <cell r="C197">
            <v>8.2500000000000004E-2</v>
          </cell>
        </row>
        <row r="198">
          <cell r="A198" t="str">
            <v>Brookdale</v>
          </cell>
          <cell r="B198" t="str">
            <v>Brookdale</v>
          </cell>
          <cell r="C198">
            <v>0.09</v>
          </cell>
        </row>
        <row r="199">
          <cell r="A199" t="str">
            <v>Brookhurst Center</v>
          </cell>
          <cell r="B199" t="str">
            <v>Brookhurst Center</v>
          </cell>
          <cell r="C199">
            <v>7.7499999999999999E-2</v>
          </cell>
        </row>
        <row r="200">
          <cell r="A200" t="str">
            <v>Brooks</v>
          </cell>
          <cell r="B200" t="str">
            <v>Brooks</v>
          </cell>
          <cell r="C200">
            <v>7.2499999999999995E-2</v>
          </cell>
        </row>
        <row r="201">
          <cell r="A201" t="str">
            <v>Browns Valley</v>
          </cell>
          <cell r="B201" t="str">
            <v>Browns Valley</v>
          </cell>
          <cell r="C201">
            <v>8.2500000000000004E-2</v>
          </cell>
        </row>
        <row r="202">
          <cell r="A202" t="str">
            <v>Brownsville</v>
          </cell>
          <cell r="B202" t="str">
            <v>Brownsville</v>
          </cell>
          <cell r="C202">
            <v>8.2500000000000004E-2</v>
          </cell>
        </row>
        <row r="203">
          <cell r="A203" t="str">
            <v>Bryn Mawr</v>
          </cell>
          <cell r="B203" t="str">
            <v>Bryn Mawr</v>
          </cell>
          <cell r="C203">
            <v>7.7499999999999999E-2</v>
          </cell>
        </row>
        <row r="204">
          <cell r="A204" t="str">
            <v>Bryte</v>
          </cell>
          <cell r="B204" t="str">
            <v>Bryte (West Sacramento*)</v>
          </cell>
          <cell r="C204">
            <v>8.2500000000000004E-2</v>
          </cell>
        </row>
        <row r="205">
          <cell r="A205" t="str">
            <v>Buellton</v>
          </cell>
          <cell r="B205" t="str">
            <v>Buellton*</v>
          </cell>
          <cell r="C205">
            <v>7.7499999999999999E-2</v>
          </cell>
        </row>
        <row r="206">
          <cell r="A206" t="str">
            <v>Buena Park</v>
          </cell>
          <cell r="B206" t="str">
            <v>Buena Park*</v>
          </cell>
          <cell r="C206">
            <v>7.7499999999999999E-2</v>
          </cell>
        </row>
        <row r="207">
          <cell r="A207" t="str">
            <v>Burbank</v>
          </cell>
          <cell r="B207" t="str">
            <v>Burbank*</v>
          </cell>
          <cell r="C207">
            <v>0.10249999999999999</v>
          </cell>
        </row>
        <row r="208">
          <cell r="A208" t="str">
            <v>Burlingame</v>
          </cell>
          <cell r="B208" t="str">
            <v>Burlingame*</v>
          </cell>
          <cell r="C208">
            <v>9.6250000000000002E-2</v>
          </cell>
        </row>
        <row r="209">
          <cell r="A209" t="str">
            <v>Burney</v>
          </cell>
          <cell r="B209" t="str">
            <v>Burney</v>
          </cell>
          <cell r="C209">
            <v>7.2499999999999995E-2</v>
          </cell>
        </row>
        <row r="210">
          <cell r="A210" t="str">
            <v>Burnt Ranch</v>
          </cell>
          <cell r="B210" t="str">
            <v>Burnt Ranch</v>
          </cell>
          <cell r="C210">
            <v>7.2499999999999995E-2</v>
          </cell>
        </row>
        <row r="211">
          <cell r="A211" t="str">
            <v>Burrel</v>
          </cell>
          <cell r="B211" t="str">
            <v>Burrel</v>
          </cell>
          <cell r="C211">
            <v>7.9750000000000001E-2</v>
          </cell>
        </row>
        <row r="212">
          <cell r="A212" t="str">
            <v>Burson</v>
          </cell>
          <cell r="B212" t="str">
            <v>Burson</v>
          </cell>
          <cell r="C212">
            <v>7.2499999999999995E-2</v>
          </cell>
        </row>
        <row r="213">
          <cell r="A213" t="str">
            <v>Butte City</v>
          </cell>
          <cell r="B213" t="str">
            <v>Butte City</v>
          </cell>
          <cell r="C213">
            <v>7.2499999999999995E-2</v>
          </cell>
        </row>
        <row r="214">
          <cell r="A214" t="str">
            <v>Butte Meadows</v>
          </cell>
          <cell r="B214" t="str">
            <v>Butte Meadows</v>
          </cell>
          <cell r="C214">
            <v>7.2499999999999995E-2</v>
          </cell>
        </row>
        <row r="215">
          <cell r="A215" t="str">
            <v>Buttonwillow</v>
          </cell>
          <cell r="B215" t="str">
            <v>Buttonwillow</v>
          </cell>
          <cell r="C215">
            <v>7.2499999999999995E-2</v>
          </cell>
        </row>
        <row r="216">
          <cell r="A216" t="str">
            <v>Byron</v>
          </cell>
          <cell r="B216" t="str">
            <v>Byron</v>
          </cell>
          <cell r="C216">
            <v>8.7499999999999994E-2</v>
          </cell>
        </row>
        <row r="217">
          <cell r="A217" t="str">
            <v>Cabazon</v>
          </cell>
          <cell r="B217" t="str">
            <v>Cabazon</v>
          </cell>
          <cell r="C217">
            <v>7.7499999999999999E-2</v>
          </cell>
        </row>
        <row r="218">
          <cell r="A218" t="str">
            <v>Cabrillo</v>
          </cell>
          <cell r="B218" t="str">
            <v>Cabrillo</v>
          </cell>
          <cell r="C218">
            <v>9.5000000000000001E-2</v>
          </cell>
        </row>
        <row r="219">
          <cell r="A219" t="str">
            <v>Cadiz</v>
          </cell>
          <cell r="B219" t="str">
            <v>Cadiz</v>
          </cell>
          <cell r="C219">
            <v>7.7499999999999999E-2</v>
          </cell>
        </row>
        <row r="220">
          <cell r="A220" t="str">
            <v>Calabasas Highlands</v>
          </cell>
          <cell r="B220" t="str">
            <v>Calabasas Highlands</v>
          </cell>
          <cell r="C220">
            <v>9.5000000000000001E-2</v>
          </cell>
        </row>
        <row r="221">
          <cell r="A221" t="str">
            <v>Calabasas Park</v>
          </cell>
          <cell r="B221" t="str">
            <v>Calabasas Park</v>
          </cell>
          <cell r="C221">
            <v>9.5000000000000001E-2</v>
          </cell>
        </row>
        <row r="222">
          <cell r="A222" t="str">
            <v>Calabasas</v>
          </cell>
          <cell r="B222" t="str">
            <v>Calabasas*</v>
          </cell>
          <cell r="C222">
            <v>9.5000000000000001E-2</v>
          </cell>
        </row>
        <row r="223">
          <cell r="A223" t="str">
            <v>Calexico</v>
          </cell>
          <cell r="B223" t="str">
            <v>Calexico*</v>
          </cell>
          <cell r="C223">
            <v>8.2500000000000004E-2</v>
          </cell>
        </row>
        <row r="224">
          <cell r="A224" t="str">
            <v>Caliente</v>
          </cell>
          <cell r="B224" t="str">
            <v>Caliente</v>
          </cell>
          <cell r="C224">
            <v>7.2499999999999995E-2</v>
          </cell>
        </row>
        <row r="225">
          <cell r="A225" t="str">
            <v>California City</v>
          </cell>
          <cell r="B225" t="str">
            <v>California City*</v>
          </cell>
          <cell r="C225">
            <v>7.2499999999999995E-2</v>
          </cell>
        </row>
        <row r="226">
          <cell r="A226" t="str">
            <v>California Hot Springs</v>
          </cell>
          <cell r="B226" t="str">
            <v>California Hot Springs</v>
          </cell>
          <cell r="C226">
            <v>7.7499999999999999E-2</v>
          </cell>
        </row>
        <row r="227">
          <cell r="A227" t="str">
            <v>California Valley</v>
          </cell>
          <cell r="B227" t="str">
            <v>California Valley</v>
          </cell>
          <cell r="C227">
            <v>7.2499999999999995E-2</v>
          </cell>
        </row>
        <row r="228">
          <cell r="A228" t="str">
            <v>Calimesa</v>
          </cell>
          <cell r="B228" t="str">
            <v>Calimesa*</v>
          </cell>
          <cell r="C228">
            <v>7.7499999999999999E-2</v>
          </cell>
        </row>
        <row r="229">
          <cell r="A229" t="str">
            <v>Calipatria</v>
          </cell>
          <cell r="B229" t="str">
            <v>Calipatria*</v>
          </cell>
          <cell r="C229">
            <v>7.7499999999999999E-2</v>
          </cell>
        </row>
        <row r="230">
          <cell r="A230" t="str">
            <v>Calistoga</v>
          </cell>
          <cell r="B230" t="str">
            <v>Calistoga*</v>
          </cell>
          <cell r="C230">
            <v>7.7499999999999999E-2</v>
          </cell>
        </row>
        <row r="231">
          <cell r="A231" t="str">
            <v>Callahan</v>
          </cell>
          <cell r="B231" t="str">
            <v>Callahan</v>
          </cell>
          <cell r="C231">
            <v>7.2499999999999995E-2</v>
          </cell>
        </row>
        <row r="232">
          <cell r="A232" t="str">
            <v>Calpella</v>
          </cell>
          <cell r="B232" t="str">
            <v>Calpella</v>
          </cell>
          <cell r="C232">
            <v>7.8750000000000001E-2</v>
          </cell>
        </row>
        <row r="233">
          <cell r="A233" t="str">
            <v>Calpine</v>
          </cell>
          <cell r="B233" t="str">
            <v>Calpine</v>
          </cell>
          <cell r="C233">
            <v>7.2499999999999995E-2</v>
          </cell>
        </row>
        <row r="234">
          <cell r="A234" t="str">
            <v>Calwa</v>
          </cell>
          <cell r="B234" t="str">
            <v>Calwa</v>
          </cell>
          <cell r="C234">
            <v>7.9750000000000001E-2</v>
          </cell>
        </row>
        <row r="235">
          <cell r="A235" t="str">
            <v>Camarillo</v>
          </cell>
          <cell r="B235" t="str">
            <v>Camarillo*</v>
          </cell>
          <cell r="C235">
            <v>7.2499999999999995E-2</v>
          </cell>
        </row>
        <row r="236">
          <cell r="A236" t="str">
            <v>Cambria</v>
          </cell>
          <cell r="B236" t="str">
            <v>Cambria</v>
          </cell>
          <cell r="C236">
            <v>7.2499999999999995E-2</v>
          </cell>
        </row>
        <row r="237">
          <cell r="A237" t="str">
            <v>Cambrian Park</v>
          </cell>
          <cell r="B237" t="str">
            <v>Cambrian Park</v>
          </cell>
          <cell r="C237">
            <v>9.1249999999999998E-2</v>
          </cell>
        </row>
        <row r="238">
          <cell r="A238" t="str">
            <v>Cameron Park</v>
          </cell>
          <cell r="B238" t="str">
            <v>Cameron Park</v>
          </cell>
          <cell r="C238">
            <v>7.2499999999999995E-2</v>
          </cell>
        </row>
        <row r="239">
          <cell r="A239" t="str">
            <v>Camino</v>
          </cell>
          <cell r="B239" t="str">
            <v>Camino</v>
          </cell>
          <cell r="C239">
            <v>7.2499999999999995E-2</v>
          </cell>
        </row>
        <row r="240">
          <cell r="A240" t="str">
            <v>Camp Beale</v>
          </cell>
          <cell r="B240" t="str">
            <v>Camp Beale</v>
          </cell>
          <cell r="C240">
            <v>8.2500000000000004E-2</v>
          </cell>
        </row>
        <row r="241">
          <cell r="A241" t="str">
            <v>Camp Connell</v>
          </cell>
          <cell r="B241" t="str">
            <v>Camp Connell</v>
          </cell>
          <cell r="C241">
            <v>7.2499999999999995E-2</v>
          </cell>
        </row>
        <row r="242">
          <cell r="A242" t="str">
            <v>Camp Curry</v>
          </cell>
          <cell r="B242" t="str">
            <v>Camp Curry</v>
          </cell>
          <cell r="C242">
            <v>8.7499999999999994E-2</v>
          </cell>
        </row>
        <row r="243">
          <cell r="A243" t="str">
            <v>Camp Kaweah</v>
          </cell>
          <cell r="B243" t="str">
            <v>Camp Kaweah</v>
          </cell>
          <cell r="C243">
            <v>7.7499999999999999E-2</v>
          </cell>
        </row>
        <row r="244">
          <cell r="A244" t="str">
            <v>Camp Meeker</v>
          </cell>
          <cell r="B244" t="str">
            <v>Camp Meeker</v>
          </cell>
          <cell r="C244">
            <v>8.5000000000000006E-2</v>
          </cell>
        </row>
        <row r="245">
          <cell r="A245" t="str">
            <v>Camp Nelson</v>
          </cell>
          <cell r="B245" t="str">
            <v>Camp Nelson</v>
          </cell>
          <cell r="C245">
            <v>7.7499999999999999E-2</v>
          </cell>
        </row>
        <row r="246">
          <cell r="A246" t="str">
            <v>Camp Pendleton</v>
          </cell>
          <cell r="B246" t="str">
            <v>Camp Pendleton</v>
          </cell>
          <cell r="C246">
            <v>7.7499999999999999E-2</v>
          </cell>
        </row>
        <row r="247">
          <cell r="A247" t="str">
            <v>Camp Roberts</v>
          </cell>
          <cell r="B247" t="str">
            <v>Camp Roberts</v>
          </cell>
          <cell r="C247">
            <v>7.7499999999999999E-2</v>
          </cell>
        </row>
        <row r="248">
          <cell r="A248" t="str">
            <v>Campbell</v>
          </cell>
          <cell r="B248" t="str">
            <v>Campbell*</v>
          </cell>
          <cell r="C248">
            <v>9.375E-2</v>
          </cell>
        </row>
        <row r="249">
          <cell r="A249" t="str">
            <v>Campo</v>
          </cell>
          <cell r="B249" t="str">
            <v>Campo</v>
          </cell>
          <cell r="C249">
            <v>7.7499999999999999E-2</v>
          </cell>
        </row>
        <row r="250">
          <cell r="A250" t="str">
            <v>Campo Seco</v>
          </cell>
          <cell r="B250" t="str">
            <v>Campo Seco</v>
          </cell>
          <cell r="C250">
            <v>7.2499999999999995E-2</v>
          </cell>
        </row>
        <row r="251">
          <cell r="A251" t="str">
            <v>Camptonville</v>
          </cell>
          <cell r="B251" t="str">
            <v>Camptonville</v>
          </cell>
          <cell r="C251">
            <v>8.2500000000000004E-2</v>
          </cell>
        </row>
        <row r="252">
          <cell r="A252" t="str">
            <v>Canby</v>
          </cell>
          <cell r="B252" t="str">
            <v>Canby</v>
          </cell>
          <cell r="C252">
            <v>7.2499999999999995E-2</v>
          </cell>
        </row>
        <row r="253">
          <cell r="A253" t="str">
            <v>Canoga Annex</v>
          </cell>
          <cell r="B253" t="str">
            <v>Canoga Annex</v>
          </cell>
          <cell r="C253">
            <v>9.5000000000000001E-2</v>
          </cell>
        </row>
        <row r="254">
          <cell r="A254" t="str">
            <v>Canoga Park</v>
          </cell>
          <cell r="B254" t="str">
            <v>Canoga Park (Los Angeles*)</v>
          </cell>
          <cell r="C254">
            <v>9.5000000000000001E-2</v>
          </cell>
        </row>
        <row r="255">
          <cell r="A255" t="str">
            <v>Cantil</v>
          </cell>
          <cell r="B255" t="str">
            <v>Cantil</v>
          </cell>
          <cell r="C255">
            <v>7.2499999999999995E-2</v>
          </cell>
        </row>
        <row r="256">
          <cell r="A256" t="str">
            <v>Cantua Creek</v>
          </cell>
          <cell r="B256" t="str">
            <v>Cantua Creek</v>
          </cell>
          <cell r="C256">
            <v>7.9750000000000001E-2</v>
          </cell>
        </row>
        <row r="257">
          <cell r="A257" t="str">
            <v>Canyon</v>
          </cell>
          <cell r="B257" t="str">
            <v>Canyon</v>
          </cell>
          <cell r="C257">
            <v>8.7499999999999994E-2</v>
          </cell>
        </row>
        <row r="258">
          <cell r="A258" t="str">
            <v>Canyon Country</v>
          </cell>
          <cell r="B258" t="str">
            <v>Canyon Country (Santa Clarita*)</v>
          </cell>
          <cell r="C258">
            <v>9.5000000000000001E-2</v>
          </cell>
        </row>
        <row r="259">
          <cell r="A259" t="str">
            <v>Canyon Lake</v>
          </cell>
          <cell r="B259" t="str">
            <v>Canyon Lake*</v>
          </cell>
          <cell r="C259">
            <v>7.7499999999999999E-2</v>
          </cell>
        </row>
        <row r="260">
          <cell r="A260" t="str">
            <v>Canyondam</v>
          </cell>
          <cell r="B260" t="str">
            <v>Canyondam</v>
          </cell>
          <cell r="C260">
            <v>7.2499999999999995E-2</v>
          </cell>
        </row>
        <row r="261">
          <cell r="A261" t="str">
            <v>Capay</v>
          </cell>
          <cell r="B261" t="str">
            <v>Capay</v>
          </cell>
          <cell r="C261">
            <v>7.2499999999999995E-2</v>
          </cell>
        </row>
        <row r="262">
          <cell r="A262" t="str">
            <v>Capistrano Beach</v>
          </cell>
          <cell r="B262" t="str">
            <v>Capistrano Beach (Dana Point*)</v>
          </cell>
          <cell r="C262">
            <v>7.7499999999999999E-2</v>
          </cell>
        </row>
        <row r="263">
          <cell r="A263" t="str">
            <v>Capitola</v>
          </cell>
          <cell r="B263" t="str">
            <v>Capitola*</v>
          </cell>
          <cell r="C263">
            <v>0.09</v>
          </cell>
        </row>
        <row r="264">
          <cell r="A264" t="str">
            <v>Cardiff By The Sea</v>
          </cell>
          <cell r="B264" t="str">
            <v>Cardiff By The Sea (Encinitas*)</v>
          </cell>
          <cell r="C264">
            <v>7.7499999999999999E-2</v>
          </cell>
        </row>
        <row r="265">
          <cell r="A265" t="str">
            <v>Cardwell</v>
          </cell>
          <cell r="B265" t="str">
            <v>Cardwell</v>
          </cell>
          <cell r="C265">
            <v>7.9750000000000001E-2</v>
          </cell>
        </row>
        <row r="266">
          <cell r="A266" t="str">
            <v>Carlotta</v>
          </cell>
          <cell r="B266" t="str">
            <v>Carlotta</v>
          </cell>
          <cell r="C266">
            <v>7.7499999999999999E-2</v>
          </cell>
        </row>
        <row r="267">
          <cell r="A267" t="str">
            <v>Carlsbad</v>
          </cell>
          <cell r="B267" t="str">
            <v>Carlsbad*</v>
          </cell>
          <cell r="C267">
            <v>7.7499999999999999E-2</v>
          </cell>
        </row>
        <row r="268">
          <cell r="A268" t="str">
            <v>Carmel Rancho</v>
          </cell>
          <cell r="B268" t="str">
            <v>Carmel Rancho</v>
          </cell>
          <cell r="C268">
            <v>7.7499999999999999E-2</v>
          </cell>
        </row>
        <row r="269">
          <cell r="A269" t="str">
            <v>Carmel Valley</v>
          </cell>
          <cell r="B269" t="str">
            <v>Carmel Valley</v>
          </cell>
          <cell r="C269">
            <v>7.7499999999999999E-2</v>
          </cell>
        </row>
        <row r="270">
          <cell r="A270" t="str">
            <v>Carmel-by-the-Sea</v>
          </cell>
          <cell r="B270" t="str">
            <v>Carmel-by-the-Sea*</v>
          </cell>
          <cell r="C270">
            <v>9.2499999999999999E-2</v>
          </cell>
        </row>
        <row r="271">
          <cell r="A271" t="str">
            <v>Carmichael</v>
          </cell>
          <cell r="B271" t="str">
            <v>Carmichael</v>
          </cell>
          <cell r="C271">
            <v>7.7499999999999999E-2</v>
          </cell>
        </row>
        <row r="272">
          <cell r="A272" t="str">
            <v>Carnelian Bay</v>
          </cell>
          <cell r="B272" t="str">
            <v>Carnelian Bay</v>
          </cell>
          <cell r="C272">
            <v>7.2499999999999995E-2</v>
          </cell>
        </row>
        <row r="273">
          <cell r="A273" t="str">
            <v>Carpinteria</v>
          </cell>
          <cell r="B273" t="str">
            <v>Carpinteria*</v>
          </cell>
          <cell r="C273">
            <v>0.09</v>
          </cell>
        </row>
        <row r="274">
          <cell r="A274" t="str">
            <v>Carson</v>
          </cell>
          <cell r="B274" t="str">
            <v>Carson*</v>
          </cell>
          <cell r="C274">
            <v>0.10249999999999999</v>
          </cell>
        </row>
        <row r="275">
          <cell r="A275" t="str">
            <v>Cartago</v>
          </cell>
          <cell r="B275" t="str">
            <v>Cartago</v>
          </cell>
          <cell r="C275">
            <v>7.7499999999999999E-2</v>
          </cell>
        </row>
        <row r="276">
          <cell r="A276" t="str">
            <v>Caruthers</v>
          </cell>
          <cell r="B276" t="str">
            <v>Caruthers</v>
          </cell>
          <cell r="C276">
            <v>7.9750000000000001E-2</v>
          </cell>
        </row>
        <row r="277">
          <cell r="A277" t="str">
            <v>Casitas Springs</v>
          </cell>
          <cell r="B277" t="str">
            <v>Casitas Springs</v>
          </cell>
          <cell r="C277">
            <v>7.2499999999999995E-2</v>
          </cell>
        </row>
        <row r="278">
          <cell r="A278" t="str">
            <v>Casmalia</v>
          </cell>
          <cell r="B278" t="str">
            <v>Casmalia</v>
          </cell>
          <cell r="C278">
            <v>7.7499999999999999E-2</v>
          </cell>
        </row>
        <row r="279">
          <cell r="A279" t="str">
            <v>Caspar</v>
          </cell>
          <cell r="B279" t="str">
            <v>Caspar</v>
          </cell>
          <cell r="C279">
            <v>7.8750000000000001E-2</v>
          </cell>
        </row>
        <row r="280">
          <cell r="A280" t="str">
            <v>Cassel</v>
          </cell>
          <cell r="B280" t="str">
            <v>Cassel</v>
          </cell>
          <cell r="C280">
            <v>7.2499999999999995E-2</v>
          </cell>
        </row>
        <row r="281">
          <cell r="A281" t="str">
            <v>Castaic</v>
          </cell>
          <cell r="B281" t="str">
            <v>Castaic</v>
          </cell>
          <cell r="C281">
            <v>9.5000000000000001E-2</v>
          </cell>
        </row>
        <row r="282">
          <cell r="A282" t="str">
            <v>Castella</v>
          </cell>
          <cell r="B282" t="str">
            <v>Castella</v>
          </cell>
          <cell r="C282">
            <v>7.2499999999999995E-2</v>
          </cell>
        </row>
        <row r="283">
          <cell r="A283" t="str">
            <v>Castle A.F.B.</v>
          </cell>
          <cell r="B283" t="str">
            <v>Castle A.F.B.</v>
          </cell>
          <cell r="C283">
            <v>7.7499999999999999E-2</v>
          </cell>
        </row>
        <row r="284">
          <cell r="A284" t="str">
            <v>Castro Valley</v>
          </cell>
          <cell r="B284" t="str">
            <v>Castro Valley</v>
          </cell>
          <cell r="C284">
            <v>0.10249999999999999</v>
          </cell>
        </row>
        <row r="285">
          <cell r="A285" t="str">
            <v>Castroville</v>
          </cell>
          <cell r="B285" t="str">
            <v>Castroville</v>
          </cell>
          <cell r="C285">
            <v>7.7499999999999999E-2</v>
          </cell>
        </row>
        <row r="286">
          <cell r="A286" t="str">
            <v>Cathedral City</v>
          </cell>
          <cell r="B286" t="str">
            <v>Cathedral City*</v>
          </cell>
          <cell r="C286">
            <v>8.7499999999999994E-2</v>
          </cell>
        </row>
        <row r="287">
          <cell r="A287" t="str">
            <v>Catheys Valley</v>
          </cell>
          <cell r="B287" t="str">
            <v>Catheys Valley</v>
          </cell>
          <cell r="C287">
            <v>8.7499999999999994E-2</v>
          </cell>
        </row>
        <row r="288">
          <cell r="A288" t="str">
            <v>Cayucos</v>
          </cell>
          <cell r="B288" t="str">
            <v>Cayucos</v>
          </cell>
          <cell r="C288">
            <v>7.2499999999999995E-2</v>
          </cell>
        </row>
        <row r="289">
          <cell r="A289" t="str">
            <v>Cazadero</v>
          </cell>
          <cell r="B289" t="str">
            <v>Cazadero</v>
          </cell>
          <cell r="C289">
            <v>8.5000000000000006E-2</v>
          </cell>
        </row>
        <row r="290">
          <cell r="A290" t="str">
            <v>Cecilville</v>
          </cell>
          <cell r="B290" t="str">
            <v>Cecilville</v>
          </cell>
          <cell r="C290">
            <v>7.2499999999999995E-2</v>
          </cell>
        </row>
        <row r="291">
          <cell r="A291" t="str">
            <v>Cedar</v>
          </cell>
          <cell r="B291" t="str">
            <v>Cedar</v>
          </cell>
          <cell r="C291">
            <v>9.5000000000000001E-2</v>
          </cell>
        </row>
        <row r="292">
          <cell r="A292" t="str">
            <v>Cedar Crest</v>
          </cell>
          <cell r="B292" t="str">
            <v>Cedar Crest</v>
          </cell>
          <cell r="C292">
            <v>7.9750000000000001E-2</v>
          </cell>
        </row>
        <row r="293">
          <cell r="A293" t="str">
            <v>Cedar Glen</v>
          </cell>
          <cell r="B293" t="str">
            <v>Cedar Glen</v>
          </cell>
          <cell r="C293">
            <v>7.7499999999999999E-2</v>
          </cell>
        </row>
        <row r="294">
          <cell r="A294" t="str">
            <v>Cedar Ridge</v>
          </cell>
          <cell r="B294" t="str">
            <v>Cedar Ridge</v>
          </cell>
          <cell r="C294">
            <v>7.4999999999999997E-2</v>
          </cell>
        </row>
        <row r="295">
          <cell r="A295" t="str">
            <v>Cedarpines Park</v>
          </cell>
          <cell r="B295" t="str">
            <v>Cedarpines Park</v>
          </cell>
          <cell r="C295">
            <v>7.7499999999999999E-2</v>
          </cell>
        </row>
        <row r="296">
          <cell r="A296" t="str">
            <v>Cedarville</v>
          </cell>
          <cell r="B296" t="str">
            <v>Cedarville</v>
          </cell>
          <cell r="C296">
            <v>7.2499999999999995E-2</v>
          </cell>
        </row>
        <row r="297">
          <cell r="A297" t="str">
            <v>Central Valley</v>
          </cell>
          <cell r="B297" t="str">
            <v>Central Valley</v>
          </cell>
          <cell r="C297">
            <v>7.2499999999999995E-2</v>
          </cell>
        </row>
        <row r="298">
          <cell r="A298" t="str">
            <v>Century City</v>
          </cell>
          <cell r="B298" t="str">
            <v>Century City (Los Angeles*)</v>
          </cell>
          <cell r="C298">
            <v>9.5000000000000001E-2</v>
          </cell>
        </row>
        <row r="299">
          <cell r="A299" t="str">
            <v>Ceres</v>
          </cell>
          <cell r="B299" t="str">
            <v>Ceres*</v>
          </cell>
          <cell r="C299">
            <v>8.3750000000000005E-2</v>
          </cell>
        </row>
        <row r="300">
          <cell r="A300" t="str">
            <v>Cerritos</v>
          </cell>
          <cell r="B300" t="str">
            <v>Cerritos*</v>
          </cell>
          <cell r="C300">
            <v>9.5000000000000001E-2</v>
          </cell>
        </row>
        <row r="301">
          <cell r="A301" t="str">
            <v>Challenge</v>
          </cell>
          <cell r="B301" t="str">
            <v>Challenge</v>
          </cell>
          <cell r="C301">
            <v>8.2500000000000004E-2</v>
          </cell>
        </row>
        <row r="302">
          <cell r="A302" t="str">
            <v>Chambers Lodge</v>
          </cell>
          <cell r="B302" t="str">
            <v>Chambers Lodge</v>
          </cell>
          <cell r="C302">
            <v>7.2499999999999995E-2</v>
          </cell>
        </row>
        <row r="303">
          <cell r="A303" t="str">
            <v>Charter Oak</v>
          </cell>
          <cell r="B303" t="str">
            <v>Charter Oak</v>
          </cell>
          <cell r="C303">
            <v>9.5000000000000001E-2</v>
          </cell>
        </row>
        <row r="304">
          <cell r="A304" t="str">
            <v>Chatsworth</v>
          </cell>
          <cell r="B304" t="str">
            <v>Chatsworth (Los Angeles*)</v>
          </cell>
          <cell r="C304">
            <v>9.5000000000000001E-2</v>
          </cell>
        </row>
        <row r="305">
          <cell r="A305" t="str">
            <v>Cherry Valley</v>
          </cell>
          <cell r="B305" t="str">
            <v>Cherry Valley</v>
          </cell>
          <cell r="C305">
            <v>7.7499999999999999E-2</v>
          </cell>
        </row>
        <row r="306">
          <cell r="A306" t="str">
            <v>Chester</v>
          </cell>
          <cell r="B306" t="str">
            <v>Chester</v>
          </cell>
          <cell r="C306">
            <v>7.2499999999999995E-2</v>
          </cell>
        </row>
        <row r="307">
          <cell r="A307" t="str">
            <v>Chicago Park</v>
          </cell>
          <cell r="B307" t="str">
            <v>Chicago Park</v>
          </cell>
          <cell r="C307">
            <v>7.4999999999999997E-2</v>
          </cell>
        </row>
        <row r="308">
          <cell r="A308" t="str">
            <v>Chico</v>
          </cell>
          <cell r="B308" t="str">
            <v>Chico*</v>
          </cell>
          <cell r="C308">
            <v>7.2499999999999995E-2</v>
          </cell>
        </row>
        <row r="309">
          <cell r="A309" t="str">
            <v>Chilcoot</v>
          </cell>
          <cell r="B309" t="str">
            <v>Chilcoot</v>
          </cell>
          <cell r="C309">
            <v>7.2499999999999995E-2</v>
          </cell>
        </row>
        <row r="310">
          <cell r="A310" t="str">
            <v>China Lake NWC</v>
          </cell>
          <cell r="B310" t="str">
            <v>China Lake NWC (Ridgecrest)</v>
          </cell>
          <cell r="C310">
            <v>8.2500000000000004E-2</v>
          </cell>
        </row>
        <row r="311">
          <cell r="A311" t="str">
            <v>Chinese Camp</v>
          </cell>
          <cell r="B311" t="str">
            <v>Chinese Camp</v>
          </cell>
          <cell r="C311">
            <v>7.2499999999999995E-2</v>
          </cell>
        </row>
        <row r="312">
          <cell r="A312" t="str">
            <v>Chino Hills</v>
          </cell>
          <cell r="B312" t="str">
            <v>Chino Hills*</v>
          </cell>
          <cell r="C312">
            <v>7.7499999999999999E-2</v>
          </cell>
        </row>
        <row r="313">
          <cell r="A313" t="str">
            <v>Chino</v>
          </cell>
          <cell r="B313" t="str">
            <v>Chino*</v>
          </cell>
          <cell r="C313">
            <v>7.7499999999999999E-2</v>
          </cell>
        </row>
        <row r="314">
          <cell r="A314" t="str">
            <v>Chiriaco Summit</v>
          </cell>
          <cell r="B314" t="str">
            <v>Chiriaco Summit</v>
          </cell>
          <cell r="C314">
            <v>7.7499999999999999E-2</v>
          </cell>
        </row>
        <row r="315">
          <cell r="A315" t="str">
            <v>Cholame</v>
          </cell>
          <cell r="B315" t="str">
            <v>Cholame</v>
          </cell>
          <cell r="C315">
            <v>7.2499999999999995E-2</v>
          </cell>
        </row>
        <row r="316">
          <cell r="A316" t="str">
            <v>Chowchilla</v>
          </cell>
          <cell r="B316" t="str">
            <v>Chowchilla*</v>
          </cell>
          <cell r="C316">
            <v>8.7499999999999994E-2</v>
          </cell>
        </row>
        <row r="317">
          <cell r="A317" t="str">
            <v>Chualar</v>
          </cell>
          <cell r="B317" t="str">
            <v>Chualar</v>
          </cell>
          <cell r="C317">
            <v>7.7499999999999999E-2</v>
          </cell>
        </row>
        <row r="318">
          <cell r="A318" t="str">
            <v>Chula Vista</v>
          </cell>
          <cell r="B318" t="str">
            <v>Chula Vista*</v>
          </cell>
          <cell r="C318">
            <v>8.7499999999999994E-2</v>
          </cell>
        </row>
        <row r="319">
          <cell r="A319" t="str">
            <v>Cima</v>
          </cell>
          <cell r="B319" t="str">
            <v>Cima</v>
          </cell>
          <cell r="C319">
            <v>7.7499999999999999E-2</v>
          </cell>
        </row>
        <row r="320">
          <cell r="A320" t="str">
            <v>Citrus Heights</v>
          </cell>
          <cell r="B320" t="str">
            <v>Citrus Heights*</v>
          </cell>
          <cell r="C320">
            <v>7.7499999999999999E-2</v>
          </cell>
        </row>
        <row r="321">
          <cell r="A321" t="str">
            <v>City of Commerce</v>
          </cell>
          <cell r="B321" t="str">
            <v>City of Commerce*</v>
          </cell>
          <cell r="C321">
            <v>0.10249999999999999</v>
          </cell>
        </row>
        <row r="322">
          <cell r="A322" t="str">
            <v>City of Industry</v>
          </cell>
          <cell r="B322" t="str">
            <v>City of Industry*</v>
          </cell>
          <cell r="C322">
            <v>9.5000000000000001E-2</v>
          </cell>
        </row>
        <row r="323">
          <cell r="A323" t="str">
            <v>City Terrace</v>
          </cell>
          <cell r="B323" t="str">
            <v>City Terrace</v>
          </cell>
          <cell r="C323">
            <v>9.5000000000000001E-2</v>
          </cell>
        </row>
        <row r="324">
          <cell r="A324" t="str">
            <v>Claremont</v>
          </cell>
          <cell r="B324" t="str">
            <v>Claremont*</v>
          </cell>
          <cell r="C324">
            <v>9.5000000000000001E-2</v>
          </cell>
        </row>
        <row r="325">
          <cell r="A325" t="str">
            <v>Clarksburg</v>
          </cell>
          <cell r="B325" t="str">
            <v>Clarksburg</v>
          </cell>
          <cell r="C325">
            <v>7.2499999999999995E-2</v>
          </cell>
        </row>
        <row r="326">
          <cell r="A326" t="str">
            <v>Clayton</v>
          </cell>
          <cell r="B326" t="str">
            <v>Clayton*</v>
          </cell>
          <cell r="C326">
            <v>8.7499999999999994E-2</v>
          </cell>
        </row>
        <row r="327">
          <cell r="A327" t="str">
            <v>Clear Creek</v>
          </cell>
          <cell r="B327" t="str">
            <v>Clear Creek</v>
          </cell>
          <cell r="C327">
            <v>7.2499999999999995E-2</v>
          </cell>
        </row>
        <row r="328">
          <cell r="A328" t="str">
            <v>Clearlake Highlands</v>
          </cell>
          <cell r="B328" t="str">
            <v>Clearlake Highlands (Clearlake*)</v>
          </cell>
          <cell r="C328">
            <v>8.7499999999999994E-2</v>
          </cell>
        </row>
        <row r="329">
          <cell r="A329" t="str">
            <v>Clearlake Oaks</v>
          </cell>
          <cell r="B329" t="str">
            <v>Clearlake Oaks</v>
          </cell>
          <cell r="C329">
            <v>7.2499999999999995E-2</v>
          </cell>
        </row>
        <row r="330">
          <cell r="A330" t="str">
            <v>Clearlake Park</v>
          </cell>
          <cell r="B330" t="str">
            <v>Clearlake Park (Clearlake*)</v>
          </cell>
          <cell r="C330">
            <v>8.7499999999999994E-2</v>
          </cell>
        </row>
        <row r="331">
          <cell r="A331" t="str">
            <v>Clearlake</v>
          </cell>
          <cell r="B331" t="str">
            <v>Clearlake*</v>
          </cell>
          <cell r="C331">
            <v>8.7499999999999994E-2</v>
          </cell>
        </row>
        <row r="332">
          <cell r="A332" t="str">
            <v>Clements</v>
          </cell>
          <cell r="B332" t="str">
            <v>Clements</v>
          </cell>
          <cell r="C332">
            <v>7.7499999999999999E-2</v>
          </cell>
        </row>
        <row r="333">
          <cell r="A333" t="str">
            <v>Clinter</v>
          </cell>
          <cell r="B333" t="str">
            <v>Clinter</v>
          </cell>
          <cell r="C333">
            <v>7.9750000000000001E-2</v>
          </cell>
        </row>
        <row r="334">
          <cell r="A334" t="str">
            <v>Clio</v>
          </cell>
          <cell r="B334" t="str">
            <v>Clio</v>
          </cell>
          <cell r="C334">
            <v>7.2499999999999995E-2</v>
          </cell>
        </row>
        <row r="335">
          <cell r="A335" t="str">
            <v>Clipper Mills</v>
          </cell>
          <cell r="B335" t="str">
            <v>Clipper Mills</v>
          </cell>
          <cell r="C335">
            <v>7.2499999999999995E-2</v>
          </cell>
        </row>
        <row r="336">
          <cell r="A336" t="str">
            <v>Cloverdale</v>
          </cell>
          <cell r="B336" t="str">
            <v>Cloverdale*</v>
          </cell>
          <cell r="C336">
            <v>8.5000000000000006E-2</v>
          </cell>
        </row>
        <row r="337">
          <cell r="A337" t="str">
            <v>Clovis</v>
          </cell>
          <cell r="B337" t="str">
            <v>Clovis*</v>
          </cell>
          <cell r="C337">
            <v>7.9750000000000001E-2</v>
          </cell>
        </row>
        <row r="338">
          <cell r="A338" t="str">
            <v>Coachella</v>
          </cell>
          <cell r="B338" t="str">
            <v>Coachella*</v>
          </cell>
          <cell r="C338">
            <v>8.7499999999999994E-2</v>
          </cell>
        </row>
        <row r="339">
          <cell r="A339" t="str">
            <v>Coalinga</v>
          </cell>
          <cell r="B339" t="str">
            <v>Coalinga*</v>
          </cell>
          <cell r="C339">
            <v>8.9749999999999996E-2</v>
          </cell>
        </row>
        <row r="340">
          <cell r="A340" t="str">
            <v>Coarsegold</v>
          </cell>
          <cell r="B340" t="str">
            <v>Coarsegold</v>
          </cell>
          <cell r="C340">
            <v>7.7499999999999999E-2</v>
          </cell>
        </row>
        <row r="341">
          <cell r="A341" t="str">
            <v>Cobb</v>
          </cell>
          <cell r="B341" t="str">
            <v>Cobb</v>
          </cell>
          <cell r="C341">
            <v>7.2499999999999995E-2</v>
          </cell>
        </row>
        <row r="342">
          <cell r="A342" t="str">
            <v>Cohasset</v>
          </cell>
          <cell r="B342" t="str">
            <v>Cohasset</v>
          </cell>
          <cell r="C342">
            <v>7.2499999999999995E-2</v>
          </cell>
        </row>
        <row r="343">
          <cell r="A343" t="str">
            <v>Cole</v>
          </cell>
          <cell r="B343" t="str">
            <v>Cole</v>
          </cell>
          <cell r="C343">
            <v>9.5000000000000001E-2</v>
          </cell>
        </row>
        <row r="344">
          <cell r="A344" t="str">
            <v>Coleville</v>
          </cell>
          <cell r="B344" t="str">
            <v>Coleville</v>
          </cell>
          <cell r="C344">
            <v>7.2499999999999995E-2</v>
          </cell>
        </row>
        <row r="345">
          <cell r="A345" t="str">
            <v>Colfax</v>
          </cell>
          <cell r="B345" t="str">
            <v>Colfax*</v>
          </cell>
          <cell r="C345">
            <v>7.2499999999999995E-2</v>
          </cell>
        </row>
        <row r="346">
          <cell r="A346" t="str">
            <v>College City</v>
          </cell>
          <cell r="B346" t="str">
            <v>College City</v>
          </cell>
          <cell r="C346">
            <v>7.2499999999999995E-2</v>
          </cell>
        </row>
        <row r="347">
          <cell r="A347" t="str">
            <v>College Grove Center</v>
          </cell>
          <cell r="B347" t="str">
            <v>College Grove Center</v>
          </cell>
          <cell r="C347">
            <v>7.7499999999999999E-2</v>
          </cell>
        </row>
        <row r="348">
          <cell r="A348" t="str">
            <v>Colma</v>
          </cell>
          <cell r="B348" t="str">
            <v>Colma*</v>
          </cell>
          <cell r="C348">
            <v>9.375E-2</v>
          </cell>
        </row>
        <row r="349">
          <cell r="A349" t="str">
            <v>Coloma</v>
          </cell>
          <cell r="B349" t="str">
            <v>Coloma</v>
          </cell>
          <cell r="C349">
            <v>7.2499999999999995E-2</v>
          </cell>
        </row>
        <row r="350">
          <cell r="A350" t="str">
            <v>Colorado</v>
          </cell>
          <cell r="B350" t="str">
            <v>Colorado</v>
          </cell>
          <cell r="C350">
            <v>8.7499999999999994E-2</v>
          </cell>
        </row>
        <row r="351">
          <cell r="A351" t="str">
            <v>Colton</v>
          </cell>
          <cell r="B351" t="str">
            <v>Colton*</v>
          </cell>
          <cell r="C351">
            <v>7.7499999999999999E-2</v>
          </cell>
        </row>
        <row r="352">
          <cell r="A352" t="str">
            <v>Columbia</v>
          </cell>
          <cell r="B352" t="str">
            <v>Columbia</v>
          </cell>
          <cell r="C352">
            <v>7.2499999999999995E-2</v>
          </cell>
        </row>
        <row r="353">
          <cell r="A353" t="str">
            <v>Colusa</v>
          </cell>
          <cell r="B353" t="str">
            <v>Colusa*</v>
          </cell>
          <cell r="C353">
            <v>7.2499999999999995E-2</v>
          </cell>
        </row>
        <row r="354">
          <cell r="A354" t="str">
            <v>Commerce</v>
          </cell>
          <cell r="B354" t="str">
            <v>Commerce*</v>
          </cell>
          <cell r="C354">
            <v>0.10249999999999999</v>
          </cell>
        </row>
        <row r="355">
          <cell r="A355" t="str">
            <v>Comptche</v>
          </cell>
          <cell r="B355" t="str">
            <v>Comptche</v>
          </cell>
          <cell r="C355">
            <v>7.8750000000000001E-2</v>
          </cell>
        </row>
        <row r="356">
          <cell r="A356" t="str">
            <v>Compton</v>
          </cell>
          <cell r="B356" t="str">
            <v>Compton*</v>
          </cell>
          <cell r="C356">
            <v>0.10249999999999999</v>
          </cell>
        </row>
        <row r="357">
          <cell r="A357" t="str">
            <v>Concord</v>
          </cell>
          <cell r="B357" t="str">
            <v>Concord*</v>
          </cell>
          <cell r="C357">
            <v>9.7500000000000003E-2</v>
          </cell>
        </row>
        <row r="358">
          <cell r="A358" t="str">
            <v>Cool</v>
          </cell>
          <cell r="B358" t="str">
            <v>Cool</v>
          </cell>
          <cell r="C358">
            <v>7.2499999999999995E-2</v>
          </cell>
        </row>
        <row r="359">
          <cell r="A359" t="str">
            <v>Copperopolis</v>
          </cell>
          <cell r="B359" t="str">
            <v>Copperopolis</v>
          </cell>
          <cell r="C359">
            <v>7.2499999999999995E-2</v>
          </cell>
        </row>
        <row r="360">
          <cell r="A360" t="str">
            <v>Corcoran</v>
          </cell>
          <cell r="B360" t="str">
            <v>Corcoran*</v>
          </cell>
          <cell r="C360">
            <v>8.249999999999999E-2</v>
          </cell>
        </row>
        <row r="361">
          <cell r="A361" t="str">
            <v>Cornell</v>
          </cell>
          <cell r="B361" t="str">
            <v>Cornell</v>
          </cell>
          <cell r="C361">
            <v>9.5000000000000001E-2</v>
          </cell>
        </row>
        <row r="362">
          <cell r="A362" t="str">
            <v>Corning</v>
          </cell>
          <cell r="B362" t="str">
            <v>Corning*</v>
          </cell>
          <cell r="C362">
            <v>7.7499999999999999E-2</v>
          </cell>
        </row>
        <row r="363">
          <cell r="A363" t="str">
            <v>Corona Del Mar</v>
          </cell>
          <cell r="B363" t="str">
            <v>Corona Del Mar (Newport Beach*)</v>
          </cell>
          <cell r="C363">
            <v>7.7499999999999999E-2</v>
          </cell>
        </row>
        <row r="364">
          <cell r="A364" t="str">
            <v>Corona</v>
          </cell>
          <cell r="B364" t="str">
            <v>Corona*</v>
          </cell>
          <cell r="C364">
            <v>8.7499999999999994E-2</v>
          </cell>
        </row>
        <row r="365">
          <cell r="A365" t="str">
            <v>Coronado</v>
          </cell>
          <cell r="B365" t="str">
            <v>Coronado*</v>
          </cell>
          <cell r="C365">
            <v>7.7499999999999999E-2</v>
          </cell>
        </row>
        <row r="366">
          <cell r="A366" t="str">
            <v>Corralitos</v>
          </cell>
          <cell r="B366" t="str">
            <v>Corralitos</v>
          </cell>
          <cell r="C366">
            <v>0.09</v>
          </cell>
        </row>
        <row r="367">
          <cell r="A367" t="str">
            <v>Corte Madera</v>
          </cell>
          <cell r="B367" t="str">
            <v>Corte Madera*</v>
          </cell>
          <cell r="C367">
            <v>0.09</v>
          </cell>
        </row>
        <row r="368">
          <cell r="A368" t="str">
            <v>Coso Junction</v>
          </cell>
          <cell r="B368" t="str">
            <v>Coso Junction</v>
          </cell>
          <cell r="C368">
            <v>7.7499999999999999E-2</v>
          </cell>
        </row>
        <row r="369">
          <cell r="A369" t="str">
            <v>Costa Mesa</v>
          </cell>
          <cell r="B369" t="str">
            <v>Costa Mesa*</v>
          </cell>
          <cell r="C369">
            <v>7.7499999999999999E-2</v>
          </cell>
        </row>
        <row r="370">
          <cell r="A370" t="str">
            <v>Cotati</v>
          </cell>
          <cell r="B370" t="str">
            <v>Cotati*</v>
          </cell>
          <cell r="C370">
            <v>9.5000000000000001E-2</v>
          </cell>
        </row>
        <row r="371">
          <cell r="A371" t="str">
            <v>Coto De Caza</v>
          </cell>
          <cell r="B371" t="str">
            <v>Coto De Caza</v>
          </cell>
          <cell r="C371">
            <v>7.7499999999999999E-2</v>
          </cell>
        </row>
        <row r="372">
          <cell r="A372" t="str">
            <v>Cottonwood</v>
          </cell>
          <cell r="B372" t="str">
            <v>Cottonwood</v>
          </cell>
          <cell r="C372">
            <v>7.2499999999999995E-2</v>
          </cell>
        </row>
        <row r="373">
          <cell r="A373" t="str">
            <v>Coulterville</v>
          </cell>
          <cell r="B373" t="str">
            <v>Coulterville</v>
          </cell>
          <cell r="C373">
            <v>8.7499999999999994E-2</v>
          </cell>
        </row>
        <row r="374">
          <cell r="A374" t="str">
            <v>Courtland</v>
          </cell>
          <cell r="B374" t="str">
            <v>Courtland</v>
          </cell>
          <cell r="C374">
            <v>7.7499999999999999E-2</v>
          </cell>
        </row>
        <row r="375">
          <cell r="A375" t="str">
            <v>Covelo</v>
          </cell>
          <cell r="B375" t="str">
            <v>Covelo</v>
          </cell>
          <cell r="C375">
            <v>7.8750000000000001E-2</v>
          </cell>
        </row>
        <row r="376">
          <cell r="A376" t="str">
            <v>Covina</v>
          </cell>
          <cell r="B376" t="str">
            <v>Covina*</v>
          </cell>
          <cell r="C376">
            <v>0.10249999999999999</v>
          </cell>
        </row>
        <row r="377">
          <cell r="A377" t="str">
            <v>Cowan Heights</v>
          </cell>
          <cell r="B377" t="str">
            <v>Cowan Heights</v>
          </cell>
          <cell r="C377">
            <v>7.7499999999999999E-2</v>
          </cell>
        </row>
        <row r="378">
          <cell r="A378" t="str">
            <v>Coyote</v>
          </cell>
          <cell r="B378" t="str">
            <v>Coyote</v>
          </cell>
          <cell r="C378">
            <v>9.1249999999999998E-2</v>
          </cell>
        </row>
        <row r="379">
          <cell r="A379" t="str">
            <v>Crannell</v>
          </cell>
          <cell r="B379" t="str">
            <v>Crannell</v>
          </cell>
          <cell r="C379">
            <v>7.7499999999999999E-2</v>
          </cell>
        </row>
        <row r="380">
          <cell r="A380" t="str">
            <v>Crenshaw</v>
          </cell>
          <cell r="B380" t="str">
            <v>Crenshaw (Los Angeles*)</v>
          </cell>
          <cell r="C380">
            <v>9.5000000000000001E-2</v>
          </cell>
        </row>
        <row r="381">
          <cell r="A381" t="str">
            <v>Crescent City</v>
          </cell>
          <cell r="B381" t="str">
            <v>Crescent City*</v>
          </cell>
          <cell r="C381">
            <v>8.2500000000000004E-2</v>
          </cell>
        </row>
        <row r="382">
          <cell r="A382" t="str">
            <v>Crescent Mills</v>
          </cell>
          <cell r="B382" t="str">
            <v>Crescent Mills</v>
          </cell>
          <cell r="C382">
            <v>7.2499999999999995E-2</v>
          </cell>
        </row>
        <row r="383">
          <cell r="A383" t="str">
            <v>Cressey</v>
          </cell>
          <cell r="B383" t="str">
            <v>Cressey</v>
          </cell>
          <cell r="C383">
            <v>7.7499999999999999E-2</v>
          </cell>
        </row>
        <row r="384">
          <cell r="A384" t="str">
            <v>Crest</v>
          </cell>
          <cell r="B384" t="str">
            <v>Crest</v>
          </cell>
          <cell r="C384">
            <v>7.7499999999999999E-2</v>
          </cell>
        </row>
        <row r="385">
          <cell r="A385" t="str">
            <v>Crest Park</v>
          </cell>
          <cell r="B385" t="str">
            <v>Crest Park</v>
          </cell>
          <cell r="C385">
            <v>7.7499999999999999E-2</v>
          </cell>
        </row>
        <row r="386">
          <cell r="A386" t="str">
            <v>Cresta Blanca</v>
          </cell>
          <cell r="B386" t="str">
            <v>Cresta Blanca</v>
          </cell>
          <cell r="C386">
            <v>0.10249999999999999</v>
          </cell>
        </row>
        <row r="387">
          <cell r="A387" t="str">
            <v>Crestline</v>
          </cell>
          <cell r="B387" t="str">
            <v>Crestline</v>
          </cell>
          <cell r="C387">
            <v>7.7499999999999999E-2</v>
          </cell>
        </row>
        <row r="388">
          <cell r="A388" t="str">
            <v>Creston</v>
          </cell>
          <cell r="B388" t="str">
            <v>Creston</v>
          </cell>
          <cell r="C388">
            <v>7.2499999999999995E-2</v>
          </cell>
        </row>
        <row r="389">
          <cell r="A389" t="str">
            <v>Crockett</v>
          </cell>
          <cell r="B389" t="str">
            <v>Crockett</v>
          </cell>
          <cell r="C389">
            <v>8.7499999999999994E-2</v>
          </cell>
        </row>
        <row r="390">
          <cell r="A390" t="str">
            <v>Cromberg</v>
          </cell>
          <cell r="B390" t="str">
            <v>Cromberg</v>
          </cell>
          <cell r="C390">
            <v>7.2499999999999995E-2</v>
          </cell>
        </row>
        <row r="391">
          <cell r="A391" t="str">
            <v>Cross Roads</v>
          </cell>
          <cell r="B391" t="str">
            <v>Cross Roads</v>
          </cell>
          <cell r="C391">
            <v>7.7499999999999999E-2</v>
          </cell>
        </row>
        <row r="392">
          <cell r="A392" t="str">
            <v>Crowley Lake</v>
          </cell>
          <cell r="B392" t="str">
            <v>Crowley Lake</v>
          </cell>
          <cell r="C392">
            <v>7.2499999999999995E-2</v>
          </cell>
        </row>
        <row r="393">
          <cell r="A393" t="str">
            <v>Crows Landing</v>
          </cell>
          <cell r="B393" t="str">
            <v>Crows Landing</v>
          </cell>
          <cell r="C393">
            <v>7.8750000000000001E-2</v>
          </cell>
        </row>
        <row r="394">
          <cell r="A394" t="str">
            <v>Cucamonga</v>
          </cell>
          <cell r="B394" t="str">
            <v>Cucamonga (Rancho Cucamonga*)</v>
          </cell>
          <cell r="C394">
            <v>7.7499999999999999E-2</v>
          </cell>
        </row>
        <row r="395">
          <cell r="A395" t="str">
            <v>Cudahy</v>
          </cell>
          <cell r="B395" t="str">
            <v>Cudahy*</v>
          </cell>
          <cell r="C395">
            <v>0.10249999999999999</v>
          </cell>
        </row>
        <row r="396">
          <cell r="A396" t="str">
            <v>Culver City</v>
          </cell>
          <cell r="B396" t="str">
            <v>Culver City*</v>
          </cell>
          <cell r="C396">
            <v>0.10249999999999999</v>
          </cell>
        </row>
        <row r="397">
          <cell r="A397" t="str">
            <v>Cummings</v>
          </cell>
          <cell r="B397" t="str">
            <v>Cummings</v>
          </cell>
          <cell r="C397">
            <v>7.8750000000000001E-2</v>
          </cell>
        </row>
        <row r="398">
          <cell r="A398" t="str">
            <v>Cupertino</v>
          </cell>
          <cell r="B398" t="str">
            <v>Cupertino*</v>
          </cell>
          <cell r="C398">
            <v>9.1249999999999998E-2</v>
          </cell>
        </row>
        <row r="399">
          <cell r="A399" t="str">
            <v>Curry Village</v>
          </cell>
          <cell r="B399" t="str">
            <v>Curry Village</v>
          </cell>
          <cell r="C399">
            <v>8.7499999999999994E-2</v>
          </cell>
        </row>
        <row r="400">
          <cell r="A400" t="str">
            <v>Cutler</v>
          </cell>
          <cell r="B400" t="str">
            <v>Cutler</v>
          </cell>
          <cell r="C400">
            <v>7.7499999999999999E-2</v>
          </cell>
        </row>
        <row r="401">
          <cell r="A401" t="str">
            <v>Cutten</v>
          </cell>
          <cell r="B401" t="str">
            <v>Cutten</v>
          </cell>
          <cell r="C401">
            <v>7.7499999999999999E-2</v>
          </cell>
        </row>
        <row r="402">
          <cell r="A402" t="str">
            <v>Cuyama</v>
          </cell>
          <cell r="B402" t="str">
            <v>Cuyama</v>
          </cell>
          <cell r="C402">
            <v>7.7499999999999999E-2</v>
          </cell>
        </row>
        <row r="403">
          <cell r="A403" t="str">
            <v>Cypress</v>
          </cell>
          <cell r="B403" t="str">
            <v>Cypress*</v>
          </cell>
          <cell r="C403">
            <v>7.7499999999999999E-2</v>
          </cell>
        </row>
        <row r="404">
          <cell r="A404" t="str">
            <v>Daggett</v>
          </cell>
          <cell r="B404" t="str">
            <v>Daggett</v>
          </cell>
          <cell r="C404">
            <v>7.7499999999999999E-2</v>
          </cell>
        </row>
        <row r="405">
          <cell r="A405" t="str">
            <v>Dairy Farm</v>
          </cell>
          <cell r="B405" t="str">
            <v>Dairy Farm</v>
          </cell>
          <cell r="C405">
            <v>7.3749999999999996E-2</v>
          </cell>
        </row>
        <row r="406">
          <cell r="A406" t="str">
            <v>Daly City</v>
          </cell>
          <cell r="B406" t="str">
            <v>Daly City*</v>
          </cell>
          <cell r="C406">
            <v>9.8750000000000004E-2</v>
          </cell>
        </row>
        <row r="407">
          <cell r="A407" t="str">
            <v>Dana Point</v>
          </cell>
          <cell r="B407" t="str">
            <v>Dana Point*</v>
          </cell>
          <cell r="C407">
            <v>7.7499999999999999E-2</v>
          </cell>
        </row>
        <row r="408">
          <cell r="A408" t="str">
            <v>Danville</v>
          </cell>
          <cell r="B408" t="str">
            <v>Danville*</v>
          </cell>
          <cell r="C408">
            <v>8.7499999999999994E-2</v>
          </cell>
        </row>
        <row r="409">
          <cell r="A409" t="str">
            <v>Dardanelle</v>
          </cell>
          <cell r="B409" t="str">
            <v>Dardanelle</v>
          </cell>
          <cell r="C409">
            <v>7.2499999999999995E-2</v>
          </cell>
        </row>
        <row r="410">
          <cell r="A410" t="str">
            <v>Darwin</v>
          </cell>
          <cell r="B410" t="str">
            <v>Darwin</v>
          </cell>
          <cell r="C410">
            <v>7.7499999999999999E-2</v>
          </cell>
        </row>
        <row r="411">
          <cell r="A411" t="str">
            <v>Davenport</v>
          </cell>
          <cell r="B411" t="str">
            <v>Davenport</v>
          </cell>
          <cell r="C411">
            <v>0.09</v>
          </cell>
        </row>
        <row r="412">
          <cell r="A412" t="str">
            <v>Davis Creek</v>
          </cell>
          <cell r="B412" t="str">
            <v>Davis Creek</v>
          </cell>
          <cell r="C412">
            <v>7.2499999999999995E-2</v>
          </cell>
        </row>
        <row r="413">
          <cell r="A413" t="str">
            <v>Davis</v>
          </cell>
          <cell r="B413" t="str">
            <v>Davis* (U.C. Davis campus rate is 7.25%)</v>
          </cell>
          <cell r="C413">
            <v>8.2500000000000004E-2</v>
          </cell>
        </row>
        <row r="414">
          <cell r="A414" t="str">
            <v>Death Valley</v>
          </cell>
          <cell r="B414" t="str">
            <v>Death Valley</v>
          </cell>
          <cell r="C414">
            <v>7.7499999999999999E-2</v>
          </cell>
        </row>
        <row r="415">
          <cell r="A415" t="str">
            <v>Death Valley Junction</v>
          </cell>
          <cell r="B415" t="str">
            <v>Death Valley Junction</v>
          </cell>
          <cell r="C415">
            <v>7.7499999999999999E-2</v>
          </cell>
        </row>
        <row r="416">
          <cell r="A416" t="str">
            <v>Deer Park</v>
          </cell>
          <cell r="B416" t="str">
            <v>Deer Park</v>
          </cell>
          <cell r="C416">
            <v>7.7499999999999999E-2</v>
          </cell>
        </row>
        <row r="417">
          <cell r="A417" t="str">
            <v>Del Kern</v>
          </cell>
          <cell r="B417" t="str">
            <v>Del Kern (Bakersfield*)</v>
          </cell>
          <cell r="C417">
            <v>8.2500000000000004E-2</v>
          </cell>
        </row>
        <row r="418">
          <cell r="A418" t="str">
            <v>Del Mar Heights</v>
          </cell>
          <cell r="B418" t="str">
            <v>Del Mar Heights (Morro Bay*)</v>
          </cell>
          <cell r="C418">
            <v>7.7499999999999999E-2</v>
          </cell>
        </row>
        <row r="419">
          <cell r="A419" t="str">
            <v>Del Mar</v>
          </cell>
          <cell r="B419" t="str">
            <v>Del Mar*</v>
          </cell>
          <cell r="C419">
            <v>8.7499999999999994E-2</v>
          </cell>
        </row>
        <row r="420">
          <cell r="A420" t="str">
            <v>Del Monte Grove</v>
          </cell>
          <cell r="B420" t="str">
            <v>Del Monte Grove (Monterey*)</v>
          </cell>
          <cell r="C420">
            <v>9.2499999999999999E-2</v>
          </cell>
        </row>
        <row r="421">
          <cell r="A421" t="str">
            <v>Del Rey</v>
          </cell>
          <cell r="B421" t="str">
            <v>Del Rey</v>
          </cell>
          <cell r="C421">
            <v>7.9750000000000001E-2</v>
          </cell>
        </row>
        <row r="422">
          <cell r="A422" t="str">
            <v>Del Rey Oaks</v>
          </cell>
          <cell r="B422" t="str">
            <v>Del Rey Oaks*</v>
          </cell>
          <cell r="C422">
            <v>9.2499999999999999E-2</v>
          </cell>
        </row>
        <row r="423">
          <cell r="A423" t="str">
            <v>Del Rosa</v>
          </cell>
          <cell r="B423" t="str">
            <v>Del Rosa</v>
          </cell>
          <cell r="C423">
            <v>7.7499999999999999E-2</v>
          </cell>
        </row>
        <row r="424">
          <cell r="A424" t="str">
            <v>Del Sur</v>
          </cell>
          <cell r="B424" t="str">
            <v>Del Sur</v>
          </cell>
          <cell r="C424">
            <v>9.5000000000000001E-2</v>
          </cell>
        </row>
        <row r="425">
          <cell r="A425" t="str">
            <v>Delano</v>
          </cell>
          <cell r="B425" t="str">
            <v>Delano*</v>
          </cell>
          <cell r="C425">
            <v>8.2500000000000004E-2</v>
          </cell>
        </row>
        <row r="426">
          <cell r="A426" t="str">
            <v>Deleven</v>
          </cell>
          <cell r="B426" t="str">
            <v>Deleven</v>
          </cell>
          <cell r="C426">
            <v>7.2499999999999995E-2</v>
          </cell>
        </row>
        <row r="427">
          <cell r="A427" t="str">
            <v>Delhi</v>
          </cell>
          <cell r="B427" t="str">
            <v>Delhi</v>
          </cell>
          <cell r="C427">
            <v>7.7499999999999999E-2</v>
          </cell>
        </row>
        <row r="428">
          <cell r="A428" t="str">
            <v>Denair</v>
          </cell>
          <cell r="B428" t="str">
            <v>Denair</v>
          </cell>
          <cell r="C428">
            <v>7.8750000000000001E-2</v>
          </cell>
        </row>
        <row r="429">
          <cell r="A429" t="str">
            <v>Denny</v>
          </cell>
          <cell r="B429" t="str">
            <v>Denny</v>
          </cell>
          <cell r="C429">
            <v>7.2499999999999995E-2</v>
          </cell>
        </row>
        <row r="430">
          <cell r="A430" t="str">
            <v>Descanso</v>
          </cell>
          <cell r="B430" t="str">
            <v>Descanso</v>
          </cell>
          <cell r="C430">
            <v>7.7499999999999999E-2</v>
          </cell>
        </row>
        <row r="431">
          <cell r="A431" t="str">
            <v>Desert Center</v>
          </cell>
          <cell r="B431" t="str">
            <v>Desert Center</v>
          </cell>
          <cell r="C431">
            <v>7.7499999999999999E-2</v>
          </cell>
        </row>
        <row r="432">
          <cell r="A432" t="str">
            <v>Desert Hot Springs</v>
          </cell>
          <cell r="B432" t="str">
            <v>Desert Hot Springs*</v>
          </cell>
          <cell r="C432">
            <v>7.7499999999999999E-2</v>
          </cell>
        </row>
        <row r="433">
          <cell r="A433" t="str">
            <v>Di Giorgio</v>
          </cell>
          <cell r="B433" t="str">
            <v>Di Giorgio</v>
          </cell>
          <cell r="C433">
            <v>7.2499999999999995E-2</v>
          </cell>
        </row>
        <row r="434">
          <cell r="A434" t="str">
            <v>Diablo</v>
          </cell>
          <cell r="B434" t="str">
            <v>Diablo</v>
          </cell>
          <cell r="C434">
            <v>8.7499999999999994E-2</v>
          </cell>
        </row>
        <row r="435">
          <cell r="A435" t="str">
            <v>Diamond Bar</v>
          </cell>
          <cell r="B435" t="str">
            <v>Diamond Bar*</v>
          </cell>
          <cell r="C435">
            <v>9.5000000000000001E-2</v>
          </cell>
        </row>
        <row r="436">
          <cell r="A436" t="str">
            <v>Diamond Springs</v>
          </cell>
          <cell r="B436" t="str">
            <v>Diamond Springs</v>
          </cell>
          <cell r="C436">
            <v>7.2499999999999995E-2</v>
          </cell>
        </row>
        <row r="437">
          <cell r="A437" t="str">
            <v>Dillon Beach</v>
          </cell>
          <cell r="B437" t="str">
            <v>Dillon Beach</v>
          </cell>
          <cell r="C437">
            <v>8.2500000000000004E-2</v>
          </cell>
        </row>
        <row r="438">
          <cell r="A438" t="str">
            <v>Dinkey Creek</v>
          </cell>
          <cell r="B438" t="str">
            <v>Dinkey Creek</v>
          </cell>
          <cell r="C438">
            <v>7.9750000000000001E-2</v>
          </cell>
        </row>
        <row r="439">
          <cell r="A439" t="str">
            <v>Dinuba</v>
          </cell>
          <cell r="B439" t="str">
            <v>Dinuba*</v>
          </cell>
          <cell r="C439">
            <v>8.4999999999999992E-2</v>
          </cell>
        </row>
        <row r="440">
          <cell r="A440" t="str">
            <v>Discovery Bay</v>
          </cell>
          <cell r="B440" t="str">
            <v>Discovery Bay</v>
          </cell>
          <cell r="C440">
            <v>8.7499999999999994E-2</v>
          </cell>
        </row>
        <row r="441">
          <cell r="A441" t="str">
            <v>Dixon</v>
          </cell>
          <cell r="B441" t="str">
            <v>Dixon*</v>
          </cell>
          <cell r="C441">
            <v>7.3749999999999996E-2</v>
          </cell>
        </row>
        <row r="442">
          <cell r="A442" t="str">
            <v>Dobbins</v>
          </cell>
          <cell r="B442" t="str">
            <v>Dobbins</v>
          </cell>
          <cell r="C442">
            <v>8.2500000000000004E-2</v>
          </cell>
        </row>
        <row r="443">
          <cell r="A443" t="str">
            <v>Dogtown</v>
          </cell>
          <cell r="B443" t="str">
            <v>Dogtown</v>
          </cell>
          <cell r="C443">
            <v>8.2500000000000004E-2</v>
          </cell>
        </row>
        <row r="444">
          <cell r="A444" t="str">
            <v>Dollar Ranch</v>
          </cell>
          <cell r="B444" t="str">
            <v>Dollar Ranch</v>
          </cell>
          <cell r="C444">
            <v>8.7499999999999994E-2</v>
          </cell>
        </row>
        <row r="445">
          <cell r="A445" t="str">
            <v>Dorris</v>
          </cell>
          <cell r="B445" t="str">
            <v>Dorris*</v>
          </cell>
          <cell r="C445">
            <v>7.2499999999999995E-2</v>
          </cell>
        </row>
        <row r="446">
          <cell r="A446" t="str">
            <v>Dos Palos</v>
          </cell>
          <cell r="B446" t="str">
            <v>Dos Palos*</v>
          </cell>
          <cell r="C446">
            <v>7.7499999999999999E-2</v>
          </cell>
        </row>
        <row r="447">
          <cell r="A447" t="str">
            <v>Dos Rios</v>
          </cell>
          <cell r="B447" t="str">
            <v>Dos Rios</v>
          </cell>
          <cell r="C447">
            <v>7.8750000000000001E-2</v>
          </cell>
        </row>
        <row r="448">
          <cell r="A448" t="str">
            <v>Douglas City</v>
          </cell>
          <cell r="B448" t="str">
            <v>Douglas City</v>
          </cell>
          <cell r="C448">
            <v>7.2499999999999995E-2</v>
          </cell>
        </row>
        <row r="449">
          <cell r="A449" t="str">
            <v>Douglas Flat</v>
          </cell>
          <cell r="B449" t="str">
            <v>Douglas Flat</v>
          </cell>
          <cell r="C449">
            <v>7.2499999999999995E-2</v>
          </cell>
        </row>
        <row r="450">
          <cell r="A450" t="str">
            <v>Downey</v>
          </cell>
          <cell r="B450" t="str">
            <v>Downey*</v>
          </cell>
          <cell r="C450">
            <v>0.1</v>
          </cell>
        </row>
        <row r="451">
          <cell r="A451" t="str">
            <v>Downieville</v>
          </cell>
          <cell r="B451" t="str">
            <v>Downieville</v>
          </cell>
          <cell r="C451">
            <v>7.2499999999999995E-2</v>
          </cell>
        </row>
        <row r="452">
          <cell r="A452" t="str">
            <v>Doyle</v>
          </cell>
          <cell r="B452" t="str">
            <v>Doyle</v>
          </cell>
          <cell r="C452">
            <v>7.2499999999999995E-2</v>
          </cell>
        </row>
        <row r="453">
          <cell r="A453" t="str">
            <v>Drytown</v>
          </cell>
          <cell r="B453" t="str">
            <v>Drytown</v>
          </cell>
          <cell r="C453">
            <v>7.7499999999999999E-2</v>
          </cell>
        </row>
        <row r="454">
          <cell r="A454" t="str">
            <v>Duarte</v>
          </cell>
          <cell r="B454" t="str">
            <v>Duarte*</v>
          </cell>
          <cell r="C454">
            <v>0.10249999999999999</v>
          </cell>
        </row>
        <row r="455">
          <cell r="A455" t="str">
            <v>Dublin</v>
          </cell>
          <cell r="B455" t="str">
            <v>Dublin*</v>
          </cell>
          <cell r="C455">
            <v>0.10249999999999999</v>
          </cell>
        </row>
        <row r="456">
          <cell r="A456" t="str">
            <v>Ducor</v>
          </cell>
          <cell r="B456" t="str">
            <v>Ducor</v>
          </cell>
          <cell r="C456">
            <v>7.7499999999999999E-2</v>
          </cell>
        </row>
        <row r="457">
          <cell r="A457" t="str">
            <v>Dulzura</v>
          </cell>
          <cell r="B457" t="str">
            <v>Dulzura</v>
          </cell>
          <cell r="C457">
            <v>7.7499999999999999E-2</v>
          </cell>
        </row>
        <row r="458">
          <cell r="A458" t="str">
            <v>Duncans Mills</v>
          </cell>
          <cell r="B458" t="str">
            <v>Duncans Mills</v>
          </cell>
          <cell r="C458">
            <v>8.5000000000000006E-2</v>
          </cell>
        </row>
        <row r="459">
          <cell r="A459" t="str">
            <v>Dunlap</v>
          </cell>
          <cell r="B459" t="str">
            <v>Dunlap</v>
          </cell>
          <cell r="C459">
            <v>7.9750000000000001E-2</v>
          </cell>
        </row>
        <row r="460">
          <cell r="A460" t="str">
            <v>Dunnigan</v>
          </cell>
          <cell r="B460" t="str">
            <v>Dunnigan</v>
          </cell>
          <cell r="C460">
            <v>7.2499999999999995E-2</v>
          </cell>
        </row>
        <row r="461">
          <cell r="A461" t="str">
            <v>Dunsmuir</v>
          </cell>
          <cell r="B461" t="str">
            <v>Dunsmuir*</v>
          </cell>
          <cell r="C461">
            <v>7.7499999999999999E-2</v>
          </cell>
        </row>
        <row r="462">
          <cell r="A462" t="str">
            <v>Durham</v>
          </cell>
          <cell r="B462" t="str">
            <v>Durham</v>
          </cell>
          <cell r="C462">
            <v>7.2499999999999995E-2</v>
          </cell>
        </row>
        <row r="463">
          <cell r="A463" t="str">
            <v>Dutch Flat</v>
          </cell>
          <cell r="B463" t="str">
            <v>Dutch Flat</v>
          </cell>
          <cell r="C463">
            <v>7.2499999999999995E-2</v>
          </cell>
        </row>
        <row r="464">
          <cell r="A464" t="str">
            <v>Eagle Mountain</v>
          </cell>
          <cell r="B464" t="str">
            <v>Eagle Mountain</v>
          </cell>
          <cell r="C464">
            <v>7.7499999999999999E-2</v>
          </cell>
        </row>
        <row r="465">
          <cell r="A465" t="str">
            <v>Eagle Rock</v>
          </cell>
          <cell r="B465" t="str">
            <v>Eagle Rock (Los Angeles*)</v>
          </cell>
          <cell r="C465">
            <v>9.5000000000000001E-2</v>
          </cell>
        </row>
        <row r="466">
          <cell r="A466" t="str">
            <v>Eagleville</v>
          </cell>
          <cell r="B466" t="str">
            <v>Eagleville</v>
          </cell>
          <cell r="C466">
            <v>7.2499999999999995E-2</v>
          </cell>
        </row>
        <row r="467">
          <cell r="A467" t="str">
            <v>Earlimart</v>
          </cell>
          <cell r="B467" t="str">
            <v>Earlimart</v>
          </cell>
          <cell r="C467">
            <v>7.7499999999999999E-2</v>
          </cell>
        </row>
        <row r="468">
          <cell r="A468" t="str">
            <v>Earp</v>
          </cell>
          <cell r="B468" t="str">
            <v>Earp</v>
          </cell>
          <cell r="C468">
            <v>7.7499999999999999E-2</v>
          </cell>
        </row>
        <row r="469">
          <cell r="A469" t="str">
            <v>East Highlands</v>
          </cell>
          <cell r="B469" t="str">
            <v>East Highlands (Highland*)</v>
          </cell>
          <cell r="C469">
            <v>7.7499999999999999E-2</v>
          </cell>
        </row>
        <row r="470">
          <cell r="A470" t="str">
            <v>East Irvine</v>
          </cell>
          <cell r="B470" t="str">
            <v>East Irvine (Irvine*)</v>
          </cell>
          <cell r="C470">
            <v>7.7499999999999999E-2</v>
          </cell>
        </row>
        <row r="471">
          <cell r="A471" t="str">
            <v>East Los Angeles</v>
          </cell>
          <cell r="B471" t="str">
            <v>East Los Angeles</v>
          </cell>
          <cell r="C471">
            <v>9.5000000000000001E-2</v>
          </cell>
        </row>
        <row r="472">
          <cell r="A472" t="str">
            <v>East Lynwood</v>
          </cell>
          <cell r="B472" t="str">
            <v>East Lynwood (Lynwood*)</v>
          </cell>
          <cell r="C472">
            <v>0.10249999999999999</v>
          </cell>
        </row>
        <row r="473">
          <cell r="A473" t="str">
            <v>East Nicolaus</v>
          </cell>
          <cell r="B473" t="str">
            <v>East Nicolaus</v>
          </cell>
          <cell r="C473">
            <v>7.2499999999999995E-2</v>
          </cell>
        </row>
        <row r="474">
          <cell r="A474" t="str">
            <v>East Palo Alto</v>
          </cell>
          <cell r="B474" t="str">
            <v>East Palo Alto*</v>
          </cell>
          <cell r="C474">
            <v>9.8750000000000004E-2</v>
          </cell>
        </row>
        <row r="475">
          <cell r="A475" t="str">
            <v>East Porterville</v>
          </cell>
          <cell r="B475" t="str">
            <v>East Porterville</v>
          </cell>
          <cell r="C475">
            <v>7.7499999999999999E-2</v>
          </cell>
        </row>
        <row r="476">
          <cell r="A476" t="str">
            <v>East Rancho Dominguez</v>
          </cell>
          <cell r="B476" t="str">
            <v>East Rancho Dominguez</v>
          </cell>
          <cell r="C476">
            <v>9.5000000000000001E-2</v>
          </cell>
        </row>
        <row r="477">
          <cell r="A477" t="str">
            <v>East San Pedro</v>
          </cell>
          <cell r="B477" t="str">
            <v>East San Pedro (Los Angeles*)</v>
          </cell>
          <cell r="C477">
            <v>9.5000000000000001E-2</v>
          </cell>
        </row>
        <row r="478">
          <cell r="A478" t="str">
            <v>Eastgate</v>
          </cell>
          <cell r="B478" t="str">
            <v>Eastgate</v>
          </cell>
          <cell r="C478">
            <v>9.5000000000000001E-2</v>
          </cell>
        </row>
        <row r="479">
          <cell r="A479" t="str">
            <v>Easton</v>
          </cell>
          <cell r="B479" t="str">
            <v>Easton</v>
          </cell>
          <cell r="C479">
            <v>7.9750000000000001E-2</v>
          </cell>
        </row>
        <row r="480">
          <cell r="A480" t="str">
            <v>Eastside</v>
          </cell>
          <cell r="B480" t="str">
            <v>Eastside</v>
          </cell>
          <cell r="C480">
            <v>7.7499999999999999E-2</v>
          </cell>
        </row>
        <row r="481">
          <cell r="A481" t="str">
            <v>Eastvale</v>
          </cell>
          <cell r="B481" t="str">
            <v>Eastvale*</v>
          </cell>
          <cell r="C481">
            <v>7.7499999999999999E-2</v>
          </cell>
        </row>
        <row r="482">
          <cell r="A482" t="str">
            <v>Echo Lake</v>
          </cell>
          <cell r="B482" t="str">
            <v>Echo Lake</v>
          </cell>
          <cell r="C482">
            <v>7.2499999999999995E-2</v>
          </cell>
        </row>
        <row r="483">
          <cell r="A483" t="str">
            <v>Echo Park</v>
          </cell>
          <cell r="B483" t="str">
            <v>Echo Park (Los Angeles*)</v>
          </cell>
          <cell r="C483">
            <v>9.5000000000000001E-2</v>
          </cell>
        </row>
        <row r="484">
          <cell r="A484" t="str">
            <v>Edgemont</v>
          </cell>
          <cell r="B484" t="str">
            <v>Edgemont (Moreno Valley*)</v>
          </cell>
          <cell r="C484">
            <v>7.7499999999999999E-2</v>
          </cell>
        </row>
        <row r="485">
          <cell r="A485" t="str">
            <v>Edgewood</v>
          </cell>
          <cell r="B485" t="str">
            <v>Edgewood</v>
          </cell>
          <cell r="C485">
            <v>7.2499999999999995E-2</v>
          </cell>
        </row>
        <row r="486">
          <cell r="A486" t="str">
            <v>Edison</v>
          </cell>
          <cell r="B486" t="str">
            <v>Edison</v>
          </cell>
          <cell r="C486">
            <v>7.2499999999999995E-2</v>
          </cell>
        </row>
        <row r="487">
          <cell r="A487" t="str">
            <v>Edwards</v>
          </cell>
          <cell r="B487" t="str">
            <v>Edwards</v>
          </cell>
          <cell r="C487">
            <v>7.2499999999999995E-2</v>
          </cell>
        </row>
        <row r="488">
          <cell r="A488" t="str">
            <v>Edwards A.F.B.</v>
          </cell>
          <cell r="B488" t="str">
            <v>Edwards A.F.B.</v>
          </cell>
          <cell r="C488">
            <v>7.2499999999999995E-2</v>
          </cell>
        </row>
        <row r="489">
          <cell r="A489" t="str">
            <v>El Cajon</v>
          </cell>
          <cell r="B489" t="str">
            <v>El Cajon*</v>
          </cell>
          <cell r="C489">
            <v>8.2500000000000004E-2</v>
          </cell>
        </row>
        <row r="490">
          <cell r="A490" t="str">
            <v>El Centro</v>
          </cell>
          <cell r="B490" t="str">
            <v>El Centro*</v>
          </cell>
          <cell r="C490">
            <v>8.2500000000000004E-2</v>
          </cell>
        </row>
        <row r="491">
          <cell r="A491" t="str">
            <v>El Cerrito</v>
          </cell>
          <cell r="B491" t="str">
            <v>El Cerrito*</v>
          </cell>
          <cell r="C491">
            <v>0.10249999999999999</v>
          </cell>
        </row>
        <row r="492">
          <cell r="A492" t="str">
            <v>El Dorado</v>
          </cell>
          <cell r="B492" t="str">
            <v>El Dorado</v>
          </cell>
          <cell r="C492">
            <v>7.2499999999999995E-2</v>
          </cell>
        </row>
        <row r="493">
          <cell r="A493" t="str">
            <v>El Dorado Hills</v>
          </cell>
          <cell r="B493" t="str">
            <v>El Dorado Hills</v>
          </cell>
          <cell r="C493">
            <v>7.2499999999999995E-2</v>
          </cell>
        </row>
        <row r="494">
          <cell r="A494" t="str">
            <v>El Granada</v>
          </cell>
          <cell r="B494" t="str">
            <v>El Granada</v>
          </cell>
          <cell r="C494">
            <v>9.375E-2</v>
          </cell>
        </row>
        <row r="495">
          <cell r="A495" t="str">
            <v>El Macero</v>
          </cell>
          <cell r="B495" t="str">
            <v>El Macero</v>
          </cell>
          <cell r="C495">
            <v>7.2499999999999995E-2</v>
          </cell>
        </row>
        <row r="496">
          <cell r="A496" t="str">
            <v>El Modena</v>
          </cell>
          <cell r="B496" t="str">
            <v>El Modena</v>
          </cell>
          <cell r="C496">
            <v>7.7499999999999999E-2</v>
          </cell>
        </row>
        <row r="497">
          <cell r="A497" t="str">
            <v>El Monte</v>
          </cell>
          <cell r="B497" t="str">
            <v>El Monte*</v>
          </cell>
          <cell r="C497">
            <v>0.1</v>
          </cell>
        </row>
        <row r="498">
          <cell r="A498" t="str">
            <v>El Nido</v>
          </cell>
          <cell r="B498" t="str">
            <v>El Nido</v>
          </cell>
          <cell r="C498">
            <v>7.7499999999999999E-2</v>
          </cell>
        </row>
        <row r="499">
          <cell r="A499" t="str">
            <v>El Portal</v>
          </cell>
          <cell r="B499" t="str">
            <v>El Portal</v>
          </cell>
          <cell r="C499">
            <v>8.7499999999999994E-2</v>
          </cell>
        </row>
        <row r="500">
          <cell r="A500" t="str">
            <v>El Segundo</v>
          </cell>
          <cell r="B500" t="str">
            <v>El Segundo*</v>
          </cell>
          <cell r="C500">
            <v>9.5000000000000001E-2</v>
          </cell>
        </row>
        <row r="501">
          <cell r="A501" t="str">
            <v>El Sobrante</v>
          </cell>
          <cell r="B501" t="str">
            <v>El Sobrante</v>
          </cell>
          <cell r="C501">
            <v>8.7499999999999994E-2</v>
          </cell>
        </row>
        <row r="502">
          <cell r="A502" t="str">
            <v>El Toro</v>
          </cell>
          <cell r="B502" t="str">
            <v>El Toro (Lake Forest*)</v>
          </cell>
          <cell r="C502">
            <v>7.7499999999999999E-2</v>
          </cell>
        </row>
        <row r="503">
          <cell r="A503" t="str">
            <v>El Toro M.C.A.S.</v>
          </cell>
          <cell r="B503" t="str">
            <v>El Toro M.C.A.S.</v>
          </cell>
          <cell r="C503">
            <v>7.7499999999999999E-2</v>
          </cell>
        </row>
        <row r="504">
          <cell r="A504" t="str">
            <v>El Verano</v>
          </cell>
          <cell r="B504" t="str">
            <v>El Verano</v>
          </cell>
          <cell r="C504">
            <v>8.5000000000000006E-2</v>
          </cell>
        </row>
        <row r="505">
          <cell r="A505" t="str">
            <v>El Viejo</v>
          </cell>
          <cell r="B505" t="str">
            <v>El Viejo</v>
          </cell>
          <cell r="C505">
            <v>7.8750000000000001E-2</v>
          </cell>
        </row>
        <row r="506">
          <cell r="A506" t="str">
            <v>Eldridge</v>
          </cell>
          <cell r="B506" t="str">
            <v>Eldridge</v>
          </cell>
          <cell r="C506">
            <v>8.5000000000000006E-2</v>
          </cell>
        </row>
        <row r="507">
          <cell r="A507" t="str">
            <v>Elizabeth Lake</v>
          </cell>
          <cell r="B507" t="str">
            <v>Elizabeth Lake</v>
          </cell>
          <cell r="C507">
            <v>9.5000000000000001E-2</v>
          </cell>
        </row>
        <row r="508">
          <cell r="A508" t="str">
            <v>Elk</v>
          </cell>
          <cell r="B508" t="str">
            <v>Elk</v>
          </cell>
          <cell r="C508">
            <v>7.8750000000000001E-2</v>
          </cell>
        </row>
        <row r="509">
          <cell r="A509" t="str">
            <v>Elk Creek</v>
          </cell>
          <cell r="B509" t="str">
            <v>Elk Creek</v>
          </cell>
          <cell r="C509">
            <v>7.2499999999999995E-2</v>
          </cell>
        </row>
        <row r="510">
          <cell r="A510" t="str">
            <v>Elk Grove</v>
          </cell>
          <cell r="B510" t="str">
            <v>Elk Grove*</v>
          </cell>
          <cell r="C510">
            <v>7.7499999999999999E-2</v>
          </cell>
        </row>
        <row r="511">
          <cell r="A511" t="str">
            <v>Elmira</v>
          </cell>
          <cell r="B511" t="str">
            <v>Elmira</v>
          </cell>
          <cell r="C511">
            <v>7.3749999999999996E-2</v>
          </cell>
        </row>
        <row r="512">
          <cell r="A512" t="str">
            <v>Elmwood</v>
          </cell>
          <cell r="B512" t="str">
            <v>Elmwood</v>
          </cell>
          <cell r="C512">
            <v>0.10249999999999999</v>
          </cell>
        </row>
        <row r="513">
          <cell r="A513" t="str">
            <v>Elverta</v>
          </cell>
          <cell r="B513" t="str">
            <v>Elverta</v>
          </cell>
          <cell r="C513">
            <v>7.7499999999999999E-2</v>
          </cell>
        </row>
        <row r="514">
          <cell r="A514" t="str">
            <v>Emerald Hills</v>
          </cell>
          <cell r="B514" t="str">
            <v>Emerald Hills (Redwood City*)</v>
          </cell>
          <cell r="C514">
            <v>9.8750000000000004E-2</v>
          </cell>
        </row>
        <row r="515">
          <cell r="A515" t="str">
            <v>Emeryville</v>
          </cell>
          <cell r="B515" t="str">
            <v>Emeryville*</v>
          </cell>
          <cell r="C515">
            <v>0.105</v>
          </cell>
        </row>
        <row r="516">
          <cell r="A516" t="str">
            <v>Emigrant Gap</v>
          </cell>
          <cell r="B516" t="str">
            <v>Emigrant Gap</v>
          </cell>
          <cell r="C516">
            <v>7.2499999999999995E-2</v>
          </cell>
        </row>
        <row r="517">
          <cell r="A517" t="str">
            <v>Empire</v>
          </cell>
          <cell r="B517" t="str">
            <v>Empire</v>
          </cell>
          <cell r="C517">
            <v>7.8750000000000001E-2</v>
          </cell>
        </row>
        <row r="518">
          <cell r="A518" t="str">
            <v>Encinitas</v>
          </cell>
          <cell r="B518" t="str">
            <v>Encinitas*</v>
          </cell>
          <cell r="C518">
            <v>7.7499999999999999E-2</v>
          </cell>
        </row>
        <row r="519">
          <cell r="A519" t="str">
            <v>Encino</v>
          </cell>
          <cell r="B519" t="str">
            <v>Encino (Los Angeles*)</v>
          </cell>
          <cell r="C519">
            <v>9.5000000000000001E-2</v>
          </cell>
        </row>
        <row r="520">
          <cell r="A520" t="str">
            <v>Enterprise</v>
          </cell>
          <cell r="B520" t="str">
            <v>Enterprise</v>
          </cell>
          <cell r="C520">
            <v>7.2499999999999995E-2</v>
          </cell>
        </row>
        <row r="521">
          <cell r="A521" t="str">
            <v>Escalon</v>
          </cell>
          <cell r="B521" t="str">
            <v>Escalon*</v>
          </cell>
          <cell r="C521">
            <v>7.7499999999999999E-2</v>
          </cell>
        </row>
        <row r="522">
          <cell r="A522" t="str">
            <v>Escondido</v>
          </cell>
          <cell r="B522" t="str">
            <v>Escondido*</v>
          </cell>
          <cell r="C522">
            <v>7.7499999999999999E-2</v>
          </cell>
        </row>
        <row r="523">
          <cell r="A523" t="str">
            <v>Esparto</v>
          </cell>
          <cell r="B523" t="str">
            <v>Esparto</v>
          </cell>
          <cell r="C523">
            <v>7.2499999999999995E-2</v>
          </cell>
        </row>
        <row r="524">
          <cell r="A524" t="str">
            <v>Essex</v>
          </cell>
          <cell r="B524" t="str">
            <v>Essex</v>
          </cell>
          <cell r="C524">
            <v>7.7499999999999999E-2</v>
          </cell>
        </row>
        <row r="525">
          <cell r="A525" t="str">
            <v>Etiwanda</v>
          </cell>
          <cell r="B525" t="str">
            <v>Etiwanda (Rancho Cucamonga*)</v>
          </cell>
          <cell r="C525">
            <v>7.7499999999999999E-2</v>
          </cell>
        </row>
        <row r="526">
          <cell r="A526" t="str">
            <v>Etna</v>
          </cell>
          <cell r="B526" t="str">
            <v>Etna*</v>
          </cell>
          <cell r="C526">
            <v>7.2499999999999995E-2</v>
          </cell>
        </row>
        <row r="527">
          <cell r="A527" t="str">
            <v>Ettersburg</v>
          </cell>
          <cell r="B527" t="str">
            <v>Ettersburg</v>
          </cell>
          <cell r="C527">
            <v>7.7499999999999999E-2</v>
          </cell>
        </row>
        <row r="528">
          <cell r="A528" t="str">
            <v>Eureka</v>
          </cell>
          <cell r="B528" t="str">
            <v>Eureka*</v>
          </cell>
          <cell r="C528">
            <v>9.2499999999999999E-2</v>
          </cell>
        </row>
        <row r="529">
          <cell r="A529" t="str">
            <v>Exeter</v>
          </cell>
          <cell r="B529" t="str">
            <v>Exeter*</v>
          </cell>
          <cell r="C529">
            <v>8.7499999999999994E-2</v>
          </cell>
        </row>
        <row r="530">
          <cell r="A530" t="str">
            <v>Fair Oaks</v>
          </cell>
          <cell r="B530" t="str">
            <v>Fair Oaks</v>
          </cell>
          <cell r="C530">
            <v>7.7499999999999999E-2</v>
          </cell>
        </row>
        <row r="531">
          <cell r="A531" t="str">
            <v>Fairfax</v>
          </cell>
          <cell r="B531" t="str">
            <v>Fairfax*</v>
          </cell>
          <cell r="C531">
            <v>0.09</v>
          </cell>
        </row>
        <row r="532">
          <cell r="A532" t="str">
            <v>Fairfield</v>
          </cell>
          <cell r="B532" t="str">
            <v>Fairfield*</v>
          </cell>
          <cell r="C532">
            <v>8.3749999999999991E-2</v>
          </cell>
        </row>
        <row r="533">
          <cell r="A533" t="str">
            <v>Fairmount</v>
          </cell>
          <cell r="B533" t="str">
            <v>Fairmount</v>
          </cell>
          <cell r="C533">
            <v>8.7499999999999994E-2</v>
          </cell>
        </row>
        <row r="534">
          <cell r="A534" t="str">
            <v>Fall River Mills</v>
          </cell>
          <cell r="B534" t="str">
            <v>Fall River Mills</v>
          </cell>
          <cell r="C534">
            <v>7.2499999999999995E-2</v>
          </cell>
        </row>
        <row r="535">
          <cell r="A535" t="str">
            <v>Fallbrook</v>
          </cell>
          <cell r="B535" t="str">
            <v>Fallbrook</v>
          </cell>
          <cell r="C535">
            <v>7.7499999999999999E-2</v>
          </cell>
        </row>
        <row r="536">
          <cell r="A536" t="str">
            <v>Fallbrook Junction</v>
          </cell>
          <cell r="B536" t="str">
            <v>Fallbrook Junction</v>
          </cell>
          <cell r="C536">
            <v>7.7499999999999999E-2</v>
          </cell>
        </row>
        <row r="537">
          <cell r="A537" t="str">
            <v>Fallen Leaf</v>
          </cell>
          <cell r="B537" t="str">
            <v>Fallen Leaf</v>
          </cell>
          <cell r="C537">
            <v>7.2499999999999995E-2</v>
          </cell>
        </row>
        <row r="538">
          <cell r="A538" t="str">
            <v>Fallon</v>
          </cell>
          <cell r="B538" t="str">
            <v>Fallon</v>
          </cell>
          <cell r="C538">
            <v>8.2500000000000004E-2</v>
          </cell>
        </row>
        <row r="539">
          <cell r="A539" t="str">
            <v>Fancher</v>
          </cell>
          <cell r="B539" t="str">
            <v>Fancher</v>
          </cell>
          <cell r="C539">
            <v>7.9750000000000001E-2</v>
          </cell>
        </row>
        <row r="540">
          <cell r="A540" t="str">
            <v>Farmersville</v>
          </cell>
          <cell r="B540" t="str">
            <v>Farmersville*</v>
          </cell>
          <cell r="C540">
            <v>8.7500000000000008E-2</v>
          </cell>
        </row>
        <row r="541">
          <cell r="A541" t="str">
            <v>Farmington</v>
          </cell>
          <cell r="B541" t="str">
            <v>Farmington</v>
          </cell>
          <cell r="C541">
            <v>7.7499999999999999E-2</v>
          </cell>
        </row>
        <row r="542">
          <cell r="A542" t="str">
            <v>Fawnskin</v>
          </cell>
          <cell r="B542" t="str">
            <v>Fawnskin</v>
          </cell>
          <cell r="C542">
            <v>7.7499999999999999E-2</v>
          </cell>
        </row>
        <row r="543">
          <cell r="A543" t="str">
            <v>Feather Falls</v>
          </cell>
          <cell r="B543" t="str">
            <v>Feather Falls</v>
          </cell>
          <cell r="C543">
            <v>7.2499999999999995E-2</v>
          </cell>
        </row>
        <row r="544">
          <cell r="A544" t="str">
            <v>Fellows</v>
          </cell>
          <cell r="B544" t="str">
            <v>Fellows</v>
          </cell>
          <cell r="C544">
            <v>7.2499999999999995E-2</v>
          </cell>
        </row>
        <row r="545">
          <cell r="A545" t="str">
            <v>Felton</v>
          </cell>
          <cell r="B545" t="str">
            <v>Felton</v>
          </cell>
          <cell r="C545">
            <v>0.09</v>
          </cell>
        </row>
        <row r="546">
          <cell r="A546" t="str">
            <v>Fenner</v>
          </cell>
          <cell r="B546" t="str">
            <v>Fenner</v>
          </cell>
          <cell r="C546">
            <v>7.7499999999999999E-2</v>
          </cell>
        </row>
        <row r="547">
          <cell r="A547" t="str">
            <v>Fernbridge</v>
          </cell>
          <cell r="B547" t="str">
            <v>Fernbridge (Fortuna*)</v>
          </cell>
          <cell r="C547">
            <v>8.5000000000000006E-2</v>
          </cell>
        </row>
        <row r="548">
          <cell r="A548" t="str">
            <v>Ferndale</v>
          </cell>
          <cell r="B548" t="str">
            <v>Ferndale*</v>
          </cell>
          <cell r="C548">
            <v>7.7499999999999999E-2</v>
          </cell>
        </row>
        <row r="549">
          <cell r="A549" t="str">
            <v>Fiddletown</v>
          </cell>
          <cell r="B549" t="str">
            <v>Fiddletown</v>
          </cell>
          <cell r="C549">
            <v>7.7499999999999999E-2</v>
          </cell>
        </row>
        <row r="550">
          <cell r="A550" t="str">
            <v>Fields Landing</v>
          </cell>
          <cell r="B550" t="str">
            <v>Fields Landing</v>
          </cell>
          <cell r="C550">
            <v>7.7499999999999999E-2</v>
          </cell>
        </row>
        <row r="551">
          <cell r="A551" t="str">
            <v>Fig Garden Village</v>
          </cell>
          <cell r="B551" t="str">
            <v>Fig Garden Village (Fresno*)</v>
          </cell>
          <cell r="C551">
            <v>7.9750000000000001E-2</v>
          </cell>
        </row>
        <row r="552">
          <cell r="A552" t="str">
            <v>Fillmore</v>
          </cell>
          <cell r="B552" t="str">
            <v>Fillmore*</v>
          </cell>
          <cell r="C552">
            <v>7.2499999999999995E-2</v>
          </cell>
        </row>
        <row r="553">
          <cell r="A553" t="str">
            <v>Finley</v>
          </cell>
          <cell r="B553" t="str">
            <v>Finley</v>
          </cell>
          <cell r="C553">
            <v>7.2499999999999995E-2</v>
          </cell>
        </row>
        <row r="554">
          <cell r="A554" t="str">
            <v>Firebaugh</v>
          </cell>
          <cell r="B554" t="str">
            <v>Firebaugh*</v>
          </cell>
          <cell r="C554">
            <v>7.9750000000000001E-2</v>
          </cell>
        </row>
        <row r="555">
          <cell r="A555" t="str">
            <v>Fish Camp</v>
          </cell>
          <cell r="B555" t="str">
            <v>Fish Camp</v>
          </cell>
          <cell r="C555">
            <v>8.7499999999999994E-2</v>
          </cell>
        </row>
        <row r="556">
          <cell r="A556" t="str">
            <v>Five Points</v>
          </cell>
          <cell r="B556" t="str">
            <v>Five Points</v>
          </cell>
          <cell r="C556">
            <v>7.9750000000000001E-2</v>
          </cell>
        </row>
        <row r="557">
          <cell r="A557" t="str">
            <v>Flinn Springs</v>
          </cell>
          <cell r="B557" t="str">
            <v>Flinn Springs</v>
          </cell>
          <cell r="C557">
            <v>7.7499999999999999E-2</v>
          </cell>
        </row>
        <row r="558">
          <cell r="A558" t="str">
            <v>Flintridge</v>
          </cell>
          <cell r="B558" t="str">
            <v>Flintridge (LaCanada/ Flintridge*)</v>
          </cell>
          <cell r="C558">
            <v>9.5000000000000001E-2</v>
          </cell>
        </row>
        <row r="559">
          <cell r="A559" t="str">
            <v>Florence</v>
          </cell>
          <cell r="B559" t="str">
            <v>Florence</v>
          </cell>
          <cell r="C559">
            <v>9.5000000000000001E-2</v>
          </cell>
        </row>
        <row r="560">
          <cell r="A560" t="str">
            <v>Floriston</v>
          </cell>
          <cell r="B560" t="str">
            <v>Floriston</v>
          </cell>
          <cell r="C560">
            <v>7.4999999999999997E-2</v>
          </cell>
        </row>
        <row r="561">
          <cell r="A561" t="str">
            <v>Flournoy</v>
          </cell>
          <cell r="B561" t="str">
            <v>Flournoy</v>
          </cell>
          <cell r="C561">
            <v>7.2499999999999995E-2</v>
          </cell>
        </row>
        <row r="562">
          <cell r="A562" t="str">
            <v>Folsom</v>
          </cell>
          <cell r="B562" t="str">
            <v>Folsom*</v>
          </cell>
          <cell r="C562">
            <v>7.7499999999999999E-2</v>
          </cell>
        </row>
        <row r="563">
          <cell r="A563" t="str">
            <v>Fontana</v>
          </cell>
          <cell r="B563" t="str">
            <v>Fontana*</v>
          </cell>
          <cell r="C563">
            <v>7.7499999999999999E-2</v>
          </cell>
        </row>
        <row r="564">
          <cell r="A564" t="str">
            <v>Foothill Ranch</v>
          </cell>
          <cell r="B564" t="str">
            <v>Foothill Ranch</v>
          </cell>
          <cell r="C564">
            <v>7.7499999999999999E-2</v>
          </cell>
        </row>
        <row r="565">
          <cell r="A565" t="str">
            <v>Forbestown</v>
          </cell>
          <cell r="B565" t="str">
            <v>Forbestown</v>
          </cell>
          <cell r="C565">
            <v>7.2499999999999995E-2</v>
          </cell>
        </row>
        <row r="566">
          <cell r="A566" t="str">
            <v>Forest Falls</v>
          </cell>
          <cell r="B566" t="str">
            <v>Forest Falls</v>
          </cell>
          <cell r="C566">
            <v>7.7499999999999999E-2</v>
          </cell>
        </row>
        <row r="567">
          <cell r="A567" t="str">
            <v>Forest Glen</v>
          </cell>
          <cell r="B567" t="str">
            <v>Forest Glen</v>
          </cell>
          <cell r="C567">
            <v>7.2499999999999995E-2</v>
          </cell>
        </row>
        <row r="568">
          <cell r="A568" t="str">
            <v>Forest Knolls</v>
          </cell>
          <cell r="B568" t="str">
            <v>Forest Knolls</v>
          </cell>
          <cell r="C568">
            <v>8.2500000000000004E-2</v>
          </cell>
        </row>
        <row r="569">
          <cell r="A569" t="str">
            <v>Forest Park</v>
          </cell>
          <cell r="B569" t="str">
            <v>Forest Park</v>
          </cell>
          <cell r="C569">
            <v>9.5000000000000001E-2</v>
          </cell>
        </row>
        <row r="570">
          <cell r="A570" t="str">
            <v>Forest Ranch</v>
          </cell>
          <cell r="B570" t="str">
            <v>Forest Ranch</v>
          </cell>
          <cell r="C570">
            <v>7.2499999999999995E-2</v>
          </cell>
        </row>
        <row r="571">
          <cell r="A571" t="str">
            <v>Foresthill</v>
          </cell>
          <cell r="B571" t="str">
            <v>Foresthill</v>
          </cell>
          <cell r="C571">
            <v>7.2499999999999995E-2</v>
          </cell>
        </row>
        <row r="572">
          <cell r="A572" t="str">
            <v>Forestville</v>
          </cell>
          <cell r="B572" t="str">
            <v>Forestville</v>
          </cell>
          <cell r="C572">
            <v>8.5000000000000006E-2</v>
          </cell>
        </row>
        <row r="573">
          <cell r="A573" t="str">
            <v>Forks of Salmon</v>
          </cell>
          <cell r="B573" t="str">
            <v>Forks of Salmon</v>
          </cell>
          <cell r="C573">
            <v>7.2499999999999995E-2</v>
          </cell>
        </row>
        <row r="574">
          <cell r="A574" t="str">
            <v>Fort Bidwell</v>
          </cell>
          <cell r="B574" t="str">
            <v>Fort Bidwell</v>
          </cell>
          <cell r="C574">
            <v>7.2499999999999995E-2</v>
          </cell>
        </row>
        <row r="575">
          <cell r="A575" t="str">
            <v>Fort Bragg</v>
          </cell>
          <cell r="B575" t="str">
            <v>Fort Bragg*</v>
          </cell>
          <cell r="C575">
            <v>8.8750000000000009E-2</v>
          </cell>
        </row>
        <row r="576">
          <cell r="A576" t="str">
            <v>Fort Dick</v>
          </cell>
          <cell r="B576" t="str">
            <v>Fort Dick</v>
          </cell>
          <cell r="C576">
            <v>8.2500000000000004E-2</v>
          </cell>
        </row>
        <row r="577">
          <cell r="A577" t="str">
            <v>Fort Irwin</v>
          </cell>
          <cell r="B577" t="str">
            <v>Fort Irwin</v>
          </cell>
          <cell r="C577">
            <v>7.7499999999999999E-2</v>
          </cell>
        </row>
        <row r="578">
          <cell r="A578" t="str">
            <v>Fort Jones</v>
          </cell>
          <cell r="B578" t="str">
            <v>Fort Jones*</v>
          </cell>
          <cell r="C578">
            <v>7.2499999999999995E-2</v>
          </cell>
        </row>
        <row r="579">
          <cell r="A579" t="str">
            <v>Fort Ord</v>
          </cell>
          <cell r="B579" t="str">
            <v>Fort Ord</v>
          </cell>
          <cell r="C579">
            <v>7.7499999999999999E-2</v>
          </cell>
        </row>
        <row r="580">
          <cell r="A580" t="str">
            <v>Fort Ord</v>
          </cell>
          <cell r="B580" t="str">
            <v>Fort Ord (Marina*)</v>
          </cell>
          <cell r="C580">
            <v>9.2499999999999999E-2</v>
          </cell>
        </row>
        <row r="581">
          <cell r="A581" t="str">
            <v>Fort Ord</v>
          </cell>
          <cell r="B581" t="str">
            <v>Fort Ord (Seaside*)</v>
          </cell>
          <cell r="C581">
            <v>9.2499999999999999E-2</v>
          </cell>
        </row>
        <row r="582">
          <cell r="A582" t="str">
            <v>Fort Seward</v>
          </cell>
          <cell r="B582" t="str">
            <v>Fort Seward</v>
          </cell>
          <cell r="C582">
            <v>7.7499999999999999E-2</v>
          </cell>
        </row>
        <row r="583">
          <cell r="A583" t="str">
            <v>Fortuna</v>
          </cell>
          <cell r="B583" t="str">
            <v>Fortuna*</v>
          </cell>
          <cell r="C583">
            <v>8.5000000000000006E-2</v>
          </cell>
        </row>
        <row r="584">
          <cell r="A584" t="str">
            <v>Foster City</v>
          </cell>
          <cell r="B584" t="str">
            <v>Foster City*</v>
          </cell>
          <cell r="C584">
            <v>9.375E-2</v>
          </cell>
        </row>
        <row r="585">
          <cell r="A585" t="str">
            <v>Fountain Valley</v>
          </cell>
          <cell r="B585" t="str">
            <v>Fountain Valley*</v>
          </cell>
          <cell r="C585">
            <v>8.7499999999999994E-2</v>
          </cell>
        </row>
        <row r="586">
          <cell r="A586" t="str">
            <v>Fowler</v>
          </cell>
          <cell r="B586" t="str">
            <v>Fowler*</v>
          </cell>
          <cell r="C586">
            <v>8.9749999999999996E-2</v>
          </cell>
        </row>
        <row r="587">
          <cell r="A587" t="str">
            <v>Frazier Park</v>
          </cell>
          <cell r="B587" t="str">
            <v>Frazier Park</v>
          </cell>
          <cell r="C587">
            <v>7.2499999999999995E-2</v>
          </cell>
        </row>
        <row r="588">
          <cell r="A588" t="str">
            <v>Freedom</v>
          </cell>
          <cell r="B588" t="str">
            <v>Freedom</v>
          </cell>
          <cell r="C588">
            <v>0.09</v>
          </cell>
        </row>
        <row r="589">
          <cell r="A589" t="str">
            <v>Freedom</v>
          </cell>
          <cell r="B589" t="str">
            <v>Freedom (Watsonville*)</v>
          </cell>
          <cell r="C589">
            <v>9.2499999999999999E-2</v>
          </cell>
        </row>
        <row r="590">
          <cell r="A590" t="str">
            <v>Freeport</v>
          </cell>
          <cell r="B590" t="str">
            <v>Freeport</v>
          </cell>
          <cell r="C590">
            <v>7.7499999999999999E-2</v>
          </cell>
        </row>
        <row r="591">
          <cell r="A591" t="str">
            <v>Freestone</v>
          </cell>
          <cell r="B591" t="str">
            <v>Freestone</v>
          </cell>
          <cell r="C591">
            <v>8.5000000000000006E-2</v>
          </cell>
        </row>
        <row r="592">
          <cell r="A592" t="str">
            <v>Fremont</v>
          </cell>
          <cell r="B592" t="str">
            <v>Fremont*</v>
          </cell>
          <cell r="C592">
            <v>0.10249999999999999</v>
          </cell>
        </row>
        <row r="593">
          <cell r="A593" t="str">
            <v>French Camp</v>
          </cell>
          <cell r="B593" t="str">
            <v>French Camp</v>
          </cell>
          <cell r="C593">
            <v>7.7499999999999999E-2</v>
          </cell>
        </row>
        <row r="594">
          <cell r="A594" t="str">
            <v>French Gulch</v>
          </cell>
          <cell r="B594" t="str">
            <v>French Gulch</v>
          </cell>
          <cell r="C594">
            <v>7.2499999999999995E-2</v>
          </cell>
        </row>
        <row r="595">
          <cell r="A595" t="str">
            <v>Freshwater</v>
          </cell>
          <cell r="B595" t="str">
            <v>Freshwater</v>
          </cell>
          <cell r="C595">
            <v>7.7499999999999999E-2</v>
          </cell>
        </row>
        <row r="596">
          <cell r="A596" t="str">
            <v>Fresno</v>
          </cell>
          <cell r="B596" t="str">
            <v>Fresno*</v>
          </cell>
          <cell r="C596">
            <v>8.3500000000000005E-2</v>
          </cell>
        </row>
        <row r="597">
          <cell r="A597" t="str">
            <v>Friant</v>
          </cell>
          <cell r="B597" t="str">
            <v>Friant</v>
          </cell>
          <cell r="C597">
            <v>7.9750000000000001E-2</v>
          </cell>
        </row>
        <row r="598">
          <cell r="A598" t="str">
            <v>Friendly Valley</v>
          </cell>
          <cell r="B598" t="str">
            <v>Friendly Valley (Santa Clarita*)</v>
          </cell>
          <cell r="C598">
            <v>9.5000000000000001E-2</v>
          </cell>
        </row>
        <row r="599">
          <cell r="A599" t="str">
            <v>Frontera</v>
          </cell>
          <cell r="B599" t="str">
            <v>Frontera</v>
          </cell>
          <cell r="C599">
            <v>7.7499999999999999E-2</v>
          </cell>
        </row>
        <row r="600">
          <cell r="A600" t="str">
            <v>Fullerton</v>
          </cell>
          <cell r="B600" t="str">
            <v>Fullerton*</v>
          </cell>
          <cell r="C600">
            <v>7.7499999999999999E-2</v>
          </cell>
        </row>
        <row r="601">
          <cell r="A601" t="str">
            <v>Fulton</v>
          </cell>
          <cell r="B601" t="str">
            <v>Fulton</v>
          </cell>
          <cell r="C601">
            <v>8.5000000000000006E-2</v>
          </cell>
        </row>
        <row r="602">
          <cell r="A602" t="str">
            <v>Galt</v>
          </cell>
          <cell r="B602" t="str">
            <v>Galt*</v>
          </cell>
          <cell r="C602">
            <v>8.2500000000000004E-2</v>
          </cell>
        </row>
        <row r="603">
          <cell r="A603" t="str">
            <v>Garberville</v>
          </cell>
          <cell r="B603" t="str">
            <v>Garberville</v>
          </cell>
          <cell r="C603">
            <v>7.7499999999999999E-2</v>
          </cell>
        </row>
        <row r="604">
          <cell r="A604" t="str">
            <v>Garden Grove</v>
          </cell>
          <cell r="B604" t="str">
            <v>Garden Grove*</v>
          </cell>
          <cell r="C604">
            <v>8.7499999999999994E-2</v>
          </cell>
        </row>
        <row r="605">
          <cell r="A605" t="str">
            <v>Garden Valley</v>
          </cell>
          <cell r="B605" t="str">
            <v>Garden Valley</v>
          </cell>
          <cell r="C605">
            <v>7.2499999999999995E-2</v>
          </cell>
        </row>
        <row r="606">
          <cell r="A606" t="str">
            <v>Gardena</v>
          </cell>
          <cell r="B606" t="str">
            <v>Gardena*</v>
          </cell>
          <cell r="C606">
            <v>0.10249999999999999</v>
          </cell>
        </row>
        <row r="607">
          <cell r="A607" t="str">
            <v>Garey</v>
          </cell>
          <cell r="B607" t="str">
            <v>Garey</v>
          </cell>
          <cell r="C607">
            <v>7.7499999999999999E-2</v>
          </cell>
        </row>
        <row r="608">
          <cell r="A608" t="str">
            <v>Garnet</v>
          </cell>
          <cell r="B608" t="str">
            <v>Garnet</v>
          </cell>
          <cell r="C608">
            <v>7.7499999999999999E-2</v>
          </cell>
        </row>
        <row r="609">
          <cell r="A609" t="str">
            <v>Gasquet</v>
          </cell>
          <cell r="B609" t="str">
            <v>Gasquet</v>
          </cell>
          <cell r="C609">
            <v>8.2500000000000004E-2</v>
          </cell>
        </row>
        <row r="610">
          <cell r="A610" t="str">
            <v>Gaviota</v>
          </cell>
          <cell r="B610" t="str">
            <v>Gaviota</v>
          </cell>
          <cell r="C610">
            <v>7.7499999999999999E-2</v>
          </cell>
        </row>
        <row r="611">
          <cell r="A611" t="str">
            <v>Gazelle</v>
          </cell>
          <cell r="B611" t="str">
            <v>Gazelle</v>
          </cell>
          <cell r="C611">
            <v>7.2499999999999995E-2</v>
          </cell>
        </row>
        <row r="612">
          <cell r="A612" t="str">
            <v>George A.F.B.</v>
          </cell>
          <cell r="B612" t="str">
            <v>George A.F.B.</v>
          </cell>
          <cell r="C612">
            <v>7.7499999999999999E-2</v>
          </cell>
        </row>
        <row r="613">
          <cell r="A613" t="str">
            <v>Georgetown</v>
          </cell>
          <cell r="B613" t="str">
            <v>Georgetown</v>
          </cell>
          <cell r="C613">
            <v>7.2499999999999995E-2</v>
          </cell>
        </row>
        <row r="614">
          <cell r="A614" t="str">
            <v>Gerber</v>
          </cell>
          <cell r="B614" t="str">
            <v>Gerber</v>
          </cell>
          <cell r="C614">
            <v>7.2499999999999995E-2</v>
          </cell>
        </row>
        <row r="615">
          <cell r="A615" t="str">
            <v>Geyserville</v>
          </cell>
          <cell r="B615" t="str">
            <v>Geyserville</v>
          </cell>
          <cell r="C615">
            <v>8.5000000000000006E-2</v>
          </cell>
        </row>
        <row r="616">
          <cell r="A616" t="str">
            <v>Giant Forest</v>
          </cell>
          <cell r="B616" t="str">
            <v>Giant Forest</v>
          </cell>
          <cell r="C616">
            <v>7.7499999999999999E-2</v>
          </cell>
        </row>
        <row r="617">
          <cell r="A617" t="str">
            <v>Gillman Hot Springs</v>
          </cell>
          <cell r="B617" t="str">
            <v>Gillman Hot Springs</v>
          </cell>
          <cell r="C617">
            <v>7.7499999999999999E-2</v>
          </cell>
        </row>
        <row r="618">
          <cell r="A618" t="str">
            <v>Gilroy</v>
          </cell>
          <cell r="B618" t="str">
            <v>Gilroy*</v>
          </cell>
          <cell r="C618">
            <v>9.1249999999999998E-2</v>
          </cell>
        </row>
        <row r="619">
          <cell r="A619" t="str">
            <v>Glassell Park</v>
          </cell>
          <cell r="B619" t="str">
            <v>Glassell Park (Los Angeles*)</v>
          </cell>
          <cell r="C619">
            <v>9.5000000000000001E-2</v>
          </cell>
        </row>
        <row r="620">
          <cell r="A620" t="str">
            <v>Glen Avon</v>
          </cell>
          <cell r="B620" t="str">
            <v>Glen Avon</v>
          </cell>
          <cell r="C620">
            <v>7.7499999999999999E-2</v>
          </cell>
        </row>
        <row r="621">
          <cell r="A621" t="str">
            <v>Glen Ellen</v>
          </cell>
          <cell r="B621" t="str">
            <v>Glen Ellen</v>
          </cell>
          <cell r="C621">
            <v>8.5000000000000006E-2</v>
          </cell>
        </row>
        <row r="622">
          <cell r="A622" t="str">
            <v>Glenburn</v>
          </cell>
          <cell r="B622" t="str">
            <v>Glenburn</v>
          </cell>
          <cell r="C622">
            <v>7.2499999999999995E-2</v>
          </cell>
        </row>
        <row r="623">
          <cell r="A623" t="str">
            <v>Glencoe</v>
          </cell>
          <cell r="B623" t="str">
            <v>Glencoe</v>
          </cell>
          <cell r="C623">
            <v>7.2499999999999995E-2</v>
          </cell>
        </row>
        <row r="624">
          <cell r="A624" t="str">
            <v>Glendale</v>
          </cell>
          <cell r="B624" t="str">
            <v>Glendale*</v>
          </cell>
          <cell r="C624">
            <v>0.10249999999999999</v>
          </cell>
        </row>
        <row r="625">
          <cell r="A625" t="str">
            <v>Glendora</v>
          </cell>
          <cell r="B625" t="str">
            <v>Glendora*</v>
          </cell>
          <cell r="C625">
            <v>0.10249999999999999</v>
          </cell>
        </row>
        <row r="626">
          <cell r="A626" t="str">
            <v>Glenhaven</v>
          </cell>
          <cell r="B626" t="str">
            <v>Glenhaven</v>
          </cell>
          <cell r="C626">
            <v>7.2499999999999995E-2</v>
          </cell>
        </row>
        <row r="627">
          <cell r="A627" t="str">
            <v>Glenn</v>
          </cell>
          <cell r="B627" t="str">
            <v>Glenn</v>
          </cell>
          <cell r="C627">
            <v>7.2499999999999995E-2</v>
          </cell>
        </row>
        <row r="628">
          <cell r="A628" t="str">
            <v>Glennville</v>
          </cell>
          <cell r="B628" t="str">
            <v>Glennville</v>
          </cell>
          <cell r="C628">
            <v>7.2499999999999995E-2</v>
          </cell>
        </row>
        <row r="629">
          <cell r="A629" t="str">
            <v>Gold River</v>
          </cell>
          <cell r="B629" t="str">
            <v>Gold River</v>
          </cell>
          <cell r="C629">
            <v>7.7499999999999999E-2</v>
          </cell>
        </row>
        <row r="630">
          <cell r="A630" t="str">
            <v>Gold Run</v>
          </cell>
          <cell r="B630" t="str">
            <v>Gold Run</v>
          </cell>
          <cell r="C630">
            <v>7.2499999999999995E-2</v>
          </cell>
        </row>
        <row r="631">
          <cell r="A631" t="str">
            <v>Golden Hills</v>
          </cell>
          <cell r="B631" t="str">
            <v>Golden Hills</v>
          </cell>
          <cell r="C631">
            <v>7.2499999999999995E-2</v>
          </cell>
        </row>
        <row r="632">
          <cell r="A632" t="str">
            <v>Goleta</v>
          </cell>
          <cell r="B632" t="str">
            <v>Goleta*</v>
          </cell>
          <cell r="C632">
            <v>7.7499999999999999E-2</v>
          </cell>
        </row>
        <row r="633">
          <cell r="A633" t="str">
            <v>Gonzales</v>
          </cell>
          <cell r="B633" t="str">
            <v>Gonzales*</v>
          </cell>
          <cell r="C633">
            <v>8.7499999999999994E-2</v>
          </cell>
        </row>
        <row r="634">
          <cell r="A634" t="str">
            <v>Goodyears Bar</v>
          </cell>
          <cell r="B634" t="str">
            <v>Goodyears Bar</v>
          </cell>
          <cell r="C634">
            <v>7.2499999999999995E-2</v>
          </cell>
        </row>
        <row r="635">
          <cell r="A635" t="str">
            <v>Gorman</v>
          </cell>
          <cell r="B635" t="str">
            <v>Gorman</v>
          </cell>
          <cell r="C635">
            <v>9.5000000000000001E-2</v>
          </cell>
        </row>
        <row r="636">
          <cell r="A636" t="str">
            <v>Goshen</v>
          </cell>
          <cell r="B636" t="str">
            <v>Goshen</v>
          </cell>
          <cell r="C636">
            <v>7.7499999999999999E-2</v>
          </cell>
        </row>
        <row r="637">
          <cell r="A637" t="str">
            <v>Government Island</v>
          </cell>
          <cell r="B637" t="str">
            <v>Government Island</v>
          </cell>
          <cell r="C637">
            <v>0.10249999999999999</v>
          </cell>
        </row>
        <row r="638">
          <cell r="A638" t="str">
            <v>Graeagle</v>
          </cell>
          <cell r="B638" t="str">
            <v>Graeagle</v>
          </cell>
          <cell r="C638">
            <v>7.2499999999999995E-2</v>
          </cell>
        </row>
        <row r="639">
          <cell r="A639" t="str">
            <v>Granada Hills</v>
          </cell>
          <cell r="B639" t="str">
            <v>Granada Hills (Los Angeles*)</v>
          </cell>
          <cell r="C639">
            <v>9.5000000000000001E-2</v>
          </cell>
        </row>
        <row r="640">
          <cell r="A640" t="str">
            <v>Grand Terrace</v>
          </cell>
          <cell r="B640" t="str">
            <v>Grand Terrace*</v>
          </cell>
          <cell r="C640">
            <v>7.7499999999999999E-2</v>
          </cell>
        </row>
        <row r="641">
          <cell r="A641" t="str">
            <v>Granite Bay</v>
          </cell>
          <cell r="B641" t="str">
            <v>Granite Bay</v>
          </cell>
          <cell r="C641">
            <v>7.2499999999999995E-2</v>
          </cell>
        </row>
        <row r="642">
          <cell r="A642" t="str">
            <v>Grass Valley</v>
          </cell>
          <cell r="B642" t="str">
            <v>Grass Valley*</v>
          </cell>
          <cell r="C642">
            <v>8.5000000000000006E-2</v>
          </cell>
        </row>
        <row r="643">
          <cell r="A643" t="str">
            <v>Graton</v>
          </cell>
          <cell r="B643" t="str">
            <v>Graton</v>
          </cell>
          <cell r="C643">
            <v>8.5000000000000006E-2</v>
          </cell>
        </row>
        <row r="644">
          <cell r="A644" t="str">
            <v>Green Valley</v>
          </cell>
          <cell r="B644" t="str">
            <v>Green Valley</v>
          </cell>
          <cell r="C644">
            <v>9.5000000000000001E-2</v>
          </cell>
        </row>
        <row r="645">
          <cell r="A645" t="str">
            <v>Green Valley Lake</v>
          </cell>
          <cell r="B645" t="str">
            <v>Green Valley Lake</v>
          </cell>
          <cell r="C645">
            <v>7.7499999999999999E-2</v>
          </cell>
        </row>
        <row r="646">
          <cell r="A646" t="str">
            <v>Greenacres</v>
          </cell>
          <cell r="B646" t="str">
            <v>Greenacres</v>
          </cell>
          <cell r="C646">
            <v>7.2499999999999995E-2</v>
          </cell>
        </row>
        <row r="647">
          <cell r="A647" t="str">
            <v>Greenbrae</v>
          </cell>
          <cell r="B647" t="str">
            <v>Greenbrae (Larkspur*)</v>
          </cell>
          <cell r="C647">
            <v>0.09</v>
          </cell>
        </row>
        <row r="648">
          <cell r="A648" t="str">
            <v>Greenfield</v>
          </cell>
          <cell r="B648" t="str">
            <v>Greenfield*</v>
          </cell>
          <cell r="C648">
            <v>9.5000000000000001E-2</v>
          </cell>
        </row>
        <row r="649">
          <cell r="A649" t="str">
            <v>Greenview</v>
          </cell>
          <cell r="B649" t="str">
            <v>Greenview</v>
          </cell>
          <cell r="C649">
            <v>7.2499999999999995E-2</v>
          </cell>
        </row>
        <row r="650">
          <cell r="A650" t="str">
            <v>Greenville</v>
          </cell>
          <cell r="B650" t="str">
            <v>Greenville</v>
          </cell>
          <cell r="C650">
            <v>7.2499999999999995E-2</v>
          </cell>
        </row>
        <row r="651">
          <cell r="A651" t="str">
            <v>Greenwood</v>
          </cell>
          <cell r="B651" t="str">
            <v>Greenwood</v>
          </cell>
          <cell r="C651">
            <v>7.2499999999999995E-2</v>
          </cell>
        </row>
        <row r="652">
          <cell r="A652" t="str">
            <v>Grenada</v>
          </cell>
          <cell r="B652" t="str">
            <v>Grenada</v>
          </cell>
          <cell r="C652">
            <v>7.2499999999999995E-2</v>
          </cell>
        </row>
        <row r="653">
          <cell r="A653" t="str">
            <v>Gridley</v>
          </cell>
          <cell r="B653" t="str">
            <v>Gridley*</v>
          </cell>
          <cell r="C653">
            <v>7.2499999999999995E-2</v>
          </cell>
        </row>
        <row r="654">
          <cell r="A654" t="str">
            <v>Grimes</v>
          </cell>
          <cell r="B654" t="str">
            <v>Grimes</v>
          </cell>
          <cell r="C654">
            <v>7.2499999999999995E-2</v>
          </cell>
        </row>
        <row r="655">
          <cell r="A655" t="str">
            <v>Grizzly Flats</v>
          </cell>
          <cell r="B655" t="str">
            <v>Grizzly Flats</v>
          </cell>
          <cell r="C655">
            <v>7.2499999999999995E-2</v>
          </cell>
        </row>
        <row r="656">
          <cell r="A656" t="str">
            <v>Groveland</v>
          </cell>
          <cell r="B656" t="str">
            <v>Groveland</v>
          </cell>
          <cell r="C656">
            <v>7.2499999999999995E-2</v>
          </cell>
        </row>
        <row r="657">
          <cell r="A657" t="str">
            <v>Grover Beach</v>
          </cell>
          <cell r="B657" t="str">
            <v>Grover Beach*</v>
          </cell>
          <cell r="C657">
            <v>8.7499999999999994E-2</v>
          </cell>
        </row>
        <row r="658">
          <cell r="A658" t="str">
            <v>Guadalupe</v>
          </cell>
          <cell r="B658" t="str">
            <v>Guadalupe*</v>
          </cell>
          <cell r="C658">
            <v>8.7499999999999994E-2</v>
          </cell>
        </row>
        <row r="659">
          <cell r="A659" t="str">
            <v>Gualala</v>
          </cell>
          <cell r="B659" t="str">
            <v>Gualala</v>
          </cell>
          <cell r="C659">
            <v>7.8750000000000001E-2</v>
          </cell>
        </row>
        <row r="660">
          <cell r="A660" t="str">
            <v>Guasti</v>
          </cell>
          <cell r="B660" t="str">
            <v>Guasti (Ontario*)</v>
          </cell>
          <cell r="C660">
            <v>7.7499999999999999E-2</v>
          </cell>
        </row>
        <row r="661">
          <cell r="A661" t="str">
            <v>Guatay</v>
          </cell>
          <cell r="B661" t="str">
            <v>Guatay</v>
          </cell>
          <cell r="C661">
            <v>7.7499999999999999E-2</v>
          </cell>
        </row>
        <row r="662">
          <cell r="A662" t="str">
            <v>Guerneville</v>
          </cell>
          <cell r="B662" t="str">
            <v>Guerneville</v>
          </cell>
          <cell r="C662">
            <v>8.5000000000000006E-2</v>
          </cell>
        </row>
        <row r="663">
          <cell r="A663" t="str">
            <v>Guinda</v>
          </cell>
          <cell r="B663" t="str">
            <v>Guinda</v>
          </cell>
          <cell r="C663">
            <v>7.2499999999999995E-2</v>
          </cell>
        </row>
        <row r="664">
          <cell r="A664" t="str">
            <v>Gustine</v>
          </cell>
          <cell r="B664" t="str">
            <v>Gustine*</v>
          </cell>
          <cell r="C664">
            <v>8.2500000000000004E-2</v>
          </cell>
        </row>
        <row r="665">
          <cell r="A665" t="str">
            <v>Hacienda Heights</v>
          </cell>
          <cell r="B665" t="str">
            <v>Hacienda Heights</v>
          </cell>
          <cell r="C665">
            <v>9.5000000000000001E-2</v>
          </cell>
        </row>
        <row r="666">
          <cell r="A666" t="str">
            <v>Halcyon</v>
          </cell>
          <cell r="B666" t="str">
            <v>Halcyon</v>
          </cell>
          <cell r="C666">
            <v>7.2499999999999995E-2</v>
          </cell>
        </row>
        <row r="667">
          <cell r="A667" t="str">
            <v>Half Moon Bay</v>
          </cell>
          <cell r="B667" t="str">
            <v>Half Moon Bay*</v>
          </cell>
          <cell r="C667">
            <v>9.375E-2</v>
          </cell>
        </row>
        <row r="668">
          <cell r="A668" t="str">
            <v>Hamilton A.F.B.</v>
          </cell>
          <cell r="B668" t="str">
            <v>Hamilton A.F.B. (Novato*)</v>
          </cell>
          <cell r="C668">
            <v>8.5000000000000006E-2</v>
          </cell>
        </row>
        <row r="669">
          <cell r="A669" t="str">
            <v>Hamilton City</v>
          </cell>
          <cell r="B669" t="str">
            <v>Hamilton City</v>
          </cell>
          <cell r="C669">
            <v>7.2499999999999995E-2</v>
          </cell>
        </row>
        <row r="670">
          <cell r="A670" t="str">
            <v>Hanford</v>
          </cell>
          <cell r="B670" t="str">
            <v>Hanford*</v>
          </cell>
          <cell r="C670">
            <v>7.2499999999999995E-2</v>
          </cell>
        </row>
        <row r="671">
          <cell r="A671" t="str">
            <v>Happy Camp</v>
          </cell>
          <cell r="B671" t="str">
            <v>Happy Camp</v>
          </cell>
          <cell r="C671">
            <v>7.2499999999999995E-2</v>
          </cell>
        </row>
        <row r="672">
          <cell r="A672" t="str">
            <v>Harbison Canyon</v>
          </cell>
          <cell r="B672" t="str">
            <v>Harbison Canyon</v>
          </cell>
          <cell r="C672">
            <v>7.7499999999999999E-2</v>
          </cell>
        </row>
        <row r="673">
          <cell r="A673" t="str">
            <v>Harbor City</v>
          </cell>
          <cell r="B673" t="str">
            <v>Harbor City (Los Angeles*)</v>
          </cell>
          <cell r="C673">
            <v>9.5000000000000001E-2</v>
          </cell>
        </row>
        <row r="674">
          <cell r="A674" t="str">
            <v>Harmony</v>
          </cell>
          <cell r="B674" t="str">
            <v>Harmony</v>
          </cell>
          <cell r="C674">
            <v>7.2499999999999995E-2</v>
          </cell>
        </row>
        <row r="675">
          <cell r="A675" t="str">
            <v>Harris</v>
          </cell>
          <cell r="B675" t="str">
            <v>Harris</v>
          </cell>
          <cell r="C675">
            <v>7.7499999999999999E-2</v>
          </cell>
        </row>
        <row r="676">
          <cell r="A676" t="str">
            <v>Hat Creek</v>
          </cell>
          <cell r="B676" t="str">
            <v>Hat Creek</v>
          </cell>
          <cell r="C676">
            <v>7.2499999999999995E-2</v>
          </cell>
        </row>
        <row r="677">
          <cell r="A677" t="str">
            <v>Hathaway Pines</v>
          </cell>
          <cell r="B677" t="str">
            <v>Hathaway Pines</v>
          </cell>
          <cell r="C677">
            <v>7.2499999999999995E-2</v>
          </cell>
        </row>
        <row r="678">
          <cell r="A678" t="str">
            <v>Havasu Lake</v>
          </cell>
          <cell r="B678" t="str">
            <v>Havasu Lake</v>
          </cell>
          <cell r="C678">
            <v>7.7499999999999999E-2</v>
          </cell>
        </row>
        <row r="679">
          <cell r="A679" t="str">
            <v>Hawaiian Gardens</v>
          </cell>
          <cell r="B679" t="str">
            <v>Hawaiian Gardens*</v>
          </cell>
          <cell r="C679">
            <v>0.10249999999999999</v>
          </cell>
        </row>
        <row r="680">
          <cell r="A680" t="str">
            <v>Hawthorne</v>
          </cell>
          <cell r="B680" t="str">
            <v>Hawthorne*</v>
          </cell>
          <cell r="C680">
            <v>0.10250000000000001</v>
          </cell>
        </row>
        <row r="681">
          <cell r="A681" t="str">
            <v>Hayfork</v>
          </cell>
          <cell r="B681" t="str">
            <v>Hayfork</v>
          </cell>
          <cell r="C681">
            <v>7.2499999999999995E-2</v>
          </cell>
        </row>
        <row r="682">
          <cell r="A682" t="str">
            <v>Hayward</v>
          </cell>
          <cell r="B682" t="str">
            <v>Hayward*</v>
          </cell>
          <cell r="C682">
            <v>0.1075</v>
          </cell>
        </row>
        <row r="683">
          <cell r="A683" t="str">
            <v>Hazard</v>
          </cell>
          <cell r="B683" t="str">
            <v>Hazard</v>
          </cell>
          <cell r="C683">
            <v>9.5000000000000001E-2</v>
          </cell>
        </row>
        <row r="684">
          <cell r="A684" t="str">
            <v>Healdsburg</v>
          </cell>
          <cell r="B684" t="str">
            <v>Healdsburg*</v>
          </cell>
          <cell r="C684">
            <v>0.09</v>
          </cell>
        </row>
        <row r="685">
          <cell r="A685" t="str">
            <v>Heber</v>
          </cell>
          <cell r="B685" t="str">
            <v>Heber</v>
          </cell>
          <cell r="C685">
            <v>7.7499999999999999E-2</v>
          </cell>
        </row>
        <row r="686">
          <cell r="A686" t="str">
            <v>Helena</v>
          </cell>
          <cell r="B686" t="str">
            <v>Helena</v>
          </cell>
          <cell r="C686">
            <v>7.2499999999999995E-2</v>
          </cell>
        </row>
        <row r="687">
          <cell r="A687" t="str">
            <v>Helendale</v>
          </cell>
          <cell r="B687" t="str">
            <v>Helendale</v>
          </cell>
          <cell r="C687">
            <v>7.7499999999999999E-2</v>
          </cell>
        </row>
        <row r="688">
          <cell r="A688" t="str">
            <v>Helm</v>
          </cell>
          <cell r="B688" t="str">
            <v>Helm</v>
          </cell>
          <cell r="C688">
            <v>7.9750000000000001E-2</v>
          </cell>
        </row>
        <row r="689">
          <cell r="A689" t="str">
            <v>Hemet</v>
          </cell>
          <cell r="B689" t="str">
            <v>Hemet*</v>
          </cell>
          <cell r="C689">
            <v>8.7499999999999994E-2</v>
          </cell>
        </row>
        <row r="690">
          <cell r="A690" t="str">
            <v>Herald</v>
          </cell>
          <cell r="B690" t="str">
            <v>Herald</v>
          </cell>
          <cell r="C690">
            <v>7.7499999999999999E-2</v>
          </cell>
        </row>
        <row r="691">
          <cell r="A691" t="str">
            <v>Hercules</v>
          </cell>
          <cell r="B691" t="str">
            <v>Hercules*</v>
          </cell>
          <cell r="C691">
            <v>9.2499999999999999E-2</v>
          </cell>
        </row>
        <row r="692">
          <cell r="A692" t="str">
            <v>Herlong</v>
          </cell>
          <cell r="B692" t="str">
            <v>Herlong</v>
          </cell>
          <cell r="C692">
            <v>7.2499999999999995E-2</v>
          </cell>
        </row>
        <row r="693">
          <cell r="A693" t="str">
            <v>Hermosa Beach</v>
          </cell>
          <cell r="B693" t="str">
            <v>Hermosa Beach*</v>
          </cell>
          <cell r="C693">
            <v>9.5000000000000001E-2</v>
          </cell>
        </row>
        <row r="694">
          <cell r="A694" t="str">
            <v>Herndon</v>
          </cell>
          <cell r="B694" t="str">
            <v>Herndon</v>
          </cell>
          <cell r="C694">
            <v>7.9750000000000001E-2</v>
          </cell>
        </row>
        <row r="695">
          <cell r="A695" t="str">
            <v>Hesperia</v>
          </cell>
          <cell r="B695" t="str">
            <v>Hesperia*</v>
          </cell>
          <cell r="C695">
            <v>7.7499999999999999E-2</v>
          </cell>
        </row>
        <row r="696">
          <cell r="A696" t="str">
            <v>Heyer</v>
          </cell>
          <cell r="B696" t="str">
            <v>Heyer</v>
          </cell>
          <cell r="C696">
            <v>0.10249999999999999</v>
          </cell>
        </row>
        <row r="697">
          <cell r="A697" t="str">
            <v>Hickman</v>
          </cell>
          <cell r="B697" t="str">
            <v>Hickman</v>
          </cell>
          <cell r="C697">
            <v>7.8750000000000001E-2</v>
          </cell>
        </row>
        <row r="698">
          <cell r="A698" t="str">
            <v>Hidden Hills</v>
          </cell>
          <cell r="B698" t="str">
            <v>Hidden Hills*</v>
          </cell>
          <cell r="C698">
            <v>9.5000000000000001E-2</v>
          </cell>
        </row>
        <row r="699">
          <cell r="A699" t="str">
            <v>Highgrove</v>
          </cell>
          <cell r="B699" t="str">
            <v>Highgrove</v>
          </cell>
          <cell r="C699">
            <v>7.7499999999999999E-2</v>
          </cell>
        </row>
        <row r="700">
          <cell r="A700" t="str">
            <v>Highland Park</v>
          </cell>
          <cell r="B700" t="str">
            <v>Highland Park (Los Angeles*)</v>
          </cell>
          <cell r="C700">
            <v>9.5000000000000001E-2</v>
          </cell>
        </row>
        <row r="701">
          <cell r="A701" t="str">
            <v>Highland</v>
          </cell>
          <cell r="B701" t="str">
            <v>Highland*</v>
          </cell>
          <cell r="C701">
            <v>7.7499999999999999E-2</v>
          </cell>
        </row>
        <row r="702">
          <cell r="A702" t="str">
            <v>Highway City</v>
          </cell>
          <cell r="B702" t="str">
            <v>Highway City (Fresno*)</v>
          </cell>
          <cell r="C702">
            <v>7.9750000000000001E-2</v>
          </cell>
        </row>
        <row r="703">
          <cell r="A703" t="str">
            <v>Hillcrest</v>
          </cell>
          <cell r="B703" t="str">
            <v>Hillcrest (San Diego*)</v>
          </cell>
          <cell r="C703">
            <v>7.7499999999999999E-2</v>
          </cell>
        </row>
        <row r="704">
          <cell r="A704" t="str">
            <v>Hillsborough</v>
          </cell>
          <cell r="B704" t="str">
            <v>Hillsborough*</v>
          </cell>
          <cell r="C704">
            <v>9.375E-2</v>
          </cell>
        </row>
        <row r="705">
          <cell r="A705" t="str">
            <v>Hillsdale</v>
          </cell>
          <cell r="B705" t="str">
            <v>Hillsdale (San Mateo*)</v>
          </cell>
          <cell r="C705">
            <v>9.6250000000000002E-2</v>
          </cell>
        </row>
        <row r="706">
          <cell r="A706" t="str">
            <v>Hilmar</v>
          </cell>
          <cell r="B706" t="str">
            <v>Hilmar</v>
          </cell>
          <cell r="C706">
            <v>7.7499999999999999E-2</v>
          </cell>
        </row>
        <row r="707">
          <cell r="A707" t="str">
            <v>Hilt</v>
          </cell>
          <cell r="B707" t="str">
            <v>Hilt</v>
          </cell>
          <cell r="C707">
            <v>7.2499999999999995E-2</v>
          </cell>
        </row>
        <row r="708">
          <cell r="A708" t="str">
            <v>Hinkley</v>
          </cell>
          <cell r="B708" t="str">
            <v>Hinkley</v>
          </cell>
          <cell r="C708">
            <v>7.7499999999999999E-2</v>
          </cell>
        </row>
        <row r="709">
          <cell r="A709" t="str">
            <v>Hobergs</v>
          </cell>
          <cell r="B709" t="str">
            <v>Hobergs</v>
          </cell>
          <cell r="C709">
            <v>7.2499999999999995E-2</v>
          </cell>
        </row>
        <row r="710">
          <cell r="A710" t="str">
            <v>Hollister</v>
          </cell>
          <cell r="B710" t="str">
            <v>Hollister*</v>
          </cell>
          <cell r="C710">
            <v>9.2499999999999999E-2</v>
          </cell>
        </row>
        <row r="711">
          <cell r="A711" t="str">
            <v>Hollywood</v>
          </cell>
          <cell r="B711" t="str">
            <v>Hollywood (Los Angeles*)</v>
          </cell>
          <cell r="C711">
            <v>9.5000000000000001E-2</v>
          </cell>
        </row>
        <row r="712">
          <cell r="A712" t="str">
            <v>Holmes</v>
          </cell>
          <cell r="B712" t="str">
            <v>Holmes</v>
          </cell>
          <cell r="C712">
            <v>7.7499999999999999E-2</v>
          </cell>
        </row>
        <row r="713">
          <cell r="A713" t="str">
            <v>Holt</v>
          </cell>
          <cell r="B713" t="str">
            <v>Holt</v>
          </cell>
          <cell r="C713">
            <v>7.7499999999999999E-2</v>
          </cell>
        </row>
        <row r="714">
          <cell r="A714" t="str">
            <v>Holtville</v>
          </cell>
          <cell r="B714" t="str">
            <v>Holtville*</v>
          </cell>
          <cell r="C714">
            <v>7.7499999999999999E-2</v>
          </cell>
        </row>
        <row r="715">
          <cell r="A715" t="str">
            <v>Holy City</v>
          </cell>
          <cell r="B715" t="str">
            <v>Holy City</v>
          </cell>
          <cell r="C715">
            <v>9.1249999999999998E-2</v>
          </cell>
        </row>
        <row r="716">
          <cell r="A716" t="str">
            <v>Homeland</v>
          </cell>
          <cell r="B716" t="str">
            <v>Homeland</v>
          </cell>
          <cell r="C716">
            <v>7.7499999999999999E-2</v>
          </cell>
        </row>
        <row r="717">
          <cell r="A717" t="str">
            <v>Homestead</v>
          </cell>
          <cell r="B717" t="str">
            <v>Homestead</v>
          </cell>
          <cell r="C717">
            <v>7.2499999999999995E-2</v>
          </cell>
        </row>
        <row r="718">
          <cell r="A718" t="str">
            <v>Homestead</v>
          </cell>
          <cell r="B718" t="str">
            <v>Homestead</v>
          </cell>
          <cell r="C718">
            <v>7.7499999999999999E-2</v>
          </cell>
        </row>
        <row r="719">
          <cell r="A719" t="str">
            <v>Homewood</v>
          </cell>
          <cell r="B719" t="str">
            <v>Homewood</v>
          </cell>
          <cell r="C719">
            <v>7.2499999999999995E-2</v>
          </cell>
        </row>
        <row r="720">
          <cell r="A720" t="str">
            <v>Honby</v>
          </cell>
          <cell r="B720" t="str">
            <v>Honby</v>
          </cell>
          <cell r="C720">
            <v>9.5000000000000001E-2</v>
          </cell>
        </row>
        <row r="721">
          <cell r="A721" t="str">
            <v>Honeydew</v>
          </cell>
          <cell r="B721" t="str">
            <v>Honeydew</v>
          </cell>
          <cell r="C721">
            <v>7.7499999999999999E-2</v>
          </cell>
        </row>
        <row r="722">
          <cell r="A722" t="str">
            <v>Hood</v>
          </cell>
          <cell r="B722" t="str">
            <v>Hood</v>
          </cell>
          <cell r="C722">
            <v>7.7499999999999999E-2</v>
          </cell>
        </row>
        <row r="723">
          <cell r="A723" t="str">
            <v>Hoopa</v>
          </cell>
          <cell r="B723" t="str">
            <v>Hoopa</v>
          </cell>
          <cell r="C723">
            <v>7.7499999999999999E-2</v>
          </cell>
        </row>
        <row r="724">
          <cell r="A724" t="str">
            <v>Hope Valley</v>
          </cell>
          <cell r="B724" t="str">
            <v>Hope Valley (Forest Camp)</v>
          </cell>
          <cell r="C724">
            <v>7.2499999999999995E-2</v>
          </cell>
        </row>
        <row r="725">
          <cell r="A725" t="str">
            <v>Hopland</v>
          </cell>
          <cell r="B725" t="str">
            <v>Hopland</v>
          </cell>
          <cell r="C725">
            <v>7.8750000000000001E-2</v>
          </cell>
        </row>
        <row r="726">
          <cell r="A726" t="str">
            <v>Hornbrook</v>
          </cell>
          <cell r="B726" t="str">
            <v>Hornbrook</v>
          </cell>
          <cell r="C726">
            <v>7.2499999999999995E-2</v>
          </cell>
        </row>
        <row r="727">
          <cell r="A727" t="str">
            <v>Hornitos</v>
          </cell>
          <cell r="B727" t="str">
            <v>Hornitos</v>
          </cell>
          <cell r="C727">
            <v>8.7499999999999994E-2</v>
          </cell>
        </row>
        <row r="728">
          <cell r="A728" t="str">
            <v>Horse Creek</v>
          </cell>
          <cell r="B728" t="str">
            <v>Horse Creek</v>
          </cell>
          <cell r="C728">
            <v>7.2499999999999995E-2</v>
          </cell>
        </row>
        <row r="729">
          <cell r="A729" t="str">
            <v>Horse Lake</v>
          </cell>
          <cell r="B729" t="str">
            <v>Horse Lake</v>
          </cell>
          <cell r="C729">
            <v>7.2499999999999995E-2</v>
          </cell>
        </row>
        <row r="730">
          <cell r="A730" t="str">
            <v>Hughson</v>
          </cell>
          <cell r="B730" t="str">
            <v>Hughson*</v>
          </cell>
          <cell r="C730">
            <v>7.8750000000000001E-2</v>
          </cell>
        </row>
        <row r="731">
          <cell r="A731" t="str">
            <v>Hume</v>
          </cell>
          <cell r="B731" t="str">
            <v>Hume</v>
          </cell>
          <cell r="C731">
            <v>7.9750000000000001E-2</v>
          </cell>
        </row>
        <row r="732">
          <cell r="A732" t="str">
            <v>Huntington</v>
          </cell>
          <cell r="B732" t="str">
            <v>Huntington</v>
          </cell>
          <cell r="C732">
            <v>7.7499999999999999E-2</v>
          </cell>
        </row>
        <row r="733">
          <cell r="A733" t="str">
            <v>Huntington Beach</v>
          </cell>
          <cell r="B733" t="str">
            <v>Huntington Beach*</v>
          </cell>
          <cell r="C733">
            <v>7.7499999999999999E-2</v>
          </cell>
        </row>
        <row r="734">
          <cell r="A734" t="str">
            <v>Huntington Lake</v>
          </cell>
          <cell r="B734" t="str">
            <v>Huntington Lake</v>
          </cell>
          <cell r="C734">
            <v>7.9750000000000001E-2</v>
          </cell>
        </row>
        <row r="735">
          <cell r="A735" t="str">
            <v>Huntington Park</v>
          </cell>
          <cell r="B735" t="str">
            <v>Huntington Park*</v>
          </cell>
          <cell r="C735">
            <v>0.10249999999999999</v>
          </cell>
        </row>
        <row r="736">
          <cell r="A736" t="str">
            <v>Huron</v>
          </cell>
          <cell r="B736" t="str">
            <v>Huron*</v>
          </cell>
          <cell r="C736">
            <v>8.9749999999999996E-2</v>
          </cell>
        </row>
        <row r="737">
          <cell r="A737" t="str">
            <v>Hyampom</v>
          </cell>
          <cell r="B737" t="str">
            <v>Hyampom</v>
          </cell>
          <cell r="C737">
            <v>7.2499999999999995E-2</v>
          </cell>
        </row>
        <row r="738">
          <cell r="A738" t="str">
            <v>Hyde Park</v>
          </cell>
          <cell r="B738" t="str">
            <v>Hyde Park (Los Angeles*)</v>
          </cell>
          <cell r="C738">
            <v>9.5000000000000001E-2</v>
          </cell>
        </row>
        <row r="739">
          <cell r="A739" t="str">
            <v>Hydesville</v>
          </cell>
          <cell r="B739" t="str">
            <v>Hydesville</v>
          </cell>
          <cell r="C739">
            <v>7.7499999999999999E-2</v>
          </cell>
        </row>
        <row r="740">
          <cell r="A740" t="str">
            <v>Idria</v>
          </cell>
          <cell r="B740" t="str">
            <v>Idria</v>
          </cell>
          <cell r="C740">
            <v>8.2500000000000004E-2</v>
          </cell>
        </row>
        <row r="741">
          <cell r="A741" t="str">
            <v>Idyllwild</v>
          </cell>
          <cell r="B741" t="str">
            <v>Idyllwild</v>
          </cell>
          <cell r="C741">
            <v>7.7499999999999999E-2</v>
          </cell>
        </row>
        <row r="742">
          <cell r="A742" t="str">
            <v>Ignacio</v>
          </cell>
          <cell r="B742" t="str">
            <v>Ignacio (Novato*)</v>
          </cell>
          <cell r="C742">
            <v>8.5000000000000006E-2</v>
          </cell>
        </row>
        <row r="743">
          <cell r="A743" t="str">
            <v>Igo</v>
          </cell>
          <cell r="B743" t="str">
            <v>Igo</v>
          </cell>
          <cell r="C743">
            <v>7.2499999999999995E-2</v>
          </cell>
        </row>
        <row r="744">
          <cell r="A744" t="str">
            <v>Imola</v>
          </cell>
          <cell r="B744" t="str">
            <v>Imola (Napa*)</v>
          </cell>
          <cell r="C744">
            <v>7.7499999999999999E-2</v>
          </cell>
        </row>
        <row r="745">
          <cell r="A745" t="str">
            <v>Imperial Beach</v>
          </cell>
          <cell r="B745" t="str">
            <v>Imperial Beach*</v>
          </cell>
          <cell r="C745">
            <v>8.7499999999999994E-2</v>
          </cell>
        </row>
        <row r="746">
          <cell r="A746" t="str">
            <v>Imperial</v>
          </cell>
          <cell r="B746" t="str">
            <v>Imperial*</v>
          </cell>
          <cell r="C746">
            <v>7.7499999999999999E-2</v>
          </cell>
        </row>
        <row r="747">
          <cell r="A747" t="str">
            <v>Independence</v>
          </cell>
          <cell r="B747" t="str">
            <v>Independence</v>
          </cell>
          <cell r="C747">
            <v>7.7499999999999999E-2</v>
          </cell>
        </row>
        <row r="748">
          <cell r="A748" t="str">
            <v>Indian Wells</v>
          </cell>
          <cell r="B748" t="str">
            <v>Indian Wells*</v>
          </cell>
          <cell r="C748">
            <v>7.7499999999999999E-2</v>
          </cell>
        </row>
        <row r="749">
          <cell r="A749" t="str">
            <v>Indio</v>
          </cell>
          <cell r="B749" t="str">
            <v>Indio*</v>
          </cell>
          <cell r="C749">
            <v>8.7499999999999994E-2</v>
          </cell>
        </row>
        <row r="750">
          <cell r="A750" t="str">
            <v>Industry</v>
          </cell>
          <cell r="B750" t="str">
            <v>Industry*</v>
          </cell>
          <cell r="C750">
            <v>9.5000000000000001E-2</v>
          </cell>
        </row>
        <row r="751">
          <cell r="A751" t="str">
            <v>Inglewood</v>
          </cell>
          <cell r="B751" t="str">
            <v>Inglewood*</v>
          </cell>
          <cell r="C751">
            <v>0.1</v>
          </cell>
        </row>
        <row r="752">
          <cell r="A752" t="str">
            <v>Inverness</v>
          </cell>
          <cell r="B752" t="str">
            <v>Inverness</v>
          </cell>
          <cell r="C752">
            <v>8.2500000000000004E-2</v>
          </cell>
        </row>
        <row r="753">
          <cell r="A753" t="str">
            <v>Inyo</v>
          </cell>
          <cell r="B753" t="str">
            <v>Inyo</v>
          </cell>
          <cell r="C753">
            <v>7.7499999999999999E-2</v>
          </cell>
        </row>
        <row r="754">
          <cell r="A754" t="str">
            <v>Inyokern</v>
          </cell>
          <cell r="B754" t="str">
            <v>Inyokern</v>
          </cell>
          <cell r="C754">
            <v>7.2499999999999995E-2</v>
          </cell>
        </row>
        <row r="755">
          <cell r="A755" t="str">
            <v>Ione</v>
          </cell>
          <cell r="B755" t="str">
            <v>Ione*</v>
          </cell>
          <cell r="C755">
            <v>7.7499999999999999E-2</v>
          </cell>
        </row>
        <row r="756">
          <cell r="A756" t="str">
            <v>Iowa Hill</v>
          </cell>
          <cell r="B756" t="str">
            <v>Iowa Hill</v>
          </cell>
          <cell r="C756">
            <v>7.2499999999999995E-2</v>
          </cell>
        </row>
        <row r="757">
          <cell r="A757" t="str">
            <v>Irvine</v>
          </cell>
          <cell r="B757" t="str">
            <v>Irvine*</v>
          </cell>
          <cell r="C757">
            <v>7.7499999999999999E-2</v>
          </cell>
        </row>
        <row r="758">
          <cell r="A758" t="str">
            <v>Irwindale</v>
          </cell>
          <cell r="B758" t="str">
            <v>Irwindale*</v>
          </cell>
          <cell r="C758">
            <v>0.10249999999999999</v>
          </cell>
        </row>
        <row r="759">
          <cell r="A759" t="str">
            <v>Isla Vista</v>
          </cell>
          <cell r="B759" t="str">
            <v>Isla Vista</v>
          </cell>
          <cell r="C759">
            <v>7.7499999999999999E-2</v>
          </cell>
        </row>
        <row r="760">
          <cell r="A760" t="str">
            <v>Island Mountain</v>
          </cell>
          <cell r="B760" t="str">
            <v>Island Mountain</v>
          </cell>
          <cell r="C760">
            <v>7.2499999999999995E-2</v>
          </cell>
        </row>
        <row r="761">
          <cell r="A761" t="str">
            <v>Isleton</v>
          </cell>
          <cell r="B761" t="str">
            <v>Isleton*</v>
          </cell>
          <cell r="C761">
            <v>8.7499999999999994E-2</v>
          </cell>
        </row>
        <row r="762">
          <cell r="A762" t="str">
            <v>Ivanhoe</v>
          </cell>
          <cell r="B762" t="str">
            <v>Ivanhoe</v>
          </cell>
          <cell r="C762">
            <v>7.7499999999999999E-2</v>
          </cell>
        </row>
        <row r="763">
          <cell r="A763" t="str">
            <v>Ivanpah</v>
          </cell>
          <cell r="B763" t="str">
            <v>Ivanpah</v>
          </cell>
          <cell r="C763">
            <v>7.7499999999999999E-2</v>
          </cell>
        </row>
        <row r="764">
          <cell r="A764" t="str">
            <v>Jackson</v>
          </cell>
          <cell r="B764" t="str">
            <v>Jackson*</v>
          </cell>
          <cell r="C764">
            <v>7.7499999999999999E-2</v>
          </cell>
        </row>
        <row r="765">
          <cell r="A765" t="str">
            <v>Jacumba</v>
          </cell>
          <cell r="B765" t="str">
            <v>Jacumba</v>
          </cell>
          <cell r="C765">
            <v>7.7499999999999999E-2</v>
          </cell>
        </row>
        <row r="766">
          <cell r="A766" t="str">
            <v>Jamacha</v>
          </cell>
          <cell r="B766" t="str">
            <v>Jamacha</v>
          </cell>
          <cell r="C766">
            <v>7.7499999999999999E-2</v>
          </cell>
        </row>
        <row r="767">
          <cell r="A767" t="str">
            <v>Jamestown</v>
          </cell>
          <cell r="B767" t="str">
            <v>Jamestown</v>
          </cell>
          <cell r="C767">
            <v>7.2499999999999995E-2</v>
          </cell>
        </row>
        <row r="768">
          <cell r="A768" t="str">
            <v>Jamul</v>
          </cell>
          <cell r="B768" t="str">
            <v>Jamul</v>
          </cell>
          <cell r="C768">
            <v>7.7499999999999999E-2</v>
          </cell>
        </row>
        <row r="769">
          <cell r="A769" t="str">
            <v>Janesville</v>
          </cell>
          <cell r="B769" t="str">
            <v>Janesville</v>
          </cell>
          <cell r="C769">
            <v>7.2499999999999995E-2</v>
          </cell>
        </row>
        <row r="770">
          <cell r="A770" t="str">
            <v>Jenner</v>
          </cell>
          <cell r="B770" t="str">
            <v>Jenner</v>
          </cell>
          <cell r="C770">
            <v>8.5000000000000006E-2</v>
          </cell>
        </row>
        <row r="771">
          <cell r="A771" t="str">
            <v>Johannesburg</v>
          </cell>
          <cell r="B771" t="str">
            <v>Johannesburg</v>
          </cell>
          <cell r="C771">
            <v>7.2499999999999995E-2</v>
          </cell>
        </row>
        <row r="772">
          <cell r="A772" t="str">
            <v>Johnsondale</v>
          </cell>
          <cell r="B772" t="str">
            <v>Johnsondale</v>
          </cell>
          <cell r="C772">
            <v>7.7499999999999999E-2</v>
          </cell>
        </row>
        <row r="773">
          <cell r="A773" t="str">
            <v>Johnstonville</v>
          </cell>
          <cell r="B773" t="str">
            <v>Johnstonville</v>
          </cell>
          <cell r="C773">
            <v>7.2499999999999995E-2</v>
          </cell>
        </row>
        <row r="774">
          <cell r="A774" t="str">
            <v>Johnstown</v>
          </cell>
          <cell r="B774" t="str">
            <v>Johnstown</v>
          </cell>
          <cell r="C774">
            <v>7.7499999999999999E-2</v>
          </cell>
        </row>
        <row r="775">
          <cell r="A775" t="str">
            <v>Jolon</v>
          </cell>
          <cell r="B775" t="str">
            <v>Jolon</v>
          </cell>
          <cell r="C775">
            <v>7.7499999999999999E-2</v>
          </cell>
        </row>
        <row r="776">
          <cell r="A776" t="str">
            <v>Joshua Tree</v>
          </cell>
          <cell r="B776" t="str">
            <v>Joshua Tree</v>
          </cell>
          <cell r="C776">
            <v>7.7499999999999999E-2</v>
          </cell>
        </row>
        <row r="777">
          <cell r="A777" t="str">
            <v>Julian</v>
          </cell>
          <cell r="B777" t="str">
            <v>Julian</v>
          </cell>
          <cell r="C777">
            <v>7.7499999999999999E-2</v>
          </cell>
        </row>
        <row r="778">
          <cell r="A778" t="str">
            <v>Junction City</v>
          </cell>
          <cell r="B778" t="str">
            <v>Junction City</v>
          </cell>
          <cell r="C778">
            <v>7.2499999999999995E-2</v>
          </cell>
        </row>
        <row r="779">
          <cell r="A779" t="str">
            <v>June Lake</v>
          </cell>
          <cell r="B779" t="str">
            <v>June Lake</v>
          </cell>
          <cell r="C779">
            <v>7.2499999999999995E-2</v>
          </cell>
        </row>
        <row r="780">
          <cell r="A780" t="str">
            <v>Juniper</v>
          </cell>
          <cell r="B780" t="str">
            <v>Juniper</v>
          </cell>
          <cell r="C780">
            <v>7.2499999999999995E-2</v>
          </cell>
        </row>
        <row r="781">
          <cell r="A781" t="str">
            <v>Jurupa Valley</v>
          </cell>
          <cell r="B781" t="str">
            <v>Jurupa Valley*</v>
          </cell>
          <cell r="C781">
            <v>7.7499999999999999E-2</v>
          </cell>
        </row>
        <row r="782">
          <cell r="A782" t="str">
            <v>Kagel Canyon</v>
          </cell>
          <cell r="B782" t="str">
            <v>Kagel Canyon</v>
          </cell>
          <cell r="C782">
            <v>9.5000000000000001E-2</v>
          </cell>
        </row>
        <row r="783">
          <cell r="A783" t="str">
            <v>Kaweah</v>
          </cell>
          <cell r="B783" t="str">
            <v>Kaweah</v>
          </cell>
          <cell r="C783">
            <v>7.7499999999999999E-2</v>
          </cell>
        </row>
        <row r="784">
          <cell r="A784" t="str">
            <v>Keddie</v>
          </cell>
          <cell r="B784" t="str">
            <v>Keddie</v>
          </cell>
          <cell r="C784">
            <v>7.2499999999999995E-2</v>
          </cell>
        </row>
        <row r="785">
          <cell r="A785" t="str">
            <v>Keeler</v>
          </cell>
          <cell r="B785" t="str">
            <v>Keeler</v>
          </cell>
          <cell r="C785">
            <v>7.7499999999999999E-2</v>
          </cell>
        </row>
        <row r="786">
          <cell r="A786" t="str">
            <v>Keene</v>
          </cell>
          <cell r="B786" t="str">
            <v>Keene</v>
          </cell>
          <cell r="C786">
            <v>7.2499999999999995E-2</v>
          </cell>
        </row>
        <row r="787">
          <cell r="A787" t="str">
            <v>Kelsey</v>
          </cell>
          <cell r="B787" t="str">
            <v>Kelsey</v>
          </cell>
          <cell r="C787">
            <v>7.2499999999999995E-2</v>
          </cell>
        </row>
        <row r="788">
          <cell r="A788" t="str">
            <v>Kelseyville</v>
          </cell>
          <cell r="B788" t="str">
            <v>Kelseyville</v>
          </cell>
          <cell r="C788">
            <v>7.2499999999999995E-2</v>
          </cell>
        </row>
        <row r="789">
          <cell r="A789" t="str">
            <v>Kelso</v>
          </cell>
          <cell r="B789" t="str">
            <v>Kelso</v>
          </cell>
          <cell r="C789">
            <v>7.7499999999999999E-2</v>
          </cell>
        </row>
        <row r="790">
          <cell r="A790" t="str">
            <v>Kensington</v>
          </cell>
          <cell r="B790" t="str">
            <v>Kensington</v>
          </cell>
          <cell r="C790">
            <v>8.7499999999999994E-2</v>
          </cell>
        </row>
        <row r="791">
          <cell r="A791" t="str">
            <v>Kentfield</v>
          </cell>
          <cell r="B791" t="str">
            <v>Kentfield</v>
          </cell>
          <cell r="C791">
            <v>8.2500000000000004E-2</v>
          </cell>
        </row>
        <row r="792">
          <cell r="A792" t="str">
            <v>Kenwood</v>
          </cell>
          <cell r="B792" t="str">
            <v>Kenwood</v>
          </cell>
          <cell r="C792">
            <v>8.5000000000000006E-2</v>
          </cell>
        </row>
        <row r="793">
          <cell r="A793" t="str">
            <v>Kerman</v>
          </cell>
          <cell r="B793" t="str">
            <v>Kerman*</v>
          </cell>
          <cell r="C793">
            <v>8.9749999999999996E-2</v>
          </cell>
        </row>
        <row r="794">
          <cell r="A794" t="str">
            <v>Kernville</v>
          </cell>
          <cell r="B794" t="str">
            <v>Kernville</v>
          </cell>
          <cell r="C794">
            <v>7.2499999999999995E-2</v>
          </cell>
        </row>
        <row r="795">
          <cell r="A795" t="str">
            <v>Keswick</v>
          </cell>
          <cell r="B795" t="str">
            <v>Keswick</v>
          </cell>
          <cell r="C795">
            <v>7.2499999999999995E-2</v>
          </cell>
        </row>
        <row r="796">
          <cell r="A796" t="str">
            <v>Kettleman City</v>
          </cell>
          <cell r="B796" t="str">
            <v>Kettleman City</v>
          </cell>
          <cell r="C796">
            <v>7.2499999999999995E-2</v>
          </cell>
        </row>
        <row r="797">
          <cell r="A797" t="str">
            <v>Keyes</v>
          </cell>
          <cell r="B797" t="str">
            <v>Keyes</v>
          </cell>
          <cell r="C797">
            <v>7.8750000000000001E-2</v>
          </cell>
        </row>
        <row r="798">
          <cell r="A798" t="str">
            <v>King City</v>
          </cell>
          <cell r="B798" t="str">
            <v>King City*</v>
          </cell>
          <cell r="C798">
            <v>8.7499999999999994E-2</v>
          </cell>
        </row>
        <row r="799">
          <cell r="A799" t="str">
            <v>Kings Beach</v>
          </cell>
          <cell r="B799" t="str">
            <v>Kings Beach</v>
          </cell>
          <cell r="C799">
            <v>7.2499999999999995E-2</v>
          </cell>
        </row>
        <row r="800">
          <cell r="A800" t="str">
            <v>Kings Canyon National Park</v>
          </cell>
          <cell r="B800" t="str">
            <v>Kings Canyon National Park</v>
          </cell>
          <cell r="C800">
            <v>7.7499999999999999E-2</v>
          </cell>
        </row>
        <row r="801">
          <cell r="A801" t="str">
            <v>Kingsburg</v>
          </cell>
          <cell r="B801" t="str">
            <v>Kingsburg*</v>
          </cell>
          <cell r="C801">
            <v>8.9749999999999996E-2</v>
          </cell>
        </row>
        <row r="802">
          <cell r="A802" t="str">
            <v>Kinyon</v>
          </cell>
          <cell r="B802" t="str">
            <v>Kinyon</v>
          </cell>
          <cell r="C802">
            <v>7.2499999999999995E-2</v>
          </cell>
        </row>
        <row r="803">
          <cell r="A803" t="str">
            <v>Kirkwood</v>
          </cell>
          <cell r="B803" t="str">
            <v>Kirkwood</v>
          </cell>
          <cell r="C803">
            <v>7.2499999999999995E-2</v>
          </cell>
        </row>
        <row r="804">
          <cell r="A804" t="str">
            <v>Kit Carson</v>
          </cell>
          <cell r="B804" t="str">
            <v>Kit Carson</v>
          </cell>
          <cell r="C804">
            <v>7.7499999999999999E-2</v>
          </cell>
        </row>
        <row r="805">
          <cell r="A805" t="str">
            <v>Klamath</v>
          </cell>
          <cell r="B805" t="str">
            <v>Klamath</v>
          </cell>
          <cell r="C805">
            <v>8.2500000000000004E-2</v>
          </cell>
        </row>
        <row r="806">
          <cell r="A806" t="str">
            <v>Klamath River</v>
          </cell>
          <cell r="B806" t="str">
            <v>Klamath River</v>
          </cell>
          <cell r="C806">
            <v>7.2499999999999995E-2</v>
          </cell>
        </row>
        <row r="807">
          <cell r="A807" t="str">
            <v>Kneeland</v>
          </cell>
          <cell r="B807" t="str">
            <v>Kneeland</v>
          </cell>
          <cell r="C807">
            <v>7.7499999999999999E-2</v>
          </cell>
        </row>
        <row r="808">
          <cell r="A808" t="str">
            <v>Knights Ferry</v>
          </cell>
          <cell r="B808" t="str">
            <v>Knights Ferry</v>
          </cell>
          <cell r="C808">
            <v>7.8750000000000001E-2</v>
          </cell>
        </row>
        <row r="809">
          <cell r="A809" t="str">
            <v>Knights Landing</v>
          </cell>
          <cell r="B809" t="str">
            <v>Knights Landing</v>
          </cell>
          <cell r="C809">
            <v>7.2499999999999995E-2</v>
          </cell>
        </row>
        <row r="810">
          <cell r="A810" t="str">
            <v>Knightsen</v>
          </cell>
          <cell r="B810" t="str">
            <v>Knightsen</v>
          </cell>
          <cell r="C810">
            <v>8.7499999999999994E-2</v>
          </cell>
        </row>
        <row r="811">
          <cell r="A811" t="str">
            <v>Korbel</v>
          </cell>
          <cell r="B811" t="str">
            <v>Korbel</v>
          </cell>
          <cell r="C811">
            <v>7.7499999999999999E-2</v>
          </cell>
        </row>
        <row r="812">
          <cell r="A812" t="str">
            <v>Korbel</v>
          </cell>
          <cell r="B812" t="str">
            <v>Korbel</v>
          </cell>
          <cell r="C812">
            <v>8.5000000000000006E-2</v>
          </cell>
        </row>
        <row r="813">
          <cell r="A813" t="str">
            <v>Kyburz</v>
          </cell>
          <cell r="B813" t="str">
            <v>Kyburz</v>
          </cell>
          <cell r="C813">
            <v>7.2499999999999995E-2</v>
          </cell>
        </row>
        <row r="814">
          <cell r="A814" t="str">
            <v>L.A. Airport</v>
          </cell>
          <cell r="B814" t="str">
            <v>L.A. Airport (Los Angeles*)</v>
          </cell>
          <cell r="C814">
            <v>9.5000000000000001E-2</v>
          </cell>
        </row>
        <row r="815">
          <cell r="A815" t="str">
            <v>La Canada- Flintridge</v>
          </cell>
          <cell r="B815" t="str">
            <v>La Canada- Flintridge*</v>
          </cell>
          <cell r="C815">
            <v>9.5000000000000001E-2</v>
          </cell>
        </row>
        <row r="816">
          <cell r="A816" t="str">
            <v>La Crescenta</v>
          </cell>
          <cell r="B816" t="str">
            <v>La Crescenta</v>
          </cell>
          <cell r="C816">
            <v>9.5000000000000001E-2</v>
          </cell>
        </row>
        <row r="817">
          <cell r="A817" t="str">
            <v>La Cresta Village</v>
          </cell>
          <cell r="B817" t="str">
            <v>La Cresta Village</v>
          </cell>
          <cell r="C817">
            <v>7.2499999999999995E-2</v>
          </cell>
        </row>
        <row r="818">
          <cell r="A818" t="str">
            <v>La Grange</v>
          </cell>
          <cell r="B818" t="str">
            <v>La Grange</v>
          </cell>
          <cell r="C818">
            <v>7.8750000000000001E-2</v>
          </cell>
        </row>
        <row r="819">
          <cell r="A819" t="str">
            <v>La Habra Heights</v>
          </cell>
          <cell r="B819" t="str">
            <v>La Habra Heights*</v>
          </cell>
          <cell r="C819">
            <v>9.5000000000000001E-2</v>
          </cell>
        </row>
        <row r="820">
          <cell r="A820" t="str">
            <v>La Habra</v>
          </cell>
          <cell r="B820" t="str">
            <v>La Habra*</v>
          </cell>
          <cell r="C820">
            <v>8.2500000000000004E-2</v>
          </cell>
        </row>
        <row r="821">
          <cell r="A821" t="str">
            <v>La Honda</v>
          </cell>
          <cell r="B821" t="str">
            <v>La Honda</v>
          </cell>
          <cell r="C821">
            <v>9.375E-2</v>
          </cell>
        </row>
        <row r="822">
          <cell r="A822" t="str">
            <v>La Jolla</v>
          </cell>
          <cell r="B822" t="str">
            <v>La Jolla (San Diego*)</v>
          </cell>
          <cell r="C822">
            <v>7.7499999999999999E-2</v>
          </cell>
        </row>
        <row r="823">
          <cell r="A823" t="str">
            <v>La Mesa</v>
          </cell>
          <cell r="B823" t="str">
            <v>La Mesa*</v>
          </cell>
          <cell r="C823">
            <v>8.4999999999999992E-2</v>
          </cell>
        </row>
        <row r="824">
          <cell r="A824" t="str">
            <v>La Mirada</v>
          </cell>
          <cell r="B824" t="str">
            <v>La Mirada*</v>
          </cell>
          <cell r="C824">
            <v>9.5000000000000001E-2</v>
          </cell>
        </row>
        <row r="825">
          <cell r="A825" t="str">
            <v>La Palma</v>
          </cell>
          <cell r="B825" t="str">
            <v>La Palma*</v>
          </cell>
          <cell r="C825">
            <v>8.7499999999999994E-2</v>
          </cell>
        </row>
        <row r="826">
          <cell r="A826" t="str">
            <v>La Porte</v>
          </cell>
          <cell r="B826" t="str">
            <v>La Porte</v>
          </cell>
          <cell r="C826">
            <v>7.2499999999999995E-2</v>
          </cell>
        </row>
        <row r="827">
          <cell r="A827" t="str">
            <v>La Puente</v>
          </cell>
          <cell r="B827" t="str">
            <v>La Puente*</v>
          </cell>
          <cell r="C827">
            <v>0.1</v>
          </cell>
        </row>
        <row r="828">
          <cell r="A828" t="str">
            <v>La Quinta</v>
          </cell>
          <cell r="B828" t="str">
            <v>La Quinta*</v>
          </cell>
          <cell r="C828">
            <v>8.7499999999999994E-2</v>
          </cell>
        </row>
        <row r="829">
          <cell r="A829" t="str">
            <v>La Selva Beach</v>
          </cell>
          <cell r="B829" t="str">
            <v>La Selva Beach</v>
          </cell>
          <cell r="C829">
            <v>0.09</v>
          </cell>
        </row>
        <row r="830">
          <cell r="A830" t="str">
            <v>La Verne</v>
          </cell>
          <cell r="B830" t="str">
            <v>La Verne*</v>
          </cell>
          <cell r="C830">
            <v>0.10249999999999999</v>
          </cell>
        </row>
        <row r="831">
          <cell r="A831" t="str">
            <v>La Vina</v>
          </cell>
          <cell r="B831" t="str">
            <v>La Vina</v>
          </cell>
          <cell r="C831">
            <v>9.5000000000000001E-2</v>
          </cell>
        </row>
        <row r="832">
          <cell r="A832" t="str">
            <v>Ladera</v>
          </cell>
          <cell r="B832" t="str">
            <v>Ladera</v>
          </cell>
          <cell r="C832">
            <v>9.375E-2</v>
          </cell>
        </row>
        <row r="833">
          <cell r="A833" t="str">
            <v>Ladera Heights</v>
          </cell>
          <cell r="B833" t="str">
            <v>Ladera Heights</v>
          </cell>
          <cell r="C833">
            <v>9.5000000000000001E-2</v>
          </cell>
        </row>
        <row r="834">
          <cell r="A834" t="str">
            <v>Ladera Ranch</v>
          </cell>
          <cell r="B834" t="str">
            <v>Ladera Ranch</v>
          </cell>
          <cell r="C834">
            <v>7.7499999999999999E-2</v>
          </cell>
        </row>
        <row r="835">
          <cell r="A835" t="str">
            <v>Lafayette</v>
          </cell>
          <cell r="B835" t="str">
            <v>Lafayette*</v>
          </cell>
          <cell r="C835">
            <v>8.7499999999999994E-2</v>
          </cell>
        </row>
        <row r="836">
          <cell r="A836" t="str">
            <v>Laguna Beach</v>
          </cell>
          <cell r="B836" t="str">
            <v>Laguna Beach*</v>
          </cell>
          <cell r="C836">
            <v>7.7499999999999999E-2</v>
          </cell>
        </row>
        <row r="837">
          <cell r="A837" t="str">
            <v>Laguna Hills</v>
          </cell>
          <cell r="B837" t="str">
            <v>Laguna Hills*</v>
          </cell>
          <cell r="C837">
            <v>7.7499999999999999E-2</v>
          </cell>
        </row>
        <row r="838">
          <cell r="A838" t="str">
            <v>Laguna Niguel</v>
          </cell>
          <cell r="B838" t="str">
            <v>Laguna Niguel*</v>
          </cell>
          <cell r="C838">
            <v>7.7499999999999999E-2</v>
          </cell>
        </row>
        <row r="839">
          <cell r="A839" t="str">
            <v>Laguna Woods</v>
          </cell>
          <cell r="B839" t="str">
            <v>Laguna Woods*</v>
          </cell>
          <cell r="C839">
            <v>7.7499999999999999E-2</v>
          </cell>
        </row>
        <row r="840">
          <cell r="A840" t="str">
            <v>Lagunitas</v>
          </cell>
          <cell r="B840" t="str">
            <v>Lagunitas</v>
          </cell>
          <cell r="C840">
            <v>8.2500000000000004E-2</v>
          </cell>
        </row>
        <row r="841">
          <cell r="A841" t="str">
            <v>Lake Alpine</v>
          </cell>
          <cell r="B841" t="str">
            <v>Lake Alpine</v>
          </cell>
          <cell r="C841">
            <v>7.2499999999999995E-2</v>
          </cell>
        </row>
        <row r="842">
          <cell r="A842" t="str">
            <v>Lake Arrowhead</v>
          </cell>
          <cell r="B842" t="str">
            <v>Lake Arrowhead</v>
          </cell>
          <cell r="C842">
            <v>7.7499999999999999E-2</v>
          </cell>
        </row>
        <row r="843">
          <cell r="A843" t="str">
            <v>Lake City</v>
          </cell>
          <cell r="B843" t="str">
            <v>Lake City</v>
          </cell>
          <cell r="C843">
            <v>7.2499999999999995E-2</v>
          </cell>
        </row>
        <row r="844">
          <cell r="A844" t="str">
            <v>Lake City</v>
          </cell>
          <cell r="B844" t="str">
            <v>Lake City</v>
          </cell>
          <cell r="C844">
            <v>7.4999999999999997E-2</v>
          </cell>
        </row>
        <row r="845">
          <cell r="A845" t="str">
            <v>Lake Elsinore</v>
          </cell>
          <cell r="B845" t="str">
            <v>Lake Elsinore*</v>
          </cell>
          <cell r="C845">
            <v>8.7499999999999994E-2</v>
          </cell>
        </row>
        <row r="846">
          <cell r="A846" t="str">
            <v>Lake Forest</v>
          </cell>
          <cell r="B846" t="str">
            <v>Lake Forest*</v>
          </cell>
          <cell r="C846">
            <v>7.7499999999999999E-2</v>
          </cell>
        </row>
        <row r="847">
          <cell r="A847" t="str">
            <v>Lake Hughes</v>
          </cell>
          <cell r="B847" t="str">
            <v>Lake Hughes</v>
          </cell>
          <cell r="C847">
            <v>9.5000000000000001E-2</v>
          </cell>
        </row>
        <row r="848">
          <cell r="A848" t="str">
            <v>Lake Isabella</v>
          </cell>
          <cell r="B848" t="str">
            <v>Lake Isabella</v>
          </cell>
          <cell r="C848">
            <v>7.2499999999999995E-2</v>
          </cell>
        </row>
        <row r="849">
          <cell r="A849" t="str">
            <v>Lake Los Angeles</v>
          </cell>
          <cell r="B849" t="str">
            <v>Lake Los Angeles</v>
          </cell>
          <cell r="C849">
            <v>9.5000000000000001E-2</v>
          </cell>
        </row>
        <row r="850">
          <cell r="A850" t="str">
            <v>Lake Mary</v>
          </cell>
          <cell r="B850" t="str">
            <v>Lake Mary</v>
          </cell>
          <cell r="C850">
            <v>7.2499999999999995E-2</v>
          </cell>
        </row>
        <row r="851">
          <cell r="A851" t="str">
            <v>Lake San Marcos</v>
          </cell>
          <cell r="B851" t="str">
            <v>Lake San Marcos</v>
          </cell>
          <cell r="C851">
            <v>7.7499999999999999E-2</v>
          </cell>
        </row>
        <row r="852">
          <cell r="A852" t="str">
            <v>Lake Shastina</v>
          </cell>
          <cell r="B852" t="str">
            <v>Lake Shastina</v>
          </cell>
          <cell r="C852">
            <v>7.2499999999999995E-2</v>
          </cell>
        </row>
        <row r="853">
          <cell r="A853" t="str">
            <v>Lake Sherwood</v>
          </cell>
          <cell r="B853" t="str">
            <v>Lake Sherwood</v>
          </cell>
          <cell r="C853">
            <v>7.2499999999999995E-2</v>
          </cell>
        </row>
        <row r="854">
          <cell r="A854" t="str">
            <v>Lakehead</v>
          </cell>
          <cell r="B854" t="str">
            <v>Lakehead</v>
          </cell>
          <cell r="C854">
            <v>7.2499999999999995E-2</v>
          </cell>
        </row>
        <row r="855">
          <cell r="A855" t="str">
            <v>Lakeport</v>
          </cell>
          <cell r="B855" t="str">
            <v>Lakeport*</v>
          </cell>
          <cell r="C855">
            <v>8.7499999999999994E-2</v>
          </cell>
        </row>
        <row r="856">
          <cell r="A856" t="str">
            <v>Lakeshore</v>
          </cell>
          <cell r="B856" t="str">
            <v>Lakeshore</v>
          </cell>
          <cell r="C856">
            <v>7.9750000000000001E-2</v>
          </cell>
        </row>
        <row r="857">
          <cell r="A857" t="str">
            <v>Lakeside</v>
          </cell>
          <cell r="B857" t="str">
            <v>Lakeside</v>
          </cell>
          <cell r="C857">
            <v>7.7499999999999999E-2</v>
          </cell>
        </row>
        <row r="858">
          <cell r="A858" t="str">
            <v>Lakeview</v>
          </cell>
          <cell r="B858" t="str">
            <v>Lakeview</v>
          </cell>
          <cell r="C858">
            <v>7.7499999999999999E-2</v>
          </cell>
        </row>
        <row r="859">
          <cell r="A859" t="str">
            <v>Lakeview Terrace</v>
          </cell>
          <cell r="B859" t="str">
            <v>Lakeview Terrace (Los Angeles*)</v>
          </cell>
          <cell r="C859">
            <v>9.5000000000000001E-2</v>
          </cell>
        </row>
        <row r="860">
          <cell r="A860" t="str">
            <v>Lakewood</v>
          </cell>
          <cell r="B860" t="str">
            <v>Lakewood*</v>
          </cell>
          <cell r="C860">
            <v>0.10249999999999999</v>
          </cell>
        </row>
        <row r="861">
          <cell r="A861" t="str">
            <v>Lamont</v>
          </cell>
          <cell r="B861" t="str">
            <v>Lamont</v>
          </cell>
          <cell r="C861">
            <v>7.2499999999999995E-2</v>
          </cell>
        </row>
        <row r="862">
          <cell r="A862" t="str">
            <v>Lancaster</v>
          </cell>
          <cell r="B862" t="str">
            <v>Lancaster*</v>
          </cell>
          <cell r="C862">
            <v>0.10249999999999999</v>
          </cell>
        </row>
        <row r="863">
          <cell r="A863" t="str">
            <v>Landers</v>
          </cell>
          <cell r="B863" t="str">
            <v>Landers</v>
          </cell>
          <cell r="C863">
            <v>7.7499999999999999E-2</v>
          </cell>
        </row>
        <row r="864">
          <cell r="A864" t="str">
            <v>Landscape</v>
          </cell>
          <cell r="B864" t="str">
            <v>Landscape</v>
          </cell>
          <cell r="C864">
            <v>0.10249999999999999</v>
          </cell>
        </row>
        <row r="865">
          <cell r="A865" t="str">
            <v>Lang</v>
          </cell>
          <cell r="B865" t="str">
            <v>Lang</v>
          </cell>
          <cell r="C865">
            <v>9.5000000000000001E-2</v>
          </cell>
        </row>
        <row r="866">
          <cell r="A866" t="str">
            <v>Larkfield</v>
          </cell>
          <cell r="B866" t="str">
            <v>Larkfield</v>
          </cell>
          <cell r="C866">
            <v>8.5000000000000006E-2</v>
          </cell>
        </row>
        <row r="867">
          <cell r="A867" t="str">
            <v>Larkspur</v>
          </cell>
          <cell r="B867" t="str">
            <v>Larkspur*</v>
          </cell>
          <cell r="C867">
            <v>0.09</v>
          </cell>
        </row>
        <row r="868">
          <cell r="A868" t="str">
            <v>Larwin Plaza</v>
          </cell>
          <cell r="B868" t="str">
            <v>Larwin Plaza</v>
          </cell>
          <cell r="C868">
            <v>7.3749999999999996E-2</v>
          </cell>
        </row>
        <row r="869">
          <cell r="A869" t="str">
            <v>Lathrop</v>
          </cell>
          <cell r="B869" t="str">
            <v>Lathrop*</v>
          </cell>
          <cell r="C869">
            <v>8.7499999999999994E-2</v>
          </cell>
        </row>
        <row r="870">
          <cell r="A870" t="str">
            <v>Laton</v>
          </cell>
          <cell r="B870" t="str">
            <v>Laton</v>
          </cell>
          <cell r="C870">
            <v>7.9750000000000001E-2</v>
          </cell>
        </row>
        <row r="871">
          <cell r="A871" t="str">
            <v>Lawndale</v>
          </cell>
          <cell r="B871" t="str">
            <v>Lawndale*</v>
          </cell>
          <cell r="C871">
            <v>0.10249999999999999</v>
          </cell>
        </row>
        <row r="872">
          <cell r="A872" t="str">
            <v>Laws</v>
          </cell>
          <cell r="B872" t="str">
            <v>Laws</v>
          </cell>
          <cell r="C872">
            <v>7.7499999999999999E-2</v>
          </cell>
        </row>
        <row r="873">
          <cell r="A873" t="str">
            <v>Laytonville</v>
          </cell>
          <cell r="B873" t="str">
            <v>Laytonville</v>
          </cell>
          <cell r="C873">
            <v>7.8750000000000001E-2</v>
          </cell>
        </row>
        <row r="874">
          <cell r="A874" t="str">
            <v>Le Grand</v>
          </cell>
          <cell r="B874" t="str">
            <v>Le Grand (Also Legrand)</v>
          </cell>
          <cell r="C874">
            <v>7.7499999999999999E-2</v>
          </cell>
        </row>
        <row r="875">
          <cell r="A875" t="str">
            <v>Lebec</v>
          </cell>
          <cell r="B875" t="str">
            <v>Lebec</v>
          </cell>
          <cell r="C875">
            <v>7.2499999999999995E-2</v>
          </cell>
        </row>
        <row r="876">
          <cell r="A876" t="str">
            <v>Lee Vining</v>
          </cell>
          <cell r="B876" t="str">
            <v>Lee Vining</v>
          </cell>
          <cell r="C876">
            <v>7.2499999999999995E-2</v>
          </cell>
        </row>
        <row r="877">
          <cell r="A877" t="str">
            <v>Leggett</v>
          </cell>
          <cell r="B877" t="str">
            <v>Leggett</v>
          </cell>
          <cell r="C877">
            <v>7.8750000000000001E-2</v>
          </cell>
        </row>
        <row r="878">
          <cell r="A878" t="str">
            <v>Leisure World</v>
          </cell>
          <cell r="B878" t="str">
            <v>Leisure World</v>
          </cell>
          <cell r="C878">
            <v>7.7499999999999999E-2</v>
          </cell>
        </row>
        <row r="879">
          <cell r="A879" t="str">
            <v>Leisure World</v>
          </cell>
          <cell r="B879" t="str">
            <v>Leisure World (Seal Beach*)</v>
          </cell>
          <cell r="C879">
            <v>8.7499999999999994E-2</v>
          </cell>
        </row>
        <row r="880">
          <cell r="A880" t="str">
            <v>Lemon Cove</v>
          </cell>
          <cell r="B880" t="str">
            <v>Lemon Cove</v>
          </cell>
          <cell r="C880">
            <v>7.7499999999999999E-2</v>
          </cell>
        </row>
        <row r="881">
          <cell r="A881" t="str">
            <v>Lemon Grove</v>
          </cell>
          <cell r="B881" t="str">
            <v>Lemon Grove*</v>
          </cell>
          <cell r="C881">
            <v>7.7499999999999999E-2</v>
          </cell>
        </row>
        <row r="882">
          <cell r="A882" t="str">
            <v>Lemoore</v>
          </cell>
          <cell r="B882" t="str">
            <v>Lemoore*</v>
          </cell>
          <cell r="C882">
            <v>7.2499999999999995E-2</v>
          </cell>
        </row>
        <row r="883">
          <cell r="A883" t="str">
            <v>Lennox</v>
          </cell>
          <cell r="B883" t="str">
            <v>Lennox</v>
          </cell>
          <cell r="C883">
            <v>9.5000000000000001E-2</v>
          </cell>
        </row>
        <row r="884">
          <cell r="A884" t="str">
            <v>Lenwood</v>
          </cell>
          <cell r="B884" t="str">
            <v>Lenwood</v>
          </cell>
          <cell r="C884">
            <v>7.7499999999999999E-2</v>
          </cell>
        </row>
        <row r="885">
          <cell r="A885" t="str">
            <v>Leona Valley</v>
          </cell>
          <cell r="B885" t="str">
            <v>Leona Valley</v>
          </cell>
          <cell r="C885">
            <v>9.5000000000000001E-2</v>
          </cell>
        </row>
        <row r="886">
          <cell r="A886" t="str">
            <v>Leucadia</v>
          </cell>
          <cell r="B886" t="str">
            <v>Leucadia (Encinitas*)</v>
          </cell>
          <cell r="C886">
            <v>7.7499999999999999E-2</v>
          </cell>
        </row>
        <row r="887">
          <cell r="A887" t="str">
            <v>Lewiston</v>
          </cell>
          <cell r="B887" t="str">
            <v>Lewiston</v>
          </cell>
          <cell r="C887">
            <v>7.2499999999999995E-2</v>
          </cell>
        </row>
        <row r="888">
          <cell r="A888" t="str">
            <v>Liberty Farms</v>
          </cell>
          <cell r="B888" t="str">
            <v>Liberty Farms</v>
          </cell>
          <cell r="C888">
            <v>7.3749999999999996E-2</v>
          </cell>
        </row>
        <row r="889">
          <cell r="A889" t="str">
            <v>Likely</v>
          </cell>
          <cell r="B889" t="str">
            <v>Likely</v>
          </cell>
          <cell r="C889">
            <v>7.2499999999999995E-2</v>
          </cell>
        </row>
        <row r="890">
          <cell r="A890" t="str">
            <v>Lincoln Acres</v>
          </cell>
          <cell r="B890" t="str">
            <v>Lincoln Acres</v>
          </cell>
          <cell r="C890">
            <v>7.7499999999999999E-2</v>
          </cell>
        </row>
        <row r="891">
          <cell r="A891" t="str">
            <v>Lincoln Heights</v>
          </cell>
          <cell r="B891" t="str">
            <v>Lincoln Heights (Los Angeles*)</v>
          </cell>
          <cell r="C891">
            <v>9.5000000000000001E-2</v>
          </cell>
        </row>
        <row r="892">
          <cell r="A892" t="str">
            <v>Lincoln Village</v>
          </cell>
          <cell r="B892" t="str">
            <v>Lincoln Village</v>
          </cell>
          <cell r="C892">
            <v>7.7499999999999999E-2</v>
          </cell>
        </row>
        <row r="893">
          <cell r="A893" t="str">
            <v>Lincoln</v>
          </cell>
          <cell r="B893" t="str">
            <v>Lincoln*</v>
          </cell>
          <cell r="C893">
            <v>7.2499999999999995E-2</v>
          </cell>
        </row>
        <row r="894">
          <cell r="A894" t="str">
            <v>Linda</v>
          </cell>
          <cell r="B894" t="str">
            <v>Linda</v>
          </cell>
          <cell r="C894">
            <v>8.2500000000000004E-2</v>
          </cell>
        </row>
        <row r="895">
          <cell r="A895" t="str">
            <v>Linden</v>
          </cell>
          <cell r="B895" t="str">
            <v>Linden</v>
          </cell>
          <cell r="C895">
            <v>7.7499999999999999E-2</v>
          </cell>
        </row>
        <row r="896">
          <cell r="A896" t="str">
            <v>Lindsay</v>
          </cell>
          <cell r="B896" t="str">
            <v>Lindsay*</v>
          </cell>
          <cell r="C896">
            <v>8.7499999999999994E-2</v>
          </cell>
        </row>
        <row r="897">
          <cell r="A897" t="str">
            <v>Linnell</v>
          </cell>
          <cell r="B897" t="str">
            <v>Linnell</v>
          </cell>
          <cell r="C897">
            <v>7.7499999999999999E-2</v>
          </cell>
        </row>
        <row r="898">
          <cell r="A898" t="str">
            <v>Litchfield</v>
          </cell>
          <cell r="B898" t="str">
            <v>Litchfield</v>
          </cell>
          <cell r="C898">
            <v>7.2499999999999995E-2</v>
          </cell>
        </row>
        <row r="899">
          <cell r="A899" t="str">
            <v>Little Lake</v>
          </cell>
          <cell r="B899" t="str">
            <v>Little Lake</v>
          </cell>
          <cell r="C899">
            <v>7.7499999999999999E-2</v>
          </cell>
        </row>
        <row r="900">
          <cell r="A900" t="str">
            <v>Little Norway</v>
          </cell>
          <cell r="B900" t="str">
            <v>Little Norway</v>
          </cell>
          <cell r="C900">
            <v>7.2499999999999995E-2</v>
          </cell>
        </row>
        <row r="901">
          <cell r="A901" t="str">
            <v>Little Valley</v>
          </cell>
          <cell r="B901" t="str">
            <v>Little Valley</v>
          </cell>
          <cell r="C901">
            <v>7.2499999999999995E-2</v>
          </cell>
        </row>
        <row r="902">
          <cell r="A902" t="str">
            <v>Littleriver</v>
          </cell>
          <cell r="B902" t="str">
            <v>Littleriver</v>
          </cell>
          <cell r="C902">
            <v>7.8750000000000001E-2</v>
          </cell>
        </row>
        <row r="903">
          <cell r="A903" t="str">
            <v>Littlerock</v>
          </cell>
          <cell r="B903" t="str">
            <v>Littlerock (Also Little Rock)</v>
          </cell>
          <cell r="C903">
            <v>9.5000000000000001E-2</v>
          </cell>
        </row>
        <row r="904">
          <cell r="A904" t="str">
            <v>Live Oak</v>
          </cell>
          <cell r="B904" t="str">
            <v xml:space="preserve">Live Oak </v>
          </cell>
          <cell r="C904">
            <v>0.09</v>
          </cell>
        </row>
        <row r="905">
          <cell r="A905" t="str">
            <v>Live Oak</v>
          </cell>
          <cell r="B905" t="str">
            <v>Live Oak*</v>
          </cell>
          <cell r="C905">
            <v>7.2499999999999995E-2</v>
          </cell>
        </row>
        <row r="906">
          <cell r="A906" t="str">
            <v>Livermore</v>
          </cell>
          <cell r="B906" t="str">
            <v>Livermore*</v>
          </cell>
          <cell r="C906">
            <v>0.10249999999999999</v>
          </cell>
        </row>
        <row r="907">
          <cell r="A907" t="str">
            <v>Livingston</v>
          </cell>
          <cell r="B907" t="str">
            <v>Livingston*</v>
          </cell>
          <cell r="C907">
            <v>7.7499999999999999E-2</v>
          </cell>
        </row>
        <row r="908">
          <cell r="A908" t="str">
            <v>Llano</v>
          </cell>
          <cell r="B908" t="str">
            <v>Llano</v>
          </cell>
          <cell r="C908">
            <v>9.5000000000000001E-2</v>
          </cell>
        </row>
        <row r="909">
          <cell r="A909" t="str">
            <v>Loch Lomond</v>
          </cell>
          <cell r="B909" t="str">
            <v>Loch Lomond</v>
          </cell>
          <cell r="C909">
            <v>7.2499999999999995E-2</v>
          </cell>
        </row>
        <row r="910">
          <cell r="A910" t="str">
            <v>Locke</v>
          </cell>
          <cell r="B910" t="str">
            <v>Locke</v>
          </cell>
          <cell r="C910">
            <v>7.7499999999999999E-2</v>
          </cell>
        </row>
        <row r="911">
          <cell r="A911" t="str">
            <v>Lockeford</v>
          </cell>
          <cell r="B911" t="str">
            <v>Lockeford</v>
          </cell>
          <cell r="C911">
            <v>7.7499999999999999E-2</v>
          </cell>
        </row>
        <row r="912">
          <cell r="A912" t="str">
            <v>Lockheed</v>
          </cell>
          <cell r="B912" t="str">
            <v>Lockheed</v>
          </cell>
          <cell r="C912">
            <v>0.09</v>
          </cell>
        </row>
        <row r="913">
          <cell r="A913" t="str">
            <v>Lockwood</v>
          </cell>
          <cell r="B913" t="str">
            <v>Lockwood</v>
          </cell>
          <cell r="C913">
            <v>7.7499999999999999E-2</v>
          </cell>
        </row>
        <row r="914">
          <cell r="A914" t="str">
            <v>Lodi</v>
          </cell>
          <cell r="B914" t="str">
            <v>Lodi*</v>
          </cell>
          <cell r="C914">
            <v>8.2500000000000004E-2</v>
          </cell>
        </row>
        <row r="915">
          <cell r="A915" t="str">
            <v>Loleta</v>
          </cell>
          <cell r="B915" t="str">
            <v>Loleta</v>
          </cell>
          <cell r="C915">
            <v>7.7499999999999999E-2</v>
          </cell>
        </row>
        <row r="916">
          <cell r="A916" t="str">
            <v>Loma Linda</v>
          </cell>
          <cell r="B916" t="str">
            <v>Loma Linda*</v>
          </cell>
          <cell r="C916">
            <v>7.7499999999999999E-2</v>
          </cell>
        </row>
        <row r="917">
          <cell r="A917" t="str">
            <v>Loma Mar</v>
          </cell>
          <cell r="B917" t="str">
            <v>Loma Mar</v>
          </cell>
          <cell r="C917">
            <v>9.375E-2</v>
          </cell>
        </row>
        <row r="918">
          <cell r="A918" t="str">
            <v>Loma Rica</v>
          </cell>
          <cell r="B918" t="str">
            <v>Loma Rica</v>
          </cell>
          <cell r="C918">
            <v>8.2500000000000004E-2</v>
          </cell>
        </row>
        <row r="919">
          <cell r="A919" t="str">
            <v>Lomita</v>
          </cell>
          <cell r="B919" t="str">
            <v>Lomita*</v>
          </cell>
          <cell r="C919">
            <v>0.10249999999999999</v>
          </cell>
        </row>
        <row r="920">
          <cell r="A920" t="str">
            <v>Lompoc</v>
          </cell>
          <cell r="B920" t="str">
            <v>Lompoc*</v>
          </cell>
          <cell r="C920">
            <v>8.7499999999999994E-2</v>
          </cell>
        </row>
        <row r="921">
          <cell r="A921" t="str">
            <v>London</v>
          </cell>
          <cell r="B921" t="str">
            <v>London</v>
          </cell>
          <cell r="C921">
            <v>7.7499999999999999E-2</v>
          </cell>
        </row>
        <row r="922">
          <cell r="A922" t="str">
            <v>Lone Pine</v>
          </cell>
          <cell r="B922" t="str">
            <v>Lone Pine</v>
          </cell>
          <cell r="C922">
            <v>7.7499999999999999E-2</v>
          </cell>
        </row>
        <row r="923">
          <cell r="A923" t="str">
            <v>Long Barn</v>
          </cell>
          <cell r="B923" t="str">
            <v>Long Barn</v>
          </cell>
          <cell r="C923">
            <v>7.2499999999999995E-2</v>
          </cell>
        </row>
        <row r="924">
          <cell r="A924" t="str">
            <v>Long Beach</v>
          </cell>
          <cell r="B924" t="str">
            <v>Long Beach*</v>
          </cell>
          <cell r="C924">
            <v>0.10249999999999999</v>
          </cell>
        </row>
        <row r="925">
          <cell r="A925" t="str">
            <v>Longview</v>
          </cell>
          <cell r="B925" t="str">
            <v>Longview</v>
          </cell>
          <cell r="C925">
            <v>9.5000000000000001E-2</v>
          </cell>
        </row>
        <row r="926">
          <cell r="A926" t="str">
            <v>Lookout</v>
          </cell>
          <cell r="B926" t="str">
            <v>Lookout</v>
          </cell>
          <cell r="C926">
            <v>7.2499999999999995E-2</v>
          </cell>
        </row>
        <row r="927">
          <cell r="A927" t="str">
            <v>Loomis</v>
          </cell>
          <cell r="B927" t="str">
            <v>Loomis*</v>
          </cell>
          <cell r="C927">
            <v>7.4999999999999997E-2</v>
          </cell>
        </row>
        <row r="928">
          <cell r="A928" t="str">
            <v>Lorre Estates</v>
          </cell>
          <cell r="B928" t="str">
            <v>Lorre Estates</v>
          </cell>
          <cell r="C928">
            <v>9.1249999999999998E-2</v>
          </cell>
        </row>
        <row r="929">
          <cell r="A929" t="str">
            <v>Los Alamitos</v>
          </cell>
          <cell r="B929" t="str">
            <v>Los Alamitos*</v>
          </cell>
          <cell r="C929">
            <v>9.2499999999999999E-2</v>
          </cell>
        </row>
        <row r="930">
          <cell r="A930" t="str">
            <v>Los Alamos</v>
          </cell>
          <cell r="B930" t="str">
            <v>Los Alamos</v>
          </cell>
          <cell r="C930">
            <v>7.7499999999999999E-2</v>
          </cell>
        </row>
        <row r="931">
          <cell r="A931" t="str">
            <v>Los Altos Hills</v>
          </cell>
          <cell r="B931" t="str">
            <v>Los Altos Hills*</v>
          </cell>
          <cell r="C931">
            <v>9.1249999999999998E-2</v>
          </cell>
        </row>
        <row r="932">
          <cell r="A932" t="str">
            <v>Los Altos</v>
          </cell>
          <cell r="B932" t="str">
            <v>Los Altos*</v>
          </cell>
          <cell r="C932">
            <v>9.1249999999999998E-2</v>
          </cell>
        </row>
        <row r="933">
          <cell r="A933" t="str">
            <v>Los Angeles</v>
          </cell>
          <cell r="B933" t="str">
            <v>Los Angeles*</v>
          </cell>
          <cell r="C933">
            <v>9.5000000000000001E-2</v>
          </cell>
        </row>
        <row r="934">
          <cell r="A934" t="str">
            <v>Los Banos</v>
          </cell>
          <cell r="B934" t="str">
            <v>Los Banos*</v>
          </cell>
          <cell r="C934">
            <v>8.7499999999999994E-2</v>
          </cell>
        </row>
        <row r="935">
          <cell r="A935" t="str">
            <v>Los Gatos</v>
          </cell>
          <cell r="B935" t="str">
            <v>Los Gatos*</v>
          </cell>
          <cell r="C935">
            <v>9.2499999999999999E-2</v>
          </cell>
        </row>
        <row r="936">
          <cell r="A936" t="str">
            <v>Los Molinos</v>
          </cell>
          <cell r="B936" t="str">
            <v>Los Molinos</v>
          </cell>
          <cell r="C936">
            <v>7.2499999999999995E-2</v>
          </cell>
        </row>
        <row r="937">
          <cell r="A937" t="str">
            <v>Los Nietos</v>
          </cell>
          <cell r="B937" t="str">
            <v>Los Nietos</v>
          </cell>
          <cell r="C937">
            <v>9.5000000000000001E-2</v>
          </cell>
        </row>
        <row r="938">
          <cell r="A938" t="str">
            <v>Los Olivos</v>
          </cell>
          <cell r="B938" t="str">
            <v>Los Olivos</v>
          </cell>
          <cell r="C938">
            <v>7.7499999999999999E-2</v>
          </cell>
        </row>
        <row r="939">
          <cell r="A939" t="str">
            <v>Los Osos</v>
          </cell>
          <cell r="B939" t="str">
            <v>Los Osos</v>
          </cell>
          <cell r="C939">
            <v>7.2499999999999995E-2</v>
          </cell>
        </row>
        <row r="940">
          <cell r="A940" t="str">
            <v>Los Padres</v>
          </cell>
          <cell r="B940" t="str">
            <v>Los Padres</v>
          </cell>
          <cell r="C940">
            <v>7.2499999999999995E-2</v>
          </cell>
        </row>
        <row r="941">
          <cell r="A941" t="str">
            <v>Los Serranos</v>
          </cell>
          <cell r="B941" t="str">
            <v>Los Serranos (Chino Hills*)</v>
          </cell>
          <cell r="C941">
            <v>7.7499999999999999E-2</v>
          </cell>
        </row>
        <row r="942">
          <cell r="A942" t="str">
            <v>Lost Hills</v>
          </cell>
          <cell r="B942" t="str">
            <v>Lost Hills</v>
          </cell>
          <cell r="C942">
            <v>7.2499999999999995E-2</v>
          </cell>
        </row>
        <row r="943">
          <cell r="A943" t="str">
            <v>Lost Lake</v>
          </cell>
          <cell r="B943" t="str">
            <v>Lost Lake</v>
          </cell>
          <cell r="C943">
            <v>7.7499999999999999E-2</v>
          </cell>
        </row>
        <row r="944">
          <cell r="A944" t="str">
            <v>Lotus</v>
          </cell>
          <cell r="B944" t="str">
            <v>Lotus</v>
          </cell>
          <cell r="C944">
            <v>7.2499999999999995E-2</v>
          </cell>
        </row>
        <row r="945">
          <cell r="A945" t="str">
            <v>Lower Lake</v>
          </cell>
          <cell r="B945" t="str">
            <v>Lower Lake</v>
          </cell>
          <cell r="C945">
            <v>7.2499999999999995E-2</v>
          </cell>
        </row>
        <row r="946">
          <cell r="A946" t="str">
            <v>Loyalton</v>
          </cell>
          <cell r="B946" t="str">
            <v>Loyalton*</v>
          </cell>
          <cell r="C946">
            <v>7.2499999999999995E-2</v>
          </cell>
        </row>
        <row r="947">
          <cell r="A947" t="str">
            <v>Lucerne</v>
          </cell>
          <cell r="B947" t="str">
            <v>Lucerne</v>
          </cell>
          <cell r="C947">
            <v>7.2499999999999995E-2</v>
          </cell>
        </row>
        <row r="948">
          <cell r="A948" t="str">
            <v>Lucerne Valley</v>
          </cell>
          <cell r="B948" t="str">
            <v>Lucerne Valley</v>
          </cell>
          <cell r="C948">
            <v>7.7499999999999999E-2</v>
          </cell>
        </row>
        <row r="949">
          <cell r="A949" t="str">
            <v>Lucia</v>
          </cell>
          <cell r="B949" t="str">
            <v>Lucia</v>
          </cell>
          <cell r="C949">
            <v>7.7499999999999999E-2</v>
          </cell>
        </row>
        <row r="950">
          <cell r="A950" t="str">
            <v>Ludlow</v>
          </cell>
          <cell r="B950" t="str">
            <v>Ludlow</v>
          </cell>
          <cell r="C950">
            <v>7.7499999999999999E-2</v>
          </cell>
        </row>
        <row r="951">
          <cell r="A951" t="str">
            <v>Lugo</v>
          </cell>
          <cell r="B951" t="str">
            <v>Lugo</v>
          </cell>
          <cell r="C951">
            <v>9.5000000000000001E-2</v>
          </cell>
        </row>
        <row r="952">
          <cell r="A952" t="str">
            <v>Lynwood</v>
          </cell>
          <cell r="B952" t="str">
            <v>Lynwood*</v>
          </cell>
          <cell r="C952">
            <v>0.10249999999999999</v>
          </cell>
        </row>
        <row r="953">
          <cell r="A953" t="str">
            <v>Lytle Creek</v>
          </cell>
          <cell r="B953" t="str">
            <v>Lytle Creek</v>
          </cell>
          <cell r="C953">
            <v>7.7499999999999999E-2</v>
          </cell>
        </row>
        <row r="954">
          <cell r="A954" t="str">
            <v>Macdoel</v>
          </cell>
          <cell r="B954" t="str">
            <v>Macdoel</v>
          </cell>
          <cell r="C954">
            <v>7.2499999999999995E-2</v>
          </cell>
        </row>
        <row r="955">
          <cell r="A955" t="str">
            <v>Maclay</v>
          </cell>
          <cell r="B955" t="str">
            <v>Maclay</v>
          </cell>
          <cell r="C955">
            <v>9.5000000000000001E-2</v>
          </cell>
        </row>
        <row r="956">
          <cell r="A956" t="str">
            <v>Mad River</v>
          </cell>
          <cell r="B956" t="str">
            <v>Mad River</v>
          </cell>
          <cell r="C956">
            <v>7.2499999999999995E-2</v>
          </cell>
        </row>
        <row r="957">
          <cell r="A957" t="str">
            <v>Madeline</v>
          </cell>
          <cell r="B957" t="str">
            <v>Madeline</v>
          </cell>
          <cell r="C957">
            <v>7.2499999999999995E-2</v>
          </cell>
        </row>
        <row r="958">
          <cell r="A958" t="str">
            <v>Madera</v>
          </cell>
          <cell r="B958" t="str">
            <v>Madera*</v>
          </cell>
          <cell r="C958">
            <v>8.2500000000000004E-2</v>
          </cell>
        </row>
        <row r="959">
          <cell r="A959" t="str">
            <v>Madison</v>
          </cell>
          <cell r="B959" t="str">
            <v>Madison</v>
          </cell>
          <cell r="C959">
            <v>7.2499999999999995E-2</v>
          </cell>
        </row>
        <row r="960">
          <cell r="A960" t="str">
            <v>Magalia</v>
          </cell>
          <cell r="B960" t="str">
            <v>Magalia</v>
          </cell>
          <cell r="C960">
            <v>7.2499999999999995E-2</v>
          </cell>
        </row>
        <row r="961">
          <cell r="A961" t="str">
            <v>Malaga</v>
          </cell>
          <cell r="B961" t="str">
            <v>Malaga</v>
          </cell>
          <cell r="C961">
            <v>7.9750000000000001E-2</v>
          </cell>
        </row>
        <row r="962">
          <cell r="A962" t="str">
            <v>Malibu</v>
          </cell>
          <cell r="B962" t="str">
            <v>Malibu*</v>
          </cell>
          <cell r="C962">
            <v>9.5000000000000001E-2</v>
          </cell>
        </row>
        <row r="963">
          <cell r="A963" t="str">
            <v>Mammoth Lakes</v>
          </cell>
          <cell r="B963" t="str">
            <v>Mammoth Lakes*</v>
          </cell>
          <cell r="C963">
            <v>7.7499999999999999E-2</v>
          </cell>
        </row>
        <row r="964">
          <cell r="A964" t="str">
            <v>Manhattan Beach</v>
          </cell>
          <cell r="B964" t="str">
            <v>Manhattan Beach*</v>
          </cell>
          <cell r="C964">
            <v>9.5000000000000001E-2</v>
          </cell>
        </row>
        <row r="965">
          <cell r="A965" t="str">
            <v>Manteca</v>
          </cell>
          <cell r="B965" t="str">
            <v>Manteca*</v>
          </cell>
          <cell r="C965">
            <v>8.2500000000000004E-2</v>
          </cell>
        </row>
        <row r="966">
          <cell r="A966" t="str">
            <v>Manton</v>
          </cell>
          <cell r="B966" t="str">
            <v>Manton</v>
          </cell>
          <cell r="C966">
            <v>7.2499999999999995E-2</v>
          </cell>
        </row>
        <row r="967">
          <cell r="A967" t="str">
            <v>Manzanita Lake</v>
          </cell>
          <cell r="B967" t="str">
            <v>Manzanita Lake</v>
          </cell>
          <cell r="C967">
            <v>7.2499999999999995E-2</v>
          </cell>
        </row>
        <row r="968">
          <cell r="A968" t="str">
            <v>Mar Vista</v>
          </cell>
          <cell r="B968" t="str">
            <v>Mar Vista</v>
          </cell>
          <cell r="C968">
            <v>9.5000000000000001E-2</v>
          </cell>
        </row>
        <row r="969">
          <cell r="A969" t="str">
            <v>Marcelina</v>
          </cell>
          <cell r="B969" t="str">
            <v>Marcelina</v>
          </cell>
          <cell r="C969">
            <v>9.5000000000000001E-2</v>
          </cell>
        </row>
        <row r="970">
          <cell r="A970" t="str">
            <v>March A.F.B.</v>
          </cell>
          <cell r="B970" t="str">
            <v>March A.F.B.</v>
          </cell>
          <cell r="C970">
            <v>7.7499999999999999E-2</v>
          </cell>
        </row>
        <row r="971">
          <cell r="A971" t="str">
            <v>Mare Island</v>
          </cell>
          <cell r="B971" t="str">
            <v>Mare Island (Vallejo*)</v>
          </cell>
          <cell r="C971">
            <v>8.3749999999999991E-2</v>
          </cell>
        </row>
        <row r="972">
          <cell r="A972" t="str">
            <v>Maricopa</v>
          </cell>
          <cell r="B972" t="str">
            <v>Maricopa*</v>
          </cell>
          <cell r="C972">
            <v>7.2499999999999995E-2</v>
          </cell>
        </row>
        <row r="973">
          <cell r="A973" t="str">
            <v>Marin City</v>
          </cell>
          <cell r="B973" t="str">
            <v>Marin City</v>
          </cell>
          <cell r="C973">
            <v>8.2500000000000004E-2</v>
          </cell>
        </row>
        <row r="974">
          <cell r="A974" t="str">
            <v>Marina Del Rey</v>
          </cell>
          <cell r="B974" t="str">
            <v>Marina Del Rey</v>
          </cell>
          <cell r="C974">
            <v>9.5000000000000001E-2</v>
          </cell>
        </row>
        <row r="975">
          <cell r="A975" t="str">
            <v>Marina</v>
          </cell>
          <cell r="B975" t="str">
            <v>Marina*</v>
          </cell>
          <cell r="C975">
            <v>9.2499999999999999E-2</v>
          </cell>
        </row>
        <row r="976">
          <cell r="A976" t="str">
            <v>Marine Corps</v>
          </cell>
          <cell r="B976" t="str">
            <v>Marine Corps (Twentynine Palms*)</v>
          </cell>
          <cell r="C976">
            <v>7.7499999999999999E-2</v>
          </cell>
        </row>
        <row r="977">
          <cell r="A977" t="str">
            <v>Mariner</v>
          </cell>
          <cell r="B977" t="str">
            <v>Mariner</v>
          </cell>
          <cell r="C977">
            <v>7.7499999999999999E-2</v>
          </cell>
        </row>
        <row r="978">
          <cell r="A978" t="str">
            <v>Mariposa</v>
          </cell>
          <cell r="B978" t="str">
            <v>Mariposa</v>
          </cell>
          <cell r="C978">
            <v>8.7499999999999994E-2</v>
          </cell>
        </row>
        <row r="979">
          <cell r="A979" t="str">
            <v>Markleeville</v>
          </cell>
          <cell r="B979" t="str">
            <v>Markleeville</v>
          </cell>
          <cell r="C979">
            <v>7.2499999999999995E-2</v>
          </cell>
        </row>
        <row r="980">
          <cell r="A980" t="str">
            <v>Marsh Manor</v>
          </cell>
          <cell r="B980" t="str">
            <v>Marsh Manor</v>
          </cell>
          <cell r="C980">
            <v>9.375E-2</v>
          </cell>
        </row>
        <row r="981">
          <cell r="A981" t="str">
            <v>Marshall</v>
          </cell>
          <cell r="B981" t="str">
            <v>Marshall</v>
          </cell>
          <cell r="C981">
            <v>8.2500000000000004E-2</v>
          </cell>
        </row>
        <row r="982">
          <cell r="A982" t="str">
            <v>Martell</v>
          </cell>
          <cell r="B982" t="str">
            <v>Martell</v>
          </cell>
          <cell r="C982">
            <v>7.7499999999999999E-2</v>
          </cell>
        </row>
        <row r="983">
          <cell r="A983" t="str">
            <v>Martinez</v>
          </cell>
          <cell r="B983" t="str">
            <v>Martinez*</v>
          </cell>
          <cell r="C983">
            <v>9.7500000000000003E-2</v>
          </cell>
        </row>
        <row r="984">
          <cell r="A984" t="str">
            <v>Marysville</v>
          </cell>
          <cell r="B984" t="str">
            <v>Marysville*</v>
          </cell>
          <cell r="C984">
            <v>8.2500000000000004E-2</v>
          </cell>
        </row>
        <row r="985">
          <cell r="A985" t="str">
            <v>Mather</v>
          </cell>
          <cell r="B985" t="str">
            <v>Mather</v>
          </cell>
          <cell r="C985">
            <v>7.2499999999999995E-2</v>
          </cell>
        </row>
        <row r="986">
          <cell r="A986" t="str">
            <v>Mather</v>
          </cell>
          <cell r="B986" t="str">
            <v xml:space="preserve">Mather </v>
          </cell>
          <cell r="C986">
            <v>7.7499999999999999E-2</v>
          </cell>
        </row>
        <row r="987">
          <cell r="A987" t="str">
            <v>Maxwell</v>
          </cell>
          <cell r="B987" t="str">
            <v>Maxwell</v>
          </cell>
          <cell r="C987">
            <v>7.2499999999999995E-2</v>
          </cell>
        </row>
        <row r="988">
          <cell r="A988" t="str">
            <v>Maywood</v>
          </cell>
          <cell r="B988" t="str">
            <v>Maywood*</v>
          </cell>
          <cell r="C988">
            <v>9.5000000000000001E-2</v>
          </cell>
        </row>
        <row r="989">
          <cell r="A989" t="str">
            <v>McArthur</v>
          </cell>
          <cell r="B989" t="str">
            <v>McArthur</v>
          </cell>
          <cell r="C989">
            <v>7.2499999999999995E-2</v>
          </cell>
        </row>
        <row r="990">
          <cell r="A990" t="str">
            <v>McClellan</v>
          </cell>
          <cell r="B990" t="str">
            <v>McClellan</v>
          </cell>
          <cell r="C990">
            <v>7.7499999999999999E-2</v>
          </cell>
        </row>
        <row r="991">
          <cell r="A991" t="str">
            <v>McCloud</v>
          </cell>
          <cell r="B991" t="str">
            <v>McCloud</v>
          </cell>
          <cell r="C991">
            <v>7.2499999999999995E-2</v>
          </cell>
        </row>
        <row r="992">
          <cell r="A992" t="str">
            <v>McFarland</v>
          </cell>
          <cell r="B992" t="str">
            <v>McFarland*</v>
          </cell>
          <cell r="C992">
            <v>7.2499999999999995E-2</v>
          </cell>
        </row>
        <row r="993">
          <cell r="A993" t="str">
            <v>McKinleyville</v>
          </cell>
          <cell r="B993" t="str">
            <v>McKinleyville</v>
          </cell>
          <cell r="C993">
            <v>7.7499999999999999E-2</v>
          </cell>
        </row>
        <row r="994">
          <cell r="A994" t="str">
            <v>McKittrick</v>
          </cell>
          <cell r="B994" t="str">
            <v>McKittrick</v>
          </cell>
          <cell r="C994">
            <v>7.2499999999999995E-2</v>
          </cell>
        </row>
        <row r="995">
          <cell r="A995" t="str">
            <v>Mead Valley</v>
          </cell>
          <cell r="B995" t="str">
            <v>Mead Valley</v>
          </cell>
          <cell r="C995">
            <v>7.7499999999999999E-2</v>
          </cell>
        </row>
        <row r="996">
          <cell r="A996" t="str">
            <v>Meadow Valley</v>
          </cell>
          <cell r="B996" t="str">
            <v>Meadow Valley</v>
          </cell>
          <cell r="C996">
            <v>7.2499999999999995E-2</v>
          </cell>
        </row>
        <row r="997">
          <cell r="A997" t="str">
            <v>Meadow Vista</v>
          </cell>
          <cell r="B997" t="str">
            <v>Meadow Vista</v>
          </cell>
          <cell r="C997">
            <v>7.2499999999999995E-2</v>
          </cell>
        </row>
        <row r="998">
          <cell r="A998" t="str">
            <v>Meadowbrook</v>
          </cell>
          <cell r="B998" t="str">
            <v>Meadowbrook</v>
          </cell>
          <cell r="C998">
            <v>7.7499999999999999E-2</v>
          </cell>
        </row>
        <row r="999">
          <cell r="A999" t="str">
            <v>Mecca</v>
          </cell>
          <cell r="B999" t="str">
            <v>Mecca</v>
          </cell>
          <cell r="C999">
            <v>7.7499999999999999E-2</v>
          </cell>
        </row>
        <row r="1000">
          <cell r="A1000" t="str">
            <v>Meeks Bay</v>
          </cell>
          <cell r="B1000" t="str">
            <v>Meeks Bay</v>
          </cell>
          <cell r="C1000">
            <v>7.2499999999999995E-2</v>
          </cell>
        </row>
        <row r="1001">
          <cell r="A1001" t="str">
            <v>Meiners Oaks</v>
          </cell>
          <cell r="B1001" t="str">
            <v>Meiners Oaks</v>
          </cell>
          <cell r="C1001">
            <v>7.2499999999999995E-2</v>
          </cell>
        </row>
        <row r="1002">
          <cell r="A1002" t="str">
            <v>Mendocino</v>
          </cell>
          <cell r="B1002" t="str">
            <v>Mendocino</v>
          </cell>
          <cell r="C1002">
            <v>7.8750000000000001E-2</v>
          </cell>
        </row>
        <row r="1003">
          <cell r="A1003" t="str">
            <v>Mendota</v>
          </cell>
          <cell r="B1003" t="str">
            <v>Mendota*</v>
          </cell>
          <cell r="C1003">
            <v>7.9750000000000001E-2</v>
          </cell>
        </row>
        <row r="1004">
          <cell r="A1004" t="str">
            <v>Menifee</v>
          </cell>
          <cell r="B1004" t="str">
            <v>Menifee*</v>
          </cell>
          <cell r="C1004">
            <v>8.7499999999999994E-2</v>
          </cell>
        </row>
        <row r="1005">
          <cell r="A1005" t="str">
            <v>Menlo Park</v>
          </cell>
          <cell r="B1005" t="str">
            <v>Menlo Park*</v>
          </cell>
          <cell r="C1005">
            <v>9.375E-2</v>
          </cell>
        </row>
        <row r="1006">
          <cell r="A1006" t="str">
            <v>Mentone</v>
          </cell>
          <cell r="B1006" t="str">
            <v>Mentone</v>
          </cell>
          <cell r="C1006">
            <v>7.7499999999999999E-2</v>
          </cell>
        </row>
        <row r="1007">
          <cell r="A1007" t="str">
            <v>Merced</v>
          </cell>
          <cell r="B1007" t="str">
            <v>Merced*</v>
          </cell>
          <cell r="C1007">
            <v>8.2500000000000004E-2</v>
          </cell>
        </row>
        <row r="1008">
          <cell r="A1008" t="str">
            <v>Meridian</v>
          </cell>
          <cell r="B1008" t="str">
            <v>Meridian</v>
          </cell>
          <cell r="C1008">
            <v>7.2499999999999995E-2</v>
          </cell>
        </row>
        <row r="1009">
          <cell r="A1009" t="str">
            <v>Mettler</v>
          </cell>
          <cell r="B1009" t="str">
            <v>Mettler</v>
          </cell>
          <cell r="C1009">
            <v>7.2499999999999995E-2</v>
          </cell>
        </row>
        <row r="1010">
          <cell r="A1010" t="str">
            <v>Meyers</v>
          </cell>
          <cell r="B1010" t="str">
            <v>Meyers</v>
          </cell>
          <cell r="C1010">
            <v>7.2499999999999995E-2</v>
          </cell>
        </row>
        <row r="1011">
          <cell r="A1011" t="str">
            <v>Middletown</v>
          </cell>
          <cell r="B1011" t="str">
            <v>Middletown</v>
          </cell>
          <cell r="C1011">
            <v>7.2499999999999995E-2</v>
          </cell>
        </row>
        <row r="1012">
          <cell r="A1012" t="str">
            <v>Midland</v>
          </cell>
          <cell r="B1012" t="str">
            <v>Midland</v>
          </cell>
          <cell r="C1012">
            <v>7.7499999999999999E-2</v>
          </cell>
        </row>
        <row r="1013">
          <cell r="A1013" t="str">
            <v>Midpines</v>
          </cell>
          <cell r="B1013" t="str">
            <v>Midpines</v>
          </cell>
          <cell r="C1013">
            <v>8.7499999999999994E-2</v>
          </cell>
        </row>
        <row r="1014">
          <cell r="A1014" t="str">
            <v>Midway City</v>
          </cell>
          <cell r="B1014" t="str">
            <v>Midway City</v>
          </cell>
          <cell r="C1014">
            <v>7.7499999999999999E-2</v>
          </cell>
        </row>
        <row r="1015">
          <cell r="A1015" t="str">
            <v>Milford</v>
          </cell>
          <cell r="B1015" t="str">
            <v>Milford</v>
          </cell>
          <cell r="C1015">
            <v>7.2499999999999995E-2</v>
          </cell>
        </row>
        <row r="1016">
          <cell r="A1016" t="str">
            <v>Mill Creek</v>
          </cell>
          <cell r="B1016" t="str">
            <v>Mill Creek</v>
          </cell>
          <cell r="C1016">
            <v>7.2499999999999995E-2</v>
          </cell>
        </row>
        <row r="1017">
          <cell r="A1017" t="str">
            <v>Mill Valley</v>
          </cell>
          <cell r="B1017" t="str">
            <v>Mill Valley*</v>
          </cell>
          <cell r="C1017">
            <v>8.2500000000000004E-2</v>
          </cell>
        </row>
        <row r="1018">
          <cell r="A1018" t="str">
            <v>Millbrae</v>
          </cell>
          <cell r="B1018" t="str">
            <v>Millbrae*</v>
          </cell>
          <cell r="C1018">
            <v>9.375E-2</v>
          </cell>
        </row>
        <row r="1019">
          <cell r="A1019" t="str">
            <v>Millville</v>
          </cell>
          <cell r="B1019" t="str">
            <v>Millville</v>
          </cell>
          <cell r="C1019">
            <v>7.2499999999999995E-2</v>
          </cell>
        </row>
        <row r="1020">
          <cell r="A1020" t="str">
            <v>Milpitas</v>
          </cell>
          <cell r="B1020" t="str">
            <v>Milpitas*</v>
          </cell>
          <cell r="C1020">
            <v>9.375E-2</v>
          </cell>
        </row>
        <row r="1021">
          <cell r="A1021" t="str">
            <v>Mineral</v>
          </cell>
          <cell r="B1021" t="str">
            <v>Mineral</v>
          </cell>
          <cell r="C1021">
            <v>7.2499999999999995E-2</v>
          </cell>
        </row>
        <row r="1022">
          <cell r="A1022" t="str">
            <v>Mineral King</v>
          </cell>
          <cell r="B1022" t="str">
            <v>Mineral King</v>
          </cell>
          <cell r="C1022">
            <v>7.7499999999999999E-2</v>
          </cell>
        </row>
        <row r="1023">
          <cell r="A1023" t="str">
            <v>Mint Canyon</v>
          </cell>
          <cell r="B1023" t="str">
            <v>Mint Canyon</v>
          </cell>
          <cell r="C1023">
            <v>9.5000000000000001E-2</v>
          </cell>
        </row>
        <row r="1024">
          <cell r="A1024" t="str">
            <v>Mira Loma</v>
          </cell>
          <cell r="B1024" t="str">
            <v>Mira Loma</v>
          </cell>
          <cell r="C1024">
            <v>7.7499999999999999E-2</v>
          </cell>
        </row>
        <row r="1025">
          <cell r="A1025" t="str">
            <v>Mira Vista</v>
          </cell>
          <cell r="B1025" t="str">
            <v>Mira Vista</v>
          </cell>
          <cell r="C1025">
            <v>8.7499999999999994E-2</v>
          </cell>
        </row>
        <row r="1026">
          <cell r="A1026" t="str">
            <v>Miracle Hot Springs</v>
          </cell>
          <cell r="B1026" t="str">
            <v>Miracle Hot Springs</v>
          </cell>
          <cell r="C1026">
            <v>7.2499999999999995E-2</v>
          </cell>
        </row>
        <row r="1027">
          <cell r="A1027" t="str">
            <v>Miramar</v>
          </cell>
          <cell r="B1027" t="str">
            <v>Miramar (San Diego*)</v>
          </cell>
          <cell r="C1027">
            <v>7.7499999999999999E-2</v>
          </cell>
        </row>
        <row r="1028">
          <cell r="A1028" t="str">
            <v>Miramonte</v>
          </cell>
          <cell r="B1028" t="str">
            <v>Miramonte</v>
          </cell>
          <cell r="C1028">
            <v>7.9750000000000001E-2</v>
          </cell>
        </row>
        <row r="1029">
          <cell r="A1029" t="str">
            <v>Miranda</v>
          </cell>
          <cell r="B1029" t="str">
            <v>Miranda</v>
          </cell>
          <cell r="C1029">
            <v>7.7499999999999999E-2</v>
          </cell>
        </row>
        <row r="1030">
          <cell r="A1030" t="str">
            <v>Mission Hills</v>
          </cell>
          <cell r="B1030" t="str">
            <v>Mission Hills (Los Angeles*)</v>
          </cell>
          <cell r="C1030">
            <v>9.5000000000000001E-2</v>
          </cell>
        </row>
        <row r="1031">
          <cell r="A1031" t="str">
            <v>Mission Viejo</v>
          </cell>
          <cell r="B1031" t="str">
            <v>Mission Viejo*</v>
          </cell>
          <cell r="C1031">
            <v>7.7499999999999999E-2</v>
          </cell>
        </row>
        <row r="1032">
          <cell r="A1032" t="str">
            <v>Mi-Wuk Village</v>
          </cell>
          <cell r="B1032" t="str">
            <v>Mi-Wuk Village</v>
          </cell>
          <cell r="C1032">
            <v>7.2499999999999995E-2</v>
          </cell>
        </row>
        <row r="1033">
          <cell r="A1033" t="str">
            <v>Moccasin</v>
          </cell>
          <cell r="B1033" t="str">
            <v>Moccasin</v>
          </cell>
          <cell r="C1033">
            <v>7.2499999999999995E-2</v>
          </cell>
        </row>
        <row r="1034">
          <cell r="A1034" t="str">
            <v>Modesto</v>
          </cell>
          <cell r="B1034" t="str">
            <v>Modesto*</v>
          </cell>
          <cell r="C1034">
            <v>7.8750000000000001E-2</v>
          </cell>
        </row>
        <row r="1035">
          <cell r="A1035" t="str">
            <v>Moffett Field</v>
          </cell>
          <cell r="B1035" t="str">
            <v>Moffett Field</v>
          </cell>
          <cell r="C1035">
            <v>9.1249999999999998E-2</v>
          </cell>
        </row>
        <row r="1036">
          <cell r="A1036" t="str">
            <v>Mojave</v>
          </cell>
          <cell r="B1036" t="str">
            <v>Mojave</v>
          </cell>
          <cell r="C1036">
            <v>7.2499999999999995E-2</v>
          </cell>
        </row>
        <row r="1037">
          <cell r="A1037" t="str">
            <v>Mokelumne Hill</v>
          </cell>
          <cell r="B1037" t="str">
            <v>Mokelumne Hill</v>
          </cell>
          <cell r="C1037">
            <v>7.2499999999999995E-2</v>
          </cell>
        </row>
        <row r="1038">
          <cell r="A1038" t="str">
            <v>Monarch Beach</v>
          </cell>
          <cell r="B1038" t="str">
            <v>Monarch Beach (Dana Point*)</v>
          </cell>
          <cell r="C1038">
            <v>7.7499999999999999E-2</v>
          </cell>
        </row>
        <row r="1039">
          <cell r="A1039" t="str">
            <v>Moneta</v>
          </cell>
          <cell r="B1039" t="str">
            <v>Moneta</v>
          </cell>
          <cell r="C1039">
            <v>9.5000000000000001E-2</v>
          </cell>
        </row>
        <row r="1040">
          <cell r="A1040" t="str">
            <v>Mono Hot Springs</v>
          </cell>
          <cell r="B1040" t="str">
            <v>Mono Hot Springs</v>
          </cell>
          <cell r="C1040">
            <v>7.9750000000000001E-2</v>
          </cell>
        </row>
        <row r="1041">
          <cell r="A1041" t="str">
            <v>Mono Lake</v>
          </cell>
          <cell r="B1041" t="str">
            <v>Mono Lake</v>
          </cell>
          <cell r="C1041">
            <v>7.2499999999999995E-2</v>
          </cell>
        </row>
        <row r="1042">
          <cell r="A1042" t="str">
            <v>Monolith</v>
          </cell>
          <cell r="B1042" t="str">
            <v>Monolith</v>
          </cell>
          <cell r="C1042">
            <v>7.2499999999999995E-2</v>
          </cell>
        </row>
        <row r="1043">
          <cell r="A1043" t="str">
            <v>Monrovia</v>
          </cell>
          <cell r="B1043" t="str">
            <v>Monrovia*</v>
          </cell>
          <cell r="C1043">
            <v>0.10249999999999999</v>
          </cell>
        </row>
        <row r="1044">
          <cell r="A1044" t="str">
            <v>Monta Vista</v>
          </cell>
          <cell r="B1044" t="str">
            <v>Monta Vista</v>
          </cell>
          <cell r="C1044">
            <v>9.1249999999999998E-2</v>
          </cell>
        </row>
        <row r="1045">
          <cell r="A1045" t="str">
            <v>Montague</v>
          </cell>
          <cell r="B1045" t="str">
            <v>Montague*</v>
          </cell>
          <cell r="C1045">
            <v>7.2499999999999995E-2</v>
          </cell>
        </row>
        <row r="1046">
          <cell r="A1046" t="str">
            <v>Montalvo</v>
          </cell>
          <cell r="B1046" t="str">
            <v>Montalvo (Ventura*)</v>
          </cell>
          <cell r="C1046">
            <v>7.7499999999999999E-2</v>
          </cell>
        </row>
        <row r="1047">
          <cell r="A1047" t="str">
            <v>Montara</v>
          </cell>
          <cell r="B1047" t="str">
            <v>Montara</v>
          </cell>
          <cell r="C1047">
            <v>9.375E-2</v>
          </cell>
        </row>
        <row r="1048">
          <cell r="A1048" t="str">
            <v>Montclair</v>
          </cell>
          <cell r="B1048" t="str">
            <v>Montclair*</v>
          </cell>
          <cell r="C1048">
            <v>0.09</v>
          </cell>
        </row>
        <row r="1049">
          <cell r="A1049" t="str">
            <v>Monte Rio</v>
          </cell>
          <cell r="B1049" t="str">
            <v>Monte Rio</v>
          </cell>
          <cell r="C1049">
            <v>8.5000000000000006E-2</v>
          </cell>
        </row>
        <row r="1050">
          <cell r="A1050" t="str">
            <v>Monte Sereno</v>
          </cell>
          <cell r="B1050" t="str">
            <v>Monte Sereno*</v>
          </cell>
          <cell r="C1050">
            <v>9.1249999999999998E-2</v>
          </cell>
        </row>
        <row r="1051">
          <cell r="A1051" t="str">
            <v>Montebello</v>
          </cell>
          <cell r="B1051" t="str">
            <v>Montebello*</v>
          </cell>
          <cell r="C1051">
            <v>0.10249999999999999</v>
          </cell>
        </row>
        <row r="1052">
          <cell r="A1052" t="str">
            <v>Montecito</v>
          </cell>
          <cell r="B1052" t="str">
            <v>Montecito</v>
          </cell>
          <cell r="C1052">
            <v>7.7499999999999999E-2</v>
          </cell>
        </row>
        <row r="1053">
          <cell r="A1053" t="str">
            <v>Monterey Bay Academy</v>
          </cell>
          <cell r="B1053" t="str">
            <v>Monterey Bay Academy</v>
          </cell>
          <cell r="C1053">
            <v>0.09</v>
          </cell>
        </row>
        <row r="1054">
          <cell r="A1054" t="str">
            <v>Monterey Park</v>
          </cell>
          <cell r="B1054" t="str">
            <v>Monterey Park*</v>
          </cell>
          <cell r="C1054">
            <v>9.5000000000000001E-2</v>
          </cell>
        </row>
        <row r="1055">
          <cell r="A1055" t="str">
            <v>Monterey</v>
          </cell>
          <cell r="B1055" t="str">
            <v>Monterey*</v>
          </cell>
          <cell r="C1055">
            <v>9.2499999999999999E-2</v>
          </cell>
        </row>
        <row r="1056">
          <cell r="A1056" t="str">
            <v>Montgomery Creek</v>
          </cell>
          <cell r="B1056" t="str">
            <v>Montgomery Creek</v>
          </cell>
          <cell r="C1056">
            <v>7.2499999999999995E-2</v>
          </cell>
        </row>
        <row r="1057">
          <cell r="A1057" t="str">
            <v>Montrose</v>
          </cell>
          <cell r="B1057" t="str">
            <v>Montrose</v>
          </cell>
          <cell r="C1057">
            <v>9.5000000000000001E-2</v>
          </cell>
        </row>
        <row r="1058">
          <cell r="A1058" t="str">
            <v>Mooney</v>
          </cell>
          <cell r="B1058" t="str">
            <v>Mooney</v>
          </cell>
          <cell r="C1058">
            <v>7.7499999999999999E-2</v>
          </cell>
        </row>
        <row r="1059">
          <cell r="A1059" t="str">
            <v>Moonridge</v>
          </cell>
          <cell r="B1059" t="str">
            <v>Moonridge</v>
          </cell>
          <cell r="C1059">
            <v>7.7499999999999999E-2</v>
          </cell>
        </row>
        <row r="1060">
          <cell r="A1060" t="str">
            <v>Moorpark</v>
          </cell>
          <cell r="B1060" t="str">
            <v>Moorpark*</v>
          </cell>
          <cell r="C1060">
            <v>7.2499999999999995E-2</v>
          </cell>
        </row>
        <row r="1061">
          <cell r="A1061" t="str">
            <v>Moraga</v>
          </cell>
          <cell r="B1061" t="str">
            <v>Moraga*</v>
          </cell>
          <cell r="C1061">
            <v>9.7500000000000003E-2</v>
          </cell>
        </row>
        <row r="1062">
          <cell r="A1062" t="str">
            <v>Moreno Valley</v>
          </cell>
          <cell r="B1062" t="str">
            <v>Moreno Valley*</v>
          </cell>
          <cell r="C1062">
            <v>7.7499999999999999E-2</v>
          </cell>
        </row>
        <row r="1063">
          <cell r="A1063" t="str">
            <v>Morgan Hill</v>
          </cell>
          <cell r="B1063" t="str">
            <v>Morgan Hill*</v>
          </cell>
          <cell r="C1063">
            <v>9.1249999999999998E-2</v>
          </cell>
        </row>
        <row r="1064">
          <cell r="A1064" t="str">
            <v>Morongo Valley</v>
          </cell>
          <cell r="B1064" t="str">
            <v>Morongo Valley</v>
          </cell>
          <cell r="C1064">
            <v>7.7499999999999999E-2</v>
          </cell>
        </row>
        <row r="1065">
          <cell r="A1065" t="str">
            <v>Morro Bay</v>
          </cell>
          <cell r="B1065" t="str">
            <v>Morro Bay*</v>
          </cell>
          <cell r="C1065">
            <v>8.7499999999999994E-2</v>
          </cell>
        </row>
        <row r="1066">
          <cell r="A1066" t="str">
            <v>Morro Plaza</v>
          </cell>
          <cell r="B1066" t="str">
            <v>Morro Plaza</v>
          </cell>
          <cell r="C1066">
            <v>7.2499999999999995E-2</v>
          </cell>
        </row>
        <row r="1067">
          <cell r="A1067" t="str">
            <v>Moss Beach</v>
          </cell>
          <cell r="B1067" t="str">
            <v>Moss Beach</v>
          </cell>
          <cell r="C1067">
            <v>9.375E-2</v>
          </cell>
        </row>
        <row r="1068">
          <cell r="A1068" t="str">
            <v>Moss Landing</v>
          </cell>
          <cell r="B1068" t="str">
            <v>Moss Landing</v>
          </cell>
          <cell r="C1068">
            <v>7.7499999999999999E-2</v>
          </cell>
        </row>
        <row r="1069">
          <cell r="A1069" t="str">
            <v>Mount Hamilton</v>
          </cell>
          <cell r="B1069" t="str">
            <v>Mount Hamilton</v>
          </cell>
          <cell r="C1069">
            <v>9.1249999999999998E-2</v>
          </cell>
        </row>
        <row r="1070">
          <cell r="A1070" t="str">
            <v>Mount Hebron</v>
          </cell>
          <cell r="B1070" t="str">
            <v>Mount Hebron</v>
          </cell>
          <cell r="C1070">
            <v>7.2499999999999995E-2</v>
          </cell>
        </row>
        <row r="1071">
          <cell r="A1071" t="str">
            <v>Mount Hermon</v>
          </cell>
          <cell r="B1071" t="str">
            <v>Mount Hermon</v>
          </cell>
          <cell r="C1071">
            <v>0.09</v>
          </cell>
        </row>
        <row r="1072">
          <cell r="A1072" t="str">
            <v>Mount Laguna</v>
          </cell>
          <cell r="B1072" t="str">
            <v>Mount Laguna</v>
          </cell>
          <cell r="C1072">
            <v>7.7499999999999999E-2</v>
          </cell>
        </row>
        <row r="1073">
          <cell r="A1073" t="str">
            <v>Mount Shasta</v>
          </cell>
          <cell r="B1073" t="str">
            <v>Mount Shasta*</v>
          </cell>
          <cell r="C1073">
            <v>7.4999999999999997E-2</v>
          </cell>
        </row>
        <row r="1074">
          <cell r="A1074" t="str">
            <v>Mount Wilson</v>
          </cell>
          <cell r="B1074" t="str">
            <v>Mount Wilson</v>
          </cell>
          <cell r="C1074">
            <v>9.5000000000000001E-2</v>
          </cell>
        </row>
        <row r="1075">
          <cell r="A1075" t="str">
            <v>Mountain Center</v>
          </cell>
          <cell r="B1075" t="str">
            <v>Mountain Center</v>
          </cell>
          <cell r="C1075">
            <v>7.7499999999999999E-2</v>
          </cell>
        </row>
        <row r="1076">
          <cell r="A1076" t="str">
            <v>Mountain Mesa</v>
          </cell>
          <cell r="B1076" t="str">
            <v>Mountain Mesa</v>
          </cell>
          <cell r="C1076">
            <v>7.2499999999999995E-2</v>
          </cell>
        </row>
        <row r="1077">
          <cell r="A1077" t="str">
            <v>Mountain Pass</v>
          </cell>
          <cell r="B1077" t="str">
            <v>Mountain Pass</v>
          </cell>
          <cell r="C1077">
            <v>7.7499999999999999E-2</v>
          </cell>
        </row>
        <row r="1078">
          <cell r="A1078" t="str">
            <v>Mountain Ranch</v>
          </cell>
          <cell r="B1078" t="str">
            <v>Mountain Ranch</v>
          </cell>
          <cell r="C1078">
            <v>7.2499999999999995E-2</v>
          </cell>
        </row>
        <row r="1079">
          <cell r="A1079" t="str">
            <v>Mountain View</v>
          </cell>
          <cell r="B1079" t="str">
            <v>Mountain View*</v>
          </cell>
          <cell r="C1079">
            <v>9.1249999999999998E-2</v>
          </cell>
        </row>
        <row r="1080">
          <cell r="A1080" t="str">
            <v>Mt. Aukum</v>
          </cell>
          <cell r="B1080" t="str">
            <v>Mt. Aukum</v>
          </cell>
          <cell r="C1080">
            <v>7.2499999999999995E-2</v>
          </cell>
        </row>
        <row r="1081">
          <cell r="A1081" t="str">
            <v>Mt. Baldy</v>
          </cell>
          <cell r="B1081" t="str">
            <v>Mt. Baldy</v>
          </cell>
          <cell r="C1081">
            <v>7.7499999999999999E-2</v>
          </cell>
        </row>
        <row r="1082">
          <cell r="A1082" t="str">
            <v>Murphys</v>
          </cell>
          <cell r="B1082" t="str">
            <v>Murphys</v>
          </cell>
          <cell r="C1082">
            <v>7.2499999999999995E-2</v>
          </cell>
        </row>
        <row r="1083">
          <cell r="A1083" t="str">
            <v>Murrieta</v>
          </cell>
          <cell r="B1083" t="str">
            <v>Murrieta*</v>
          </cell>
          <cell r="C1083">
            <v>8.7499999999999994E-2</v>
          </cell>
        </row>
        <row r="1084">
          <cell r="A1084" t="str">
            <v>Muscoy</v>
          </cell>
          <cell r="B1084" t="str">
            <v>Muscoy</v>
          </cell>
          <cell r="C1084">
            <v>7.7499999999999999E-2</v>
          </cell>
        </row>
        <row r="1085">
          <cell r="A1085" t="str">
            <v>Myers Flat</v>
          </cell>
          <cell r="B1085" t="str">
            <v>Myers Flat</v>
          </cell>
          <cell r="C1085">
            <v>7.7499999999999999E-2</v>
          </cell>
        </row>
        <row r="1086">
          <cell r="A1086" t="str">
            <v>Napa</v>
          </cell>
          <cell r="B1086" t="str">
            <v>Napa*</v>
          </cell>
          <cell r="C1086">
            <v>7.7499999999999999E-2</v>
          </cell>
        </row>
        <row r="1087">
          <cell r="A1087" t="str">
            <v>Naples</v>
          </cell>
          <cell r="B1087" t="str">
            <v>Naples</v>
          </cell>
          <cell r="C1087">
            <v>9.5000000000000001E-2</v>
          </cell>
        </row>
        <row r="1088">
          <cell r="A1088" t="str">
            <v>Nashville</v>
          </cell>
          <cell r="B1088" t="str">
            <v>Nashville</v>
          </cell>
          <cell r="C1088">
            <v>7.2499999999999995E-2</v>
          </cell>
        </row>
        <row r="1089">
          <cell r="A1089" t="str">
            <v>National City</v>
          </cell>
          <cell r="B1089" t="str">
            <v>National City*</v>
          </cell>
          <cell r="C1089">
            <v>8.7499999999999994E-2</v>
          </cell>
        </row>
        <row r="1090">
          <cell r="A1090" t="str">
            <v>Naval</v>
          </cell>
          <cell r="B1090" t="str">
            <v>Naval (Port Hueneme*)</v>
          </cell>
          <cell r="C1090">
            <v>8.7499999999999994E-2</v>
          </cell>
        </row>
        <row r="1091">
          <cell r="A1091" t="str">
            <v>Naval</v>
          </cell>
          <cell r="B1091" t="str">
            <v>Naval (San Diego*)</v>
          </cell>
          <cell r="C1091">
            <v>7.7499999999999999E-2</v>
          </cell>
        </row>
        <row r="1092">
          <cell r="A1092" t="str">
            <v>Naval Air Station</v>
          </cell>
          <cell r="B1092" t="str">
            <v>Naval Air Station (Alameda*)</v>
          </cell>
          <cell r="C1092">
            <v>0.1075</v>
          </cell>
        </row>
        <row r="1093">
          <cell r="A1093" t="str">
            <v>Naval Air Station</v>
          </cell>
          <cell r="B1093" t="str">
            <v>Naval Air Station (Coronado*)</v>
          </cell>
          <cell r="C1093">
            <v>7.7499999999999999E-2</v>
          </cell>
        </row>
        <row r="1094">
          <cell r="A1094" t="str">
            <v>Naval Air Station</v>
          </cell>
          <cell r="B1094" t="str">
            <v>Naval Air Station (Lemoore*)</v>
          </cell>
          <cell r="C1094">
            <v>7.2499999999999995E-2</v>
          </cell>
        </row>
        <row r="1095">
          <cell r="A1095" t="str">
            <v>Naval Hospital</v>
          </cell>
          <cell r="B1095" t="str">
            <v>Naval Hospital (Oakland*)</v>
          </cell>
          <cell r="C1095">
            <v>0.10249999999999999</v>
          </cell>
        </row>
        <row r="1096">
          <cell r="A1096" t="str">
            <v>Naval Hospital</v>
          </cell>
          <cell r="B1096" t="str">
            <v>Naval Hospital (San Diego*)</v>
          </cell>
          <cell r="C1096">
            <v>7.7499999999999999E-2</v>
          </cell>
        </row>
        <row r="1097">
          <cell r="A1097" t="str">
            <v>Naval Supply Center</v>
          </cell>
          <cell r="B1097" t="str">
            <v>Naval Supply Center (Oakland*)</v>
          </cell>
          <cell r="C1097">
            <v>0.10249999999999999</v>
          </cell>
        </row>
        <row r="1098">
          <cell r="A1098" t="str">
            <v>Naval Training Center</v>
          </cell>
          <cell r="B1098" t="str">
            <v>Naval Training Center (San Diego*)</v>
          </cell>
          <cell r="C1098">
            <v>7.7499999999999999E-2</v>
          </cell>
        </row>
        <row r="1099">
          <cell r="A1099" t="str">
            <v>Navarro</v>
          </cell>
          <cell r="B1099" t="str">
            <v>Navarro</v>
          </cell>
          <cell r="C1099">
            <v>7.8750000000000001E-2</v>
          </cell>
        </row>
        <row r="1100">
          <cell r="A1100" t="str">
            <v>Needles</v>
          </cell>
          <cell r="B1100" t="str">
            <v>Needles*</v>
          </cell>
          <cell r="C1100">
            <v>7.7499999999999999E-2</v>
          </cell>
        </row>
        <row r="1101">
          <cell r="A1101" t="str">
            <v>Nelson</v>
          </cell>
          <cell r="B1101" t="str">
            <v>Nelson</v>
          </cell>
          <cell r="C1101">
            <v>7.2499999999999995E-2</v>
          </cell>
        </row>
        <row r="1102">
          <cell r="A1102" t="str">
            <v>Nevada City</v>
          </cell>
          <cell r="B1102" t="str">
            <v>Nevada City*</v>
          </cell>
          <cell r="C1102">
            <v>8.3749999999999991E-2</v>
          </cell>
        </row>
        <row r="1103">
          <cell r="A1103" t="str">
            <v>New Almaden</v>
          </cell>
          <cell r="B1103" t="str">
            <v>New Almaden</v>
          </cell>
          <cell r="C1103">
            <v>9.1249999999999998E-2</v>
          </cell>
        </row>
        <row r="1104">
          <cell r="A1104" t="str">
            <v>New Cuyama</v>
          </cell>
          <cell r="B1104" t="str">
            <v>New Cuyama</v>
          </cell>
          <cell r="C1104">
            <v>7.7499999999999999E-2</v>
          </cell>
        </row>
        <row r="1105">
          <cell r="A1105" t="str">
            <v>New Idria</v>
          </cell>
          <cell r="B1105" t="str">
            <v>New Idria</v>
          </cell>
          <cell r="C1105">
            <v>8.2500000000000004E-2</v>
          </cell>
        </row>
        <row r="1106">
          <cell r="A1106" t="str">
            <v>Newark</v>
          </cell>
          <cell r="B1106" t="str">
            <v>Newark*</v>
          </cell>
          <cell r="C1106">
            <v>0.1075</v>
          </cell>
        </row>
        <row r="1107">
          <cell r="A1107" t="str">
            <v>Newberry</v>
          </cell>
          <cell r="B1107" t="str">
            <v>Newberry</v>
          </cell>
          <cell r="C1107">
            <v>7.7499999999999999E-2</v>
          </cell>
        </row>
        <row r="1108">
          <cell r="A1108" t="str">
            <v>Newberry Springs</v>
          </cell>
          <cell r="B1108" t="str">
            <v>Newberry Springs</v>
          </cell>
          <cell r="C1108">
            <v>7.7499999999999999E-2</v>
          </cell>
        </row>
        <row r="1109">
          <cell r="A1109" t="str">
            <v>Newbury Park</v>
          </cell>
          <cell r="B1109" t="str">
            <v>Newbury Park (Thousand Oaks*)</v>
          </cell>
          <cell r="C1109">
            <v>7.2499999999999995E-2</v>
          </cell>
        </row>
        <row r="1110">
          <cell r="A1110" t="str">
            <v>Newcastle</v>
          </cell>
          <cell r="B1110" t="str">
            <v>Newcastle</v>
          </cell>
          <cell r="C1110">
            <v>7.2499999999999995E-2</v>
          </cell>
        </row>
        <row r="1111">
          <cell r="A1111" t="str">
            <v>Newhall</v>
          </cell>
          <cell r="B1111" t="str">
            <v>Newhall (Santa Clarita*)</v>
          </cell>
          <cell r="C1111">
            <v>9.5000000000000001E-2</v>
          </cell>
        </row>
        <row r="1112">
          <cell r="A1112" t="str">
            <v>Newman</v>
          </cell>
          <cell r="B1112" t="str">
            <v>Newman*</v>
          </cell>
          <cell r="C1112">
            <v>7.8750000000000001E-2</v>
          </cell>
        </row>
        <row r="1113">
          <cell r="A1113" t="str">
            <v>Newport Beach</v>
          </cell>
          <cell r="B1113" t="str">
            <v>Newport Beach*</v>
          </cell>
          <cell r="C1113">
            <v>7.7499999999999999E-2</v>
          </cell>
        </row>
        <row r="1114">
          <cell r="A1114" t="str">
            <v>Nicasio</v>
          </cell>
          <cell r="B1114" t="str">
            <v>Nicasio</v>
          </cell>
          <cell r="C1114">
            <v>8.2500000000000004E-2</v>
          </cell>
        </row>
        <row r="1115">
          <cell r="A1115" t="str">
            <v>Nice</v>
          </cell>
          <cell r="B1115" t="str">
            <v>Nice</v>
          </cell>
          <cell r="C1115">
            <v>7.2499999999999995E-2</v>
          </cell>
        </row>
        <row r="1116">
          <cell r="A1116" t="str">
            <v>Nicolaus</v>
          </cell>
          <cell r="B1116" t="str">
            <v>Nicolaus</v>
          </cell>
          <cell r="C1116">
            <v>7.2499999999999995E-2</v>
          </cell>
        </row>
        <row r="1117">
          <cell r="A1117" t="str">
            <v>Niland</v>
          </cell>
          <cell r="B1117" t="str">
            <v>Niland</v>
          </cell>
          <cell r="C1117">
            <v>7.7499999999999999E-2</v>
          </cell>
        </row>
        <row r="1118">
          <cell r="A1118" t="str">
            <v>Nipomo</v>
          </cell>
          <cell r="B1118" t="str">
            <v>Nipomo</v>
          </cell>
          <cell r="C1118">
            <v>7.2499999999999995E-2</v>
          </cell>
        </row>
        <row r="1119">
          <cell r="A1119" t="str">
            <v>Nipton</v>
          </cell>
          <cell r="B1119" t="str">
            <v>Nipton</v>
          </cell>
          <cell r="C1119">
            <v>7.7499999999999999E-2</v>
          </cell>
        </row>
        <row r="1120">
          <cell r="A1120" t="str">
            <v>Norco</v>
          </cell>
          <cell r="B1120" t="str">
            <v>Norco*</v>
          </cell>
          <cell r="C1120">
            <v>8.7499999999999994E-2</v>
          </cell>
        </row>
        <row r="1121">
          <cell r="A1121" t="str">
            <v>Norden</v>
          </cell>
          <cell r="B1121" t="str">
            <v>Norden</v>
          </cell>
          <cell r="C1121">
            <v>7.4999999999999997E-2</v>
          </cell>
        </row>
        <row r="1122">
          <cell r="A1122" t="str">
            <v>North Edwards</v>
          </cell>
          <cell r="B1122" t="str">
            <v>North Edwards</v>
          </cell>
          <cell r="C1122">
            <v>7.2499999999999995E-2</v>
          </cell>
        </row>
        <row r="1123">
          <cell r="A1123" t="str">
            <v>North Fork</v>
          </cell>
          <cell r="B1123" t="str">
            <v>North Fork</v>
          </cell>
          <cell r="C1123">
            <v>7.7499999999999999E-2</v>
          </cell>
        </row>
        <row r="1124">
          <cell r="A1124" t="str">
            <v>North Gardena</v>
          </cell>
          <cell r="B1124" t="str">
            <v>North Gardena</v>
          </cell>
          <cell r="C1124">
            <v>9.5000000000000001E-2</v>
          </cell>
        </row>
        <row r="1125">
          <cell r="A1125" t="str">
            <v>North Highlands</v>
          </cell>
          <cell r="B1125" t="str">
            <v>North Highlands</v>
          </cell>
          <cell r="C1125">
            <v>7.7499999999999999E-2</v>
          </cell>
        </row>
        <row r="1126">
          <cell r="A1126" t="str">
            <v>North Hills</v>
          </cell>
          <cell r="B1126" t="str">
            <v>North Hills (Los Angeles*)</v>
          </cell>
          <cell r="C1126">
            <v>9.5000000000000001E-2</v>
          </cell>
        </row>
        <row r="1127">
          <cell r="A1127" t="str">
            <v>North Hollywood</v>
          </cell>
          <cell r="B1127" t="str">
            <v>North Hollywood (Los Angeles*)</v>
          </cell>
          <cell r="C1127">
            <v>9.5000000000000001E-2</v>
          </cell>
        </row>
        <row r="1128">
          <cell r="A1128" t="str">
            <v>North Palm Springs</v>
          </cell>
          <cell r="B1128" t="str">
            <v>North Palm Springs</v>
          </cell>
          <cell r="C1128">
            <v>7.7499999999999999E-2</v>
          </cell>
        </row>
        <row r="1129">
          <cell r="A1129" t="str">
            <v>North San Juan</v>
          </cell>
          <cell r="B1129" t="str">
            <v>North San Juan</v>
          </cell>
          <cell r="C1129">
            <v>7.4999999999999997E-2</v>
          </cell>
        </row>
        <row r="1130">
          <cell r="A1130" t="str">
            <v>North Shore</v>
          </cell>
          <cell r="B1130" t="str">
            <v>North Shore</v>
          </cell>
          <cell r="C1130">
            <v>7.7499999999999999E-2</v>
          </cell>
        </row>
        <row r="1131">
          <cell r="A1131" t="str">
            <v>Northridge</v>
          </cell>
          <cell r="B1131" t="str">
            <v>Northridge (Los Angeles*)</v>
          </cell>
          <cell r="C1131">
            <v>9.5000000000000001E-2</v>
          </cell>
        </row>
        <row r="1132">
          <cell r="A1132" t="str">
            <v>Norton A.F.B.</v>
          </cell>
          <cell r="B1132" t="str">
            <v>Norton A.F.B. (San Bernardino*)</v>
          </cell>
          <cell r="C1132">
            <v>0.08</v>
          </cell>
        </row>
        <row r="1133">
          <cell r="A1133" t="str">
            <v>Norwalk</v>
          </cell>
          <cell r="B1133" t="str">
            <v>Norwalk*</v>
          </cell>
          <cell r="C1133">
            <v>0.10249999999999999</v>
          </cell>
        </row>
        <row r="1134">
          <cell r="A1134" t="str">
            <v>Novato</v>
          </cell>
          <cell r="B1134" t="str">
            <v>Novato*</v>
          </cell>
          <cell r="C1134">
            <v>8.5000000000000006E-2</v>
          </cell>
        </row>
        <row r="1135">
          <cell r="A1135" t="str">
            <v>Nubieber</v>
          </cell>
          <cell r="B1135" t="str">
            <v>Nubieber</v>
          </cell>
          <cell r="C1135">
            <v>7.2499999999999995E-2</v>
          </cell>
        </row>
        <row r="1136">
          <cell r="A1136" t="str">
            <v>Nuevo</v>
          </cell>
          <cell r="B1136" t="str">
            <v>Nuevo</v>
          </cell>
          <cell r="C1136">
            <v>7.7499999999999999E-2</v>
          </cell>
        </row>
        <row r="1137">
          <cell r="A1137" t="str">
            <v>Nyeland Acres</v>
          </cell>
          <cell r="B1137" t="str">
            <v>Nyeland Acres</v>
          </cell>
          <cell r="C1137">
            <v>7.2499999999999995E-2</v>
          </cell>
        </row>
        <row r="1138">
          <cell r="A1138" t="str">
            <v>Oak Park</v>
          </cell>
          <cell r="B1138" t="str">
            <v>Oak Park</v>
          </cell>
          <cell r="C1138">
            <v>7.2499999999999995E-2</v>
          </cell>
        </row>
        <row r="1139">
          <cell r="A1139" t="str">
            <v>Oak Run</v>
          </cell>
          <cell r="B1139" t="str">
            <v>Oak Run</v>
          </cell>
          <cell r="C1139">
            <v>7.2499999999999995E-2</v>
          </cell>
        </row>
        <row r="1140">
          <cell r="A1140" t="str">
            <v>Oak View</v>
          </cell>
          <cell r="B1140" t="str">
            <v>Oak View</v>
          </cell>
          <cell r="C1140">
            <v>7.2499999999999995E-2</v>
          </cell>
        </row>
        <row r="1141">
          <cell r="A1141" t="str">
            <v>Oakdale</v>
          </cell>
          <cell r="B1141" t="str">
            <v>Oakdale*</v>
          </cell>
          <cell r="C1141">
            <v>8.3750000000000005E-2</v>
          </cell>
        </row>
        <row r="1142">
          <cell r="A1142" t="str">
            <v>Oakhurst</v>
          </cell>
          <cell r="B1142" t="str">
            <v>Oakhurst</v>
          </cell>
          <cell r="C1142">
            <v>7.7499999999999999E-2</v>
          </cell>
        </row>
        <row r="1143">
          <cell r="A1143" t="str">
            <v>Oakland</v>
          </cell>
          <cell r="B1143" t="str">
            <v>Oakland*</v>
          </cell>
          <cell r="C1143">
            <v>0.10249999999999999</v>
          </cell>
        </row>
        <row r="1144">
          <cell r="A1144" t="str">
            <v>Oakley</v>
          </cell>
          <cell r="B1144" t="str">
            <v>Oakley*</v>
          </cell>
          <cell r="C1144">
            <v>8.7499999999999994E-2</v>
          </cell>
        </row>
        <row r="1145">
          <cell r="A1145" t="str">
            <v>Oakville</v>
          </cell>
          <cell r="B1145" t="str">
            <v>Oakville</v>
          </cell>
          <cell r="C1145">
            <v>7.7499999999999999E-2</v>
          </cell>
        </row>
        <row r="1146">
          <cell r="A1146" t="str">
            <v>Oasis</v>
          </cell>
          <cell r="B1146" t="str">
            <v>Oasis</v>
          </cell>
          <cell r="C1146">
            <v>7.7499999999999999E-2</v>
          </cell>
        </row>
        <row r="1147">
          <cell r="A1147" t="str">
            <v>Oban</v>
          </cell>
          <cell r="B1147" t="str">
            <v>Oban</v>
          </cell>
          <cell r="C1147">
            <v>9.5000000000000001E-2</v>
          </cell>
        </row>
        <row r="1148">
          <cell r="A1148" t="str">
            <v>O'Brien</v>
          </cell>
          <cell r="B1148" t="str">
            <v>O'Brien</v>
          </cell>
          <cell r="C1148">
            <v>7.2499999999999995E-2</v>
          </cell>
        </row>
        <row r="1149">
          <cell r="A1149" t="str">
            <v>Occidental</v>
          </cell>
          <cell r="B1149" t="str">
            <v>Occidental</v>
          </cell>
          <cell r="C1149">
            <v>8.5000000000000006E-2</v>
          </cell>
        </row>
        <row r="1150">
          <cell r="A1150" t="str">
            <v>Oceano</v>
          </cell>
          <cell r="B1150" t="str">
            <v>Oceano</v>
          </cell>
          <cell r="C1150">
            <v>7.2499999999999995E-2</v>
          </cell>
        </row>
        <row r="1151">
          <cell r="A1151" t="str">
            <v>Oceanside</v>
          </cell>
          <cell r="B1151" t="str">
            <v>Oceanside*</v>
          </cell>
          <cell r="C1151">
            <v>8.2500000000000004E-2</v>
          </cell>
        </row>
        <row r="1152">
          <cell r="A1152" t="str">
            <v>Ocotillo</v>
          </cell>
          <cell r="B1152" t="str">
            <v>Ocotillo</v>
          </cell>
          <cell r="C1152">
            <v>7.7499999999999999E-2</v>
          </cell>
        </row>
        <row r="1153">
          <cell r="A1153" t="str">
            <v>Ocotillo Wells</v>
          </cell>
          <cell r="B1153" t="str">
            <v>Ocotillo Wells</v>
          </cell>
          <cell r="C1153">
            <v>7.7499999999999999E-2</v>
          </cell>
        </row>
        <row r="1154">
          <cell r="A1154" t="str">
            <v>Oildale</v>
          </cell>
          <cell r="B1154" t="str">
            <v>Oildale</v>
          </cell>
          <cell r="C1154">
            <v>7.2499999999999995E-2</v>
          </cell>
        </row>
        <row r="1155">
          <cell r="A1155" t="str">
            <v>Ojai</v>
          </cell>
          <cell r="B1155" t="str">
            <v>Ojai*</v>
          </cell>
          <cell r="C1155">
            <v>7.2499999999999995E-2</v>
          </cell>
        </row>
        <row r="1156">
          <cell r="A1156" t="str">
            <v>Olancha</v>
          </cell>
          <cell r="B1156" t="str">
            <v>Olancha</v>
          </cell>
          <cell r="C1156">
            <v>7.7499999999999999E-2</v>
          </cell>
        </row>
        <row r="1157">
          <cell r="A1157" t="str">
            <v>Old Station</v>
          </cell>
          <cell r="B1157" t="str">
            <v>Old Station</v>
          </cell>
          <cell r="C1157">
            <v>7.2499999999999995E-2</v>
          </cell>
        </row>
        <row r="1158">
          <cell r="A1158" t="str">
            <v>Olema</v>
          </cell>
          <cell r="B1158" t="str">
            <v>Olema</v>
          </cell>
          <cell r="C1158">
            <v>8.2500000000000004E-2</v>
          </cell>
        </row>
        <row r="1159">
          <cell r="A1159" t="str">
            <v>Olinda</v>
          </cell>
          <cell r="B1159" t="str">
            <v>Olinda</v>
          </cell>
          <cell r="C1159">
            <v>7.2499999999999995E-2</v>
          </cell>
        </row>
        <row r="1160">
          <cell r="A1160" t="str">
            <v>Olive View</v>
          </cell>
          <cell r="B1160" t="str">
            <v>Olive View (Los Angeles*)</v>
          </cell>
          <cell r="C1160">
            <v>9.5000000000000001E-2</v>
          </cell>
        </row>
        <row r="1161">
          <cell r="A1161" t="str">
            <v>Olivehurst</v>
          </cell>
          <cell r="B1161" t="str">
            <v>Olivehurst</v>
          </cell>
          <cell r="C1161">
            <v>8.2500000000000004E-2</v>
          </cell>
        </row>
        <row r="1162">
          <cell r="A1162" t="str">
            <v>Olivenhain</v>
          </cell>
          <cell r="B1162" t="str">
            <v>Olivenhain (Encinitas*)</v>
          </cell>
          <cell r="C1162">
            <v>7.7499999999999999E-2</v>
          </cell>
        </row>
        <row r="1163">
          <cell r="A1163" t="str">
            <v>Olympic Valley</v>
          </cell>
          <cell r="B1163" t="str">
            <v>Olympic Valley</v>
          </cell>
          <cell r="C1163">
            <v>7.2499999999999995E-2</v>
          </cell>
        </row>
        <row r="1164">
          <cell r="A1164" t="str">
            <v>Omo Ranch</v>
          </cell>
          <cell r="B1164" t="str">
            <v>Omo Ranch</v>
          </cell>
          <cell r="C1164">
            <v>7.2499999999999995E-2</v>
          </cell>
        </row>
        <row r="1165">
          <cell r="A1165" t="str">
            <v>O'Neals</v>
          </cell>
          <cell r="B1165" t="str">
            <v>O'Neals</v>
          </cell>
          <cell r="C1165">
            <v>7.7499999999999999E-2</v>
          </cell>
        </row>
        <row r="1166">
          <cell r="A1166" t="str">
            <v>Ono</v>
          </cell>
          <cell r="B1166" t="str">
            <v>Ono</v>
          </cell>
          <cell r="C1166">
            <v>7.2499999999999995E-2</v>
          </cell>
        </row>
        <row r="1167">
          <cell r="A1167" t="str">
            <v>Ontario</v>
          </cell>
          <cell r="B1167" t="str">
            <v>Ontario*</v>
          </cell>
          <cell r="C1167">
            <v>7.7499999999999999E-2</v>
          </cell>
        </row>
        <row r="1168">
          <cell r="A1168" t="str">
            <v>Onyx</v>
          </cell>
          <cell r="B1168" t="str">
            <v>Onyx</v>
          </cell>
          <cell r="C1168">
            <v>7.2499999999999995E-2</v>
          </cell>
        </row>
        <row r="1169">
          <cell r="A1169" t="str">
            <v>Opal Cliffs</v>
          </cell>
          <cell r="B1169" t="str">
            <v>Opal Cliffs</v>
          </cell>
          <cell r="C1169">
            <v>0.09</v>
          </cell>
        </row>
        <row r="1170">
          <cell r="A1170" t="str">
            <v>Orange Cove</v>
          </cell>
          <cell r="B1170" t="str">
            <v>Orange Cove*</v>
          </cell>
          <cell r="C1170">
            <v>7.9750000000000001E-2</v>
          </cell>
        </row>
        <row r="1171">
          <cell r="A1171" t="str">
            <v>Orange</v>
          </cell>
          <cell r="B1171" t="str">
            <v>Orange*</v>
          </cell>
          <cell r="C1171">
            <v>7.7499999999999999E-2</v>
          </cell>
        </row>
        <row r="1172">
          <cell r="A1172" t="str">
            <v>Orangevale</v>
          </cell>
          <cell r="B1172" t="str">
            <v>Orangevale</v>
          </cell>
          <cell r="C1172">
            <v>7.7499999999999999E-2</v>
          </cell>
        </row>
        <row r="1173">
          <cell r="A1173" t="str">
            <v>Orcutt</v>
          </cell>
          <cell r="B1173" t="str">
            <v>Orcutt</v>
          </cell>
          <cell r="C1173">
            <v>7.7499999999999999E-2</v>
          </cell>
        </row>
        <row r="1174">
          <cell r="A1174" t="str">
            <v>Ordbend</v>
          </cell>
          <cell r="B1174" t="str">
            <v>Ordbend</v>
          </cell>
          <cell r="C1174">
            <v>7.2499999999999995E-2</v>
          </cell>
        </row>
        <row r="1175">
          <cell r="A1175" t="str">
            <v>Oregon House</v>
          </cell>
          <cell r="B1175" t="str">
            <v>Oregon House</v>
          </cell>
          <cell r="C1175">
            <v>8.2500000000000004E-2</v>
          </cell>
        </row>
        <row r="1176">
          <cell r="A1176" t="str">
            <v>Orick</v>
          </cell>
          <cell r="B1176" t="str">
            <v>Orick</v>
          </cell>
          <cell r="C1176">
            <v>7.7499999999999999E-2</v>
          </cell>
        </row>
        <row r="1177">
          <cell r="A1177" t="str">
            <v>Orinda</v>
          </cell>
          <cell r="B1177" t="str">
            <v>Orinda*</v>
          </cell>
          <cell r="C1177">
            <v>9.7500000000000003E-2</v>
          </cell>
        </row>
        <row r="1178">
          <cell r="A1178" t="str">
            <v>Orland</v>
          </cell>
          <cell r="B1178" t="str">
            <v>Orland*</v>
          </cell>
          <cell r="C1178">
            <v>7.7499999999999999E-2</v>
          </cell>
        </row>
        <row r="1179">
          <cell r="A1179" t="str">
            <v>Orleans</v>
          </cell>
          <cell r="B1179" t="str">
            <v>Orleans</v>
          </cell>
          <cell r="C1179">
            <v>7.7499999999999999E-2</v>
          </cell>
        </row>
        <row r="1180">
          <cell r="A1180" t="str">
            <v>Oro Grande</v>
          </cell>
          <cell r="B1180" t="str">
            <v>Oro Grande</v>
          </cell>
          <cell r="C1180">
            <v>7.7499999999999999E-2</v>
          </cell>
        </row>
        <row r="1181">
          <cell r="A1181" t="str">
            <v>Orosi</v>
          </cell>
          <cell r="B1181" t="str">
            <v>Orosi</v>
          </cell>
          <cell r="C1181">
            <v>7.7499999999999999E-2</v>
          </cell>
        </row>
        <row r="1182">
          <cell r="A1182" t="str">
            <v>Oroville</v>
          </cell>
          <cell r="B1182" t="str">
            <v>Oroville*</v>
          </cell>
          <cell r="C1182">
            <v>8.2500000000000004E-2</v>
          </cell>
        </row>
        <row r="1183">
          <cell r="A1183" t="str">
            <v>Otay</v>
          </cell>
          <cell r="B1183" t="str">
            <v>Otay (Chula Vista*)</v>
          </cell>
          <cell r="C1183">
            <v>8.7499999999999994E-2</v>
          </cell>
        </row>
        <row r="1184">
          <cell r="A1184" t="str">
            <v>Oxnard</v>
          </cell>
          <cell r="B1184" t="str">
            <v>Oxnard*</v>
          </cell>
          <cell r="C1184">
            <v>9.2499999999999999E-2</v>
          </cell>
        </row>
        <row r="1185">
          <cell r="A1185" t="str">
            <v>Pacheco</v>
          </cell>
          <cell r="B1185" t="str">
            <v>Pacheco</v>
          </cell>
          <cell r="C1185">
            <v>8.7499999999999994E-2</v>
          </cell>
        </row>
        <row r="1186">
          <cell r="A1186" t="str">
            <v>Pacific Grove</v>
          </cell>
          <cell r="B1186" t="str">
            <v>Pacific Grove*</v>
          </cell>
          <cell r="C1186">
            <v>9.2499999999999999E-2</v>
          </cell>
        </row>
        <row r="1187">
          <cell r="A1187" t="str">
            <v>Pacific House</v>
          </cell>
          <cell r="B1187" t="str">
            <v>Pacific House</v>
          </cell>
          <cell r="C1187">
            <v>7.2499999999999995E-2</v>
          </cell>
        </row>
        <row r="1188">
          <cell r="A1188" t="str">
            <v>Pacific Palisades</v>
          </cell>
          <cell r="B1188" t="str">
            <v>Pacific Palisades (Los Angeles*)</v>
          </cell>
          <cell r="C1188">
            <v>9.5000000000000001E-2</v>
          </cell>
        </row>
        <row r="1189">
          <cell r="A1189" t="str">
            <v>Pacifica</v>
          </cell>
          <cell r="B1189" t="str">
            <v>Pacifica*</v>
          </cell>
          <cell r="C1189">
            <v>9.375E-2</v>
          </cell>
        </row>
        <row r="1190">
          <cell r="A1190" t="str">
            <v>Pacoima</v>
          </cell>
          <cell r="B1190" t="str">
            <v>Pacoima (Los Angeles*)</v>
          </cell>
          <cell r="C1190">
            <v>9.5000000000000001E-2</v>
          </cell>
        </row>
        <row r="1191">
          <cell r="A1191" t="str">
            <v>Paicines</v>
          </cell>
          <cell r="B1191" t="str">
            <v>Paicines</v>
          </cell>
          <cell r="C1191">
            <v>8.2500000000000004E-2</v>
          </cell>
        </row>
        <row r="1192">
          <cell r="A1192" t="str">
            <v>Pajaro</v>
          </cell>
          <cell r="B1192" t="str">
            <v>Pajaro</v>
          </cell>
          <cell r="C1192">
            <v>7.7499999999999999E-2</v>
          </cell>
        </row>
        <row r="1193">
          <cell r="A1193" t="str">
            <v>Pala</v>
          </cell>
          <cell r="B1193" t="str">
            <v>Pala</v>
          </cell>
          <cell r="C1193">
            <v>7.7499999999999999E-2</v>
          </cell>
        </row>
        <row r="1194">
          <cell r="A1194" t="str">
            <v>Palermo</v>
          </cell>
          <cell r="B1194" t="str">
            <v>Palermo</v>
          </cell>
          <cell r="C1194">
            <v>7.2499999999999995E-2</v>
          </cell>
        </row>
        <row r="1195">
          <cell r="A1195" t="str">
            <v>Pallett</v>
          </cell>
          <cell r="B1195" t="str">
            <v>Pallett</v>
          </cell>
          <cell r="C1195">
            <v>9.5000000000000001E-2</v>
          </cell>
        </row>
        <row r="1196">
          <cell r="A1196" t="str">
            <v>Palm City</v>
          </cell>
          <cell r="B1196" t="str">
            <v>Palm City</v>
          </cell>
          <cell r="C1196">
            <v>7.7499999999999999E-2</v>
          </cell>
        </row>
        <row r="1197">
          <cell r="A1197" t="str">
            <v>Palm City</v>
          </cell>
          <cell r="B1197" t="str">
            <v>Palm City (San Diego*)</v>
          </cell>
          <cell r="C1197">
            <v>7.7499999999999999E-2</v>
          </cell>
        </row>
        <row r="1198">
          <cell r="A1198" t="str">
            <v>Palm Desert</v>
          </cell>
          <cell r="B1198" t="str">
            <v>Palm Desert*</v>
          </cell>
          <cell r="C1198">
            <v>7.7499999999999999E-2</v>
          </cell>
        </row>
        <row r="1199">
          <cell r="A1199" t="str">
            <v>Palm Springs</v>
          </cell>
          <cell r="B1199" t="str">
            <v>Palm Springs*</v>
          </cell>
          <cell r="C1199">
            <v>9.2499999999999999E-2</v>
          </cell>
        </row>
        <row r="1200">
          <cell r="A1200" t="str">
            <v>Palmdale</v>
          </cell>
          <cell r="B1200" t="str">
            <v>Palmdale*</v>
          </cell>
          <cell r="C1200">
            <v>0.10249999999999999</v>
          </cell>
        </row>
        <row r="1201">
          <cell r="A1201" t="str">
            <v>Palo Alto</v>
          </cell>
          <cell r="B1201" t="str">
            <v>Palo Alto*</v>
          </cell>
          <cell r="C1201">
            <v>9.1249999999999998E-2</v>
          </cell>
        </row>
        <row r="1202">
          <cell r="A1202" t="str">
            <v>Palo Cedro</v>
          </cell>
          <cell r="B1202" t="str">
            <v>Palo Cedro</v>
          </cell>
          <cell r="C1202">
            <v>7.2499999999999995E-2</v>
          </cell>
        </row>
        <row r="1203">
          <cell r="A1203" t="str">
            <v>Palo Verde</v>
          </cell>
          <cell r="B1203" t="str">
            <v>Palo Verde</v>
          </cell>
          <cell r="C1203">
            <v>7.7499999999999999E-2</v>
          </cell>
        </row>
        <row r="1204">
          <cell r="A1204" t="str">
            <v>Palomar Mountain</v>
          </cell>
          <cell r="B1204" t="str">
            <v>Palomar Mountain</v>
          </cell>
          <cell r="C1204">
            <v>7.7499999999999999E-2</v>
          </cell>
        </row>
        <row r="1205">
          <cell r="A1205" t="str">
            <v>Palos Verdes Estates</v>
          </cell>
          <cell r="B1205" t="str">
            <v>Palos Verdes Estates*</v>
          </cell>
          <cell r="C1205">
            <v>9.5000000000000001E-2</v>
          </cell>
        </row>
        <row r="1206">
          <cell r="A1206" t="str">
            <v>Palos Verdes/Peninsula</v>
          </cell>
          <cell r="B1206" t="str">
            <v>Palos Verdes/Peninsula</v>
          </cell>
          <cell r="C1206">
            <v>9.5000000000000001E-2</v>
          </cell>
        </row>
        <row r="1207">
          <cell r="A1207" t="str">
            <v>Panorama City</v>
          </cell>
          <cell r="B1207" t="str">
            <v>Panorama City (Los Angeles*)</v>
          </cell>
          <cell r="C1207">
            <v>9.5000000000000001E-2</v>
          </cell>
        </row>
        <row r="1208">
          <cell r="A1208" t="str">
            <v>Paradise</v>
          </cell>
          <cell r="B1208" t="str">
            <v>Paradise*</v>
          </cell>
          <cell r="C1208">
            <v>7.7499999999999999E-2</v>
          </cell>
        </row>
        <row r="1209">
          <cell r="A1209" t="str">
            <v>Paramount</v>
          </cell>
          <cell r="B1209" t="str">
            <v>Paramount*</v>
          </cell>
          <cell r="C1209">
            <v>0.10249999999999999</v>
          </cell>
        </row>
        <row r="1210">
          <cell r="A1210" t="str">
            <v>Parker Dam</v>
          </cell>
          <cell r="B1210" t="str">
            <v>Parker Dam</v>
          </cell>
          <cell r="C1210">
            <v>7.7499999999999999E-2</v>
          </cell>
        </row>
        <row r="1211">
          <cell r="A1211" t="str">
            <v>Parkfield</v>
          </cell>
          <cell r="B1211" t="str">
            <v>Parkfield</v>
          </cell>
          <cell r="C1211">
            <v>7.7499999999999999E-2</v>
          </cell>
        </row>
        <row r="1212">
          <cell r="A1212" t="str">
            <v>Parlier</v>
          </cell>
          <cell r="B1212" t="str">
            <v>Parlier*</v>
          </cell>
          <cell r="C1212">
            <v>8.9749999999999996E-2</v>
          </cell>
        </row>
        <row r="1213">
          <cell r="A1213" t="str">
            <v>Pasadena</v>
          </cell>
          <cell r="B1213" t="str">
            <v>Pasadena*</v>
          </cell>
          <cell r="C1213">
            <v>0.10249999999999999</v>
          </cell>
        </row>
        <row r="1214">
          <cell r="A1214" t="str">
            <v>Paskenta</v>
          </cell>
          <cell r="B1214" t="str">
            <v>Paskenta</v>
          </cell>
          <cell r="C1214">
            <v>7.2499999999999995E-2</v>
          </cell>
        </row>
        <row r="1215">
          <cell r="A1215" t="str">
            <v>Paso Robles</v>
          </cell>
          <cell r="B1215" t="str">
            <v>Paso Robles*</v>
          </cell>
          <cell r="C1215">
            <v>8.7499999999999994E-2</v>
          </cell>
        </row>
        <row r="1216">
          <cell r="A1216" t="str">
            <v>Patterson</v>
          </cell>
          <cell r="B1216" t="str">
            <v>Patterson*</v>
          </cell>
          <cell r="C1216">
            <v>7.8750000000000001E-2</v>
          </cell>
        </row>
        <row r="1217">
          <cell r="A1217" t="str">
            <v>Patton</v>
          </cell>
          <cell r="B1217" t="str">
            <v>Patton</v>
          </cell>
          <cell r="C1217">
            <v>7.7499999999999999E-2</v>
          </cell>
        </row>
        <row r="1218">
          <cell r="A1218" t="str">
            <v>Pauma Valley</v>
          </cell>
          <cell r="B1218" t="str">
            <v>Pauma Valley</v>
          </cell>
          <cell r="C1218">
            <v>7.7499999999999999E-2</v>
          </cell>
        </row>
        <row r="1219">
          <cell r="A1219" t="str">
            <v>Paynes Creek</v>
          </cell>
          <cell r="B1219" t="str">
            <v>Paynes Creek</v>
          </cell>
          <cell r="C1219">
            <v>7.2499999999999995E-2</v>
          </cell>
        </row>
        <row r="1220">
          <cell r="A1220" t="str">
            <v>Pearblossom</v>
          </cell>
          <cell r="B1220" t="str">
            <v>Pearblossom</v>
          </cell>
          <cell r="C1220">
            <v>9.5000000000000001E-2</v>
          </cell>
        </row>
        <row r="1221">
          <cell r="A1221" t="str">
            <v>Pearland</v>
          </cell>
          <cell r="B1221" t="str">
            <v>Pearland</v>
          </cell>
          <cell r="C1221">
            <v>9.5000000000000001E-2</v>
          </cell>
        </row>
        <row r="1222">
          <cell r="A1222" t="str">
            <v>Pebble Beach</v>
          </cell>
          <cell r="B1222" t="str">
            <v>Pebble Beach</v>
          </cell>
          <cell r="C1222">
            <v>7.7499999999999999E-2</v>
          </cell>
        </row>
        <row r="1223">
          <cell r="A1223" t="str">
            <v>Pedley</v>
          </cell>
          <cell r="B1223" t="str">
            <v>Pedley</v>
          </cell>
          <cell r="C1223">
            <v>7.7499999999999999E-2</v>
          </cell>
        </row>
        <row r="1224">
          <cell r="A1224" t="str">
            <v>Peninsula Village</v>
          </cell>
          <cell r="B1224" t="str">
            <v>Peninsula Village</v>
          </cell>
          <cell r="C1224">
            <v>7.2499999999999995E-2</v>
          </cell>
        </row>
        <row r="1225">
          <cell r="A1225" t="str">
            <v>Penn Valley</v>
          </cell>
          <cell r="B1225" t="str">
            <v>Penn Valley</v>
          </cell>
          <cell r="C1225">
            <v>7.4999999999999997E-2</v>
          </cell>
        </row>
        <row r="1226">
          <cell r="A1226" t="str">
            <v>Penngrove</v>
          </cell>
          <cell r="B1226" t="str">
            <v>Penngrove</v>
          </cell>
          <cell r="C1226">
            <v>8.5000000000000006E-2</v>
          </cell>
        </row>
        <row r="1227">
          <cell r="A1227" t="str">
            <v>Penryn</v>
          </cell>
          <cell r="B1227" t="str">
            <v>Penryn</v>
          </cell>
          <cell r="C1227">
            <v>7.2499999999999995E-2</v>
          </cell>
        </row>
        <row r="1228">
          <cell r="A1228" t="str">
            <v>Pepperwood</v>
          </cell>
          <cell r="B1228" t="str">
            <v>Pepperwood</v>
          </cell>
          <cell r="C1228">
            <v>7.7499999999999999E-2</v>
          </cell>
        </row>
        <row r="1229">
          <cell r="A1229" t="str">
            <v>Permanente</v>
          </cell>
          <cell r="B1229" t="str">
            <v>Permanente</v>
          </cell>
          <cell r="C1229">
            <v>9.1249999999999998E-2</v>
          </cell>
        </row>
        <row r="1230">
          <cell r="A1230" t="str">
            <v>Perris</v>
          </cell>
          <cell r="B1230" t="str">
            <v>Perris*</v>
          </cell>
          <cell r="C1230">
            <v>7.7499999999999999E-2</v>
          </cell>
        </row>
        <row r="1231">
          <cell r="A1231" t="str">
            <v>Perry</v>
          </cell>
          <cell r="B1231" t="str">
            <v>Perry (Whittier*)</v>
          </cell>
          <cell r="C1231">
            <v>9.5000000000000001E-2</v>
          </cell>
        </row>
        <row r="1232">
          <cell r="A1232" t="str">
            <v>Pescadero</v>
          </cell>
          <cell r="B1232" t="str">
            <v>Pescadero</v>
          </cell>
          <cell r="C1232">
            <v>9.375E-2</v>
          </cell>
        </row>
        <row r="1233">
          <cell r="A1233" t="str">
            <v>Petaluma</v>
          </cell>
          <cell r="B1233" t="str">
            <v>Petaluma*</v>
          </cell>
          <cell r="C1233">
            <v>9.5000000000000001E-2</v>
          </cell>
        </row>
        <row r="1234">
          <cell r="A1234" t="str">
            <v>Petrolia</v>
          </cell>
          <cell r="B1234" t="str">
            <v>Petrolia</v>
          </cell>
          <cell r="C1234">
            <v>7.7499999999999999E-2</v>
          </cell>
        </row>
        <row r="1235">
          <cell r="A1235" t="str">
            <v>Phelan</v>
          </cell>
          <cell r="B1235" t="str">
            <v>Phelan</v>
          </cell>
          <cell r="C1235">
            <v>7.7499999999999999E-2</v>
          </cell>
        </row>
        <row r="1236">
          <cell r="A1236" t="str">
            <v>Phillipsville</v>
          </cell>
          <cell r="B1236" t="str">
            <v>Phillipsville</v>
          </cell>
          <cell r="C1236">
            <v>7.7499999999999999E-2</v>
          </cell>
        </row>
        <row r="1237">
          <cell r="A1237" t="str">
            <v>Philo</v>
          </cell>
          <cell r="B1237" t="str">
            <v>Philo</v>
          </cell>
          <cell r="C1237">
            <v>7.8750000000000001E-2</v>
          </cell>
        </row>
        <row r="1238">
          <cell r="A1238" t="str">
            <v>Pico Rivera</v>
          </cell>
          <cell r="B1238" t="str">
            <v>Pico Rivera*</v>
          </cell>
          <cell r="C1238">
            <v>0.10249999999999999</v>
          </cell>
        </row>
        <row r="1239">
          <cell r="A1239" t="str">
            <v>Piedmont</v>
          </cell>
          <cell r="B1239" t="str">
            <v>Piedmont*</v>
          </cell>
          <cell r="C1239">
            <v>0.10249999999999999</v>
          </cell>
        </row>
        <row r="1240">
          <cell r="A1240" t="str">
            <v>Piedra</v>
          </cell>
          <cell r="B1240" t="str">
            <v>Piedra</v>
          </cell>
          <cell r="C1240">
            <v>7.9750000000000001E-2</v>
          </cell>
        </row>
        <row r="1241">
          <cell r="A1241" t="str">
            <v>Piercy</v>
          </cell>
          <cell r="B1241" t="str">
            <v>Piercy</v>
          </cell>
          <cell r="C1241">
            <v>7.8750000000000001E-2</v>
          </cell>
        </row>
        <row r="1242">
          <cell r="A1242" t="str">
            <v>Pilot Hill</v>
          </cell>
          <cell r="B1242" t="str">
            <v>Pilot Hill</v>
          </cell>
          <cell r="C1242">
            <v>7.2499999999999995E-2</v>
          </cell>
        </row>
        <row r="1243">
          <cell r="A1243" t="str">
            <v>Pine Grove</v>
          </cell>
          <cell r="B1243" t="str">
            <v>Pine Grove</v>
          </cell>
          <cell r="C1243">
            <v>7.7499999999999999E-2</v>
          </cell>
        </row>
        <row r="1244">
          <cell r="A1244" t="str">
            <v>Pine Valley</v>
          </cell>
          <cell r="B1244" t="str">
            <v>Pine Valley</v>
          </cell>
          <cell r="C1244">
            <v>7.7499999999999999E-2</v>
          </cell>
        </row>
        <row r="1245">
          <cell r="A1245" t="str">
            <v>Pinecrest</v>
          </cell>
          <cell r="B1245" t="str">
            <v>Pinecrest</v>
          </cell>
          <cell r="C1245">
            <v>7.2499999999999995E-2</v>
          </cell>
        </row>
        <row r="1246">
          <cell r="A1246" t="str">
            <v>Pinedale</v>
          </cell>
          <cell r="B1246" t="str">
            <v>Pinedale (Fresno*)</v>
          </cell>
          <cell r="C1246">
            <v>7.9750000000000001E-2</v>
          </cell>
        </row>
        <row r="1247">
          <cell r="A1247" t="str">
            <v>Pinetree</v>
          </cell>
          <cell r="B1247" t="str">
            <v>Pinetree</v>
          </cell>
          <cell r="C1247">
            <v>9.5000000000000001E-2</v>
          </cell>
        </row>
        <row r="1248">
          <cell r="A1248" t="str">
            <v>Pinole</v>
          </cell>
          <cell r="B1248" t="str">
            <v>Pinole*</v>
          </cell>
          <cell r="C1248">
            <v>9.7500000000000003E-2</v>
          </cell>
        </row>
        <row r="1249">
          <cell r="A1249" t="str">
            <v>Pinon Hills</v>
          </cell>
          <cell r="B1249" t="str">
            <v>Pinon Hills</v>
          </cell>
          <cell r="C1249">
            <v>7.7499999999999999E-2</v>
          </cell>
        </row>
        <row r="1250">
          <cell r="A1250" t="str">
            <v>Pioneer</v>
          </cell>
          <cell r="B1250" t="str">
            <v>Pioneer</v>
          </cell>
          <cell r="C1250">
            <v>7.7499999999999999E-2</v>
          </cell>
        </row>
        <row r="1251">
          <cell r="A1251" t="str">
            <v>Pioneertown</v>
          </cell>
          <cell r="B1251" t="str">
            <v>Pioneertown</v>
          </cell>
          <cell r="C1251">
            <v>7.7499999999999999E-2</v>
          </cell>
        </row>
        <row r="1252">
          <cell r="A1252" t="str">
            <v>Piru</v>
          </cell>
          <cell r="B1252" t="str">
            <v>Piru</v>
          </cell>
          <cell r="C1252">
            <v>7.2499999999999995E-2</v>
          </cell>
        </row>
        <row r="1253">
          <cell r="A1253" t="str">
            <v>Pismo Beach</v>
          </cell>
          <cell r="B1253" t="str">
            <v>Pismo Beach*</v>
          </cell>
          <cell r="C1253">
            <v>7.7499999999999999E-2</v>
          </cell>
        </row>
        <row r="1254">
          <cell r="A1254" t="str">
            <v>Pittsburg</v>
          </cell>
          <cell r="B1254" t="str">
            <v>Pittsburg*</v>
          </cell>
          <cell r="C1254">
            <v>9.2499999999999999E-2</v>
          </cell>
        </row>
        <row r="1255">
          <cell r="A1255" t="str">
            <v>Pixley</v>
          </cell>
          <cell r="B1255" t="str">
            <v>Pixley</v>
          </cell>
          <cell r="C1255">
            <v>7.7499999999999999E-2</v>
          </cell>
        </row>
        <row r="1256">
          <cell r="A1256" t="str">
            <v>Placentia</v>
          </cell>
          <cell r="B1256" t="str">
            <v>Placentia*</v>
          </cell>
          <cell r="C1256">
            <v>8.7499999999999994E-2</v>
          </cell>
        </row>
        <row r="1257">
          <cell r="A1257" t="str">
            <v>Placerville</v>
          </cell>
          <cell r="B1257" t="str">
            <v>Placerville*</v>
          </cell>
          <cell r="C1257">
            <v>8.2500000000000004E-2</v>
          </cell>
        </row>
        <row r="1258">
          <cell r="A1258" t="str">
            <v>Plainview</v>
          </cell>
          <cell r="B1258" t="str">
            <v>Plainview</v>
          </cell>
          <cell r="C1258">
            <v>7.7499999999999999E-2</v>
          </cell>
        </row>
        <row r="1259">
          <cell r="A1259" t="str">
            <v>Planada</v>
          </cell>
          <cell r="B1259" t="str">
            <v>Planada</v>
          </cell>
          <cell r="C1259">
            <v>7.7499999999999999E-2</v>
          </cell>
        </row>
        <row r="1260">
          <cell r="A1260" t="str">
            <v>Plaster City</v>
          </cell>
          <cell r="B1260" t="str">
            <v>Plaster City</v>
          </cell>
          <cell r="C1260">
            <v>7.7499999999999999E-2</v>
          </cell>
        </row>
        <row r="1261">
          <cell r="A1261" t="str">
            <v>Platina</v>
          </cell>
          <cell r="B1261" t="str">
            <v>Platina</v>
          </cell>
          <cell r="C1261">
            <v>7.2499999999999995E-2</v>
          </cell>
        </row>
        <row r="1262">
          <cell r="A1262" t="str">
            <v>Playa Del Rey</v>
          </cell>
          <cell r="B1262" t="str">
            <v>Playa Del Rey (Los Angeles*)</v>
          </cell>
          <cell r="C1262">
            <v>9.5000000000000001E-2</v>
          </cell>
        </row>
        <row r="1263">
          <cell r="A1263" t="str">
            <v>Pleasant Grove</v>
          </cell>
          <cell r="B1263" t="str">
            <v>Pleasant Grove</v>
          </cell>
          <cell r="C1263">
            <v>7.2499999999999995E-2</v>
          </cell>
        </row>
        <row r="1264">
          <cell r="A1264" t="str">
            <v>Pleasant Hill</v>
          </cell>
          <cell r="B1264" t="str">
            <v>Pleasant Hill*</v>
          </cell>
          <cell r="C1264">
            <v>9.2499999999999999E-2</v>
          </cell>
        </row>
        <row r="1265">
          <cell r="A1265" t="str">
            <v>Pleasanton</v>
          </cell>
          <cell r="B1265" t="str">
            <v>Pleasanton*</v>
          </cell>
          <cell r="C1265">
            <v>0.10249999999999999</v>
          </cell>
        </row>
        <row r="1266">
          <cell r="A1266" t="str">
            <v>Plymouth</v>
          </cell>
          <cell r="B1266" t="str">
            <v>Plymouth*</v>
          </cell>
          <cell r="C1266">
            <v>7.7499999999999999E-2</v>
          </cell>
        </row>
        <row r="1267">
          <cell r="A1267" t="str">
            <v>Point Arena</v>
          </cell>
          <cell r="B1267" t="str">
            <v>Point Arena*</v>
          </cell>
          <cell r="C1267">
            <v>8.3750000000000005E-2</v>
          </cell>
        </row>
        <row r="1268">
          <cell r="A1268" t="str">
            <v>Point Mugu</v>
          </cell>
          <cell r="B1268" t="str">
            <v>Point Mugu</v>
          </cell>
          <cell r="C1268">
            <v>7.2499999999999995E-2</v>
          </cell>
        </row>
        <row r="1269">
          <cell r="A1269" t="str">
            <v>Point Reyes Station</v>
          </cell>
          <cell r="B1269" t="str">
            <v>Point Reyes Station</v>
          </cell>
          <cell r="C1269">
            <v>8.2500000000000004E-2</v>
          </cell>
        </row>
        <row r="1270">
          <cell r="A1270" t="str">
            <v>Pollock Pines</v>
          </cell>
          <cell r="B1270" t="str">
            <v>Pollock Pines</v>
          </cell>
          <cell r="C1270">
            <v>7.2499999999999995E-2</v>
          </cell>
        </row>
        <row r="1271">
          <cell r="A1271" t="str">
            <v>Pomona</v>
          </cell>
          <cell r="B1271" t="str">
            <v>Pomona*</v>
          </cell>
          <cell r="C1271">
            <v>0.10249999999999999</v>
          </cell>
        </row>
        <row r="1272">
          <cell r="A1272" t="str">
            <v>Pond</v>
          </cell>
          <cell r="B1272" t="str">
            <v>Pond</v>
          </cell>
          <cell r="C1272">
            <v>7.2499999999999995E-2</v>
          </cell>
        </row>
        <row r="1273">
          <cell r="A1273" t="str">
            <v>Pondosa</v>
          </cell>
          <cell r="B1273" t="str">
            <v>Pondosa</v>
          </cell>
          <cell r="C1273">
            <v>7.2499999999999995E-2</v>
          </cell>
        </row>
        <row r="1274">
          <cell r="A1274" t="str">
            <v>Pope Valley</v>
          </cell>
          <cell r="B1274" t="str">
            <v>Pope Valley</v>
          </cell>
          <cell r="C1274">
            <v>7.7499999999999999E-2</v>
          </cell>
        </row>
        <row r="1275">
          <cell r="A1275" t="str">
            <v>Poplar</v>
          </cell>
          <cell r="B1275" t="str">
            <v>Poplar</v>
          </cell>
          <cell r="C1275">
            <v>7.7499999999999999E-2</v>
          </cell>
        </row>
        <row r="1276">
          <cell r="A1276" t="str">
            <v>Port Costa</v>
          </cell>
          <cell r="B1276" t="str">
            <v>Port Costa</v>
          </cell>
          <cell r="C1276">
            <v>8.7499999999999994E-2</v>
          </cell>
        </row>
        <row r="1277">
          <cell r="A1277" t="str">
            <v>Port Hueneme</v>
          </cell>
          <cell r="B1277" t="str">
            <v>Port Hueneme*</v>
          </cell>
          <cell r="C1277">
            <v>8.7499999999999994E-2</v>
          </cell>
        </row>
        <row r="1278">
          <cell r="A1278" t="str">
            <v>Porter Ranch</v>
          </cell>
          <cell r="B1278" t="str">
            <v>Porter Ranch (Los Angeles*)</v>
          </cell>
          <cell r="C1278">
            <v>9.5000000000000001E-2</v>
          </cell>
        </row>
        <row r="1279">
          <cell r="A1279" t="str">
            <v>Porterville</v>
          </cell>
          <cell r="B1279" t="str">
            <v>Porterville*</v>
          </cell>
          <cell r="C1279">
            <v>9.2499999999999999E-2</v>
          </cell>
        </row>
        <row r="1280">
          <cell r="A1280" t="str">
            <v>Portola Valley</v>
          </cell>
          <cell r="B1280" t="str">
            <v>Portola Valley*</v>
          </cell>
          <cell r="C1280">
            <v>9.375E-2</v>
          </cell>
        </row>
        <row r="1281">
          <cell r="A1281" t="str">
            <v>Portola</v>
          </cell>
          <cell r="B1281" t="str">
            <v>Portola*</v>
          </cell>
          <cell r="C1281">
            <v>7.2499999999999995E-2</v>
          </cell>
        </row>
        <row r="1282">
          <cell r="A1282" t="str">
            <v>Portuguese Bend</v>
          </cell>
          <cell r="B1282" t="str">
            <v>Portuguese Bend (Rancho Palos Verdes*)</v>
          </cell>
          <cell r="C1282">
            <v>9.5000000000000001E-2</v>
          </cell>
        </row>
        <row r="1283">
          <cell r="A1283" t="str">
            <v>Posey</v>
          </cell>
          <cell r="B1283" t="str">
            <v>Posey</v>
          </cell>
          <cell r="C1283">
            <v>7.7499999999999999E-2</v>
          </cell>
        </row>
        <row r="1284">
          <cell r="A1284" t="str">
            <v>Potrero</v>
          </cell>
          <cell r="B1284" t="str">
            <v>Potrero</v>
          </cell>
          <cell r="C1284">
            <v>7.7499999999999999E-2</v>
          </cell>
        </row>
        <row r="1285">
          <cell r="A1285" t="str">
            <v>Potter Valley</v>
          </cell>
          <cell r="B1285" t="str">
            <v>Potter Valley</v>
          </cell>
          <cell r="C1285">
            <v>7.8750000000000001E-2</v>
          </cell>
        </row>
        <row r="1286">
          <cell r="A1286" t="str">
            <v>Poway</v>
          </cell>
          <cell r="B1286" t="str">
            <v>Poway*</v>
          </cell>
          <cell r="C1286">
            <v>7.7499999999999999E-2</v>
          </cell>
        </row>
        <row r="1287">
          <cell r="A1287" t="str">
            <v>Prather</v>
          </cell>
          <cell r="B1287" t="str">
            <v>Prather</v>
          </cell>
          <cell r="C1287">
            <v>7.9750000000000001E-2</v>
          </cell>
        </row>
        <row r="1288">
          <cell r="A1288" t="str">
            <v>Presidio</v>
          </cell>
          <cell r="B1288" t="str">
            <v>Presidio (San Francisco*)</v>
          </cell>
          <cell r="C1288">
            <v>8.6249999999999993E-2</v>
          </cell>
        </row>
        <row r="1289">
          <cell r="A1289" t="str">
            <v>Presidio of Monterey</v>
          </cell>
          <cell r="B1289" t="str">
            <v>Presidio of Monterey (Monterey*)</v>
          </cell>
          <cell r="C1289">
            <v>9.2499999999999999E-2</v>
          </cell>
        </row>
        <row r="1290">
          <cell r="A1290" t="str">
            <v>Priest Valley</v>
          </cell>
          <cell r="B1290" t="str">
            <v>Priest Valley</v>
          </cell>
          <cell r="C1290">
            <v>7.7499999999999999E-2</v>
          </cell>
        </row>
        <row r="1291">
          <cell r="A1291" t="str">
            <v>Princeton</v>
          </cell>
          <cell r="B1291" t="str">
            <v>Princeton</v>
          </cell>
          <cell r="C1291">
            <v>7.2499999999999995E-2</v>
          </cell>
        </row>
        <row r="1292">
          <cell r="A1292" t="str">
            <v>Proberta</v>
          </cell>
          <cell r="B1292" t="str">
            <v>Proberta</v>
          </cell>
          <cell r="C1292">
            <v>7.2499999999999995E-2</v>
          </cell>
        </row>
        <row r="1293">
          <cell r="A1293" t="str">
            <v>Project City</v>
          </cell>
          <cell r="B1293" t="str">
            <v>Project City</v>
          </cell>
          <cell r="C1293">
            <v>7.2499999999999995E-2</v>
          </cell>
        </row>
        <row r="1294">
          <cell r="A1294" t="str">
            <v>Prunedale</v>
          </cell>
          <cell r="B1294" t="str">
            <v>Prunedale</v>
          </cell>
          <cell r="C1294">
            <v>7.7499999999999999E-2</v>
          </cell>
        </row>
        <row r="1295">
          <cell r="A1295" t="str">
            <v>Pt. Dume</v>
          </cell>
          <cell r="B1295" t="str">
            <v>Pt. Dume</v>
          </cell>
          <cell r="C1295">
            <v>9.5000000000000001E-2</v>
          </cell>
        </row>
        <row r="1296">
          <cell r="A1296" t="str">
            <v>Pulga</v>
          </cell>
          <cell r="B1296" t="str">
            <v>Pulga</v>
          </cell>
          <cell r="C1296">
            <v>7.2499999999999995E-2</v>
          </cell>
        </row>
        <row r="1297">
          <cell r="A1297" t="str">
            <v>Pumpkin Center</v>
          </cell>
          <cell r="B1297" t="str">
            <v>Pumpkin Center</v>
          </cell>
          <cell r="C1297">
            <v>7.2499999999999995E-2</v>
          </cell>
        </row>
        <row r="1298">
          <cell r="A1298" t="str">
            <v>Quail Valley</v>
          </cell>
          <cell r="B1298" t="str">
            <v>Quail Valley (Menifee*)</v>
          </cell>
          <cell r="C1298">
            <v>8.7499999999999994E-2</v>
          </cell>
        </row>
        <row r="1299">
          <cell r="A1299" t="str">
            <v>Quartz Hill</v>
          </cell>
          <cell r="B1299" t="str">
            <v>Quartz Hill</v>
          </cell>
          <cell r="C1299">
            <v>9.5000000000000001E-2</v>
          </cell>
        </row>
        <row r="1300">
          <cell r="A1300" t="str">
            <v>Quincy</v>
          </cell>
          <cell r="B1300" t="str">
            <v>Quincy</v>
          </cell>
          <cell r="C1300">
            <v>7.2499999999999995E-2</v>
          </cell>
        </row>
        <row r="1301">
          <cell r="A1301" t="str">
            <v>Rackerby</v>
          </cell>
          <cell r="B1301" t="str">
            <v>Rackerby</v>
          </cell>
          <cell r="C1301">
            <v>8.2500000000000004E-2</v>
          </cell>
        </row>
        <row r="1302">
          <cell r="A1302" t="str">
            <v>Rail Road Flat</v>
          </cell>
          <cell r="B1302" t="str">
            <v>Rail Road Flat</v>
          </cell>
          <cell r="C1302">
            <v>7.2499999999999995E-2</v>
          </cell>
        </row>
        <row r="1303">
          <cell r="A1303" t="str">
            <v>Rainbow</v>
          </cell>
          <cell r="B1303" t="str">
            <v>Rainbow</v>
          </cell>
          <cell r="C1303">
            <v>7.7499999999999999E-2</v>
          </cell>
        </row>
        <row r="1304">
          <cell r="A1304" t="str">
            <v>Raisin City</v>
          </cell>
          <cell r="B1304" t="str">
            <v>Raisin City</v>
          </cell>
          <cell r="C1304">
            <v>7.9750000000000001E-2</v>
          </cell>
        </row>
        <row r="1305">
          <cell r="A1305" t="str">
            <v>Ramona</v>
          </cell>
          <cell r="B1305" t="str">
            <v>Ramona</v>
          </cell>
          <cell r="C1305">
            <v>7.7499999999999999E-2</v>
          </cell>
        </row>
        <row r="1306">
          <cell r="A1306" t="str">
            <v>Ranchita</v>
          </cell>
          <cell r="B1306" t="str">
            <v>Ranchita</v>
          </cell>
          <cell r="C1306">
            <v>7.7499999999999999E-2</v>
          </cell>
        </row>
        <row r="1307">
          <cell r="A1307" t="str">
            <v>Rancho Bernardo</v>
          </cell>
          <cell r="B1307" t="str">
            <v>Rancho Bernardo (San Diego*)</v>
          </cell>
          <cell r="C1307">
            <v>7.7499999999999999E-2</v>
          </cell>
        </row>
        <row r="1308">
          <cell r="A1308" t="str">
            <v>Rancho California</v>
          </cell>
          <cell r="B1308" t="str">
            <v>Rancho California</v>
          </cell>
          <cell r="C1308">
            <v>7.7499999999999999E-2</v>
          </cell>
        </row>
        <row r="1309">
          <cell r="A1309" t="str">
            <v xml:space="preserve">Rancho Cordova </v>
          </cell>
          <cell r="B1309" t="str">
            <v>Rancho Cordova *</v>
          </cell>
          <cell r="C1309">
            <v>8.7499999999999994E-2</v>
          </cell>
        </row>
        <row r="1310">
          <cell r="A1310" t="str">
            <v>Rancho Cucamonga</v>
          </cell>
          <cell r="B1310" t="str">
            <v>Rancho Cucamonga*</v>
          </cell>
          <cell r="C1310">
            <v>7.7499999999999999E-2</v>
          </cell>
        </row>
        <row r="1311">
          <cell r="A1311" t="str">
            <v>Rancho Dominguez</v>
          </cell>
          <cell r="B1311" t="str">
            <v>Rancho Dominguez</v>
          </cell>
          <cell r="C1311">
            <v>9.5000000000000001E-2</v>
          </cell>
        </row>
        <row r="1312">
          <cell r="A1312" t="str">
            <v>Rancho Mirage</v>
          </cell>
          <cell r="B1312" t="str">
            <v>Rancho Mirage*</v>
          </cell>
          <cell r="C1312">
            <v>7.7499999999999999E-2</v>
          </cell>
        </row>
        <row r="1313">
          <cell r="A1313" t="str">
            <v>Rancho Murieta</v>
          </cell>
          <cell r="B1313" t="str">
            <v>Rancho Murieta</v>
          </cell>
          <cell r="C1313">
            <v>7.7499999999999999E-2</v>
          </cell>
        </row>
        <row r="1314">
          <cell r="A1314" t="str">
            <v>Rancho Palos Verdes</v>
          </cell>
          <cell r="B1314" t="str">
            <v>Rancho Palos Verdes*</v>
          </cell>
          <cell r="C1314">
            <v>9.5000000000000001E-2</v>
          </cell>
        </row>
        <row r="1315">
          <cell r="A1315" t="str">
            <v>Rancho Park</v>
          </cell>
          <cell r="B1315" t="str">
            <v>Rancho Park (Los Angeles*)</v>
          </cell>
          <cell r="C1315">
            <v>9.5000000000000001E-2</v>
          </cell>
        </row>
        <row r="1316">
          <cell r="A1316" t="str">
            <v>Rancho Santa Fe</v>
          </cell>
          <cell r="B1316" t="str">
            <v>Rancho Santa Fe</v>
          </cell>
          <cell r="C1316">
            <v>7.7499999999999999E-2</v>
          </cell>
        </row>
        <row r="1317">
          <cell r="A1317" t="str">
            <v>Rancho Santa Margarita</v>
          </cell>
          <cell r="B1317" t="str">
            <v>Rancho Santa Margarita*</v>
          </cell>
          <cell r="C1317">
            <v>7.7499999999999999E-2</v>
          </cell>
        </row>
        <row r="1318">
          <cell r="A1318" t="str">
            <v>Randsburg</v>
          </cell>
          <cell r="B1318" t="str">
            <v>Randsburg</v>
          </cell>
          <cell r="C1318">
            <v>7.2499999999999995E-2</v>
          </cell>
        </row>
        <row r="1319">
          <cell r="A1319" t="str">
            <v>Ravendale</v>
          </cell>
          <cell r="B1319" t="str">
            <v>Ravendale</v>
          </cell>
          <cell r="C1319">
            <v>7.2499999999999995E-2</v>
          </cell>
        </row>
        <row r="1320">
          <cell r="A1320" t="str">
            <v>Ravenna</v>
          </cell>
          <cell r="B1320" t="str">
            <v>Ravenna</v>
          </cell>
          <cell r="C1320">
            <v>9.5000000000000001E-2</v>
          </cell>
        </row>
        <row r="1321">
          <cell r="A1321" t="str">
            <v>Raymond</v>
          </cell>
          <cell r="B1321" t="str">
            <v>Raymond</v>
          </cell>
          <cell r="C1321">
            <v>7.7499999999999999E-2</v>
          </cell>
        </row>
        <row r="1322">
          <cell r="A1322" t="str">
            <v>Red Bluff</v>
          </cell>
          <cell r="B1322" t="str">
            <v>Red Bluff*</v>
          </cell>
          <cell r="C1322">
            <v>7.4999999999999997E-2</v>
          </cell>
        </row>
        <row r="1323">
          <cell r="A1323" t="str">
            <v>Red Mountain</v>
          </cell>
          <cell r="B1323" t="str">
            <v>Red Mountain</v>
          </cell>
          <cell r="C1323">
            <v>7.7499999999999999E-2</v>
          </cell>
        </row>
        <row r="1324">
          <cell r="A1324" t="str">
            <v>Red Top</v>
          </cell>
          <cell r="B1324" t="str">
            <v>Red Top</v>
          </cell>
          <cell r="C1324">
            <v>7.7499999999999999E-2</v>
          </cell>
        </row>
        <row r="1325">
          <cell r="A1325" t="str">
            <v>Redcrest</v>
          </cell>
          <cell r="B1325" t="str">
            <v>Redcrest</v>
          </cell>
          <cell r="C1325">
            <v>7.7499999999999999E-2</v>
          </cell>
        </row>
        <row r="1326">
          <cell r="A1326" t="str">
            <v>Redding</v>
          </cell>
          <cell r="B1326" t="str">
            <v>Redding*</v>
          </cell>
          <cell r="C1326">
            <v>7.2499999999999995E-2</v>
          </cell>
        </row>
        <row r="1327">
          <cell r="A1327" t="str">
            <v>Redlands</v>
          </cell>
          <cell r="B1327" t="str">
            <v>Redlands*</v>
          </cell>
          <cell r="C1327">
            <v>8.7499999999999994E-2</v>
          </cell>
        </row>
        <row r="1328">
          <cell r="A1328" t="str">
            <v>Redondo Beach</v>
          </cell>
          <cell r="B1328" t="str">
            <v>Redondo Beach*</v>
          </cell>
          <cell r="C1328">
            <v>9.5000000000000001E-2</v>
          </cell>
        </row>
        <row r="1329">
          <cell r="A1329" t="str">
            <v>Redway</v>
          </cell>
          <cell r="B1329" t="str">
            <v>Redway</v>
          </cell>
          <cell r="C1329">
            <v>7.7499999999999999E-2</v>
          </cell>
        </row>
        <row r="1330">
          <cell r="A1330" t="str">
            <v>Redwood City</v>
          </cell>
          <cell r="B1330" t="str">
            <v>Redwood City*</v>
          </cell>
          <cell r="C1330">
            <v>9.8750000000000004E-2</v>
          </cell>
        </row>
        <row r="1331">
          <cell r="A1331" t="str">
            <v>Redwood Estates</v>
          </cell>
          <cell r="B1331" t="str">
            <v>Redwood Estates</v>
          </cell>
          <cell r="C1331">
            <v>9.1249999999999998E-2</v>
          </cell>
        </row>
        <row r="1332">
          <cell r="A1332" t="str">
            <v>Redwood Valley</v>
          </cell>
          <cell r="B1332" t="str">
            <v>Redwood Valley</v>
          </cell>
          <cell r="C1332">
            <v>7.8750000000000001E-2</v>
          </cell>
        </row>
        <row r="1333">
          <cell r="A1333" t="str">
            <v>Reedley</v>
          </cell>
          <cell r="B1333" t="str">
            <v>Reedley*</v>
          </cell>
          <cell r="C1333">
            <v>9.2249999999999999E-2</v>
          </cell>
        </row>
        <row r="1334">
          <cell r="A1334" t="str">
            <v>Refugio Beach</v>
          </cell>
          <cell r="B1334" t="str">
            <v>Refugio Beach</v>
          </cell>
          <cell r="C1334">
            <v>7.7499999999999999E-2</v>
          </cell>
        </row>
        <row r="1335">
          <cell r="A1335" t="str">
            <v>Represa</v>
          </cell>
          <cell r="B1335" t="str">
            <v>Represa (Folsom Prison)</v>
          </cell>
          <cell r="C1335">
            <v>7.7499999999999999E-2</v>
          </cell>
        </row>
        <row r="1336">
          <cell r="A1336" t="str">
            <v>Requa</v>
          </cell>
          <cell r="B1336" t="str">
            <v>Requa</v>
          </cell>
          <cell r="C1336">
            <v>8.2500000000000004E-2</v>
          </cell>
        </row>
        <row r="1337">
          <cell r="A1337" t="str">
            <v>Rescue</v>
          </cell>
          <cell r="B1337" t="str">
            <v>Rescue</v>
          </cell>
          <cell r="C1337">
            <v>7.2499999999999995E-2</v>
          </cell>
        </row>
        <row r="1338">
          <cell r="A1338" t="str">
            <v>Reseda</v>
          </cell>
          <cell r="B1338" t="str">
            <v>Reseda (Los Angeles*)</v>
          </cell>
          <cell r="C1338">
            <v>9.5000000000000001E-2</v>
          </cell>
        </row>
        <row r="1339">
          <cell r="A1339" t="str">
            <v>Rheem Valley</v>
          </cell>
          <cell r="B1339" t="str">
            <v>Rheem Valley (Moraga*)</v>
          </cell>
          <cell r="C1339">
            <v>9.7500000000000003E-2</v>
          </cell>
        </row>
        <row r="1340">
          <cell r="A1340" t="str">
            <v>Rialto</v>
          </cell>
          <cell r="B1340" t="str">
            <v>Rialto*</v>
          </cell>
          <cell r="C1340">
            <v>7.7499999999999999E-2</v>
          </cell>
        </row>
        <row r="1341">
          <cell r="A1341" t="str">
            <v>Richardson Grove</v>
          </cell>
          <cell r="B1341" t="str">
            <v>Richardson Grove</v>
          </cell>
          <cell r="C1341">
            <v>7.7499999999999999E-2</v>
          </cell>
        </row>
        <row r="1342">
          <cell r="A1342" t="str">
            <v>Richardson Springs</v>
          </cell>
          <cell r="B1342" t="str">
            <v>Richardson Springs</v>
          </cell>
          <cell r="C1342">
            <v>7.2499999999999995E-2</v>
          </cell>
        </row>
        <row r="1343">
          <cell r="A1343" t="str">
            <v>Richfield</v>
          </cell>
          <cell r="B1343" t="str">
            <v>Richfield</v>
          </cell>
          <cell r="C1343">
            <v>7.2499999999999995E-2</v>
          </cell>
        </row>
        <row r="1344">
          <cell r="A1344" t="str">
            <v>Richgrove</v>
          </cell>
          <cell r="B1344" t="str">
            <v>Richgrove</v>
          </cell>
          <cell r="C1344">
            <v>7.7499999999999999E-2</v>
          </cell>
        </row>
        <row r="1345">
          <cell r="A1345" t="str">
            <v>Richmond</v>
          </cell>
          <cell r="B1345" t="str">
            <v>Richmond*</v>
          </cell>
          <cell r="C1345">
            <v>9.7500000000000003E-2</v>
          </cell>
        </row>
        <row r="1346">
          <cell r="A1346" t="str">
            <v>Richvale</v>
          </cell>
          <cell r="B1346" t="str">
            <v>Richvale</v>
          </cell>
          <cell r="C1346">
            <v>7.2499999999999995E-2</v>
          </cell>
        </row>
        <row r="1347">
          <cell r="A1347" t="str">
            <v>Ridgecrest</v>
          </cell>
          <cell r="B1347" t="str">
            <v>Ridgecrest*</v>
          </cell>
          <cell r="C1347">
            <v>8.2500000000000004E-2</v>
          </cell>
        </row>
        <row r="1348">
          <cell r="A1348" t="str">
            <v>Rimforest</v>
          </cell>
          <cell r="B1348" t="str">
            <v>Rimforest</v>
          </cell>
          <cell r="C1348">
            <v>7.7499999999999999E-2</v>
          </cell>
        </row>
        <row r="1349">
          <cell r="A1349" t="str">
            <v>Rimpau</v>
          </cell>
          <cell r="B1349" t="str">
            <v>Rimpau (Los Angeles*)</v>
          </cell>
          <cell r="C1349">
            <v>9.5000000000000001E-2</v>
          </cell>
        </row>
        <row r="1350">
          <cell r="A1350" t="str">
            <v>Rio Bravo</v>
          </cell>
          <cell r="B1350" t="str">
            <v>Rio Bravo (Bakersfield*)</v>
          </cell>
          <cell r="C1350">
            <v>8.2500000000000004E-2</v>
          </cell>
        </row>
        <row r="1351">
          <cell r="A1351" t="str">
            <v>Rio Del Mar</v>
          </cell>
          <cell r="B1351" t="str">
            <v>Rio Del Mar</v>
          </cell>
          <cell r="C1351">
            <v>0.09</v>
          </cell>
        </row>
        <row r="1352">
          <cell r="A1352" t="str">
            <v>Rio Dell</v>
          </cell>
          <cell r="B1352" t="str">
            <v>Rio Dell*</v>
          </cell>
          <cell r="C1352">
            <v>8.7499999999999994E-2</v>
          </cell>
        </row>
        <row r="1353">
          <cell r="A1353" t="str">
            <v>Rio Linda</v>
          </cell>
          <cell r="B1353" t="str">
            <v>Rio Linda</v>
          </cell>
          <cell r="C1353">
            <v>7.7499999999999999E-2</v>
          </cell>
        </row>
        <row r="1354">
          <cell r="A1354" t="str">
            <v>Rio Nido</v>
          </cell>
          <cell r="B1354" t="str">
            <v>Rio Nido</v>
          </cell>
          <cell r="C1354">
            <v>8.5000000000000006E-2</v>
          </cell>
        </row>
        <row r="1355">
          <cell r="A1355" t="str">
            <v>Rio Oso</v>
          </cell>
          <cell r="B1355" t="str">
            <v>Rio Oso</v>
          </cell>
          <cell r="C1355">
            <v>7.2499999999999995E-2</v>
          </cell>
        </row>
        <row r="1356">
          <cell r="A1356" t="str">
            <v>Rio Vista</v>
          </cell>
          <cell r="B1356" t="str">
            <v>Rio Vista*</v>
          </cell>
          <cell r="C1356">
            <v>8.1250000000000003E-2</v>
          </cell>
        </row>
        <row r="1357">
          <cell r="A1357" t="str">
            <v>Ripley</v>
          </cell>
          <cell r="B1357" t="str">
            <v>Ripley</v>
          </cell>
          <cell r="C1357">
            <v>7.7499999999999999E-2</v>
          </cell>
        </row>
        <row r="1358">
          <cell r="A1358" t="str">
            <v>Ripon</v>
          </cell>
          <cell r="B1358" t="str">
            <v>Ripon*</v>
          </cell>
          <cell r="C1358">
            <v>7.7499999999999999E-2</v>
          </cell>
        </row>
        <row r="1359">
          <cell r="A1359" t="str">
            <v>River Pines</v>
          </cell>
          <cell r="B1359" t="str">
            <v>River Pines</v>
          </cell>
          <cell r="C1359">
            <v>7.7499999999999999E-2</v>
          </cell>
        </row>
        <row r="1360">
          <cell r="A1360" t="str">
            <v>Riverbank</v>
          </cell>
          <cell r="B1360" t="str">
            <v>Riverbank*</v>
          </cell>
          <cell r="C1360">
            <v>7.8750000000000001E-2</v>
          </cell>
        </row>
        <row r="1361">
          <cell r="A1361" t="str">
            <v>Riverdale</v>
          </cell>
          <cell r="B1361" t="str">
            <v>Riverdale</v>
          </cell>
          <cell r="C1361">
            <v>7.9750000000000001E-2</v>
          </cell>
        </row>
        <row r="1362">
          <cell r="A1362" t="str">
            <v>Riverside</v>
          </cell>
          <cell r="B1362" t="str">
            <v>Riverside*</v>
          </cell>
          <cell r="C1362">
            <v>8.7499999999999994E-2</v>
          </cell>
        </row>
        <row r="1363">
          <cell r="A1363" t="str">
            <v>Robbins</v>
          </cell>
          <cell r="B1363" t="str">
            <v>Robbins</v>
          </cell>
          <cell r="C1363">
            <v>7.2499999999999995E-2</v>
          </cell>
        </row>
        <row r="1364">
          <cell r="A1364" t="str">
            <v>Rocklin</v>
          </cell>
          <cell r="B1364" t="str">
            <v>Rocklin*</v>
          </cell>
          <cell r="C1364">
            <v>7.2499999999999995E-2</v>
          </cell>
        </row>
        <row r="1365">
          <cell r="A1365" t="str">
            <v>Rodeo</v>
          </cell>
          <cell r="B1365" t="str">
            <v>Rodeo</v>
          </cell>
          <cell r="C1365">
            <v>8.7499999999999994E-2</v>
          </cell>
        </row>
        <row r="1366">
          <cell r="A1366" t="str">
            <v>Rohnert Park</v>
          </cell>
          <cell r="B1366" t="str">
            <v>Rohnert Park*</v>
          </cell>
          <cell r="C1366">
            <v>0.09</v>
          </cell>
        </row>
        <row r="1367">
          <cell r="A1367" t="str">
            <v>Rohnerville</v>
          </cell>
          <cell r="B1367" t="str">
            <v>Rohnerville</v>
          </cell>
          <cell r="C1367">
            <v>7.7499999999999999E-2</v>
          </cell>
        </row>
        <row r="1368">
          <cell r="A1368" t="str">
            <v>Rolling Hills Estates</v>
          </cell>
          <cell r="B1368" t="str">
            <v>Rolling Hills Estates*</v>
          </cell>
          <cell r="C1368">
            <v>9.5000000000000001E-2</v>
          </cell>
        </row>
        <row r="1369">
          <cell r="A1369" t="str">
            <v>Rolling Hills</v>
          </cell>
          <cell r="B1369" t="str">
            <v>Rolling Hills*</v>
          </cell>
          <cell r="C1369">
            <v>9.5000000000000001E-2</v>
          </cell>
        </row>
        <row r="1370">
          <cell r="A1370" t="str">
            <v>Romoland</v>
          </cell>
          <cell r="B1370" t="str">
            <v>Romoland (Menifee*)</v>
          </cell>
          <cell r="C1370">
            <v>8.7499999999999994E-2</v>
          </cell>
        </row>
        <row r="1371">
          <cell r="A1371" t="str">
            <v>Rosamond</v>
          </cell>
          <cell r="B1371" t="str">
            <v>Rosamond</v>
          </cell>
          <cell r="C1371">
            <v>7.2499999999999995E-2</v>
          </cell>
        </row>
        <row r="1372">
          <cell r="A1372" t="str">
            <v>Rose Bowl</v>
          </cell>
          <cell r="B1372" t="str">
            <v>Rose Bowl (Pasadena*)</v>
          </cell>
          <cell r="C1372">
            <v>0.10249999999999999</v>
          </cell>
        </row>
        <row r="1373">
          <cell r="A1373" t="str">
            <v>Roseland</v>
          </cell>
          <cell r="B1373" t="str">
            <v>Roseland</v>
          </cell>
          <cell r="C1373">
            <v>8.5000000000000006E-2</v>
          </cell>
        </row>
        <row r="1374">
          <cell r="A1374" t="str">
            <v>Rosemead</v>
          </cell>
          <cell r="B1374" t="str">
            <v>Rosemead*</v>
          </cell>
          <cell r="C1374">
            <v>9.5000000000000001E-2</v>
          </cell>
        </row>
        <row r="1375">
          <cell r="A1375" t="str">
            <v>Roseville</v>
          </cell>
          <cell r="B1375" t="str">
            <v>Roseville*</v>
          </cell>
          <cell r="C1375">
            <v>7.7499999999999999E-2</v>
          </cell>
        </row>
        <row r="1376">
          <cell r="A1376" t="str">
            <v>Ross</v>
          </cell>
          <cell r="B1376" t="str">
            <v>Ross*</v>
          </cell>
          <cell r="C1376">
            <v>8.2500000000000004E-2</v>
          </cell>
        </row>
        <row r="1377">
          <cell r="A1377" t="str">
            <v>Rossmoor</v>
          </cell>
          <cell r="B1377" t="str">
            <v>Rossmoor</v>
          </cell>
          <cell r="C1377">
            <v>7.7499999999999999E-2</v>
          </cell>
        </row>
        <row r="1378">
          <cell r="A1378" t="str">
            <v>Rough and Ready</v>
          </cell>
          <cell r="B1378" t="str">
            <v>Rough and Ready</v>
          </cell>
          <cell r="C1378">
            <v>7.4999999999999997E-2</v>
          </cell>
        </row>
        <row r="1379">
          <cell r="A1379" t="str">
            <v>Round Mountain</v>
          </cell>
          <cell r="B1379" t="str">
            <v>Round Mountain</v>
          </cell>
          <cell r="C1379">
            <v>7.2499999999999995E-2</v>
          </cell>
        </row>
        <row r="1380">
          <cell r="A1380" t="str">
            <v>Rowland Heights</v>
          </cell>
          <cell r="B1380" t="str">
            <v>Rowland Heights</v>
          </cell>
          <cell r="C1380">
            <v>9.5000000000000001E-2</v>
          </cell>
        </row>
        <row r="1381">
          <cell r="A1381" t="str">
            <v>Royal Oaks</v>
          </cell>
          <cell r="B1381" t="str">
            <v>Royal Oaks</v>
          </cell>
          <cell r="C1381">
            <v>7.7499999999999999E-2</v>
          </cell>
        </row>
        <row r="1382">
          <cell r="A1382" t="str">
            <v>Rubidoux</v>
          </cell>
          <cell r="B1382" t="str">
            <v>Rubidoux</v>
          </cell>
          <cell r="C1382">
            <v>7.7499999999999999E-2</v>
          </cell>
        </row>
        <row r="1383">
          <cell r="A1383" t="str">
            <v>Ruby Valley</v>
          </cell>
          <cell r="B1383" t="str">
            <v>Ruby Valley</v>
          </cell>
          <cell r="C1383">
            <v>7.7499999999999999E-2</v>
          </cell>
        </row>
        <row r="1384">
          <cell r="A1384" t="str">
            <v>Rumsey</v>
          </cell>
          <cell r="B1384" t="str">
            <v>Rumsey</v>
          </cell>
          <cell r="C1384">
            <v>7.2499999999999995E-2</v>
          </cell>
        </row>
        <row r="1385">
          <cell r="A1385" t="str">
            <v>Running Springs</v>
          </cell>
          <cell r="B1385" t="str">
            <v>Running Springs</v>
          </cell>
          <cell r="C1385">
            <v>7.7499999999999999E-2</v>
          </cell>
        </row>
        <row r="1386">
          <cell r="A1386" t="str">
            <v>Ruth</v>
          </cell>
          <cell r="B1386" t="str">
            <v>Ruth</v>
          </cell>
          <cell r="C1386">
            <v>7.2499999999999995E-2</v>
          </cell>
        </row>
        <row r="1387">
          <cell r="A1387" t="str">
            <v>Rutherford</v>
          </cell>
          <cell r="B1387" t="str">
            <v>Rutherford</v>
          </cell>
          <cell r="C1387">
            <v>7.7499999999999999E-2</v>
          </cell>
        </row>
        <row r="1388">
          <cell r="A1388" t="str">
            <v>Ryde</v>
          </cell>
          <cell r="B1388" t="str">
            <v>Ryde</v>
          </cell>
          <cell r="C1388">
            <v>7.7499999999999999E-2</v>
          </cell>
        </row>
        <row r="1389">
          <cell r="A1389" t="str">
            <v>Sacramento</v>
          </cell>
          <cell r="B1389" t="str">
            <v>Sacramento*</v>
          </cell>
          <cell r="C1389">
            <v>8.7499999999999994E-2</v>
          </cell>
        </row>
        <row r="1390">
          <cell r="A1390" t="str">
            <v>Saint Helena</v>
          </cell>
          <cell r="B1390" t="str">
            <v>Saint Helena*</v>
          </cell>
          <cell r="C1390">
            <v>8.2500000000000004E-2</v>
          </cell>
        </row>
        <row r="1391">
          <cell r="A1391" t="str">
            <v>Salida</v>
          </cell>
          <cell r="B1391" t="str">
            <v>Salida</v>
          </cell>
          <cell r="C1391">
            <v>7.8750000000000001E-2</v>
          </cell>
        </row>
        <row r="1392">
          <cell r="A1392" t="str">
            <v>Salinas</v>
          </cell>
          <cell r="B1392" t="str">
            <v>Salinas*</v>
          </cell>
          <cell r="C1392">
            <v>9.2499999999999999E-2</v>
          </cell>
        </row>
        <row r="1393">
          <cell r="A1393" t="str">
            <v>Salton City</v>
          </cell>
          <cell r="B1393" t="str">
            <v>Salton City</v>
          </cell>
          <cell r="C1393">
            <v>7.7499999999999999E-2</v>
          </cell>
        </row>
        <row r="1394">
          <cell r="A1394" t="str">
            <v>Salyer</v>
          </cell>
          <cell r="B1394" t="str">
            <v>Salyer</v>
          </cell>
          <cell r="C1394">
            <v>7.2499999999999995E-2</v>
          </cell>
        </row>
        <row r="1395">
          <cell r="A1395" t="str">
            <v>Samoa</v>
          </cell>
          <cell r="B1395" t="str">
            <v>Samoa</v>
          </cell>
          <cell r="C1395">
            <v>7.7499999999999999E-2</v>
          </cell>
        </row>
        <row r="1396">
          <cell r="A1396" t="str">
            <v>San Andreas</v>
          </cell>
          <cell r="B1396" t="str">
            <v>San Andreas</v>
          </cell>
          <cell r="C1396">
            <v>7.2499999999999995E-2</v>
          </cell>
        </row>
        <row r="1397">
          <cell r="A1397" t="str">
            <v>San Anselmo</v>
          </cell>
          <cell r="B1397" t="str">
            <v>San Anselmo*</v>
          </cell>
          <cell r="C1397">
            <v>8.7499999999999994E-2</v>
          </cell>
        </row>
        <row r="1398">
          <cell r="A1398" t="str">
            <v>San Ardo</v>
          </cell>
          <cell r="B1398" t="str">
            <v>San Ardo</v>
          </cell>
          <cell r="C1398">
            <v>7.7499999999999999E-2</v>
          </cell>
        </row>
        <row r="1399">
          <cell r="A1399" t="str">
            <v>San Benito</v>
          </cell>
          <cell r="B1399" t="str">
            <v>San Benito</v>
          </cell>
          <cell r="C1399">
            <v>8.2500000000000004E-2</v>
          </cell>
        </row>
        <row r="1400">
          <cell r="A1400" t="str">
            <v>San Bernardino</v>
          </cell>
          <cell r="B1400" t="str">
            <v>San Bernardino*</v>
          </cell>
          <cell r="C1400">
            <v>8.7499999999999994E-2</v>
          </cell>
        </row>
        <row r="1401">
          <cell r="A1401" t="str">
            <v>San Bruno</v>
          </cell>
          <cell r="B1401" t="str">
            <v>San Bruno*</v>
          </cell>
          <cell r="C1401">
            <v>9.8750000000000004E-2</v>
          </cell>
        </row>
        <row r="1402">
          <cell r="A1402" t="str">
            <v>San Carlos</v>
          </cell>
          <cell r="B1402" t="str">
            <v>San Carlos (San Diego*)</v>
          </cell>
          <cell r="C1402">
            <v>7.7499999999999999E-2</v>
          </cell>
        </row>
        <row r="1403">
          <cell r="A1403" t="str">
            <v>San Carlos</v>
          </cell>
          <cell r="B1403" t="str">
            <v>San Carlos*</v>
          </cell>
          <cell r="C1403">
            <v>9.375E-2</v>
          </cell>
        </row>
        <row r="1404">
          <cell r="A1404" t="str">
            <v>San Clemente</v>
          </cell>
          <cell r="B1404" t="str">
            <v>San Clemente*</v>
          </cell>
          <cell r="C1404">
            <v>7.7499999999999999E-2</v>
          </cell>
        </row>
        <row r="1405">
          <cell r="A1405" t="str">
            <v>San Diego</v>
          </cell>
          <cell r="B1405" t="str">
            <v>San Diego*</v>
          </cell>
          <cell r="C1405">
            <v>7.7499999999999999E-2</v>
          </cell>
        </row>
        <row r="1406">
          <cell r="A1406" t="str">
            <v>San Dimas</v>
          </cell>
          <cell r="B1406" t="str">
            <v>San Dimas*</v>
          </cell>
          <cell r="C1406">
            <v>9.5000000000000001E-2</v>
          </cell>
        </row>
        <row r="1407">
          <cell r="A1407" t="str">
            <v>San Fernando</v>
          </cell>
          <cell r="B1407" t="str">
            <v>San Fernando*</v>
          </cell>
          <cell r="C1407">
            <v>0.10249999999999999</v>
          </cell>
        </row>
        <row r="1408">
          <cell r="A1408" t="str">
            <v>San Francisco</v>
          </cell>
          <cell r="B1408" t="str">
            <v>San Francisco*</v>
          </cell>
          <cell r="C1408">
            <v>8.6249999999999993E-2</v>
          </cell>
        </row>
        <row r="1409">
          <cell r="A1409" t="str">
            <v>San Gabriel</v>
          </cell>
          <cell r="B1409" t="str">
            <v>San Gabriel*</v>
          </cell>
          <cell r="C1409">
            <v>0.10249999999999999</v>
          </cell>
        </row>
        <row r="1410">
          <cell r="A1410" t="str">
            <v>San Geronimo</v>
          </cell>
          <cell r="B1410" t="str">
            <v>San Geronimo</v>
          </cell>
          <cell r="C1410">
            <v>8.2500000000000004E-2</v>
          </cell>
        </row>
        <row r="1411">
          <cell r="A1411" t="str">
            <v>San Gregorio</v>
          </cell>
          <cell r="B1411" t="str">
            <v>San Gregorio</v>
          </cell>
          <cell r="C1411">
            <v>9.375E-2</v>
          </cell>
        </row>
        <row r="1412">
          <cell r="A1412" t="str">
            <v>San Jacinto</v>
          </cell>
          <cell r="B1412" t="str">
            <v>San Jacinto*</v>
          </cell>
          <cell r="C1412">
            <v>8.7499999999999994E-2</v>
          </cell>
        </row>
        <row r="1413">
          <cell r="A1413" t="str">
            <v>San Joaquin</v>
          </cell>
          <cell r="B1413" t="str">
            <v>San Joaquin*</v>
          </cell>
          <cell r="C1413">
            <v>7.9750000000000001E-2</v>
          </cell>
        </row>
        <row r="1414">
          <cell r="A1414" t="str">
            <v>San Jose</v>
          </cell>
          <cell r="B1414" t="str">
            <v>San Jose*</v>
          </cell>
          <cell r="C1414">
            <v>9.375E-2</v>
          </cell>
        </row>
        <row r="1415">
          <cell r="A1415" t="str">
            <v>San Juan Bautista</v>
          </cell>
          <cell r="B1415" t="str">
            <v>San Juan Bautista*</v>
          </cell>
          <cell r="C1415">
            <v>0.09</v>
          </cell>
        </row>
        <row r="1416">
          <cell r="A1416" t="str">
            <v>San Juan Capistrano</v>
          </cell>
          <cell r="B1416" t="str">
            <v>San Juan Capistrano*</v>
          </cell>
          <cell r="C1416">
            <v>7.7499999999999999E-2</v>
          </cell>
        </row>
        <row r="1417">
          <cell r="A1417" t="str">
            <v>San Juan Plaza</v>
          </cell>
          <cell r="B1417" t="str">
            <v>San Juan Plaza (San Juan Capistrano*)</v>
          </cell>
          <cell r="C1417">
            <v>7.7499999999999999E-2</v>
          </cell>
        </row>
        <row r="1418">
          <cell r="A1418" t="str">
            <v>San Leandro</v>
          </cell>
          <cell r="B1418" t="str">
            <v>San Leandro*</v>
          </cell>
          <cell r="C1418">
            <v>0.1075</v>
          </cell>
        </row>
        <row r="1419">
          <cell r="A1419" t="str">
            <v>San Lorenzo</v>
          </cell>
          <cell r="B1419" t="str">
            <v>San Lorenzo</v>
          </cell>
          <cell r="C1419">
            <v>0.10249999999999999</v>
          </cell>
        </row>
        <row r="1420">
          <cell r="A1420" t="str">
            <v>San Lucas</v>
          </cell>
          <cell r="B1420" t="str">
            <v>San Lucas</v>
          </cell>
          <cell r="C1420">
            <v>7.7499999999999999E-2</v>
          </cell>
        </row>
        <row r="1421">
          <cell r="A1421" t="str">
            <v>San Luis Obispo</v>
          </cell>
          <cell r="B1421" t="str">
            <v>San Luis Obispo*</v>
          </cell>
          <cell r="C1421">
            <v>8.7499999999999994E-2</v>
          </cell>
        </row>
        <row r="1422">
          <cell r="A1422" t="str">
            <v>San Luis Rey</v>
          </cell>
          <cell r="B1422" t="str">
            <v>San Luis Rey (Oceanside*)</v>
          </cell>
          <cell r="C1422">
            <v>8.2500000000000004E-2</v>
          </cell>
        </row>
        <row r="1423">
          <cell r="A1423" t="str">
            <v>San Marcos</v>
          </cell>
          <cell r="B1423" t="str">
            <v>San Marcos*</v>
          </cell>
          <cell r="C1423">
            <v>7.7499999999999999E-2</v>
          </cell>
        </row>
        <row r="1424">
          <cell r="A1424" t="str">
            <v>San Marino</v>
          </cell>
          <cell r="B1424" t="str">
            <v>San Marino*</v>
          </cell>
          <cell r="C1424">
            <v>9.5000000000000001E-2</v>
          </cell>
        </row>
        <row r="1425">
          <cell r="A1425" t="str">
            <v>San Martin</v>
          </cell>
          <cell r="B1425" t="str">
            <v>San Martin</v>
          </cell>
          <cell r="C1425">
            <v>9.1249999999999998E-2</v>
          </cell>
        </row>
        <row r="1426">
          <cell r="A1426" t="str">
            <v>San Mateo</v>
          </cell>
          <cell r="B1426" t="str">
            <v>San Mateo*</v>
          </cell>
          <cell r="C1426">
            <v>9.6250000000000002E-2</v>
          </cell>
        </row>
        <row r="1427">
          <cell r="A1427" t="str">
            <v>San Miguel</v>
          </cell>
          <cell r="B1427" t="str">
            <v>San Miguel</v>
          </cell>
          <cell r="C1427">
            <v>7.2499999999999995E-2</v>
          </cell>
        </row>
        <row r="1428">
          <cell r="A1428" t="str">
            <v>San Pablo</v>
          </cell>
          <cell r="B1428" t="str">
            <v>San Pablo*</v>
          </cell>
          <cell r="C1428">
            <v>9.5000000000000001E-2</v>
          </cell>
        </row>
        <row r="1429">
          <cell r="A1429" t="str">
            <v>San Pedro</v>
          </cell>
          <cell r="B1429" t="str">
            <v>San Pedro (Los Angeles*)</v>
          </cell>
          <cell r="C1429">
            <v>9.5000000000000001E-2</v>
          </cell>
        </row>
        <row r="1430">
          <cell r="A1430" t="str">
            <v>San Quentin</v>
          </cell>
          <cell r="B1430" t="str">
            <v>San Quentin</v>
          </cell>
          <cell r="C1430">
            <v>8.2500000000000004E-2</v>
          </cell>
        </row>
        <row r="1431">
          <cell r="A1431" t="str">
            <v>San Rafael</v>
          </cell>
          <cell r="B1431" t="str">
            <v>San Rafael*</v>
          </cell>
          <cell r="C1431">
            <v>9.2499999999999999E-2</v>
          </cell>
        </row>
        <row r="1432">
          <cell r="A1432" t="str">
            <v>San Ramon</v>
          </cell>
          <cell r="B1432" t="str">
            <v>San Ramon*</v>
          </cell>
          <cell r="C1432">
            <v>8.7499999999999994E-2</v>
          </cell>
        </row>
        <row r="1433">
          <cell r="A1433" t="str">
            <v>San Simeon</v>
          </cell>
          <cell r="B1433" t="str">
            <v>San Simeon</v>
          </cell>
          <cell r="C1433">
            <v>7.2499999999999995E-2</v>
          </cell>
        </row>
        <row r="1434">
          <cell r="A1434" t="str">
            <v>San Tomas</v>
          </cell>
          <cell r="B1434" t="str">
            <v>San Tomas</v>
          </cell>
          <cell r="C1434">
            <v>9.1249999999999998E-2</v>
          </cell>
        </row>
        <row r="1435">
          <cell r="A1435" t="str">
            <v>San Ysidro</v>
          </cell>
          <cell r="B1435" t="str">
            <v>San Ysidro (San Diego*)</v>
          </cell>
          <cell r="C1435">
            <v>7.7499999999999999E-2</v>
          </cell>
        </row>
        <row r="1436">
          <cell r="A1436" t="str">
            <v>Sand City</v>
          </cell>
          <cell r="B1436" t="str">
            <v>Sand City*</v>
          </cell>
          <cell r="C1436">
            <v>8.7499999999999994E-2</v>
          </cell>
        </row>
        <row r="1437">
          <cell r="A1437" t="str">
            <v>Sanger</v>
          </cell>
          <cell r="B1437" t="str">
            <v>Sanger*</v>
          </cell>
          <cell r="C1437">
            <v>8.7249999999999994E-2</v>
          </cell>
        </row>
        <row r="1438">
          <cell r="A1438" t="str">
            <v>Santa Ana</v>
          </cell>
          <cell r="B1438" t="str">
            <v>Santa Ana*</v>
          </cell>
          <cell r="C1438">
            <v>9.2499999999999999E-2</v>
          </cell>
        </row>
        <row r="1439">
          <cell r="A1439" t="str">
            <v>Santa Barbara</v>
          </cell>
          <cell r="B1439" t="str">
            <v>Santa Barbara* (U.C. Santa Barbara campus rate is 7.75%)</v>
          </cell>
          <cell r="C1439">
            <v>8.7499999999999994E-2</v>
          </cell>
        </row>
        <row r="1440">
          <cell r="A1440" t="str">
            <v>Santa Clara</v>
          </cell>
          <cell r="B1440" t="str">
            <v>Santa Clara*</v>
          </cell>
          <cell r="C1440">
            <v>9.1249999999999998E-2</v>
          </cell>
        </row>
        <row r="1441">
          <cell r="A1441" t="str">
            <v>Santa Clarita</v>
          </cell>
          <cell r="B1441" t="str">
            <v>Santa Clarita*</v>
          </cell>
          <cell r="C1441">
            <v>9.5000000000000001E-2</v>
          </cell>
        </row>
        <row r="1442">
          <cell r="A1442" t="str">
            <v>Santa Cruz</v>
          </cell>
          <cell r="B1442" t="str">
            <v>Santa Cruz*</v>
          </cell>
          <cell r="C1442">
            <v>9.2499999999999999E-2</v>
          </cell>
        </row>
        <row r="1443">
          <cell r="A1443" t="str">
            <v>Santa Fe Springs</v>
          </cell>
          <cell r="B1443" t="str">
            <v>Santa Fe Springs*</v>
          </cell>
          <cell r="C1443">
            <v>0.105</v>
          </cell>
        </row>
        <row r="1444">
          <cell r="A1444" t="str">
            <v>Santa Margarita</v>
          </cell>
          <cell r="B1444" t="str">
            <v>Santa Margarita</v>
          </cell>
          <cell r="C1444">
            <v>7.2499999999999995E-2</v>
          </cell>
        </row>
        <row r="1445">
          <cell r="A1445" t="str">
            <v>Santa Maria</v>
          </cell>
          <cell r="B1445" t="str">
            <v>Santa Maria*</v>
          </cell>
          <cell r="C1445">
            <v>8.7499999999999994E-2</v>
          </cell>
        </row>
        <row r="1446">
          <cell r="A1446" t="str">
            <v>Santa Monica</v>
          </cell>
          <cell r="B1446" t="str">
            <v>Santa Monica*</v>
          </cell>
          <cell r="C1446">
            <v>0.10249999999999999</v>
          </cell>
        </row>
        <row r="1447">
          <cell r="A1447" t="str">
            <v>Santa Nella</v>
          </cell>
          <cell r="B1447" t="str">
            <v>Santa Nella</v>
          </cell>
          <cell r="C1447">
            <v>7.7499999999999999E-2</v>
          </cell>
        </row>
        <row r="1448">
          <cell r="A1448" t="str">
            <v>Santa Paula</v>
          </cell>
          <cell r="B1448" t="str">
            <v>Santa Paula*</v>
          </cell>
          <cell r="C1448">
            <v>8.2500000000000004E-2</v>
          </cell>
        </row>
        <row r="1449">
          <cell r="A1449" t="str">
            <v>Santa Rita Park</v>
          </cell>
          <cell r="B1449" t="str">
            <v>Santa Rita Park</v>
          </cell>
          <cell r="C1449">
            <v>7.7499999999999999E-2</v>
          </cell>
        </row>
        <row r="1450">
          <cell r="A1450" t="str">
            <v>Santa Rosa Valley</v>
          </cell>
          <cell r="B1450" t="str">
            <v>Santa Rosa Valley</v>
          </cell>
          <cell r="C1450">
            <v>7.2499999999999995E-2</v>
          </cell>
        </row>
        <row r="1451">
          <cell r="A1451" t="str">
            <v>Santa Rosa</v>
          </cell>
          <cell r="B1451" t="str">
            <v>Santa Rosa*</v>
          </cell>
          <cell r="C1451">
            <v>9.2499999999999999E-2</v>
          </cell>
        </row>
        <row r="1452">
          <cell r="A1452" t="str">
            <v>Santa Ynez</v>
          </cell>
          <cell r="B1452" t="str">
            <v>Santa Ynez</v>
          </cell>
          <cell r="C1452">
            <v>7.7499999999999999E-2</v>
          </cell>
        </row>
        <row r="1453">
          <cell r="A1453" t="str">
            <v>Santa Ysabel</v>
          </cell>
          <cell r="B1453" t="str">
            <v>Santa Ysabel</v>
          </cell>
          <cell r="C1453">
            <v>7.7499999999999999E-2</v>
          </cell>
        </row>
        <row r="1454">
          <cell r="A1454" t="str">
            <v>Santee</v>
          </cell>
          <cell r="B1454" t="str">
            <v>Santee*</v>
          </cell>
          <cell r="C1454">
            <v>7.7499999999999999E-2</v>
          </cell>
        </row>
        <row r="1455">
          <cell r="A1455" t="str">
            <v>Saratoga</v>
          </cell>
          <cell r="B1455" t="str">
            <v>Saratoga*</v>
          </cell>
          <cell r="C1455">
            <v>9.1249999999999998E-2</v>
          </cell>
        </row>
        <row r="1456">
          <cell r="A1456" t="str">
            <v>Saticoy</v>
          </cell>
          <cell r="B1456" t="str">
            <v>Saticoy</v>
          </cell>
          <cell r="C1456">
            <v>7.2499999999999995E-2</v>
          </cell>
        </row>
        <row r="1457">
          <cell r="A1457" t="str">
            <v>Sattley</v>
          </cell>
          <cell r="B1457" t="str">
            <v>Sattley</v>
          </cell>
          <cell r="C1457">
            <v>7.2499999999999995E-2</v>
          </cell>
        </row>
        <row r="1458">
          <cell r="A1458" t="str">
            <v>Saugus</v>
          </cell>
          <cell r="B1458" t="str">
            <v>Saugus (Santa Clarita*)</v>
          </cell>
          <cell r="C1458">
            <v>9.5000000000000001E-2</v>
          </cell>
        </row>
        <row r="1459">
          <cell r="A1459" t="str">
            <v>Sausalito</v>
          </cell>
          <cell r="B1459" t="str">
            <v>Sausalito*</v>
          </cell>
          <cell r="C1459">
            <v>8.7499999999999994E-2</v>
          </cell>
        </row>
        <row r="1460">
          <cell r="A1460" t="str">
            <v>Sawtelle</v>
          </cell>
          <cell r="B1460" t="str">
            <v>Sawtelle (Los Angeles*)</v>
          </cell>
          <cell r="C1460">
            <v>9.5000000000000001E-2</v>
          </cell>
        </row>
        <row r="1461">
          <cell r="A1461" t="str">
            <v>Sawyers Bar</v>
          </cell>
          <cell r="B1461" t="str">
            <v>Sawyers Bar</v>
          </cell>
          <cell r="C1461">
            <v>7.2499999999999995E-2</v>
          </cell>
        </row>
        <row r="1462">
          <cell r="A1462" t="str">
            <v>Scotia</v>
          </cell>
          <cell r="B1462" t="str">
            <v>Scotia</v>
          </cell>
          <cell r="C1462">
            <v>7.7499999999999999E-2</v>
          </cell>
        </row>
        <row r="1463">
          <cell r="A1463" t="str">
            <v>Scott Bar</v>
          </cell>
          <cell r="B1463" t="str">
            <v>Scott Bar</v>
          </cell>
          <cell r="C1463">
            <v>7.2499999999999995E-2</v>
          </cell>
        </row>
        <row r="1464">
          <cell r="A1464" t="str">
            <v>Scotts Valley</v>
          </cell>
          <cell r="B1464" t="str">
            <v>Scotts Valley*</v>
          </cell>
          <cell r="C1464">
            <v>9.7500000000000003E-2</v>
          </cell>
        </row>
        <row r="1465">
          <cell r="A1465" t="str">
            <v>Sea Ranch</v>
          </cell>
          <cell r="B1465" t="str">
            <v>Sea Ranch</v>
          </cell>
          <cell r="C1465">
            <v>8.5000000000000006E-2</v>
          </cell>
        </row>
        <row r="1466">
          <cell r="A1466" t="str">
            <v>Seabright</v>
          </cell>
          <cell r="B1466" t="str">
            <v>Seabright (Santa Cruz*)</v>
          </cell>
          <cell r="C1466">
            <v>9.2499999999999999E-2</v>
          </cell>
        </row>
        <row r="1467">
          <cell r="A1467" t="str">
            <v>Seal Beach</v>
          </cell>
          <cell r="B1467" t="str">
            <v>Seal Beach*</v>
          </cell>
          <cell r="C1467">
            <v>8.7499999999999994E-2</v>
          </cell>
        </row>
        <row r="1468">
          <cell r="A1468" t="str">
            <v>Seaside</v>
          </cell>
          <cell r="B1468" t="str">
            <v>Seaside*</v>
          </cell>
          <cell r="C1468">
            <v>9.2499999999999999E-2</v>
          </cell>
        </row>
        <row r="1469">
          <cell r="A1469" t="str">
            <v>Sebastopol</v>
          </cell>
          <cell r="B1469" t="str">
            <v>Sebastopol*</v>
          </cell>
          <cell r="C1469">
            <v>9.2499999999999999E-2</v>
          </cell>
        </row>
        <row r="1470">
          <cell r="A1470" t="str">
            <v>Seeley</v>
          </cell>
          <cell r="B1470" t="str">
            <v>Seeley</v>
          </cell>
          <cell r="C1470">
            <v>7.7499999999999999E-2</v>
          </cell>
        </row>
        <row r="1471">
          <cell r="A1471" t="str">
            <v>Seiad Valley</v>
          </cell>
          <cell r="B1471" t="str">
            <v>Seiad Valley</v>
          </cell>
          <cell r="C1471">
            <v>7.2499999999999995E-2</v>
          </cell>
        </row>
        <row r="1472">
          <cell r="A1472" t="str">
            <v>Selby</v>
          </cell>
          <cell r="B1472" t="str">
            <v>Selby</v>
          </cell>
          <cell r="C1472">
            <v>8.7499999999999994E-2</v>
          </cell>
        </row>
        <row r="1473">
          <cell r="A1473" t="str">
            <v>Selma</v>
          </cell>
          <cell r="B1473" t="str">
            <v>Selma*</v>
          </cell>
          <cell r="C1473">
            <v>8.4749999999999992E-2</v>
          </cell>
        </row>
        <row r="1474">
          <cell r="A1474" t="str">
            <v>Seminole Hot Springs</v>
          </cell>
          <cell r="B1474" t="str">
            <v>Seminole Hot Springs</v>
          </cell>
          <cell r="C1474">
            <v>9.5000000000000001E-2</v>
          </cell>
        </row>
        <row r="1475">
          <cell r="A1475" t="str">
            <v>Sepulveda</v>
          </cell>
          <cell r="B1475" t="str">
            <v>Sepulveda (Los Angeles*)</v>
          </cell>
          <cell r="C1475">
            <v>9.5000000000000001E-2</v>
          </cell>
        </row>
        <row r="1476">
          <cell r="A1476" t="str">
            <v>Sequoia National Park</v>
          </cell>
          <cell r="B1476" t="str">
            <v>Sequoia National Park</v>
          </cell>
          <cell r="C1476">
            <v>7.7499999999999999E-2</v>
          </cell>
        </row>
        <row r="1477">
          <cell r="A1477" t="str">
            <v>Shadow Hills</v>
          </cell>
          <cell r="B1477" t="str">
            <v>Shadow Hills (Los Angeles*)</v>
          </cell>
          <cell r="C1477">
            <v>9.5000000000000001E-2</v>
          </cell>
        </row>
        <row r="1478">
          <cell r="A1478" t="str">
            <v>Shafter</v>
          </cell>
          <cell r="B1478" t="str">
            <v>Shafter*</v>
          </cell>
          <cell r="C1478">
            <v>7.2499999999999995E-2</v>
          </cell>
        </row>
        <row r="1479">
          <cell r="A1479" t="str">
            <v>Shandon</v>
          </cell>
          <cell r="B1479" t="str">
            <v>Shandon</v>
          </cell>
          <cell r="C1479">
            <v>7.2499999999999995E-2</v>
          </cell>
        </row>
        <row r="1480">
          <cell r="A1480" t="str">
            <v>Sharpe Army Depot</v>
          </cell>
          <cell r="B1480" t="str">
            <v>Sharpe Army Depot</v>
          </cell>
          <cell r="C1480">
            <v>7.7499999999999999E-2</v>
          </cell>
        </row>
        <row r="1481">
          <cell r="A1481" t="str">
            <v>Shasta</v>
          </cell>
          <cell r="B1481" t="str">
            <v>Shasta</v>
          </cell>
          <cell r="C1481">
            <v>7.2499999999999995E-2</v>
          </cell>
        </row>
        <row r="1482">
          <cell r="A1482" t="str">
            <v>Shasta Lake</v>
          </cell>
          <cell r="B1482" t="str">
            <v>Shasta Lake*</v>
          </cell>
          <cell r="C1482">
            <v>7.2499999999999995E-2</v>
          </cell>
        </row>
        <row r="1483">
          <cell r="A1483" t="str">
            <v>Shaver Lake</v>
          </cell>
          <cell r="B1483" t="str">
            <v>Shaver Lake</v>
          </cell>
          <cell r="C1483">
            <v>7.9750000000000001E-2</v>
          </cell>
        </row>
        <row r="1484">
          <cell r="A1484" t="str">
            <v>Sheepranch</v>
          </cell>
          <cell r="B1484" t="str">
            <v>Sheepranch</v>
          </cell>
          <cell r="C1484">
            <v>7.2499999999999995E-2</v>
          </cell>
        </row>
        <row r="1485">
          <cell r="A1485" t="str">
            <v>Shell Beach</v>
          </cell>
          <cell r="B1485" t="str">
            <v>Shell Beach (Pismo Beach*)</v>
          </cell>
          <cell r="C1485">
            <v>7.7499999999999999E-2</v>
          </cell>
        </row>
        <row r="1486">
          <cell r="A1486" t="str">
            <v>Sheridan</v>
          </cell>
          <cell r="B1486" t="str">
            <v>Sheridan</v>
          </cell>
          <cell r="C1486">
            <v>7.2499999999999995E-2</v>
          </cell>
        </row>
        <row r="1487">
          <cell r="A1487" t="str">
            <v>Sherman Island</v>
          </cell>
          <cell r="B1487" t="str">
            <v>Sherman Island</v>
          </cell>
          <cell r="C1487">
            <v>7.7499999999999999E-2</v>
          </cell>
        </row>
        <row r="1488">
          <cell r="A1488" t="str">
            <v>Sherman Oaks</v>
          </cell>
          <cell r="B1488" t="str">
            <v>Sherman Oaks (Los Angeles*)</v>
          </cell>
          <cell r="C1488">
            <v>9.5000000000000001E-2</v>
          </cell>
        </row>
        <row r="1489">
          <cell r="A1489" t="str">
            <v>Sherwin Plaza</v>
          </cell>
          <cell r="B1489" t="str">
            <v>Sherwin Plaza</v>
          </cell>
          <cell r="C1489">
            <v>7.2499999999999995E-2</v>
          </cell>
        </row>
        <row r="1490">
          <cell r="A1490" t="str">
            <v>Shingle Springs</v>
          </cell>
          <cell r="B1490" t="str">
            <v>Shingle Springs</v>
          </cell>
          <cell r="C1490">
            <v>7.2499999999999995E-2</v>
          </cell>
        </row>
        <row r="1491">
          <cell r="A1491" t="str">
            <v>Shingletown</v>
          </cell>
          <cell r="B1491" t="str">
            <v>Shingletown</v>
          </cell>
          <cell r="C1491">
            <v>7.2499999999999995E-2</v>
          </cell>
        </row>
        <row r="1492">
          <cell r="A1492" t="str">
            <v>Shively</v>
          </cell>
          <cell r="B1492" t="str">
            <v>Shively</v>
          </cell>
          <cell r="C1492">
            <v>7.7499999999999999E-2</v>
          </cell>
        </row>
        <row r="1493">
          <cell r="A1493" t="str">
            <v>Shore Acres</v>
          </cell>
          <cell r="B1493" t="str">
            <v>Shore Acres</v>
          </cell>
          <cell r="C1493">
            <v>8.7499999999999994E-2</v>
          </cell>
        </row>
        <row r="1494">
          <cell r="A1494" t="str">
            <v>Shoshone</v>
          </cell>
          <cell r="B1494" t="str">
            <v>Shoshone</v>
          </cell>
          <cell r="C1494">
            <v>7.7499999999999999E-2</v>
          </cell>
        </row>
        <row r="1495">
          <cell r="A1495" t="str">
            <v>Sierra City</v>
          </cell>
          <cell r="B1495" t="str">
            <v>Sierra City</v>
          </cell>
          <cell r="C1495">
            <v>7.2499999999999995E-2</v>
          </cell>
        </row>
        <row r="1496">
          <cell r="A1496" t="str">
            <v>Sierra Madre</v>
          </cell>
          <cell r="B1496" t="str">
            <v>Sierra Madre*</v>
          </cell>
          <cell r="C1496">
            <v>0.10249999999999999</v>
          </cell>
        </row>
        <row r="1497">
          <cell r="A1497" t="str">
            <v>Sierraville</v>
          </cell>
          <cell r="B1497" t="str">
            <v>Sierraville</v>
          </cell>
          <cell r="C1497">
            <v>7.2499999999999995E-2</v>
          </cell>
        </row>
        <row r="1498">
          <cell r="A1498" t="str">
            <v>Signal Hill</v>
          </cell>
          <cell r="B1498" t="str">
            <v>Signal Hill*</v>
          </cell>
          <cell r="C1498">
            <v>0.10249999999999999</v>
          </cell>
        </row>
        <row r="1499">
          <cell r="A1499" t="str">
            <v>Silver Lake</v>
          </cell>
          <cell r="B1499" t="str">
            <v>Silver Lake</v>
          </cell>
          <cell r="C1499">
            <v>7.7499999999999999E-2</v>
          </cell>
        </row>
        <row r="1500">
          <cell r="A1500" t="str">
            <v>Silverado Canyon</v>
          </cell>
          <cell r="B1500" t="str">
            <v>Silverado Canyon</v>
          </cell>
          <cell r="C1500">
            <v>7.7499999999999999E-2</v>
          </cell>
        </row>
        <row r="1501">
          <cell r="A1501" t="str">
            <v>Simi Valley</v>
          </cell>
          <cell r="B1501" t="str">
            <v>Simi Valley*</v>
          </cell>
          <cell r="C1501">
            <v>7.2499999999999995E-2</v>
          </cell>
        </row>
        <row r="1502">
          <cell r="A1502" t="str">
            <v>Sisquoc</v>
          </cell>
          <cell r="B1502" t="str">
            <v>Sisquoc</v>
          </cell>
          <cell r="C1502">
            <v>7.7499999999999999E-2</v>
          </cell>
        </row>
        <row r="1503">
          <cell r="A1503" t="str">
            <v>Sites</v>
          </cell>
          <cell r="B1503" t="str">
            <v>Sites</v>
          </cell>
          <cell r="C1503">
            <v>7.2499999999999995E-2</v>
          </cell>
        </row>
        <row r="1504">
          <cell r="A1504" t="str">
            <v>Sky Valley</v>
          </cell>
          <cell r="B1504" t="str">
            <v>Sky Valley</v>
          </cell>
          <cell r="C1504">
            <v>7.7499999999999999E-2</v>
          </cell>
        </row>
        <row r="1505">
          <cell r="A1505" t="str">
            <v>Skyforest</v>
          </cell>
          <cell r="B1505" t="str">
            <v>Skyforest</v>
          </cell>
          <cell r="C1505">
            <v>7.7499999999999999E-2</v>
          </cell>
        </row>
        <row r="1506">
          <cell r="A1506" t="str">
            <v>Sleepy Valley</v>
          </cell>
          <cell r="B1506" t="str">
            <v>Sleepy Valley</v>
          </cell>
          <cell r="C1506">
            <v>9.5000000000000001E-2</v>
          </cell>
        </row>
        <row r="1507">
          <cell r="A1507" t="str">
            <v>Sloat</v>
          </cell>
          <cell r="B1507" t="str">
            <v>Sloat</v>
          </cell>
          <cell r="C1507">
            <v>7.2499999999999995E-2</v>
          </cell>
        </row>
        <row r="1508">
          <cell r="A1508" t="str">
            <v>Sloughhouse</v>
          </cell>
          <cell r="B1508" t="str">
            <v>Sloughhouse</v>
          </cell>
          <cell r="C1508">
            <v>7.7499999999999999E-2</v>
          </cell>
        </row>
        <row r="1509">
          <cell r="A1509" t="str">
            <v>Smartsville</v>
          </cell>
          <cell r="B1509" t="str">
            <v>Smartsville</v>
          </cell>
          <cell r="C1509">
            <v>8.2500000000000004E-2</v>
          </cell>
        </row>
        <row r="1510">
          <cell r="A1510" t="str">
            <v>Smith River</v>
          </cell>
          <cell r="B1510" t="str">
            <v>Smith River</v>
          </cell>
          <cell r="C1510">
            <v>8.2500000000000004E-2</v>
          </cell>
        </row>
        <row r="1511">
          <cell r="A1511" t="str">
            <v>Smithflat</v>
          </cell>
          <cell r="B1511" t="str">
            <v>Smithflat</v>
          </cell>
          <cell r="C1511">
            <v>7.2499999999999995E-2</v>
          </cell>
        </row>
        <row r="1512">
          <cell r="A1512" t="str">
            <v>Smoke Tree</v>
          </cell>
          <cell r="B1512" t="str">
            <v>Smoke Tree (Palm Springs*)</v>
          </cell>
          <cell r="C1512">
            <v>9.2499999999999999E-2</v>
          </cell>
        </row>
        <row r="1513">
          <cell r="A1513" t="str">
            <v>Smoke Tree</v>
          </cell>
          <cell r="B1513" t="str">
            <v>Smoke Tree (Twentynine Palms*)</v>
          </cell>
          <cell r="C1513">
            <v>7.7499999999999999E-2</v>
          </cell>
        </row>
        <row r="1514">
          <cell r="A1514" t="str">
            <v>Snelling</v>
          </cell>
          <cell r="B1514" t="str">
            <v>Snelling</v>
          </cell>
          <cell r="C1514">
            <v>7.7499999999999999E-2</v>
          </cell>
        </row>
        <row r="1515">
          <cell r="A1515" t="str">
            <v>Soda Springs</v>
          </cell>
          <cell r="B1515" t="str">
            <v>Soda Springs</v>
          </cell>
          <cell r="C1515">
            <v>7.4999999999999997E-2</v>
          </cell>
        </row>
        <row r="1516">
          <cell r="A1516" t="str">
            <v>Solana Beach</v>
          </cell>
          <cell r="B1516" t="str">
            <v>Solana Beach*</v>
          </cell>
          <cell r="C1516">
            <v>7.7499999999999999E-2</v>
          </cell>
        </row>
        <row r="1517">
          <cell r="A1517" t="str">
            <v>Soledad</v>
          </cell>
          <cell r="B1517" t="str">
            <v>Soledad*</v>
          </cell>
          <cell r="C1517">
            <v>9.2499999999999999E-2</v>
          </cell>
        </row>
        <row r="1518">
          <cell r="A1518" t="str">
            <v>Solemint</v>
          </cell>
          <cell r="B1518" t="str">
            <v>Solemint</v>
          </cell>
          <cell r="C1518">
            <v>9.5000000000000001E-2</v>
          </cell>
        </row>
        <row r="1519">
          <cell r="A1519" t="str">
            <v>Solvang</v>
          </cell>
          <cell r="B1519" t="str">
            <v>Solvang*</v>
          </cell>
          <cell r="C1519">
            <v>7.7499999999999999E-2</v>
          </cell>
        </row>
        <row r="1520">
          <cell r="A1520" t="str">
            <v>Somerset</v>
          </cell>
          <cell r="B1520" t="str">
            <v>Somerset</v>
          </cell>
          <cell r="C1520">
            <v>7.2499999999999995E-2</v>
          </cell>
        </row>
        <row r="1521">
          <cell r="A1521" t="str">
            <v>Somes Bar</v>
          </cell>
          <cell r="B1521" t="str">
            <v>Somes Bar</v>
          </cell>
          <cell r="C1521">
            <v>7.2499999999999995E-2</v>
          </cell>
        </row>
        <row r="1522">
          <cell r="A1522" t="str">
            <v>Somis</v>
          </cell>
          <cell r="B1522" t="str">
            <v>Somis</v>
          </cell>
          <cell r="C1522">
            <v>7.2499999999999995E-2</v>
          </cell>
        </row>
        <row r="1523">
          <cell r="A1523" t="str">
            <v>Sonoma</v>
          </cell>
          <cell r="B1523" t="str">
            <v>Sonoma*</v>
          </cell>
          <cell r="C1523">
            <v>0.09</v>
          </cell>
        </row>
        <row r="1524">
          <cell r="A1524" t="str">
            <v>Sonora</v>
          </cell>
          <cell r="B1524" t="str">
            <v>Sonora*</v>
          </cell>
          <cell r="C1524">
            <v>7.7499999999999999E-2</v>
          </cell>
        </row>
        <row r="1525">
          <cell r="A1525" t="str">
            <v>Soquel</v>
          </cell>
          <cell r="B1525" t="str">
            <v>Soquel</v>
          </cell>
          <cell r="C1525">
            <v>0.09</v>
          </cell>
        </row>
        <row r="1526">
          <cell r="A1526" t="str">
            <v>Soulsbyville</v>
          </cell>
          <cell r="B1526" t="str">
            <v>Soulsbyville</v>
          </cell>
          <cell r="C1526">
            <v>7.2499999999999995E-2</v>
          </cell>
        </row>
        <row r="1527">
          <cell r="A1527" t="str">
            <v>South Dos Palos</v>
          </cell>
          <cell r="B1527" t="str">
            <v>South Dos Palos</v>
          </cell>
          <cell r="C1527">
            <v>7.7499999999999999E-2</v>
          </cell>
        </row>
        <row r="1528">
          <cell r="A1528" t="str">
            <v>South El Monte</v>
          </cell>
          <cell r="B1528" t="str">
            <v>South El Monte*</v>
          </cell>
          <cell r="C1528">
            <v>0.10249999999999999</v>
          </cell>
        </row>
        <row r="1529">
          <cell r="A1529" t="str">
            <v>South Fork</v>
          </cell>
          <cell r="B1529" t="str">
            <v>South Fork</v>
          </cell>
          <cell r="C1529">
            <v>7.7499999999999999E-2</v>
          </cell>
        </row>
        <row r="1530">
          <cell r="A1530" t="str">
            <v>South Gate</v>
          </cell>
          <cell r="B1530" t="str">
            <v>South Gate*</v>
          </cell>
          <cell r="C1530">
            <v>0.10249999999999999</v>
          </cell>
        </row>
        <row r="1531">
          <cell r="A1531" t="str">
            <v>South Laguna</v>
          </cell>
          <cell r="B1531" t="str">
            <v>South Laguna (Laguna Beach*)</v>
          </cell>
          <cell r="C1531">
            <v>7.7499999999999999E-2</v>
          </cell>
        </row>
        <row r="1532">
          <cell r="A1532" t="str">
            <v>South Lake Tahoe</v>
          </cell>
          <cell r="B1532" t="str">
            <v>South Lake Tahoe*</v>
          </cell>
          <cell r="C1532">
            <v>8.7499999999999994E-2</v>
          </cell>
        </row>
        <row r="1533">
          <cell r="A1533" t="str">
            <v>South Pasadena</v>
          </cell>
          <cell r="B1533" t="str">
            <v>South Pasadena*</v>
          </cell>
          <cell r="C1533">
            <v>0.10249999999999999</v>
          </cell>
        </row>
        <row r="1534">
          <cell r="A1534" t="str">
            <v>South San Francisco</v>
          </cell>
          <cell r="B1534" t="str">
            <v>South San Francisco*</v>
          </cell>
          <cell r="C1534">
            <v>9.8750000000000004E-2</v>
          </cell>
        </row>
        <row r="1535">
          <cell r="A1535" t="str">
            <v>South Shore</v>
          </cell>
          <cell r="B1535" t="str">
            <v>South Shore (Alameda*)</v>
          </cell>
          <cell r="C1535">
            <v>0.1075</v>
          </cell>
        </row>
        <row r="1536">
          <cell r="A1536" t="str">
            <v>South Whittier</v>
          </cell>
          <cell r="B1536" t="str">
            <v>South Whittier</v>
          </cell>
          <cell r="C1536">
            <v>9.5000000000000001E-2</v>
          </cell>
        </row>
        <row r="1537">
          <cell r="A1537" t="str">
            <v>Spanish Flat</v>
          </cell>
          <cell r="B1537" t="str">
            <v>Spanish Flat</v>
          </cell>
          <cell r="C1537">
            <v>7.7499999999999999E-2</v>
          </cell>
        </row>
        <row r="1538">
          <cell r="A1538" t="str">
            <v>Spreckels</v>
          </cell>
          <cell r="B1538" t="str">
            <v>Spreckels</v>
          </cell>
          <cell r="C1538">
            <v>7.7499999999999999E-2</v>
          </cell>
        </row>
        <row r="1539">
          <cell r="A1539" t="str">
            <v>Spring Garden</v>
          </cell>
          <cell r="B1539" t="str">
            <v>Spring Garden</v>
          </cell>
          <cell r="C1539">
            <v>7.2499999999999995E-2</v>
          </cell>
        </row>
        <row r="1540">
          <cell r="A1540" t="str">
            <v>Spring Valley</v>
          </cell>
          <cell r="B1540" t="str">
            <v>Spring Valley</v>
          </cell>
          <cell r="C1540">
            <v>7.7499999999999999E-2</v>
          </cell>
        </row>
        <row r="1541">
          <cell r="A1541" t="str">
            <v>Springville</v>
          </cell>
          <cell r="B1541" t="str">
            <v>Springville</v>
          </cell>
          <cell r="C1541">
            <v>7.7499999999999999E-2</v>
          </cell>
        </row>
        <row r="1542">
          <cell r="A1542" t="str">
            <v>Spyrock</v>
          </cell>
          <cell r="B1542" t="str">
            <v>Spyrock</v>
          </cell>
          <cell r="C1542">
            <v>7.8750000000000001E-2</v>
          </cell>
        </row>
        <row r="1543">
          <cell r="A1543" t="str">
            <v>Squaw Valley</v>
          </cell>
          <cell r="B1543" t="str">
            <v>Squaw Valley</v>
          </cell>
          <cell r="C1543">
            <v>7.9750000000000001E-2</v>
          </cell>
        </row>
        <row r="1544">
          <cell r="A1544" t="str">
            <v>St. Helena</v>
          </cell>
          <cell r="B1544" t="str">
            <v>St. Helena*</v>
          </cell>
          <cell r="C1544">
            <v>8.2500000000000004E-2</v>
          </cell>
        </row>
        <row r="1545">
          <cell r="A1545" t="str">
            <v>Standard</v>
          </cell>
          <cell r="B1545" t="str">
            <v>Standard</v>
          </cell>
          <cell r="C1545">
            <v>7.2499999999999995E-2</v>
          </cell>
        </row>
        <row r="1546">
          <cell r="A1546" t="str">
            <v>Standish</v>
          </cell>
          <cell r="B1546" t="str">
            <v>Standish</v>
          </cell>
          <cell r="C1546">
            <v>7.2499999999999995E-2</v>
          </cell>
        </row>
        <row r="1547">
          <cell r="A1547" t="str">
            <v>Stanford</v>
          </cell>
          <cell r="B1547" t="str">
            <v>Stanford</v>
          </cell>
          <cell r="C1547">
            <v>9.1249999999999998E-2</v>
          </cell>
        </row>
        <row r="1548">
          <cell r="A1548" t="str">
            <v>Stanislaus</v>
          </cell>
          <cell r="B1548" t="str">
            <v>Stanislaus</v>
          </cell>
          <cell r="C1548">
            <v>7.2499999999999995E-2</v>
          </cell>
        </row>
        <row r="1549">
          <cell r="A1549" t="str">
            <v>Stanton</v>
          </cell>
          <cell r="B1549" t="str">
            <v>Stanton*</v>
          </cell>
          <cell r="C1549">
            <v>8.7499999999999994E-2</v>
          </cell>
        </row>
        <row r="1550">
          <cell r="A1550" t="str">
            <v>Steele Park</v>
          </cell>
          <cell r="B1550" t="str">
            <v>Steele Park</v>
          </cell>
          <cell r="C1550">
            <v>7.7499999999999999E-2</v>
          </cell>
        </row>
        <row r="1551">
          <cell r="A1551" t="str">
            <v>Stevenson Ranch</v>
          </cell>
          <cell r="B1551" t="str">
            <v>Stevenson Ranch</v>
          </cell>
          <cell r="C1551">
            <v>9.5000000000000001E-2</v>
          </cell>
        </row>
        <row r="1552">
          <cell r="A1552" t="str">
            <v>Stevinson</v>
          </cell>
          <cell r="B1552" t="str">
            <v>Stevinson</v>
          </cell>
          <cell r="C1552">
            <v>7.7499999999999999E-2</v>
          </cell>
        </row>
        <row r="1553">
          <cell r="A1553" t="str">
            <v>Stewarts Point</v>
          </cell>
          <cell r="B1553" t="str">
            <v>Stewarts Point</v>
          </cell>
          <cell r="C1553">
            <v>8.5000000000000006E-2</v>
          </cell>
        </row>
        <row r="1554">
          <cell r="A1554" t="str">
            <v>Stinson Beach</v>
          </cell>
          <cell r="B1554" t="str">
            <v>Stinson Beach</v>
          </cell>
          <cell r="C1554">
            <v>8.2500000000000004E-2</v>
          </cell>
        </row>
        <row r="1555">
          <cell r="A1555" t="str">
            <v>Stirling City</v>
          </cell>
          <cell r="B1555" t="str">
            <v>Stirling City</v>
          </cell>
          <cell r="C1555">
            <v>7.2499999999999995E-2</v>
          </cell>
        </row>
        <row r="1556">
          <cell r="A1556" t="str">
            <v>Stockton</v>
          </cell>
          <cell r="B1556" t="str">
            <v>Stockton*</v>
          </cell>
          <cell r="C1556">
            <v>0.09</v>
          </cell>
        </row>
        <row r="1557">
          <cell r="A1557" t="str">
            <v>Stonyford</v>
          </cell>
          <cell r="B1557" t="str">
            <v>Stonyford</v>
          </cell>
          <cell r="C1557">
            <v>7.2499999999999995E-2</v>
          </cell>
        </row>
        <row r="1558">
          <cell r="A1558" t="str">
            <v>Storrie</v>
          </cell>
          <cell r="B1558" t="str">
            <v>Storrie</v>
          </cell>
          <cell r="C1558">
            <v>7.2499999999999995E-2</v>
          </cell>
        </row>
        <row r="1559">
          <cell r="A1559" t="str">
            <v>Stratford</v>
          </cell>
          <cell r="B1559" t="str">
            <v>Stratford</v>
          </cell>
          <cell r="C1559">
            <v>7.2499999999999995E-2</v>
          </cell>
        </row>
        <row r="1560">
          <cell r="A1560" t="str">
            <v>Strathmore</v>
          </cell>
          <cell r="B1560" t="str">
            <v>Strathmore</v>
          </cell>
          <cell r="C1560">
            <v>7.7499999999999999E-2</v>
          </cell>
        </row>
        <row r="1561">
          <cell r="A1561" t="str">
            <v>Strawberry</v>
          </cell>
          <cell r="B1561" t="str">
            <v>Strawberry</v>
          </cell>
          <cell r="C1561">
            <v>7.2499999999999995E-2</v>
          </cell>
        </row>
        <row r="1562">
          <cell r="A1562" t="str">
            <v>Strawberry Valley</v>
          </cell>
          <cell r="B1562" t="str">
            <v>Strawberry Valley</v>
          </cell>
          <cell r="C1562">
            <v>8.2500000000000004E-2</v>
          </cell>
        </row>
        <row r="1563">
          <cell r="A1563" t="str">
            <v>Studio City</v>
          </cell>
          <cell r="B1563" t="str">
            <v>Studio City (Los Angeles*)</v>
          </cell>
          <cell r="C1563">
            <v>9.5000000000000001E-2</v>
          </cell>
        </row>
        <row r="1564">
          <cell r="A1564" t="str">
            <v>Sugarloaf</v>
          </cell>
          <cell r="B1564" t="str">
            <v>Sugarloaf</v>
          </cell>
          <cell r="C1564">
            <v>7.7499999999999999E-2</v>
          </cell>
        </row>
        <row r="1565">
          <cell r="A1565" t="str">
            <v>Suisun City</v>
          </cell>
          <cell r="B1565" t="str">
            <v>Suisun City*</v>
          </cell>
          <cell r="C1565">
            <v>8.3750000000000005E-2</v>
          </cell>
        </row>
        <row r="1566">
          <cell r="A1566" t="str">
            <v>Sulphur Springs</v>
          </cell>
          <cell r="B1566" t="str">
            <v>Sulphur Springs</v>
          </cell>
          <cell r="C1566">
            <v>9.5000000000000001E-2</v>
          </cell>
        </row>
        <row r="1567">
          <cell r="A1567" t="str">
            <v>Sultana</v>
          </cell>
          <cell r="B1567" t="str">
            <v>Sultana</v>
          </cell>
          <cell r="C1567">
            <v>7.7499999999999999E-2</v>
          </cell>
        </row>
        <row r="1568">
          <cell r="A1568" t="str">
            <v>Summerland</v>
          </cell>
          <cell r="B1568" t="str">
            <v>Summerland</v>
          </cell>
          <cell r="C1568">
            <v>7.7499999999999999E-2</v>
          </cell>
        </row>
        <row r="1569">
          <cell r="A1569" t="str">
            <v>Summit</v>
          </cell>
          <cell r="B1569" t="str">
            <v>Summit</v>
          </cell>
          <cell r="C1569">
            <v>7.7499999999999999E-2</v>
          </cell>
        </row>
        <row r="1570">
          <cell r="A1570" t="str">
            <v>Summit City</v>
          </cell>
          <cell r="B1570" t="str">
            <v>Summit City</v>
          </cell>
          <cell r="C1570">
            <v>7.2499999999999995E-2</v>
          </cell>
        </row>
        <row r="1571">
          <cell r="A1571" t="str">
            <v>Sun City</v>
          </cell>
          <cell r="B1571" t="str">
            <v>Sun City (Menifee*)</v>
          </cell>
          <cell r="C1571">
            <v>8.7499999999999994E-2</v>
          </cell>
        </row>
        <row r="1572">
          <cell r="A1572" t="str">
            <v>Sun Valley</v>
          </cell>
          <cell r="B1572" t="str">
            <v>Sun Valley (Los Angeles*)</v>
          </cell>
          <cell r="C1572">
            <v>9.5000000000000001E-2</v>
          </cell>
        </row>
        <row r="1573">
          <cell r="A1573" t="str">
            <v>Sunland</v>
          </cell>
          <cell r="B1573" t="str">
            <v>Sunland (Los Angeles*)</v>
          </cell>
          <cell r="C1573">
            <v>9.5000000000000001E-2</v>
          </cell>
        </row>
        <row r="1574">
          <cell r="A1574" t="str">
            <v>Sunnymead</v>
          </cell>
          <cell r="B1574" t="str">
            <v>Sunnymead (Moreno Valley*)</v>
          </cell>
          <cell r="C1574">
            <v>7.7499999999999999E-2</v>
          </cell>
        </row>
        <row r="1575">
          <cell r="A1575" t="str">
            <v>Sunnyside</v>
          </cell>
          <cell r="B1575" t="str">
            <v>Sunnyside</v>
          </cell>
          <cell r="C1575">
            <v>7.7499999999999999E-2</v>
          </cell>
        </row>
        <row r="1576">
          <cell r="A1576" t="str">
            <v>Sunnyvale</v>
          </cell>
          <cell r="B1576" t="str">
            <v>Sunnyvale*</v>
          </cell>
          <cell r="C1576">
            <v>9.1249999999999998E-2</v>
          </cell>
        </row>
        <row r="1577">
          <cell r="A1577" t="str">
            <v>Sunol</v>
          </cell>
          <cell r="B1577" t="str">
            <v>Sunol</v>
          </cell>
          <cell r="C1577">
            <v>0.10249999999999999</v>
          </cell>
        </row>
        <row r="1578">
          <cell r="A1578" t="str">
            <v>Sunset Beach</v>
          </cell>
          <cell r="B1578" t="str">
            <v>Sunset Beach</v>
          </cell>
          <cell r="C1578">
            <v>7.7499999999999999E-2</v>
          </cell>
        </row>
        <row r="1579">
          <cell r="A1579" t="str">
            <v>Sunset Whitney Ranch</v>
          </cell>
          <cell r="B1579" t="str">
            <v>Sunset Whitney Ranch</v>
          </cell>
          <cell r="C1579">
            <v>7.2499999999999995E-2</v>
          </cell>
        </row>
        <row r="1580">
          <cell r="A1580" t="str">
            <v>Surfside</v>
          </cell>
          <cell r="B1580" t="str">
            <v>Surfside (Seal Beach*)</v>
          </cell>
          <cell r="C1580">
            <v>8.7499999999999994E-2</v>
          </cell>
        </row>
        <row r="1581">
          <cell r="A1581" t="str">
            <v>Susanville</v>
          </cell>
          <cell r="B1581" t="str">
            <v>Susanville*</v>
          </cell>
          <cell r="C1581">
            <v>8.2500000000000004E-2</v>
          </cell>
        </row>
        <row r="1582">
          <cell r="A1582" t="str">
            <v>Sutter</v>
          </cell>
          <cell r="B1582" t="str">
            <v>Sutter</v>
          </cell>
          <cell r="C1582">
            <v>7.2499999999999995E-2</v>
          </cell>
        </row>
        <row r="1583">
          <cell r="A1583" t="str">
            <v>Sutter Creek</v>
          </cell>
          <cell r="B1583" t="str">
            <v>Sutter Creek*</v>
          </cell>
          <cell r="C1583">
            <v>7.7499999999999999E-2</v>
          </cell>
        </row>
        <row r="1584">
          <cell r="A1584" t="str">
            <v>Swall Meadows</v>
          </cell>
          <cell r="B1584" t="str">
            <v>Swall Meadows (Bishop*)</v>
          </cell>
          <cell r="C1584">
            <v>7.7499999999999999E-2</v>
          </cell>
        </row>
        <row r="1585">
          <cell r="A1585" t="str">
            <v>Sylmar</v>
          </cell>
          <cell r="B1585" t="str">
            <v>Sylmar (Los Angeles*)</v>
          </cell>
          <cell r="C1585">
            <v>9.5000000000000001E-2</v>
          </cell>
        </row>
        <row r="1586">
          <cell r="A1586" t="str">
            <v>Taft</v>
          </cell>
          <cell r="B1586" t="str">
            <v>Taft*</v>
          </cell>
          <cell r="C1586">
            <v>8.2500000000000004E-2</v>
          </cell>
        </row>
        <row r="1587">
          <cell r="A1587" t="str">
            <v>Tagus Ranch</v>
          </cell>
          <cell r="B1587" t="str">
            <v>Tagus Ranch</v>
          </cell>
          <cell r="C1587">
            <v>7.7499999999999999E-2</v>
          </cell>
        </row>
        <row r="1588">
          <cell r="A1588" t="str">
            <v>Tahoe City</v>
          </cell>
          <cell r="B1588" t="str">
            <v>Tahoe City</v>
          </cell>
          <cell r="C1588">
            <v>7.2499999999999995E-2</v>
          </cell>
        </row>
        <row r="1589">
          <cell r="A1589" t="str">
            <v>Tahoe Paradise</v>
          </cell>
          <cell r="B1589" t="str">
            <v>Tahoe Paradise</v>
          </cell>
          <cell r="C1589">
            <v>7.2499999999999995E-2</v>
          </cell>
        </row>
        <row r="1590">
          <cell r="A1590" t="str">
            <v>Tahoe Valley</v>
          </cell>
          <cell r="B1590" t="str">
            <v>Tahoe Valley</v>
          </cell>
          <cell r="C1590">
            <v>7.2499999999999995E-2</v>
          </cell>
        </row>
        <row r="1591">
          <cell r="A1591" t="str">
            <v>Tahoe Vista</v>
          </cell>
          <cell r="B1591" t="str">
            <v>Tahoe Vista</v>
          </cell>
          <cell r="C1591">
            <v>7.2499999999999995E-2</v>
          </cell>
        </row>
        <row r="1592">
          <cell r="A1592" t="str">
            <v>Tahoma</v>
          </cell>
          <cell r="B1592" t="str">
            <v>Tahoma</v>
          </cell>
          <cell r="C1592">
            <v>7.2499999999999995E-2</v>
          </cell>
        </row>
        <row r="1593">
          <cell r="A1593" t="str">
            <v>Talmage</v>
          </cell>
          <cell r="B1593" t="str">
            <v>Talmage</v>
          </cell>
          <cell r="C1593">
            <v>7.8750000000000001E-2</v>
          </cell>
        </row>
        <row r="1594">
          <cell r="A1594" t="str">
            <v>Tamal</v>
          </cell>
          <cell r="B1594" t="str">
            <v>Tamal (San Quentin)</v>
          </cell>
          <cell r="C1594">
            <v>8.2500000000000004E-2</v>
          </cell>
        </row>
        <row r="1595">
          <cell r="A1595" t="str">
            <v>Tarzana</v>
          </cell>
          <cell r="B1595" t="str">
            <v>Tarzana (Los Angeles*)</v>
          </cell>
          <cell r="C1595">
            <v>9.5000000000000001E-2</v>
          </cell>
        </row>
        <row r="1596">
          <cell r="A1596" t="str">
            <v>Taylorsville</v>
          </cell>
          <cell r="B1596" t="str">
            <v>Taylorsville</v>
          </cell>
          <cell r="C1596">
            <v>7.2499999999999995E-2</v>
          </cell>
        </row>
        <row r="1597">
          <cell r="A1597" t="str">
            <v>Tecate</v>
          </cell>
          <cell r="B1597" t="str">
            <v>Tecate</v>
          </cell>
          <cell r="C1597">
            <v>7.7499999999999999E-2</v>
          </cell>
        </row>
        <row r="1598">
          <cell r="A1598" t="str">
            <v>Tecopa</v>
          </cell>
          <cell r="B1598" t="str">
            <v>Tecopa</v>
          </cell>
          <cell r="C1598">
            <v>7.7499999999999999E-2</v>
          </cell>
        </row>
        <row r="1599">
          <cell r="A1599" t="str">
            <v>Tehachapi</v>
          </cell>
          <cell r="B1599" t="str">
            <v>Tehachapi*</v>
          </cell>
          <cell r="C1599">
            <v>7.2499999999999995E-2</v>
          </cell>
        </row>
        <row r="1600">
          <cell r="A1600" t="str">
            <v>Tehama</v>
          </cell>
          <cell r="B1600" t="str">
            <v>Tehama*</v>
          </cell>
          <cell r="C1600">
            <v>7.2499999999999995E-2</v>
          </cell>
        </row>
        <row r="1601">
          <cell r="A1601" t="str">
            <v>Temecula</v>
          </cell>
          <cell r="B1601" t="str">
            <v>Temecula*</v>
          </cell>
          <cell r="C1601">
            <v>8.7499999999999994E-2</v>
          </cell>
        </row>
        <row r="1602">
          <cell r="A1602" t="str">
            <v>Temple City</v>
          </cell>
          <cell r="B1602" t="str">
            <v>Temple City*</v>
          </cell>
          <cell r="C1602">
            <v>9.5000000000000001E-2</v>
          </cell>
        </row>
        <row r="1603">
          <cell r="A1603" t="str">
            <v>Templeton</v>
          </cell>
          <cell r="B1603" t="str">
            <v>Templeton</v>
          </cell>
          <cell r="C1603">
            <v>7.2499999999999995E-2</v>
          </cell>
        </row>
        <row r="1604">
          <cell r="A1604" t="str">
            <v>Terminal Island</v>
          </cell>
          <cell r="B1604" t="str">
            <v>Terminal Island (Los Angeles*)</v>
          </cell>
          <cell r="C1604">
            <v>9.5000000000000001E-2</v>
          </cell>
        </row>
        <row r="1605">
          <cell r="A1605" t="str">
            <v>Termo</v>
          </cell>
          <cell r="B1605" t="str">
            <v>Termo</v>
          </cell>
          <cell r="C1605">
            <v>7.2499999999999995E-2</v>
          </cell>
        </row>
        <row r="1606">
          <cell r="A1606" t="str">
            <v>Terra Bella</v>
          </cell>
          <cell r="B1606" t="str">
            <v>Terra Bella</v>
          </cell>
          <cell r="C1606">
            <v>7.7499999999999999E-2</v>
          </cell>
        </row>
        <row r="1607">
          <cell r="A1607" t="str">
            <v>Thermal</v>
          </cell>
          <cell r="B1607" t="str">
            <v>Thermal</v>
          </cell>
          <cell r="C1607">
            <v>7.7499999999999999E-2</v>
          </cell>
        </row>
        <row r="1608">
          <cell r="A1608" t="str">
            <v>Thornton</v>
          </cell>
          <cell r="B1608" t="str">
            <v>Thornton</v>
          </cell>
          <cell r="C1608">
            <v>7.7499999999999999E-2</v>
          </cell>
        </row>
        <row r="1609">
          <cell r="A1609" t="str">
            <v>Thousand Oaks</v>
          </cell>
          <cell r="B1609" t="str">
            <v>Thousand Oaks*</v>
          </cell>
          <cell r="C1609">
            <v>7.2499999999999995E-2</v>
          </cell>
        </row>
        <row r="1610">
          <cell r="A1610" t="str">
            <v>Thousand Palms</v>
          </cell>
          <cell r="B1610" t="str">
            <v>Thousand Palms</v>
          </cell>
          <cell r="C1610">
            <v>7.7499999999999999E-2</v>
          </cell>
        </row>
        <row r="1611">
          <cell r="A1611" t="str">
            <v>Three Rivers</v>
          </cell>
          <cell r="B1611" t="str">
            <v>Three Rivers</v>
          </cell>
          <cell r="C1611">
            <v>7.7499999999999999E-2</v>
          </cell>
        </row>
        <row r="1612">
          <cell r="A1612" t="str">
            <v>Tiburon</v>
          </cell>
          <cell r="B1612" t="str">
            <v>Tiburon*</v>
          </cell>
          <cell r="C1612">
            <v>8.2500000000000004E-2</v>
          </cell>
        </row>
        <row r="1613">
          <cell r="A1613" t="str">
            <v>Tierra Del Sol</v>
          </cell>
          <cell r="B1613" t="str">
            <v>Tierra Del Sol</v>
          </cell>
          <cell r="C1613">
            <v>7.7499999999999999E-2</v>
          </cell>
        </row>
        <row r="1614">
          <cell r="A1614" t="str">
            <v>Tierrasanta</v>
          </cell>
          <cell r="B1614" t="str">
            <v>Tierrasanta (San Diego*)</v>
          </cell>
          <cell r="C1614">
            <v>7.7499999999999999E-2</v>
          </cell>
        </row>
        <row r="1615">
          <cell r="A1615" t="str">
            <v>Tipton</v>
          </cell>
          <cell r="B1615" t="str">
            <v>Tipton</v>
          </cell>
          <cell r="C1615">
            <v>7.7499999999999999E-2</v>
          </cell>
        </row>
        <row r="1616">
          <cell r="A1616" t="str">
            <v>Tollhouse</v>
          </cell>
          <cell r="B1616" t="str">
            <v>Tollhouse</v>
          </cell>
          <cell r="C1616">
            <v>7.9750000000000001E-2</v>
          </cell>
        </row>
        <row r="1617">
          <cell r="A1617" t="str">
            <v>Toluca Lake</v>
          </cell>
          <cell r="B1617" t="str">
            <v>Toluca Lake (Los Angeles*)</v>
          </cell>
          <cell r="C1617">
            <v>9.5000000000000001E-2</v>
          </cell>
        </row>
        <row r="1618">
          <cell r="A1618" t="str">
            <v>Tomales</v>
          </cell>
          <cell r="B1618" t="str">
            <v>Tomales</v>
          </cell>
          <cell r="C1618">
            <v>8.2500000000000004E-2</v>
          </cell>
        </row>
        <row r="1619">
          <cell r="A1619" t="str">
            <v>Toms Place</v>
          </cell>
          <cell r="B1619" t="str">
            <v>Toms Place</v>
          </cell>
          <cell r="C1619">
            <v>7.2499999999999995E-2</v>
          </cell>
        </row>
        <row r="1620">
          <cell r="A1620" t="str">
            <v>Topanga</v>
          </cell>
          <cell r="B1620" t="str">
            <v>Topanga</v>
          </cell>
          <cell r="C1620">
            <v>9.5000000000000001E-2</v>
          </cell>
        </row>
        <row r="1621">
          <cell r="A1621" t="str">
            <v>Topanga Park</v>
          </cell>
          <cell r="B1621" t="str">
            <v>Topanga Park</v>
          </cell>
          <cell r="C1621">
            <v>9.5000000000000001E-2</v>
          </cell>
        </row>
        <row r="1622">
          <cell r="A1622" t="str">
            <v>Topaz</v>
          </cell>
          <cell r="B1622" t="str">
            <v>Topaz</v>
          </cell>
          <cell r="C1622">
            <v>7.2499999999999995E-2</v>
          </cell>
        </row>
        <row r="1623">
          <cell r="A1623" t="str">
            <v>Torrance</v>
          </cell>
          <cell r="B1623" t="str">
            <v>Torrance*</v>
          </cell>
          <cell r="C1623">
            <v>0.1</v>
          </cell>
        </row>
        <row r="1624">
          <cell r="A1624" t="str">
            <v>Town Center</v>
          </cell>
          <cell r="B1624" t="str">
            <v>Town Center</v>
          </cell>
          <cell r="C1624">
            <v>7.7499999999999999E-2</v>
          </cell>
        </row>
        <row r="1625">
          <cell r="A1625" t="str">
            <v>Trabuco Canyon</v>
          </cell>
          <cell r="B1625" t="str">
            <v>Trabuco Canyon</v>
          </cell>
          <cell r="C1625">
            <v>7.7499999999999999E-2</v>
          </cell>
        </row>
        <row r="1626">
          <cell r="A1626" t="str">
            <v>Tracy</v>
          </cell>
          <cell r="B1626" t="str">
            <v>Tracy*</v>
          </cell>
          <cell r="C1626">
            <v>8.2500000000000004E-2</v>
          </cell>
        </row>
        <row r="1627">
          <cell r="A1627" t="str">
            <v>Tranquillity</v>
          </cell>
          <cell r="B1627" t="str">
            <v>Tranquillity</v>
          </cell>
          <cell r="C1627">
            <v>7.9750000000000001E-2</v>
          </cell>
        </row>
        <row r="1628">
          <cell r="A1628" t="str">
            <v>Traver</v>
          </cell>
          <cell r="B1628" t="str">
            <v>Traver</v>
          </cell>
          <cell r="C1628">
            <v>7.7499999999999999E-2</v>
          </cell>
        </row>
        <row r="1629">
          <cell r="A1629" t="str">
            <v>Travis A.F.B.</v>
          </cell>
          <cell r="B1629" t="str">
            <v>Travis A.F.B. (Fairfield*)</v>
          </cell>
          <cell r="C1629">
            <v>8.3749999999999991E-2</v>
          </cell>
        </row>
        <row r="1630">
          <cell r="A1630" t="str">
            <v>Tres Pinos</v>
          </cell>
          <cell r="B1630" t="str">
            <v>Tres Pinos</v>
          </cell>
          <cell r="C1630">
            <v>8.2500000000000004E-2</v>
          </cell>
        </row>
        <row r="1631">
          <cell r="A1631" t="str">
            <v>Trinidad</v>
          </cell>
          <cell r="B1631" t="str">
            <v>Trinidad*</v>
          </cell>
          <cell r="C1631">
            <v>8.4999999999999992E-2</v>
          </cell>
        </row>
        <row r="1632">
          <cell r="A1632" t="str">
            <v>Trinity Center</v>
          </cell>
          <cell r="B1632" t="str">
            <v>Trinity Center</v>
          </cell>
          <cell r="C1632">
            <v>7.2499999999999995E-2</v>
          </cell>
        </row>
        <row r="1633">
          <cell r="A1633" t="str">
            <v>Trona</v>
          </cell>
          <cell r="B1633" t="str">
            <v>Trona</v>
          </cell>
          <cell r="C1633">
            <v>7.7499999999999999E-2</v>
          </cell>
        </row>
        <row r="1634">
          <cell r="A1634" t="str">
            <v>Trowbridge</v>
          </cell>
          <cell r="B1634" t="str">
            <v>Trowbridge</v>
          </cell>
          <cell r="C1634">
            <v>7.2499999999999995E-2</v>
          </cell>
        </row>
        <row r="1635">
          <cell r="A1635" t="str">
            <v>Truckee</v>
          </cell>
          <cell r="B1635" t="str">
            <v>Truckee*</v>
          </cell>
          <cell r="C1635">
            <v>8.2500000000000004E-2</v>
          </cell>
        </row>
        <row r="1636">
          <cell r="A1636" t="str">
            <v>Tujunga</v>
          </cell>
          <cell r="B1636" t="str">
            <v>Tujunga (Los Angeles*)</v>
          </cell>
          <cell r="C1636">
            <v>9.5000000000000001E-2</v>
          </cell>
        </row>
        <row r="1637">
          <cell r="A1637" t="str">
            <v>Tulare</v>
          </cell>
          <cell r="B1637" t="str">
            <v>Tulare*</v>
          </cell>
          <cell r="C1637">
            <v>8.2500000000000004E-2</v>
          </cell>
        </row>
        <row r="1638">
          <cell r="A1638" t="str">
            <v>Tulelake</v>
          </cell>
          <cell r="B1638" t="str">
            <v>Tulelake*</v>
          </cell>
          <cell r="C1638">
            <v>7.2499999999999995E-2</v>
          </cell>
        </row>
        <row r="1639">
          <cell r="A1639" t="str">
            <v>Tuolumne</v>
          </cell>
          <cell r="B1639" t="str">
            <v>Tuolumne</v>
          </cell>
          <cell r="C1639">
            <v>7.2499999999999995E-2</v>
          </cell>
        </row>
        <row r="1640">
          <cell r="A1640" t="str">
            <v>Tuolumne Meadows</v>
          </cell>
          <cell r="B1640" t="str">
            <v>Tuolumne Meadows</v>
          </cell>
          <cell r="C1640">
            <v>8.7499999999999994E-2</v>
          </cell>
        </row>
        <row r="1641">
          <cell r="A1641" t="str">
            <v>Tupman</v>
          </cell>
          <cell r="B1641" t="str">
            <v>Tupman</v>
          </cell>
          <cell r="C1641">
            <v>7.2499999999999995E-2</v>
          </cell>
        </row>
        <row r="1642">
          <cell r="A1642" t="str">
            <v>Turlock</v>
          </cell>
          <cell r="B1642" t="str">
            <v>Turlock*</v>
          </cell>
          <cell r="C1642">
            <v>8.6249999999999993E-2</v>
          </cell>
        </row>
        <row r="1643">
          <cell r="A1643" t="str">
            <v>Tustin</v>
          </cell>
          <cell r="B1643" t="str">
            <v>Tustin*</v>
          </cell>
          <cell r="C1643">
            <v>7.7499999999999999E-2</v>
          </cell>
        </row>
        <row r="1644">
          <cell r="A1644" t="str">
            <v>Twain</v>
          </cell>
          <cell r="B1644" t="str">
            <v>Twain</v>
          </cell>
          <cell r="C1644">
            <v>7.2499999999999995E-2</v>
          </cell>
        </row>
        <row r="1645">
          <cell r="A1645" t="str">
            <v>Twain Harte</v>
          </cell>
          <cell r="B1645" t="str">
            <v>Twain Harte</v>
          </cell>
          <cell r="C1645">
            <v>7.2499999999999995E-2</v>
          </cell>
        </row>
        <row r="1646">
          <cell r="A1646" t="str">
            <v>Twentynine Palms</v>
          </cell>
          <cell r="B1646" t="str">
            <v>Twentynine Palms*</v>
          </cell>
          <cell r="C1646">
            <v>7.7499999999999999E-2</v>
          </cell>
        </row>
        <row r="1647">
          <cell r="A1647" t="str">
            <v>Twin Bridges</v>
          </cell>
          <cell r="B1647" t="str">
            <v>Twin Bridges</v>
          </cell>
          <cell r="C1647">
            <v>7.2499999999999995E-2</v>
          </cell>
        </row>
        <row r="1648">
          <cell r="A1648" t="str">
            <v>Twin Peaks</v>
          </cell>
          <cell r="B1648" t="str">
            <v>Twin Peaks</v>
          </cell>
          <cell r="C1648">
            <v>7.7499999999999999E-2</v>
          </cell>
        </row>
        <row r="1649">
          <cell r="A1649" t="str">
            <v>Two Rock Coast Guard Station</v>
          </cell>
          <cell r="B1649" t="str">
            <v>Two Rock Coast Guard Station</v>
          </cell>
          <cell r="C1649">
            <v>8.5000000000000006E-2</v>
          </cell>
        </row>
        <row r="1650">
          <cell r="A1650" t="str">
            <v>U.S. Naval Postgrad School</v>
          </cell>
          <cell r="B1650" t="str">
            <v>U.S. Naval Postgrad School (Monterey*)</v>
          </cell>
          <cell r="C1650">
            <v>9.2499999999999999E-2</v>
          </cell>
        </row>
        <row r="1651">
          <cell r="A1651" t="str">
            <v>Ukiah</v>
          </cell>
          <cell r="B1651" t="str">
            <v>Ukiah*</v>
          </cell>
          <cell r="C1651">
            <v>8.8750000000000009E-2</v>
          </cell>
        </row>
        <row r="1652">
          <cell r="A1652" t="str">
            <v>Union City</v>
          </cell>
          <cell r="B1652" t="str">
            <v>Union City*</v>
          </cell>
          <cell r="C1652">
            <v>0.1075</v>
          </cell>
        </row>
        <row r="1653">
          <cell r="A1653" t="str">
            <v>Universal City</v>
          </cell>
          <cell r="B1653" t="str">
            <v>Universal City</v>
          </cell>
          <cell r="C1653">
            <v>9.5000000000000001E-2</v>
          </cell>
        </row>
        <row r="1654">
          <cell r="A1654" t="str">
            <v>University</v>
          </cell>
          <cell r="B1654" t="str">
            <v>University</v>
          </cell>
          <cell r="C1654">
            <v>7.7499999999999999E-2</v>
          </cell>
        </row>
        <row r="1655">
          <cell r="A1655" t="str">
            <v>University Park</v>
          </cell>
          <cell r="B1655" t="str">
            <v>University Park (Irvine*)</v>
          </cell>
          <cell r="C1655">
            <v>7.7499999999999999E-2</v>
          </cell>
        </row>
        <row r="1656">
          <cell r="A1656" t="str">
            <v>Upland</v>
          </cell>
          <cell r="B1656" t="str">
            <v>Upland*</v>
          </cell>
          <cell r="C1656">
            <v>7.7499999999999999E-2</v>
          </cell>
        </row>
        <row r="1657">
          <cell r="A1657" t="str">
            <v>Upper Lake/ Upper Lake Valley</v>
          </cell>
          <cell r="B1657" t="str">
            <v>Upper Lake/ Upper Lake Valley</v>
          </cell>
          <cell r="C1657">
            <v>7.2499999999999995E-2</v>
          </cell>
        </row>
        <row r="1658">
          <cell r="A1658" t="str">
            <v>Vacaville</v>
          </cell>
          <cell r="B1658" t="str">
            <v>Vacaville*</v>
          </cell>
          <cell r="C1658">
            <v>8.1249999999999989E-2</v>
          </cell>
        </row>
        <row r="1659">
          <cell r="A1659" t="str">
            <v>Val Verde Park</v>
          </cell>
          <cell r="B1659" t="str">
            <v>Val Verde Park</v>
          </cell>
          <cell r="C1659">
            <v>9.5000000000000001E-2</v>
          </cell>
        </row>
        <row r="1660">
          <cell r="A1660" t="str">
            <v>Valencia</v>
          </cell>
          <cell r="B1660" t="str">
            <v>Valencia (Santa Clarita*)</v>
          </cell>
          <cell r="C1660">
            <v>9.5000000000000001E-2</v>
          </cell>
        </row>
        <row r="1661">
          <cell r="A1661" t="str">
            <v>Valinda</v>
          </cell>
          <cell r="B1661" t="str">
            <v>Valinda</v>
          </cell>
          <cell r="C1661">
            <v>9.5000000000000001E-2</v>
          </cell>
        </row>
        <row r="1662">
          <cell r="A1662" t="str">
            <v>Vallecito</v>
          </cell>
          <cell r="B1662" t="str">
            <v>Vallecito</v>
          </cell>
          <cell r="C1662">
            <v>7.2499999999999995E-2</v>
          </cell>
        </row>
        <row r="1663">
          <cell r="A1663" t="str">
            <v>Vallejo</v>
          </cell>
          <cell r="B1663" t="str">
            <v>Vallejo*</v>
          </cell>
          <cell r="C1663">
            <v>8.3749999999999991E-2</v>
          </cell>
        </row>
        <row r="1664">
          <cell r="A1664" t="str">
            <v>Valley Center</v>
          </cell>
          <cell r="B1664" t="str">
            <v>Valley Center</v>
          </cell>
          <cell r="C1664">
            <v>7.7499999999999999E-2</v>
          </cell>
        </row>
        <row r="1665">
          <cell r="A1665" t="str">
            <v>Valley Fair</v>
          </cell>
          <cell r="B1665" t="str">
            <v>Valley Fair</v>
          </cell>
          <cell r="C1665">
            <v>9.1249999999999998E-2</v>
          </cell>
        </row>
        <row r="1666">
          <cell r="A1666" t="str">
            <v>Valley Ford</v>
          </cell>
          <cell r="B1666" t="str">
            <v>Valley Ford</v>
          </cell>
          <cell r="C1666">
            <v>8.5000000000000006E-2</v>
          </cell>
        </row>
        <row r="1667">
          <cell r="A1667" t="str">
            <v>Valley Home</v>
          </cell>
          <cell r="B1667" t="str">
            <v>Valley Home</v>
          </cell>
          <cell r="C1667">
            <v>7.8750000000000001E-2</v>
          </cell>
        </row>
        <row r="1668">
          <cell r="A1668" t="str">
            <v>Valley Springs</v>
          </cell>
          <cell r="B1668" t="str">
            <v>Valley Springs</v>
          </cell>
          <cell r="C1668">
            <v>7.2499999999999995E-2</v>
          </cell>
        </row>
        <row r="1669">
          <cell r="A1669" t="str">
            <v>Valley Village</v>
          </cell>
          <cell r="B1669" t="str">
            <v>Valley Village</v>
          </cell>
          <cell r="C1669">
            <v>9.5000000000000001E-2</v>
          </cell>
        </row>
        <row r="1670">
          <cell r="A1670" t="str">
            <v>Valyermo</v>
          </cell>
          <cell r="B1670" t="str">
            <v>Valyermo</v>
          </cell>
          <cell r="C1670">
            <v>9.5000000000000001E-2</v>
          </cell>
        </row>
        <row r="1671">
          <cell r="A1671" t="str">
            <v>Van Nuys</v>
          </cell>
          <cell r="B1671" t="str">
            <v>Van Nuys (Los Angeles*)</v>
          </cell>
          <cell r="C1671">
            <v>9.5000000000000001E-2</v>
          </cell>
        </row>
        <row r="1672">
          <cell r="A1672" t="str">
            <v>Vandenberg A.F.B</v>
          </cell>
          <cell r="B1672" t="str">
            <v>Vandenberg A.F.B</v>
          </cell>
          <cell r="C1672">
            <v>7.7499999999999999E-2</v>
          </cell>
        </row>
        <row r="1673">
          <cell r="A1673" t="str">
            <v>Vasquez Rocks</v>
          </cell>
          <cell r="B1673" t="str">
            <v>Vasquez Rocks</v>
          </cell>
          <cell r="C1673">
            <v>9.5000000000000001E-2</v>
          </cell>
        </row>
        <row r="1674">
          <cell r="A1674" t="str">
            <v>Venice</v>
          </cell>
          <cell r="B1674" t="str">
            <v>Venice (Los Angeles*)</v>
          </cell>
          <cell r="C1674">
            <v>9.5000000000000001E-2</v>
          </cell>
        </row>
        <row r="1675">
          <cell r="A1675" t="str">
            <v>Ventucopa</v>
          </cell>
          <cell r="B1675" t="str">
            <v>Ventucopa</v>
          </cell>
          <cell r="C1675">
            <v>7.7499999999999999E-2</v>
          </cell>
        </row>
        <row r="1676">
          <cell r="A1676" t="str">
            <v>Ventura</v>
          </cell>
          <cell r="B1676" t="str">
            <v>Ventura*</v>
          </cell>
          <cell r="C1676">
            <v>7.7499999999999999E-2</v>
          </cell>
        </row>
        <row r="1677">
          <cell r="A1677" t="str">
            <v>Verdugo City</v>
          </cell>
          <cell r="B1677" t="str">
            <v>Verdugo City (Glendale*)</v>
          </cell>
          <cell r="C1677">
            <v>0.10249999999999999</v>
          </cell>
        </row>
        <row r="1678">
          <cell r="A1678" t="str">
            <v>Vernalis</v>
          </cell>
          <cell r="B1678" t="str">
            <v>Vernalis</v>
          </cell>
          <cell r="C1678">
            <v>7.7499999999999999E-2</v>
          </cell>
        </row>
        <row r="1679">
          <cell r="A1679" t="str">
            <v>Vernon</v>
          </cell>
          <cell r="B1679" t="str">
            <v>Vernon*</v>
          </cell>
          <cell r="C1679">
            <v>0.10249999999999999</v>
          </cell>
        </row>
        <row r="1680">
          <cell r="A1680" t="str">
            <v>Veteran's Hospital</v>
          </cell>
          <cell r="B1680" t="str">
            <v>Veteran's Hospital (Los Angeles*)</v>
          </cell>
          <cell r="C1680">
            <v>9.5000000000000001E-2</v>
          </cell>
        </row>
        <row r="1681">
          <cell r="A1681" t="str">
            <v>Victor</v>
          </cell>
          <cell r="B1681" t="str">
            <v>Victor</v>
          </cell>
          <cell r="C1681">
            <v>7.7499999999999999E-2</v>
          </cell>
        </row>
        <row r="1682">
          <cell r="A1682" t="str">
            <v>Victorville</v>
          </cell>
          <cell r="B1682" t="str">
            <v>Victorville*</v>
          </cell>
          <cell r="C1682">
            <v>8.7499999999999994E-2</v>
          </cell>
        </row>
        <row r="1683">
          <cell r="A1683" t="str">
            <v>Vidal</v>
          </cell>
          <cell r="B1683" t="str">
            <v>Vidal</v>
          </cell>
          <cell r="C1683">
            <v>7.7499999999999999E-2</v>
          </cell>
        </row>
        <row r="1684">
          <cell r="A1684" t="str">
            <v>View Park</v>
          </cell>
          <cell r="B1684" t="str">
            <v>View Park*</v>
          </cell>
          <cell r="C1684">
            <v>9.5000000000000001E-2</v>
          </cell>
        </row>
        <row r="1685">
          <cell r="A1685" t="str">
            <v>Villa Grande</v>
          </cell>
          <cell r="B1685" t="str">
            <v>Villa Grande</v>
          </cell>
          <cell r="C1685">
            <v>8.5000000000000006E-2</v>
          </cell>
        </row>
        <row r="1686">
          <cell r="A1686" t="str">
            <v>Villa Park</v>
          </cell>
          <cell r="B1686" t="str">
            <v>Villa Park*</v>
          </cell>
          <cell r="C1686">
            <v>7.7499999999999999E-2</v>
          </cell>
        </row>
        <row r="1687">
          <cell r="A1687" t="str">
            <v>Vina</v>
          </cell>
          <cell r="B1687" t="str">
            <v>Vina</v>
          </cell>
          <cell r="C1687">
            <v>7.2499999999999995E-2</v>
          </cell>
        </row>
        <row r="1688">
          <cell r="A1688" t="str">
            <v>Vincent</v>
          </cell>
          <cell r="B1688" t="str">
            <v>Vincent</v>
          </cell>
          <cell r="C1688">
            <v>9.5000000000000001E-2</v>
          </cell>
        </row>
        <row r="1689">
          <cell r="A1689" t="str">
            <v>Vineburg</v>
          </cell>
          <cell r="B1689" t="str">
            <v>Vineburg</v>
          </cell>
          <cell r="C1689">
            <v>8.5000000000000006E-2</v>
          </cell>
        </row>
        <row r="1690">
          <cell r="A1690" t="str">
            <v>Vinton</v>
          </cell>
          <cell r="B1690" t="str">
            <v>Vinton</v>
          </cell>
          <cell r="C1690">
            <v>7.2499999999999995E-2</v>
          </cell>
        </row>
        <row r="1691">
          <cell r="A1691" t="str">
            <v>Virgilia</v>
          </cell>
          <cell r="B1691" t="str">
            <v>Virgilia</v>
          </cell>
          <cell r="C1691">
            <v>7.2499999999999995E-2</v>
          </cell>
        </row>
        <row r="1692">
          <cell r="A1692" t="str">
            <v>Visalia</v>
          </cell>
          <cell r="B1692" t="str">
            <v>Visalia*</v>
          </cell>
          <cell r="C1692">
            <v>8.5000000000000006E-2</v>
          </cell>
        </row>
        <row r="1693">
          <cell r="A1693" t="str">
            <v>Vista Park</v>
          </cell>
          <cell r="B1693" t="str">
            <v>Vista Park</v>
          </cell>
          <cell r="C1693">
            <v>7.2499999999999995E-2</v>
          </cell>
        </row>
        <row r="1694">
          <cell r="A1694" t="str">
            <v>Vista</v>
          </cell>
          <cell r="B1694" t="str">
            <v>Vista*</v>
          </cell>
          <cell r="C1694">
            <v>8.2500000000000004E-2</v>
          </cell>
        </row>
        <row r="1695">
          <cell r="A1695" t="str">
            <v>Volcano</v>
          </cell>
          <cell r="B1695" t="str">
            <v>Volcano</v>
          </cell>
          <cell r="C1695">
            <v>7.7499999999999999E-2</v>
          </cell>
        </row>
        <row r="1696">
          <cell r="A1696" t="str">
            <v>Volta</v>
          </cell>
          <cell r="B1696" t="str">
            <v>Volta</v>
          </cell>
          <cell r="C1696">
            <v>7.7499999999999999E-2</v>
          </cell>
        </row>
        <row r="1697">
          <cell r="A1697" t="str">
            <v>Wallace</v>
          </cell>
          <cell r="B1697" t="str">
            <v>Wallace</v>
          </cell>
          <cell r="C1697">
            <v>7.2499999999999995E-2</v>
          </cell>
        </row>
        <row r="1698">
          <cell r="A1698" t="str">
            <v>Walnut Creek</v>
          </cell>
          <cell r="B1698" t="str">
            <v>Walnut Creek*</v>
          </cell>
          <cell r="C1698">
            <v>8.7499999999999994E-2</v>
          </cell>
        </row>
        <row r="1699">
          <cell r="A1699" t="str">
            <v>Walnut Grove</v>
          </cell>
          <cell r="B1699" t="str">
            <v>Walnut Grove</v>
          </cell>
          <cell r="C1699">
            <v>7.7499999999999999E-2</v>
          </cell>
        </row>
        <row r="1700">
          <cell r="A1700" t="str">
            <v>Walnut Park</v>
          </cell>
          <cell r="B1700" t="str">
            <v>Walnut Park</v>
          </cell>
          <cell r="C1700">
            <v>9.5000000000000001E-2</v>
          </cell>
        </row>
        <row r="1701">
          <cell r="A1701" t="str">
            <v>Walnut</v>
          </cell>
          <cell r="B1701" t="str">
            <v>Walnut*</v>
          </cell>
          <cell r="C1701">
            <v>9.5000000000000001E-2</v>
          </cell>
        </row>
        <row r="1702">
          <cell r="A1702" t="str">
            <v>Warm Springs</v>
          </cell>
          <cell r="B1702" t="str">
            <v>Warm Springs (Fremont*)</v>
          </cell>
          <cell r="C1702">
            <v>0.10249999999999999</v>
          </cell>
        </row>
        <row r="1703">
          <cell r="A1703" t="str">
            <v>Warner Springs</v>
          </cell>
          <cell r="B1703" t="str">
            <v>Warner Springs</v>
          </cell>
          <cell r="C1703">
            <v>7.7499999999999999E-2</v>
          </cell>
        </row>
        <row r="1704">
          <cell r="A1704" t="str">
            <v>Wasco</v>
          </cell>
          <cell r="B1704" t="str">
            <v>Wasco*</v>
          </cell>
          <cell r="C1704">
            <v>8.2500000000000004E-2</v>
          </cell>
        </row>
        <row r="1705">
          <cell r="A1705" t="str">
            <v>Waterford</v>
          </cell>
          <cell r="B1705" t="str">
            <v>Waterford*</v>
          </cell>
          <cell r="C1705">
            <v>7.8750000000000001E-2</v>
          </cell>
        </row>
        <row r="1706">
          <cell r="A1706" t="str">
            <v>Watsonville</v>
          </cell>
          <cell r="B1706" t="str">
            <v>Watsonville*</v>
          </cell>
          <cell r="C1706">
            <v>9.2499999999999999E-2</v>
          </cell>
        </row>
        <row r="1707">
          <cell r="A1707" t="str">
            <v>Watts</v>
          </cell>
          <cell r="B1707" t="str">
            <v>Watts</v>
          </cell>
          <cell r="C1707">
            <v>9.5000000000000001E-2</v>
          </cell>
        </row>
        <row r="1708">
          <cell r="A1708" t="str">
            <v>Waukena</v>
          </cell>
          <cell r="B1708" t="str">
            <v>Waukena</v>
          </cell>
          <cell r="C1708">
            <v>7.7499999999999999E-2</v>
          </cell>
        </row>
        <row r="1709">
          <cell r="A1709" t="str">
            <v>Wawona</v>
          </cell>
          <cell r="B1709" t="str">
            <v>Wawona</v>
          </cell>
          <cell r="C1709">
            <v>8.7499999999999994E-2</v>
          </cell>
        </row>
        <row r="1710">
          <cell r="A1710" t="str">
            <v>Weaverville</v>
          </cell>
          <cell r="B1710" t="str">
            <v>Weaverville</v>
          </cell>
          <cell r="C1710">
            <v>7.2499999999999995E-2</v>
          </cell>
        </row>
        <row r="1711">
          <cell r="A1711" t="str">
            <v>Weed</v>
          </cell>
          <cell r="B1711" t="str">
            <v>Weed*</v>
          </cell>
          <cell r="C1711">
            <v>7.4999999999999997E-2</v>
          </cell>
        </row>
        <row r="1712">
          <cell r="A1712" t="str">
            <v>Weimar</v>
          </cell>
          <cell r="B1712" t="str">
            <v>Weimar</v>
          </cell>
          <cell r="C1712">
            <v>7.2499999999999995E-2</v>
          </cell>
        </row>
        <row r="1713">
          <cell r="A1713" t="str">
            <v>Weldon</v>
          </cell>
          <cell r="B1713" t="str">
            <v>Weldon</v>
          </cell>
          <cell r="C1713">
            <v>7.2499999999999995E-2</v>
          </cell>
        </row>
        <row r="1714">
          <cell r="A1714" t="str">
            <v>Wendel</v>
          </cell>
          <cell r="B1714" t="str">
            <v>Wendel</v>
          </cell>
          <cell r="C1714">
            <v>7.2499999999999995E-2</v>
          </cell>
        </row>
        <row r="1715">
          <cell r="A1715" t="str">
            <v>Weott</v>
          </cell>
          <cell r="B1715" t="str">
            <v>Weott</v>
          </cell>
          <cell r="C1715">
            <v>7.7499999999999999E-2</v>
          </cell>
        </row>
        <row r="1716">
          <cell r="A1716" t="str">
            <v>West Covina</v>
          </cell>
          <cell r="B1716" t="str">
            <v>West Covina*</v>
          </cell>
          <cell r="C1716">
            <v>9.5000000000000001E-2</v>
          </cell>
        </row>
        <row r="1717">
          <cell r="A1717" t="str">
            <v>West Hills</v>
          </cell>
          <cell r="B1717" t="str">
            <v>West Hills (Los Angeles*)</v>
          </cell>
          <cell r="C1717">
            <v>9.5000000000000001E-2</v>
          </cell>
        </row>
        <row r="1718">
          <cell r="A1718" t="str">
            <v>West Hollywood</v>
          </cell>
          <cell r="B1718" t="str">
            <v>West Hollywood*</v>
          </cell>
          <cell r="C1718">
            <v>0.10249999999999999</v>
          </cell>
        </row>
        <row r="1719">
          <cell r="A1719" t="str">
            <v>West Los Angeles</v>
          </cell>
          <cell r="B1719" t="str">
            <v>West Los Angeles (Los Angeles*)</v>
          </cell>
          <cell r="C1719">
            <v>9.5000000000000001E-2</v>
          </cell>
        </row>
        <row r="1720">
          <cell r="A1720" t="str">
            <v>West Point</v>
          </cell>
          <cell r="B1720" t="str">
            <v>West Point</v>
          </cell>
          <cell r="C1720">
            <v>7.2499999999999995E-2</v>
          </cell>
        </row>
        <row r="1721">
          <cell r="A1721" t="str">
            <v>West Sacramento</v>
          </cell>
          <cell r="B1721" t="str">
            <v>West Sacramento*</v>
          </cell>
          <cell r="C1721">
            <v>8.2500000000000004E-2</v>
          </cell>
        </row>
        <row r="1722">
          <cell r="A1722" t="str">
            <v>Westchester</v>
          </cell>
          <cell r="B1722" t="str">
            <v>Westchester (Los Angeles*)</v>
          </cell>
          <cell r="C1722">
            <v>9.5000000000000001E-2</v>
          </cell>
        </row>
        <row r="1723">
          <cell r="A1723" t="str">
            <v>Westend</v>
          </cell>
          <cell r="B1723" t="str">
            <v>Westend</v>
          </cell>
          <cell r="C1723">
            <v>7.7499999999999999E-2</v>
          </cell>
        </row>
        <row r="1724">
          <cell r="A1724" t="str">
            <v>Westhaven</v>
          </cell>
          <cell r="B1724" t="str">
            <v>Westhaven</v>
          </cell>
          <cell r="C1724">
            <v>7.7499999999999999E-2</v>
          </cell>
        </row>
        <row r="1725">
          <cell r="A1725" t="str">
            <v>Westlake</v>
          </cell>
          <cell r="B1725" t="str">
            <v>Westlake (Los Angeles*)</v>
          </cell>
          <cell r="C1725">
            <v>9.5000000000000001E-2</v>
          </cell>
        </row>
        <row r="1726">
          <cell r="A1726" t="str">
            <v>Westlake Village</v>
          </cell>
          <cell r="B1726" t="str">
            <v>Westlake Village (Thousand Oaks*)</v>
          </cell>
          <cell r="C1726">
            <v>7.2499999999999995E-2</v>
          </cell>
        </row>
        <row r="1727">
          <cell r="A1727" t="str">
            <v>Westlake Village</v>
          </cell>
          <cell r="B1727" t="str">
            <v>Westlake Village*</v>
          </cell>
          <cell r="C1727">
            <v>9.5000000000000001E-2</v>
          </cell>
        </row>
        <row r="1728">
          <cell r="A1728" t="str">
            <v>Westley</v>
          </cell>
          <cell r="B1728" t="str">
            <v>Westley</v>
          </cell>
          <cell r="C1728">
            <v>7.8750000000000001E-2</v>
          </cell>
        </row>
        <row r="1729">
          <cell r="A1729" t="str">
            <v>Westminster</v>
          </cell>
          <cell r="B1729" t="str">
            <v>Westminster*</v>
          </cell>
          <cell r="C1729">
            <v>7.7499999999999999E-2</v>
          </cell>
        </row>
        <row r="1730">
          <cell r="A1730" t="str">
            <v>Westmorland</v>
          </cell>
          <cell r="B1730" t="str">
            <v>Westmorland*</v>
          </cell>
          <cell r="C1730">
            <v>7.7499999999999999E-2</v>
          </cell>
        </row>
        <row r="1731">
          <cell r="A1731" t="str">
            <v>Westport</v>
          </cell>
          <cell r="B1731" t="str">
            <v>Westport</v>
          </cell>
          <cell r="C1731">
            <v>7.8750000000000001E-2</v>
          </cell>
        </row>
        <row r="1732">
          <cell r="A1732" t="str">
            <v>Westside</v>
          </cell>
          <cell r="B1732" t="str">
            <v>Westside</v>
          </cell>
          <cell r="C1732">
            <v>7.8750000000000001E-2</v>
          </cell>
        </row>
        <row r="1733">
          <cell r="A1733" t="str">
            <v>Westwood</v>
          </cell>
          <cell r="B1733" t="str">
            <v>Westwood</v>
          </cell>
          <cell r="C1733">
            <v>7.2499999999999995E-2</v>
          </cell>
        </row>
        <row r="1734">
          <cell r="A1734" t="str">
            <v>Westwood</v>
          </cell>
          <cell r="B1734" t="str">
            <v>Westwood (Los Angeles*)</v>
          </cell>
          <cell r="C1734">
            <v>9.5000000000000001E-2</v>
          </cell>
        </row>
        <row r="1735">
          <cell r="A1735" t="str">
            <v>Wheatland</v>
          </cell>
          <cell r="B1735" t="str">
            <v>Wheatland*</v>
          </cell>
          <cell r="C1735">
            <v>7.7499999999999999E-2</v>
          </cell>
        </row>
        <row r="1736">
          <cell r="A1736" t="str">
            <v>Wheeler Ridge</v>
          </cell>
          <cell r="B1736" t="str">
            <v>Wheeler Ridge</v>
          </cell>
          <cell r="C1736">
            <v>7.2499999999999995E-2</v>
          </cell>
        </row>
        <row r="1737">
          <cell r="A1737" t="str">
            <v>Whiskeytown</v>
          </cell>
          <cell r="B1737" t="str">
            <v>Whiskeytown</v>
          </cell>
          <cell r="C1737">
            <v>7.2499999999999995E-2</v>
          </cell>
        </row>
        <row r="1738">
          <cell r="A1738" t="str">
            <v>Whispering Pines</v>
          </cell>
          <cell r="B1738" t="str">
            <v>Whispering Pines</v>
          </cell>
          <cell r="C1738">
            <v>7.2499999999999995E-2</v>
          </cell>
        </row>
        <row r="1739">
          <cell r="A1739" t="str">
            <v>White Pines</v>
          </cell>
          <cell r="B1739" t="str">
            <v>White Pines</v>
          </cell>
          <cell r="C1739">
            <v>7.2499999999999995E-2</v>
          </cell>
        </row>
        <row r="1740">
          <cell r="A1740" t="str">
            <v>Whitethorn</v>
          </cell>
          <cell r="B1740" t="str">
            <v>Whitethorn</v>
          </cell>
          <cell r="C1740">
            <v>7.7499999999999999E-2</v>
          </cell>
        </row>
        <row r="1741">
          <cell r="A1741" t="str">
            <v>Whitewater</v>
          </cell>
          <cell r="B1741" t="str">
            <v>Whitewater</v>
          </cell>
          <cell r="C1741">
            <v>7.7499999999999999E-2</v>
          </cell>
        </row>
        <row r="1742">
          <cell r="A1742" t="str">
            <v>Whitlow</v>
          </cell>
          <cell r="B1742" t="str">
            <v>Whitlow</v>
          </cell>
          <cell r="C1742">
            <v>7.7499999999999999E-2</v>
          </cell>
        </row>
        <row r="1743">
          <cell r="A1743" t="str">
            <v>Whitmore</v>
          </cell>
          <cell r="B1743" t="str">
            <v>Whitmore</v>
          </cell>
          <cell r="C1743">
            <v>7.2499999999999995E-2</v>
          </cell>
        </row>
        <row r="1744">
          <cell r="A1744" t="str">
            <v>Whittier</v>
          </cell>
          <cell r="B1744" t="str">
            <v>Whittier*</v>
          </cell>
          <cell r="C1744">
            <v>0.10249999999999999</v>
          </cell>
        </row>
        <row r="1745">
          <cell r="A1745" t="str">
            <v>Wildomar</v>
          </cell>
          <cell r="B1745" t="str">
            <v>Wildomar*</v>
          </cell>
          <cell r="C1745">
            <v>8.7499999999999994E-2</v>
          </cell>
        </row>
        <row r="1746">
          <cell r="A1746" t="str">
            <v>Wildwood</v>
          </cell>
          <cell r="B1746" t="str">
            <v>Wildwood</v>
          </cell>
          <cell r="C1746">
            <v>7.2499999999999995E-2</v>
          </cell>
        </row>
        <row r="1747">
          <cell r="A1747" t="str">
            <v>Williams</v>
          </cell>
          <cell r="B1747" t="str">
            <v>Williams*</v>
          </cell>
          <cell r="C1747">
            <v>7.7499999999999999E-2</v>
          </cell>
        </row>
        <row r="1748">
          <cell r="A1748" t="str">
            <v>Willits</v>
          </cell>
          <cell r="B1748" t="str">
            <v>Willits*</v>
          </cell>
          <cell r="C1748">
            <v>9.1249999999999998E-2</v>
          </cell>
        </row>
        <row r="1749">
          <cell r="A1749" t="str">
            <v>Willow Creek</v>
          </cell>
          <cell r="B1749" t="str">
            <v>Willow Creek</v>
          </cell>
          <cell r="C1749">
            <v>7.7499999999999999E-2</v>
          </cell>
        </row>
        <row r="1750">
          <cell r="A1750" t="str">
            <v>Willow Ranch</v>
          </cell>
          <cell r="B1750" t="str">
            <v>Willow Ranch</v>
          </cell>
          <cell r="C1750">
            <v>7.2499999999999995E-2</v>
          </cell>
        </row>
        <row r="1751">
          <cell r="A1751" t="str">
            <v>Willowbrook</v>
          </cell>
          <cell r="B1751" t="str">
            <v>Willowbrook</v>
          </cell>
          <cell r="C1751">
            <v>9.5000000000000001E-2</v>
          </cell>
        </row>
        <row r="1752">
          <cell r="A1752" t="str">
            <v>Willows</v>
          </cell>
          <cell r="B1752" t="str">
            <v>Willows*</v>
          </cell>
          <cell r="C1752">
            <v>7.2499999999999995E-2</v>
          </cell>
        </row>
        <row r="1753">
          <cell r="A1753" t="str">
            <v>Wilmington</v>
          </cell>
          <cell r="B1753" t="str">
            <v>Wilmington (Los Angeles*)</v>
          </cell>
          <cell r="C1753">
            <v>9.5000000000000001E-2</v>
          </cell>
        </row>
        <row r="1754">
          <cell r="A1754" t="str">
            <v>Wilseyville</v>
          </cell>
          <cell r="B1754" t="str">
            <v>Wilseyville</v>
          </cell>
          <cell r="C1754">
            <v>7.2499999999999995E-2</v>
          </cell>
        </row>
        <row r="1755">
          <cell r="A1755" t="str">
            <v>Wilsona Gardens</v>
          </cell>
          <cell r="B1755" t="str">
            <v>Wilsona Gardens</v>
          </cell>
          <cell r="C1755">
            <v>9.5000000000000001E-2</v>
          </cell>
        </row>
        <row r="1756">
          <cell r="A1756" t="str">
            <v>Wilton</v>
          </cell>
          <cell r="B1756" t="str">
            <v>Wilton</v>
          </cell>
          <cell r="C1756">
            <v>7.7499999999999999E-2</v>
          </cell>
        </row>
        <row r="1757">
          <cell r="A1757" t="str">
            <v>Winchester</v>
          </cell>
          <cell r="B1757" t="str">
            <v>Winchester</v>
          </cell>
          <cell r="C1757">
            <v>7.7499999999999999E-2</v>
          </cell>
        </row>
        <row r="1758">
          <cell r="A1758" t="str">
            <v>Windsor Hills</v>
          </cell>
          <cell r="B1758" t="str">
            <v>Windsor Hills</v>
          </cell>
          <cell r="C1758">
            <v>9.5000000000000001E-2</v>
          </cell>
        </row>
        <row r="1759">
          <cell r="A1759" t="str">
            <v>Windsor</v>
          </cell>
          <cell r="B1759" t="str">
            <v>Windsor*</v>
          </cell>
          <cell r="C1759">
            <v>8.5000000000000006E-2</v>
          </cell>
        </row>
        <row r="1760">
          <cell r="A1760" t="str">
            <v>Winnetka</v>
          </cell>
          <cell r="B1760" t="str">
            <v>Winnetka (Los Angeles*)</v>
          </cell>
          <cell r="C1760">
            <v>9.5000000000000001E-2</v>
          </cell>
        </row>
        <row r="1761">
          <cell r="A1761" t="str">
            <v>Winterhaven</v>
          </cell>
          <cell r="B1761" t="str">
            <v>Winterhaven</v>
          </cell>
          <cell r="C1761">
            <v>7.7499999999999999E-2</v>
          </cell>
        </row>
        <row r="1762">
          <cell r="A1762" t="str">
            <v>Winters</v>
          </cell>
          <cell r="B1762" t="str">
            <v>Winters*</v>
          </cell>
          <cell r="C1762">
            <v>7.2499999999999995E-2</v>
          </cell>
        </row>
        <row r="1763">
          <cell r="A1763" t="str">
            <v>Winton</v>
          </cell>
          <cell r="B1763" t="str">
            <v>Winton</v>
          </cell>
          <cell r="C1763">
            <v>7.7499999999999999E-2</v>
          </cell>
        </row>
        <row r="1764">
          <cell r="A1764" t="str">
            <v>Wishon</v>
          </cell>
          <cell r="B1764" t="str">
            <v>Wishon</v>
          </cell>
          <cell r="C1764">
            <v>7.7499999999999999E-2</v>
          </cell>
        </row>
        <row r="1765">
          <cell r="A1765" t="str">
            <v>Witter Springs</v>
          </cell>
          <cell r="B1765" t="str">
            <v>Witter Springs</v>
          </cell>
          <cell r="C1765">
            <v>7.2499999999999995E-2</v>
          </cell>
        </row>
        <row r="1766">
          <cell r="A1766" t="str">
            <v>Wofford Heights</v>
          </cell>
          <cell r="B1766" t="str">
            <v>Wofford Heights</v>
          </cell>
          <cell r="C1766">
            <v>7.2499999999999995E-2</v>
          </cell>
        </row>
        <row r="1767">
          <cell r="A1767" t="str">
            <v>Woodacre</v>
          </cell>
          <cell r="B1767" t="str">
            <v>Woodacre</v>
          </cell>
          <cell r="C1767">
            <v>8.2500000000000004E-2</v>
          </cell>
        </row>
        <row r="1768">
          <cell r="A1768" t="str">
            <v>Woodbridge</v>
          </cell>
          <cell r="B1768" t="str">
            <v>Woodbridge</v>
          </cell>
          <cell r="C1768">
            <v>7.7499999999999999E-2</v>
          </cell>
        </row>
        <row r="1769">
          <cell r="A1769" t="str">
            <v>Woodfords</v>
          </cell>
          <cell r="B1769" t="str">
            <v>Woodfords</v>
          </cell>
          <cell r="C1769">
            <v>7.2499999999999995E-2</v>
          </cell>
        </row>
        <row r="1770">
          <cell r="A1770" t="str">
            <v>Woodlake</v>
          </cell>
          <cell r="B1770" t="str">
            <v>Woodlake*</v>
          </cell>
          <cell r="C1770">
            <v>8.7499999999999994E-2</v>
          </cell>
        </row>
        <row r="1771">
          <cell r="A1771" t="str">
            <v>Woodland Hills</v>
          </cell>
          <cell r="B1771" t="str">
            <v>Woodland Hills (Los Angeles*)</v>
          </cell>
          <cell r="C1771">
            <v>9.5000000000000001E-2</v>
          </cell>
        </row>
        <row r="1772">
          <cell r="A1772" t="str">
            <v>Woodland</v>
          </cell>
          <cell r="B1772" t="str">
            <v>Woodland*</v>
          </cell>
          <cell r="C1772">
            <v>0.08</v>
          </cell>
        </row>
        <row r="1773">
          <cell r="A1773" t="str">
            <v>Woodleaf</v>
          </cell>
          <cell r="B1773" t="str">
            <v>Woodleaf</v>
          </cell>
          <cell r="C1773">
            <v>8.2500000000000004E-2</v>
          </cell>
        </row>
        <row r="1774">
          <cell r="A1774" t="str">
            <v>Woodside</v>
          </cell>
          <cell r="B1774" t="str">
            <v>Woodside*</v>
          </cell>
          <cell r="C1774">
            <v>9.375E-2</v>
          </cell>
        </row>
        <row r="1775">
          <cell r="A1775" t="str">
            <v>Woodville</v>
          </cell>
          <cell r="B1775" t="str">
            <v>Woodville</v>
          </cell>
          <cell r="C1775">
            <v>7.7499999999999999E-2</v>
          </cell>
        </row>
        <row r="1776">
          <cell r="A1776" t="str">
            <v>Woody</v>
          </cell>
          <cell r="B1776" t="str">
            <v>Woody</v>
          </cell>
          <cell r="C1776">
            <v>7.2499999999999995E-2</v>
          </cell>
        </row>
        <row r="1777">
          <cell r="A1777" t="str">
            <v>Wrightwood</v>
          </cell>
          <cell r="B1777" t="str">
            <v>Wrightwood</v>
          </cell>
          <cell r="C1777">
            <v>7.7499999999999999E-2</v>
          </cell>
        </row>
        <row r="1778">
          <cell r="A1778" t="str">
            <v>Yankee Hill</v>
          </cell>
          <cell r="B1778" t="str">
            <v>Yankee Hill</v>
          </cell>
          <cell r="C1778">
            <v>7.2499999999999995E-2</v>
          </cell>
        </row>
        <row r="1779">
          <cell r="A1779" t="str">
            <v>Yermo</v>
          </cell>
          <cell r="B1779" t="str">
            <v>Yermo</v>
          </cell>
          <cell r="C1779">
            <v>7.7499999999999999E-2</v>
          </cell>
        </row>
        <row r="1780">
          <cell r="A1780" t="str">
            <v>Yettem</v>
          </cell>
          <cell r="B1780" t="str">
            <v>Yettem</v>
          </cell>
          <cell r="C1780">
            <v>7.7499999999999999E-2</v>
          </cell>
        </row>
        <row r="1781">
          <cell r="A1781" t="str">
            <v>Yolo</v>
          </cell>
          <cell r="B1781" t="str">
            <v>Yolo</v>
          </cell>
          <cell r="C1781">
            <v>7.2499999999999995E-2</v>
          </cell>
        </row>
        <row r="1782">
          <cell r="A1782" t="str">
            <v>Yorba Linda</v>
          </cell>
          <cell r="B1782" t="str">
            <v>Yorba Linda*</v>
          </cell>
          <cell r="C1782">
            <v>7.7499999999999999E-2</v>
          </cell>
        </row>
        <row r="1783">
          <cell r="A1783" t="str">
            <v>Yorkville</v>
          </cell>
          <cell r="B1783" t="str">
            <v>Yorkville</v>
          </cell>
          <cell r="C1783">
            <v>7.8750000000000001E-2</v>
          </cell>
        </row>
        <row r="1784">
          <cell r="A1784" t="str">
            <v>Yosemite Lodge</v>
          </cell>
          <cell r="B1784" t="str">
            <v>Yosemite Lodge</v>
          </cell>
          <cell r="C1784">
            <v>8.7499999999999994E-2</v>
          </cell>
        </row>
        <row r="1785">
          <cell r="A1785" t="str">
            <v>Yosemite National Park</v>
          </cell>
          <cell r="B1785" t="str">
            <v>Yosemite National Park</v>
          </cell>
          <cell r="C1785">
            <v>8.7499999999999994E-2</v>
          </cell>
        </row>
        <row r="1786">
          <cell r="A1786" t="str">
            <v>Yountville</v>
          </cell>
          <cell r="B1786" t="str">
            <v>Yountville*</v>
          </cell>
          <cell r="C1786">
            <v>7.7499999999999999E-2</v>
          </cell>
        </row>
        <row r="1787">
          <cell r="A1787" t="str">
            <v>Yreka</v>
          </cell>
          <cell r="B1787" t="str">
            <v>Yreka*</v>
          </cell>
          <cell r="C1787">
            <v>7.7499999999999999E-2</v>
          </cell>
        </row>
        <row r="1788">
          <cell r="A1788" t="str">
            <v>Yuba City</v>
          </cell>
          <cell r="B1788" t="str">
            <v>Yuba City*</v>
          </cell>
          <cell r="C1788">
            <v>7.2499999999999995E-2</v>
          </cell>
        </row>
        <row r="1789">
          <cell r="A1789" t="str">
            <v>Yucaipa</v>
          </cell>
          <cell r="B1789" t="str">
            <v>Yucaipa*</v>
          </cell>
          <cell r="C1789">
            <v>7.7499999999999999E-2</v>
          </cell>
        </row>
        <row r="1790">
          <cell r="A1790" t="str">
            <v>Yucca Valley</v>
          </cell>
          <cell r="B1790" t="str">
            <v>Yucca Valley*</v>
          </cell>
          <cell r="C1790">
            <v>8.7499999999999994E-2</v>
          </cell>
        </row>
        <row r="1791">
          <cell r="A1791" t="str">
            <v>Zamora</v>
          </cell>
          <cell r="B1791" t="str">
            <v>Zamora</v>
          </cell>
          <cell r="C1791">
            <v>7.2499999999999995E-2</v>
          </cell>
        </row>
        <row r="1792">
          <cell r="A1792" t="str">
            <v>Zenia</v>
          </cell>
          <cell r="B1792" t="str">
            <v>Zenia</v>
          </cell>
          <cell r="C1792">
            <v>7.2499999999999995E-2</v>
          </cell>
        </row>
        <row r="1793">
          <cell r="A1793" t="str">
            <v>Zamora</v>
          </cell>
          <cell r="B1793" t="str">
            <v>End of Worksheet</v>
          </cell>
          <cell r="C1793">
            <v>7.2499999999999995E-2</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urupavalleyrx@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934-3D93-4289-B4B7-3B8155110F02}">
  <dimension ref="A1:BN3"/>
  <sheetViews>
    <sheetView tabSelected="1" zoomScale="115" workbookViewId="0">
      <selection activeCell="E7" sqref="E7"/>
    </sheetView>
  </sheetViews>
  <sheetFormatPr defaultRowHeight="15" x14ac:dyDescent="0.25"/>
  <cols>
    <col min="1" max="1" width="4" bestFit="1" customWidth="1"/>
    <col min="2" max="2" width="11.7109375" customWidth="1"/>
    <col min="3" max="3" width="10.140625" bestFit="1" customWidth="1"/>
    <col min="4" max="4" width="8.42578125" bestFit="1" customWidth="1"/>
    <col min="5" max="5" width="14" customWidth="1"/>
    <col min="7" max="7" width="11.140625" bestFit="1" customWidth="1"/>
    <col min="8" max="8" width="10.85546875" bestFit="1" customWidth="1"/>
    <col min="9" max="9" width="10.5703125" bestFit="1" customWidth="1"/>
    <col min="10" max="10" width="11.140625" bestFit="1" customWidth="1"/>
    <col min="11" max="11" width="11" bestFit="1" customWidth="1"/>
    <col min="12" max="12" width="15.28515625" customWidth="1"/>
    <col min="13" max="13" width="14.140625" customWidth="1"/>
    <col min="14" max="14" width="11" bestFit="1" customWidth="1"/>
    <col min="15" max="15" width="13.140625" bestFit="1" customWidth="1"/>
    <col min="16" max="16" width="7.7109375" bestFit="1" customWidth="1"/>
    <col min="17" max="17" width="5.42578125" bestFit="1" customWidth="1"/>
    <col min="18" max="18" width="8.85546875" bestFit="1" customWidth="1"/>
    <col min="19" max="19" width="4.7109375" bestFit="1" customWidth="1"/>
    <col min="21" max="21" width="8.7109375" bestFit="1" customWidth="1"/>
    <col min="24" max="24" width="12.7109375" bestFit="1" customWidth="1"/>
    <col min="26" max="26" width="12" bestFit="1" customWidth="1"/>
    <col min="27" max="27" width="8" bestFit="1" customWidth="1"/>
    <col min="30" max="30" width="12.42578125" bestFit="1" customWidth="1"/>
    <col min="31" max="31" width="7.140625" bestFit="1" customWidth="1"/>
    <col min="32" max="32" width="6.7109375" bestFit="1" customWidth="1"/>
    <col min="34" max="34" width="9.140625" bestFit="1" customWidth="1"/>
    <col min="35" max="35" width="8.5703125" bestFit="1" customWidth="1"/>
    <col min="36" max="36" width="5.7109375" bestFit="1" customWidth="1"/>
    <col min="37" max="38" width="9.140625" bestFit="1" customWidth="1"/>
    <col min="39" max="39" width="8.140625" bestFit="1" customWidth="1"/>
    <col min="40" max="40" width="7.5703125" bestFit="1" customWidth="1"/>
    <col min="41" max="41" width="10.42578125" bestFit="1" customWidth="1"/>
    <col min="42" max="42" width="7.140625" bestFit="1" customWidth="1"/>
    <col min="44" max="44" width="8.7109375" bestFit="1" customWidth="1"/>
    <col min="45" max="45" width="8" bestFit="1" customWidth="1"/>
    <col min="46" max="46" width="6.7109375" bestFit="1" customWidth="1"/>
    <col min="47" max="47" width="6.5703125" bestFit="1" customWidth="1"/>
    <col min="58" max="58" width="8" bestFit="1" customWidth="1"/>
    <col min="59" max="59" width="6.42578125" bestFit="1" customWidth="1"/>
    <col min="60" max="60" width="5.42578125" bestFit="1" customWidth="1"/>
    <col min="61" max="61" width="7.140625" bestFit="1" customWidth="1"/>
    <col min="62" max="62" width="6.5703125" bestFit="1" customWidth="1"/>
    <col min="63" max="63" width="5.5703125" bestFit="1" customWidth="1"/>
    <col min="64" max="64" width="4.85546875" bestFit="1" customWidth="1"/>
    <col min="65" max="65" width="7.140625" bestFit="1" customWidth="1"/>
    <col min="66" max="66" width="5" bestFit="1" customWidth="1"/>
  </cols>
  <sheetData>
    <row r="1" spans="1:66" s="282" customFormat="1" ht="27.95" customHeight="1" x14ac:dyDescent="0.2">
      <c r="A1" s="267" t="s">
        <v>0</v>
      </c>
      <c r="B1" s="268" t="s">
        <v>1</v>
      </c>
      <c r="C1" s="266" t="s">
        <v>2</v>
      </c>
      <c r="D1" s="268" t="s">
        <v>3</v>
      </c>
      <c r="E1" s="268" t="s">
        <v>4</v>
      </c>
      <c r="F1" s="268" t="s">
        <v>5</v>
      </c>
      <c r="G1" s="269" t="s">
        <v>6</v>
      </c>
      <c r="H1" s="268" t="s">
        <v>7</v>
      </c>
      <c r="I1" s="268" t="s">
        <v>8</v>
      </c>
      <c r="J1" s="268" t="s">
        <v>9</v>
      </c>
      <c r="K1" s="268" t="s">
        <v>10</v>
      </c>
      <c r="L1" s="268" t="s">
        <v>11</v>
      </c>
      <c r="M1" s="268" t="s">
        <v>12</v>
      </c>
      <c r="N1" s="268" t="s">
        <v>13</v>
      </c>
      <c r="O1" s="268" t="s">
        <v>14</v>
      </c>
      <c r="P1" s="269" t="s">
        <v>15</v>
      </c>
      <c r="Q1" s="269" t="s">
        <v>16</v>
      </c>
      <c r="R1" s="268" t="s">
        <v>17</v>
      </c>
      <c r="S1" s="268" t="s">
        <v>18</v>
      </c>
      <c r="T1" s="270"/>
      <c r="U1" s="271" t="s">
        <v>19</v>
      </c>
      <c r="V1" s="272"/>
      <c r="W1" s="273"/>
      <c r="X1" s="274" t="s">
        <v>20</v>
      </c>
      <c r="Y1" s="275"/>
      <c r="Z1" s="268" t="s">
        <v>21</v>
      </c>
      <c r="AA1" s="276" t="s">
        <v>22</v>
      </c>
      <c r="AB1" s="276" t="s">
        <v>23</v>
      </c>
      <c r="AC1" s="277"/>
      <c r="AD1" s="268" t="s">
        <v>24</v>
      </c>
      <c r="AE1" s="277" t="s">
        <v>25</v>
      </c>
      <c r="AF1" s="278" t="s">
        <v>26</v>
      </c>
      <c r="AG1" s="279" t="s">
        <v>27</v>
      </c>
      <c r="AH1" s="266" t="s">
        <v>28</v>
      </c>
      <c r="AI1" s="276" t="s">
        <v>29</v>
      </c>
      <c r="AJ1" s="276" t="s">
        <v>30</v>
      </c>
      <c r="AK1" s="268" t="s">
        <v>31</v>
      </c>
      <c r="AL1" s="268" t="s">
        <v>32</v>
      </c>
      <c r="AM1" s="268" t="s">
        <v>33</v>
      </c>
      <c r="AN1" s="268" t="s">
        <v>34</v>
      </c>
      <c r="AO1" s="266" t="s">
        <v>35</v>
      </c>
      <c r="AP1" s="268" t="s">
        <v>36</v>
      </c>
      <c r="AQ1" s="268"/>
      <c r="AR1" s="280" t="s">
        <v>37</v>
      </c>
      <c r="AS1" s="268" t="s">
        <v>38</v>
      </c>
      <c r="AT1" s="280" t="s">
        <v>39</v>
      </c>
      <c r="AU1" s="268" t="s">
        <v>40</v>
      </c>
      <c r="AV1" s="281"/>
      <c r="AW1" s="266"/>
      <c r="AX1" s="266"/>
      <c r="AY1" s="266"/>
      <c r="AZ1" s="266"/>
      <c r="BA1" s="266"/>
      <c r="BB1" s="266"/>
      <c r="BC1" s="266"/>
      <c r="BD1" s="266"/>
      <c r="BE1" s="266"/>
      <c r="BF1" s="266" t="s">
        <v>41</v>
      </c>
      <c r="BG1" s="281" t="s">
        <v>42</v>
      </c>
      <c r="BH1" s="281" t="s">
        <v>43</v>
      </c>
      <c r="BI1" s="281" t="s">
        <v>44</v>
      </c>
      <c r="BJ1" s="281" t="s">
        <v>45</v>
      </c>
      <c r="BK1" s="281" t="s">
        <v>46</v>
      </c>
      <c r="BL1" s="281" t="s">
        <v>47</v>
      </c>
      <c r="BM1" s="281" t="s">
        <v>48</v>
      </c>
      <c r="BN1" s="281" t="s">
        <v>49</v>
      </c>
    </row>
    <row r="2" spans="1:66" ht="75" x14ac:dyDescent="0.25">
      <c r="A2">
        <v>300</v>
      </c>
      <c r="B2" s="285" t="s">
        <v>1952</v>
      </c>
      <c r="C2" s="286">
        <v>44388</v>
      </c>
      <c r="E2" s="285" t="s">
        <v>1952</v>
      </c>
      <c r="G2" s="285" t="s">
        <v>1953</v>
      </c>
      <c r="H2" s="285" t="s">
        <v>1954</v>
      </c>
      <c r="I2" s="287" t="s">
        <v>1955</v>
      </c>
      <c r="L2" s="285" t="s">
        <v>1956</v>
      </c>
      <c r="M2" s="285" t="s">
        <v>1957</v>
      </c>
      <c r="R2" t="s">
        <v>50</v>
      </c>
      <c r="S2" t="s">
        <v>51</v>
      </c>
      <c r="U2">
        <v>42975</v>
      </c>
      <c r="BF2" t="str">
        <f>TRIM(MID(H2, FIND("|",H2)+1,100))</f>
        <v>Amira</v>
      </c>
      <c r="BG2" t="str">
        <f>TRIM(LEFT(H2, FIND("|",H2)-1))</f>
        <v>Hossain</v>
      </c>
      <c r="BH2" t="s">
        <v>52</v>
      </c>
      <c r="BI2" t="s">
        <v>53</v>
      </c>
    </row>
    <row r="3" spans="1:66" x14ac:dyDescent="0.25">
      <c r="E3" t="s">
        <v>54</v>
      </c>
    </row>
  </sheetData>
  <dataValidations count="1">
    <dataValidation type="date" operator="greaterThan" allowBlank="1" showInputMessage="1" showErrorMessage="1" sqref="U1" xr:uid="{B89618D1-DF41-4C0B-8B56-5AB8BB0D45F8}">
      <formula1>36526</formula1>
    </dataValidation>
  </dataValidations>
  <hyperlinks>
    <hyperlink ref="I2" r:id="rId1" display="jurupavalleyrx@gmail.com" xr:uid="{A50F27BD-A0B9-49FA-82CC-9339687C8F6F}"/>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promptTitle="Select Yes if Reconfirmation" xr:uid="{FBDF02D5-9BC7-448B-8EA1-25AAB0A0C29D}">
          <x14:formula1>
            <xm:f>'C:\Users\Edward\Documents\Sales\Sales Activity Sheet\[2017 Sales Activity Edward.xlsm]calculationSheet'!#REF!</xm:f>
          </x14:formula1>
          <xm:sqref>T1</xm:sqref>
        </x14:dataValidation>
        <x14:dataValidation type="list" allowBlank="1" showInputMessage="1" promptTitle="Select Status Type" prompt="from drop down menu" xr:uid="{28CA17AB-7600-4F0C-AFEA-676A863E3901}">
          <x14:formula1>
            <xm:f>'C:\Users\Edward\Documents\Sales\Sales Activity Sheet\[2017 Sales Activity Edward.xlsm]calculationSheet'!#REF!</xm:f>
          </x14:formula1>
          <xm:sqref>S1</xm:sqref>
        </x14:dataValidation>
        <x14:dataValidation type="list" allowBlank="1" showInputMessage="1" promptTitle="Select Implementation Type" prompt="from drop down menu" xr:uid="{DECFDA67-707A-41B6-ACB2-5F9D73B2A201}">
          <x14:formula1>
            <xm:f>'C:\Users\Edward\Documents\Sales\Sales Activity Sheet\[2017 Sales Activity Edward.xlsm]calculationSheet'!#REF!</xm:f>
          </x14:formula1>
          <xm:sqref>R1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topLeftCell="A43" zoomScale="85" zoomScaleNormal="85" workbookViewId="0">
      <selection activeCell="E61" sqref="E61"/>
    </sheetView>
  </sheetViews>
  <sheetFormatPr defaultColWidth="53.5703125" defaultRowHeight="15" x14ac:dyDescent="0.25"/>
  <cols>
    <col min="1" max="1" width="26.42578125" customWidth="1"/>
    <col min="2" max="2" width="123.5703125" customWidth="1"/>
    <col min="3" max="3" width="15" customWidth="1"/>
    <col min="4" max="6" width="24.42578125" customWidth="1"/>
  </cols>
  <sheetData>
    <row r="1" spans="1:7" ht="15.75" x14ac:dyDescent="0.25">
      <c r="A1" s="126" t="s">
        <v>962</v>
      </c>
      <c r="B1" s="125" t="s">
        <v>93</v>
      </c>
      <c r="C1" s="125" t="s">
        <v>963</v>
      </c>
      <c r="D1" s="125" t="s">
        <v>964</v>
      </c>
      <c r="E1" s="125" t="s">
        <v>965</v>
      </c>
      <c r="F1" s="124" t="s">
        <v>966</v>
      </c>
    </row>
    <row r="2" spans="1:7" ht="15.75" x14ac:dyDescent="0.25">
      <c r="A2" s="117" t="s">
        <v>176</v>
      </c>
      <c r="B2" s="115" t="s">
        <v>967</v>
      </c>
      <c r="C2" s="120">
        <v>501.6</v>
      </c>
      <c r="D2" s="120">
        <v>90.287999999999997</v>
      </c>
      <c r="E2" s="120">
        <v>90.287999999999997</v>
      </c>
      <c r="F2" s="121">
        <v>90.287999999999997</v>
      </c>
      <c r="G2" t="str">
        <f>VLOOKUP(A2,'FL Part Num Mapping'!A:B,2, FALSE)</f>
        <v>SW-CMS1000TP</v>
      </c>
    </row>
    <row r="3" spans="1:7" ht="15.75" x14ac:dyDescent="0.25">
      <c r="A3" s="117" t="s">
        <v>181</v>
      </c>
      <c r="B3" s="115" t="s">
        <v>968</v>
      </c>
      <c r="C3" s="120">
        <v>984.2</v>
      </c>
      <c r="D3" s="120">
        <v>177.15600000000001</v>
      </c>
      <c r="E3" s="120">
        <v>177.15600000000001</v>
      </c>
      <c r="F3" s="121">
        <v>177.15600000000001</v>
      </c>
      <c r="G3" t="str">
        <f>VLOOKUP(A3,'FL Part Num Mapping'!A:B,2, FALSE)</f>
        <v>SW-CMS10CON</v>
      </c>
    </row>
    <row r="4" spans="1:7" ht="15.75" x14ac:dyDescent="0.25">
      <c r="A4" s="117" t="s">
        <v>184</v>
      </c>
      <c r="B4" s="115" t="s">
        <v>185</v>
      </c>
      <c r="C4" s="120">
        <v>197.6</v>
      </c>
      <c r="D4" s="120">
        <v>35.567999999999998</v>
      </c>
      <c r="E4" s="120">
        <v>35.567999999999998</v>
      </c>
      <c r="F4" s="121">
        <v>35.567999999999998</v>
      </c>
      <c r="G4" t="str">
        <f>VLOOKUP(A4,'FL Part Num Mapping'!A:B,2, FALSE)</f>
        <v>SW-CMS5000S</v>
      </c>
    </row>
    <row r="5" spans="1:7" ht="47.25" x14ac:dyDescent="0.25">
      <c r="A5" s="116" t="s">
        <v>217</v>
      </c>
      <c r="B5" s="115" t="s">
        <v>969</v>
      </c>
      <c r="C5" s="120">
        <v>7695</v>
      </c>
      <c r="D5" s="120">
        <v>1385.1</v>
      </c>
      <c r="E5" s="120">
        <v>1385.1</v>
      </c>
      <c r="F5" s="121">
        <v>1385.1</v>
      </c>
      <c r="G5" t="str">
        <f>VLOOKUP(A5,'FL Part Num Mapping'!A:B,2, FALSE)</f>
        <v>SW-CMS</v>
      </c>
    </row>
    <row r="6" spans="1:7" ht="31.5" x14ac:dyDescent="0.25">
      <c r="A6" s="116" t="s">
        <v>217</v>
      </c>
      <c r="B6" s="115" t="s">
        <v>970</v>
      </c>
      <c r="C6" s="120">
        <v>5000</v>
      </c>
      <c r="D6" s="120">
        <v>900</v>
      </c>
      <c r="E6" s="120">
        <v>900</v>
      </c>
      <c r="F6" s="121">
        <v>900</v>
      </c>
      <c r="G6" t="str">
        <f>VLOOKUP(A6,'FL Part Num Mapping'!A:B,2, FALSE)</f>
        <v>SW-CMS</v>
      </c>
    </row>
    <row r="7" spans="1:7" ht="15.75" x14ac:dyDescent="0.25">
      <c r="A7" s="117" t="s">
        <v>190</v>
      </c>
      <c r="B7" s="115" t="s">
        <v>191</v>
      </c>
      <c r="C7" s="120">
        <v>4936.2</v>
      </c>
      <c r="D7" s="120">
        <v>888.51599999999996</v>
      </c>
      <c r="E7" s="120">
        <v>888.51599999999996</v>
      </c>
      <c r="F7" s="121">
        <v>888.51599999999996</v>
      </c>
      <c r="G7" t="str">
        <f>VLOOKUP(A7,'FL Part Num Mapping'!A:B,2, FALSE)</f>
        <v>SW-CMSINT1</v>
      </c>
    </row>
    <row r="8" spans="1:7" ht="15.75" x14ac:dyDescent="0.25">
      <c r="A8" s="117" t="s">
        <v>193</v>
      </c>
      <c r="B8" s="115" t="s">
        <v>194</v>
      </c>
      <c r="C8" s="120">
        <v>8736.2000000000007</v>
      </c>
      <c r="D8" s="120">
        <v>1572.5160000000001</v>
      </c>
      <c r="E8" s="120">
        <v>1572.5160000000001</v>
      </c>
      <c r="F8" s="121">
        <v>1572.5160000000001</v>
      </c>
      <c r="G8" t="str">
        <f>VLOOKUP(A8,'FL Part Num Mapping'!A:B,2, FALSE)</f>
        <v>SW-CMSINT2</v>
      </c>
    </row>
    <row r="9" spans="1:7" ht="15.75" x14ac:dyDescent="0.25">
      <c r="A9" s="117" t="s">
        <v>213</v>
      </c>
      <c r="B9" s="115" t="s">
        <v>971</v>
      </c>
      <c r="C9" s="120">
        <v>4503</v>
      </c>
      <c r="D9" s="120">
        <v>810.54</v>
      </c>
      <c r="E9" s="120">
        <v>810.54</v>
      </c>
      <c r="F9" s="121">
        <v>810.54</v>
      </c>
      <c r="G9" t="str">
        <f>VLOOKUP(A9,'FL Part Num Mapping'!A:B,2, FALSE)</f>
        <v>SW-CMSLSPS</v>
      </c>
    </row>
    <row r="10" spans="1:7" ht="15.75" x14ac:dyDescent="0.25">
      <c r="A10" s="116" t="s">
        <v>241</v>
      </c>
      <c r="B10" s="115" t="s">
        <v>972</v>
      </c>
      <c r="C10" s="120">
        <v>206.14999999999998</v>
      </c>
      <c r="D10" s="120">
        <v>19.949999999999996</v>
      </c>
      <c r="E10" s="120">
        <v>19.949999999999996</v>
      </c>
      <c r="F10" s="121">
        <v>19.949999999999996</v>
      </c>
      <c r="G10" t="str">
        <f>VLOOKUP(A10,'FL Part Num Mapping'!A:B,2, FALSE)</f>
        <v>ACC-BarCode1</v>
      </c>
    </row>
    <row r="11" spans="1:7" ht="15.75" x14ac:dyDescent="0.25">
      <c r="A11" s="116" t="s">
        <v>245</v>
      </c>
      <c r="B11" s="115" t="s">
        <v>973</v>
      </c>
      <c r="C11" s="120">
        <v>382.84999999999997</v>
      </c>
      <c r="D11" s="120">
        <v>37.049999999999997</v>
      </c>
      <c r="E11" s="120">
        <v>37.049999999999997</v>
      </c>
      <c r="F11" s="121">
        <v>37.049999999999997</v>
      </c>
      <c r="G11" t="str">
        <f>VLOOKUP(A11,'FL Part Num Mapping'!A:B,2, FALSE)</f>
        <v>ACC-BarCode2</v>
      </c>
    </row>
    <row r="12" spans="1:7" ht="15.75" x14ac:dyDescent="0.25">
      <c r="A12" s="116" t="s">
        <v>269</v>
      </c>
      <c r="B12" s="115" t="s">
        <v>974</v>
      </c>
      <c r="C12" s="120">
        <v>4235.22</v>
      </c>
      <c r="D12" s="120">
        <v>409.86</v>
      </c>
      <c r="E12" s="120">
        <v>409.86</v>
      </c>
      <c r="F12" s="121">
        <v>409.86</v>
      </c>
      <c r="G12" t="str">
        <f>VLOOKUP(A12,'FL Part Num Mapping'!A:B,2, FALSE)</f>
        <v>ACC-CAB</v>
      </c>
    </row>
    <row r="13" spans="1:7" ht="15.75" x14ac:dyDescent="0.25">
      <c r="A13" s="116" t="s">
        <v>273</v>
      </c>
      <c r="B13" s="115" t="s">
        <v>975</v>
      </c>
      <c r="C13" s="120">
        <v>920.7</v>
      </c>
      <c r="D13" s="120">
        <v>89.1</v>
      </c>
      <c r="E13" s="120">
        <v>89.1</v>
      </c>
      <c r="F13" s="121">
        <v>89.1</v>
      </c>
      <c r="G13" t="str">
        <f>VLOOKUP(A13,'FL Part Num Mapping'!A:B,2, FALSE)</f>
        <v>ACC-CAB-CamBox</v>
      </c>
    </row>
    <row r="14" spans="1:7" ht="15.75" x14ac:dyDescent="0.25">
      <c r="A14" s="116" t="s">
        <v>318</v>
      </c>
      <c r="B14" s="115" t="s">
        <v>976</v>
      </c>
      <c r="C14" s="120">
        <v>1048.4199999999998</v>
      </c>
      <c r="D14" s="120">
        <v>101.45999999999998</v>
      </c>
      <c r="E14" s="120">
        <v>101.45999999999998</v>
      </c>
      <c r="F14" s="121">
        <v>101.45999999999998</v>
      </c>
      <c r="G14" t="str">
        <f>VLOOKUP(A14,'FL Part Num Mapping'!A:B,2, FALSE)</f>
        <v>ACC-DSLR</v>
      </c>
    </row>
    <row r="15" spans="1:7" ht="15.75" x14ac:dyDescent="0.25">
      <c r="A15" s="116" t="s">
        <v>335</v>
      </c>
      <c r="B15" s="115" t="s">
        <v>977</v>
      </c>
      <c r="C15" s="120">
        <v>1636.2419999999997</v>
      </c>
      <c r="D15" s="120">
        <v>158.34599999999998</v>
      </c>
      <c r="E15" s="120">
        <v>158.34599999999998</v>
      </c>
      <c r="F15" s="121">
        <v>158.34599999999998</v>
      </c>
      <c r="G15" t="str">
        <f>VLOOKUP(A15,'FL Part Num Mapping'!A:B,2, FALSE)</f>
        <v>ACC-DSLR-RF-TRI</v>
      </c>
    </row>
    <row r="16" spans="1:7" ht="31.5" x14ac:dyDescent="0.25">
      <c r="A16" s="116" t="s">
        <v>335</v>
      </c>
      <c r="B16" s="115" t="s">
        <v>978</v>
      </c>
      <c r="C16" s="120">
        <v>1811.84</v>
      </c>
      <c r="D16" s="120">
        <v>326.13119999999998</v>
      </c>
      <c r="E16" s="120">
        <v>326.13119999999998</v>
      </c>
      <c r="F16" s="121">
        <v>326.13119999999998</v>
      </c>
      <c r="G16" t="str">
        <f>VLOOKUP(A16,'FL Part Num Mapping'!A:B,2, FALSE)</f>
        <v>ACC-DSLR-RF-TRI</v>
      </c>
    </row>
    <row r="17" spans="1:7" ht="15.75" x14ac:dyDescent="0.25">
      <c r="A17" s="116" t="s">
        <v>413</v>
      </c>
      <c r="B17" s="115" t="s">
        <v>979</v>
      </c>
      <c r="C17" s="120">
        <v>1207.45</v>
      </c>
      <c r="D17" s="120">
        <v>116.85</v>
      </c>
      <c r="E17" s="120">
        <v>116.85</v>
      </c>
      <c r="F17" s="121">
        <v>116.85</v>
      </c>
      <c r="G17" t="str">
        <f>VLOOKUP(A17,'FL Part Num Mapping'!A:B,2, FALSE)</f>
        <v>HW-DT-HP</v>
      </c>
    </row>
    <row r="18" spans="1:7" ht="15.75" x14ac:dyDescent="0.25">
      <c r="A18" s="116" t="s">
        <v>471</v>
      </c>
      <c r="B18" s="115" t="s">
        <v>980</v>
      </c>
      <c r="C18" s="120">
        <v>194.36999999999998</v>
      </c>
      <c r="D18" s="120">
        <v>18.809999999999995</v>
      </c>
      <c r="E18" s="120">
        <v>18.809999999999995</v>
      </c>
      <c r="F18" s="121">
        <v>18.809999999999995</v>
      </c>
      <c r="G18" t="str">
        <f>VLOOKUP(A18,'FL Part Num Mapping'!A:B,2, FALSE)</f>
        <v>ACC-Foot-USB</v>
      </c>
    </row>
    <row r="19" spans="1:7" ht="15.75" x14ac:dyDescent="0.25">
      <c r="A19" s="116" t="s">
        <v>492</v>
      </c>
      <c r="B19" s="115" t="s">
        <v>981</v>
      </c>
      <c r="C19" s="120">
        <v>1207.45</v>
      </c>
      <c r="D19" s="120">
        <v>116.85</v>
      </c>
      <c r="E19" s="120">
        <v>116.85</v>
      </c>
      <c r="F19" s="121">
        <v>116.85</v>
      </c>
      <c r="G19" t="str">
        <f>VLOOKUP(A19,'FL Part Num Mapping'!A:B,2, FALSE)</f>
        <v>HW-LT-HP</v>
      </c>
    </row>
    <row r="20" spans="1:7" ht="15.75" x14ac:dyDescent="0.25">
      <c r="A20" s="116" t="s">
        <v>524</v>
      </c>
      <c r="B20" s="115" t="s">
        <v>982</v>
      </c>
      <c r="C20" s="120">
        <v>854.05</v>
      </c>
      <c r="D20" s="120">
        <v>82.649999999999991</v>
      </c>
      <c r="E20" s="120">
        <v>82.649999999999991</v>
      </c>
      <c r="F20" s="121">
        <v>82.649999999999991</v>
      </c>
      <c r="G20" t="str">
        <f>VLOOKUP(A20,'FL Part Num Mapping'!A:B,2, FALSE)</f>
        <v>HW-LT-STD</v>
      </c>
    </row>
    <row r="21" spans="1:7" ht="15.75" x14ac:dyDescent="0.25">
      <c r="A21" s="116" t="s">
        <v>525</v>
      </c>
      <c r="B21" s="115" t="s">
        <v>983</v>
      </c>
      <c r="C21" s="120">
        <v>88.35</v>
      </c>
      <c r="D21" s="120">
        <v>8.5499999999999989</v>
      </c>
      <c r="E21" s="120">
        <v>8.5499999999999989</v>
      </c>
      <c r="F21" s="121">
        <v>8.5499999999999989</v>
      </c>
      <c r="G21" t="str">
        <f>VLOOKUP(A21,'FL Part Num Mapping'!A:B,2, FALSE)</f>
        <v>ACC-Mag</v>
      </c>
    </row>
    <row r="22" spans="1:7" ht="15.75" x14ac:dyDescent="0.25">
      <c r="A22" s="116" t="s">
        <v>484</v>
      </c>
      <c r="B22" s="115" t="s">
        <v>984</v>
      </c>
      <c r="C22" s="120">
        <v>1059.0219999999999</v>
      </c>
      <c r="D22" s="120">
        <v>102.48599999999999</v>
      </c>
      <c r="E22" s="120">
        <v>102.48599999999999</v>
      </c>
      <c r="F22" s="121">
        <v>102.48599999999999</v>
      </c>
      <c r="G22" t="str">
        <f>VLOOKUP(A22,'FL Part Num Mapping'!A:B,2, FALSE)</f>
        <v>HW-PDA-Apple</v>
      </c>
    </row>
    <row r="23" spans="1:7" ht="15.75" x14ac:dyDescent="0.25">
      <c r="A23" s="116" t="s">
        <v>542</v>
      </c>
      <c r="B23" s="115" t="s">
        <v>985</v>
      </c>
      <c r="C23" s="120">
        <v>371.07</v>
      </c>
      <c r="D23" s="120">
        <v>35.909999999999997</v>
      </c>
      <c r="E23" s="120">
        <v>35.909999999999997</v>
      </c>
      <c r="F23" s="121">
        <v>35.909999999999997</v>
      </c>
      <c r="G23" t="str">
        <f>VLOOKUP(A23,'FL Part Num Mapping'!A:B,2, FALSE)</f>
        <v>ACC-Monitor-T</v>
      </c>
    </row>
    <row r="24" spans="1:7" ht="15.75" x14ac:dyDescent="0.25">
      <c r="A24" s="116" t="s">
        <v>550</v>
      </c>
      <c r="B24" s="115" t="s">
        <v>986</v>
      </c>
      <c r="C24" s="120">
        <v>2877.4199999999996</v>
      </c>
      <c r="D24" s="120">
        <v>278.45999999999992</v>
      </c>
      <c r="E24" s="120">
        <v>278.45999999999992</v>
      </c>
      <c r="F24" s="121">
        <v>278.45999999999992</v>
      </c>
      <c r="G24" t="str">
        <f>VLOOKUP(A24,'FL Part Num Mapping'!A:B,2, FALSE)</f>
        <v>ACC-Print-D</v>
      </c>
    </row>
    <row r="25" spans="1:7" ht="15.75" x14ac:dyDescent="0.25">
      <c r="A25" s="116" t="s">
        <v>554</v>
      </c>
      <c r="B25" s="115" t="s">
        <v>987</v>
      </c>
      <c r="C25" s="120">
        <v>3834.902173913043</v>
      </c>
      <c r="D25" s="120">
        <v>371.11956521739125</v>
      </c>
      <c r="E25" s="120">
        <v>371.11956521739125</v>
      </c>
      <c r="F25" s="121">
        <v>371.11956521739125</v>
      </c>
      <c r="G25" t="str">
        <f>VLOOKUP(A25,'FL Part Num Mapping'!A:B,2, FALSE)</f>
        <v>ACC-Print-D-HD</v>
      </c>
    </row>
    <row r="26" spans="1:7" ht="15.75" x14ac:dyDescent="0.25">
      <c r="A26" s="116" t="s">
        <v>557</v>
      </c>
      <c r="B26" s="115" t="s">
        <v>988</v>
      </c>
      <c r="C26" s="120">
        <v>942.4</v>
      </c>
      <c r="D26" s="120">
        <v>91.2</v>
      </c>
      <c r="E26" s="120">
        <v>91.2</v>
      </c>
      <c r="F26" s="121">
        <v>91.2</v>
      </c>
      <c r="G26" t="str">
        <f>VLOOKUP(A26,'FL Part Num Mapping'!A:B,2, FALSE)</f>
        <v>ACC-Print-S</v>
      </c>
    </row>
    <row r="27" spans="1:7" ht="15.75" x14ac:dyDescent="0.25">
      <c r="A27" s="116" t="s">
        <v>565</v>
      </c>
      <c r="B27" s="115" t="s">
        <v>989</v>
      </c>
      <c r="C27" s="120">
        <v>14901.699999999999</v>
      </c>
      <c r="D27" s="120">
        <v>1442.1</v>
      </c>
      <c r="E27" s="120">
        <v>1442.1</v>
      </c>
      <c r="F27" s="121">
        <v>1442.1</v>
      </c>
      <c r="G27" t="str">
        <f>VLOOKUP(A27,'FL Part Num Mapping'!A:B,2, FALSE)</f>
        <v>HW-Scan-1000</v>
      </c>
    </row>
    <row r="28" spans="1:7" ht="15.75" x14ac:dyDescent="0.25">
      <c r="A28" s="116" t="s">
        <v>570</v>
      </c>
      <c r="B28" s="115" t="s">
        <v>990</v>
      </c>
      <c r="C28" s="120">
        <v>4225.4859999999999</v>
      </c>
      <c r="D28" s="120">
        <v>408.91800000000001</v>
      </c>
      <c r="E28" s="120">
        <v>408.91800000000001</v>
      </c>
      <c r="F28" s="121">
        <v>408.91800000000001</v>
      </c>
      <c r="G28" t="str">
        <f>VLOOKUP(A28,'FL Part Num Mapping'!A:B,2, FALSE)</f>
        <v>HW-Scan-200</v>
      </c>
    </row>
    <row r="29" spans="1:7" ht="15.75" x14ac:dyDescent="0.25">
      <c r="A29" s="116" t="s">
        <v>568</v>
      </c>
      <c r="B29" s="115" t="s">
        <v>991</v>
      </c>
      <c r="C29" s="120">
        <v>11132.1</v>
      </c>
      <c r="D29" s="120">
        <v>1077.3</v>
      </c>
      <c r="E29" s="120">
        <v>1077.3</v>
      </c>
      <c r="F29" s="121">
        <v>1077.3</v>
      </c>
      <c r="G29" t="str">
        <f>VLOOKUP(A29,'FL Part Num Mapping'!A:B,2, FALSE)</f>
        <v>HW-Scan-500</v>
      </c>
    </row>
    <row r="30" spans="1:7" ht="15.75" x14ac:dyDescent="0.25">
      <c r="A30" s="116" t="s">
        <v>601</v>
      </c>
      <c r="B30" s="115" t="s">
        <v>992</v>
      </c>
      <c r="C30" s="120">
        <v>2709.4</v>
      </c>
      <c r="D30" s="120">
        <v>262.2</v>
      </c>
      <c r="E30" s="120">
        <v>262.2</v>
      </c>
      <c r="F30" s="121">
        <v>262.2</v>
      </c>
      <c r="G30" t="str">
        <f>VLOOKUP(A30,'FL Part Num Mapping'!A:B,2, FALSE)</f>
        <v>HW-Scan-RS10</v>
      </c>
    </row>
    <row r="31" spans="1:7" ht="15.75" x14ac:dyDescent="0.25">
      <c r="A31" s="116" t="s">
        <v>993</v>
      </c>
      <c r="B31" s="115" t="s">
        <v>994</v>
      </c>
      <c r="C31" s="120">
        <v>2105.0859999999998</v>
      </c>
      <c r="D31" s="120">
        <v>203.71799999999999</v>
      </c>
      <c r="E31" s="120">
        <v>203.71799999999999</v>
      </c>
      <c r="F31" s="121">
        <v>203.71799999999999</v>
      </c>
      <c r="G31" t="str">
        <f>VLOOKUP(A31,'FL Part Num Mapping'!A:B,2, FALSE)</f>
        <v>HW-Scan-i3</v>
      </c>
    </row>
    <row r="32" spans="1:7" ht="15.75" x14ac:dyDescent="0.25">
      <c r="A32" s="116" t="s">
        <v>598</v>
      </c>
      <c r="B32" s="115" t="s">
        <v>995</v>
      </c>
      <c r="C32" s="120">
        <v>3121.7</v>
      </c>
      <c r="D32" s="120">
        <v>302.09999999999997</v>
      </c>
      <c r="E32" s="120">
        <v>302.09999999999997</v>
      </c>
      <c r="F32" s="121">
        <v>302.09999999999997</v>
      </c>
      <c r="G32" t="str">
        <f>VLOOKUP(A32,'FL Part Num Mapping'!A:B,2, FALSE)</f>
        <v>HW-Scan-NEC45</v>
      </c>
    </row>
    <row r="33" spans="1:7" ht="15.75" x14ac:dyDescent="0.25">
      <c r="A33" s="116" t="s">
        <v>581</v>
      </c>
      <c r="B33" s="115" t="s">
        <v>996</v>
      </c>
      <c r="C33" s="120">
        <v>2709.4</v>
      </c>
      <c r="D33" s="120">
        <v>262.2</v>
      </c>
      <c r="E33" s="120">
        <v>262.2</v>
      </c>
      <c r="F33" s="121">
        <v>262.2</v>
      </c>
      <c r="G33" t="e">
        <f>VLOOKUP(A33,'FL Part Num Mapping'!A:B,2, FALSE)</f>
        <v>#N/A</v>
      </c>
    </row>
    <row r="34" spans="1:7" ht="15.75" x14ac:dyDescent="0.25">
      <c r="A34" s="116" t="s">
        <v>605</v>
      </c>
      <c r="B34" s="115" t="s">
        <v>997</v>
      </c>
      <c r="C34" s="120">
        <v>8835</v>
      </c>
      <c r="D34" s="120">
        <v>855</v>
      </c>
      <c r="E34" s="120">
        <v>855</v>
      </c>
      <c r="F34" s="121">
        <v>855</v>
      </c>
      <c r="G34" t="str">
        <f>VLOOKUP(A34,'FL Part Num Mapping'!A:B,2, FALSE)</f>
        <v>HW-Scan-RSF</v>
      </c>
    </row>
    <row r="35" spans="1:7" ht="15.75" x14ac:dyDescent="0.25">
      <c r="A35" s="116" t="s">
        <v>595</v>
      </c>
      <c r="B35" s="115" t="s">
        <v>998</v>
      </c>
      <c r="C35" s="120">
        <v>356.25</v>
      </c>
      <c r="D35" s="120">
        <v>34.475806451612904</v>
      </c>
      <c r="E35" s="120">
        <v>34.475806451612904</v>
      </c>
      <c r="F35" s="121">
        <v>34.475806451612904</v>
      </c>
      <c r="G35" t="str">
        <f>VLOOKUP(A35,'FL Part Num Mapping'!A:B,2, FALSE)</f>
        <v>HW-Scan-Watson</v>
      </c>
    </row>
    <row r="36" spans="1:7" ht="15.75" x14ac:dyDescent="0.25">
      <c r="A36" s="116" t="s">
        <v>999</v>
      </c>
      <c r="B36" s="115" t="s">
        <v>1000</v>
      </c>
      <c r="C36" s="120">
        <v>459.42</v>
      </c>
      <c r="D36" s="120">
        <v>44.46</v>
      </c>
      <c r="E36" s="120">
        <v>44.46</v>
      </c>
      <c r="F36" s="121">
        <v>44.46</v>
      </c>
      <c r="G36" t="str">
        <f>VLOOKUP(A36,'FL Part Num Mapping'!A:B,2, FALSE)</f>
        <v>ACC-SigPad</v>
      </c>
    </row>
    <row r="37" spans="1:7" ht="15.75" x14ac:dyDescent="0.25">
      <c r="A37" s="116" t="s">
        <v>633</v>
      </c>
      <c r="B37" s="115" t="s">
        <v>1001</v>
      </c>
      <c r="C37" s="120">
        <v>937.68799999999999</v>
      </c>
      <c r="D37" s="120">
        <v>90.744</v>
      </c>
      <c r="E37" s="120">
        <v>90.744</v>
      </c>
      <c r="F37" s="121">
        <v>90.744</v>
      </c>
      <c r="G37" t="str">
        <f>VLOOKUP(A37,'FL Part Num Mapping'!A:B,2, FALSE)</f>
        <v>SW-TOT-ADD</v>
      </c>
    </row>
    <row r="38" spans="1:7" ht="15.75" x14ac:dyDescent="0.25">
      <c r="A38" s="116" t="s">
        <v>639</v>
      </c>
      <c r="B38" s="115" t="s">
        <v>1002</v>
      </c>
      <c r="C38" s="120">
        <v>2586.8880000000004</v>
      </c>
      <c r="D38" s="120">
        <v>250.34400000000002</v>
      </c>
      <c r="E38" s="120">
        <v>250.34400000000002</v>
      </c>
      <c r="F38" s="121">
        <v>250.34400000000002</v>
      </c>
      <c r="G38" t="str">
        <f>VLOOKUP(A38,'FL Part Num Mapping'!A:B,2, FALSE)</f>
        <v>SW-LS4G-FL-APP</v>
      </c>
    </row>
    <row r="39" spans="1:7" ht="15.75" x14ac:dyDescent="0.25">
      <c r="A39" s="116" t="s">
        <v>642</v>
      </c>
      <c r="B39" s="115" t="s">
        <v>1003</v>
      </c>
      <c r="C39" s="120">
        <v>202.61600000000001</v>
      </c>
      <c r="D39" s="120">
        <v>19.608000000000001</v>
      </c>
      <c r="E39" s="120">
        <v>19.608000000000001</v>
      </c>
      <c r="F39" s="121">
        <v>19.608000000000001</v>
      </c>
      <c r="G39" t="str">
        <f>VLOOKUP(A39,'FL Part Num Mapping'!A:B,2, FALSE)</f>
        <v>SW-BC</v>
      </c>
    </row>
    <row r="40" spans="1:7" ht="15.75" x14ac:dyDescent="0.25">
      <c r="A40" s="116" t="s">
        <v>653</v>
      </c>
      <c r="B40" s="115" t="s">
        <v>1004</v>
      </c>
      <c r="C40" s="120">
        <v>4047.6080000000002</v>
      </c>
      <c r="D40" s="120">
        <v>391.70400000000001</v>
      </c>
      <c r="E40" s="120">
        <v>391.70400000000001</v>
      </c>
      <c r="F40" s="121">
        <v>391.70400000000001</v>
      </c>
      <c r="G40" t="str">
        <f>VLOOKUP(A40,'FL Part Num Mapping'!A:B,2, FALSE)</f>
        <v>SW-LS4G-FL-CRM</v>
      </c>
    </row>
    <row r="41" spans="1:7" ht="15.75" x14ac:dyDescent="0.25">
      <c r="A41" s="116" t="s">
        <v>657</v>
      </c>
      <c r="B41" s="115" t="s">
        <v>1005</v>
      </c>
      <c r="C41" s="120">
        <v>3764.8880000000004</v>
      </c>
      <c r="D41" s="120">
        <v>364.34399999999999</v>
      </c>
      <c r="E41" s="120">
        <v>364.34399999999999</v>
      </c>
      <c r="F41" s="121">
        <v>364.34399999999999</v>
      </c>
      <c r="G41" t="str">
        <f>VLOOKUP(A41,'FL Part Num Mapping'!A:B,2, FALSE)</f>
        <v>SW-DataEx-1</v>
      </c>
    </row>
    <row r="42" spans="1:7" ht="15.75" x14ac:dyDescent="0.25">
      <c r="A42" s="116" t="s">
        <v>1006</v>
      </c>
      <c r="B42" s="115" t="s">
        <v>1007</v>
      </c>
      <c r="C42" s="120">
        <v>224.2</v>
      </c>
      <c r="D42" s="120">
        <v>21.696774193548386</v>
      </c>
      <c r="E42" s="120">
        <v>21.696774193548386</v>
      </c>
      <c r="F42" s="121">
        <v>21.696774193548386</v>
      </c>
      <c r="G42" t="str">
        <f>VLOOKUP(A42,'FL Part Num Mapping'!A:B,2, FALSE)</f>
        <v>SW-DataEx-Add</v>
      </c>
    </row>
    <row r="43" spans="1:7" ht="15.75" x14ac:dyDescent="0.25">
      <c r="A43" s="116" t="s">
        <v>665</v>
      </c>
      <c r="B43" s="115" t="s">
        <v>1008</v>
      </c>
      <c r="C43" s="120">
        <v>4707.2880000000005</v>
      </c>
      <c r="D43" s="120">
        <v>455.54400000000004</v>
      </c>
      <c r="E43" s="120">
        <v>455.54400000000004</v>
      </c>
      <c r="F43" s="121">
        <v>455.54400000000004</v>
      </c>
      <c r="G43" t="str">
        <f>VLOOKUP(A43,'FL Part Num Mapping'!A:B,2, FALSE)</f>
        <v>SW-DataEx-2</v>
      </c>
    </row>
    <row r="44" spans="1:7" ht="15.75" x14ac:dyDescent="0.25">
      <c r="A44" s="117" t="s">
        <v>693</v>
      </c>
      <c r="B44" s="115" t="s">
        <v>1009</v>
      </c>
      <c r="C44" s="120">
        <v>619.99999999999989</v>
      </c>
      <c r="D44" s="120">
        <v>59.999999999999986</v>
      </c>
      <c r="E44" s="120">
        <v>59.999999999999986</v>
      </c>
      <c r="F44" s="121">
        <v>59.999999999999986</v>
      </c>
      <c r="G44" t="str">
        <f>VLOOKUP(A44,'FL Part Num Mapping'!A:B,2, FALSE)</f>
        <v>SW-LS4G-MOB</v>
      </c>
    </row>
    <row r="45" spans="1:7" ht="15.75" x14ac:dyDescent="0.25">
      <c r="A45" s="116" t="s">
        <v>677</v>
      </c>
      <c r="B45" s="115" t="s">
        <v>1010</v>
      </c>
      <c r="C45" s="120">
        <v>937.68799999999999</v>
      </c>
      <c r="D45" s="120">
        <v>90.744</v>
      </c>
      <c r="E45" s="120">
        <v>90.744</v>
      </c>
      <c r="F45" s="121">
        <v>90.744</v>
      </c>
      <c r="G45" t="str">
        <f>VLOOKUP(A45,'FL Part Num Mapping'!A:B,2, FALSE)</f>
        <v>SW-Photo</v>
      </c>
    </row>
    <row r="46" spans="1:7" ht="15.75" x14ac:dyDescent="0.25">
      <c r="A46" s="116" t="s">
        <v>1011</v>
      </c>
      <c r="B46" s="115" t="s">
        <v>1012</v>
      </c>
      <c r="C46" s="120">
        <v>3293.6880000000001</v>
      </c>
      <c r="D46" s="120">
        <v>318.74400000000003</v>
      </c>
      <c r="E46" s="120">
        <v>318.74400000000003</v>
      </c>
      <c r="F46" s="121">
        <v>318.74400000000003</v>
      </c>
      <c r="G46" t="e">
        <f>VLOOKUP(A46,'FL Part Num Mapping'!A:B,2, FALSE)</f>
        <v>#N/A</v>
      </c>
    </row>
    <row r="47" spans="1:7" ht="15.75" x14ac:dyDescent="0.25">
      <c r="A47" s="116" t="s">
        <v>685</v>
      </c>
      <c r="B47" s="115" t="s">
        <v>1013</v>
      </c>
      <c r="C47" s="120">
        <v>245.02399999999997</v>
      </c>
      <c r="D47" s="120">
        <v>31.2</v>
      </c>
      <c r="E47" s="120">
        <v>31.2</v>
      </c>
      <c r="F47" s="121">
        <v>31.2</v>
      </c>
      <c r="G47" t="str">
        <f>VLOOKUP(A47,'FL Part Num Mapping'!A:B,2, FALSE)</f>
        <v>SW-Print</v>
      </c>
    </row>
    <row r="48" spans="1:7" ht="15.75" x14ac:dyDescent="0.25">
      <c r="A48" s="116" t="s">
        <v>669</v>
      </c>
      <c r="B48" s="115" t="s">
        <v>1014</v>
      </c>
      <c r="C48" s="120">
        <v>80.103999999999999</v>
      </c>
      <c r="D48" s="120">
        <v>7.7519999999999989</v>
      </c>
      <c r="E48" s="120">
        <v>7.7519999999999989</v>
      </c>
      <c r="F48" s="121">
        <v>7.7519999999999989</v>
      </c>
      <c r="G48" t="str">
        <f>VLOOKUP(A48,'FL Part Num Mapping'!A:B,2, FALSE)</f>
        <v>SW-Signature</v>
      </c>
    </row>
    <row r="49" spans="1:7" ht="31.5" x14ac:dyDescent="0.25">
      <c r="A49" s="117" t="s">
        <v>1015</v>
      </c>
      <c r="B49" s="115" t="s">
        <v>1016</v>
      </c>
      <c r="C49" s="114">
        <v>3360</v>
      </c>
      <c r="D49" s="114">
        <v>604.79999999999995</v>
      </c>
      <c r="E49" s="114">
        <v>604.79999999999995</v>
      </c>
      <c r="F49" s="113">
        <v>604.79999999999995</v>
      </c>
      <c r="G49" t="str">
        <f>VLOOKUP(A49,'FL Part Num Mapping'!A:B,2, FALSE)</f>
        <v>LSMID-FL-NEC45</v>
      </c>
    </row>
    <row r="50" spans="1:7" ht="15.75" x14ac:dyDescent="0.25">
      <c r="A50" s="116" t="s">
        <v>812</v>
      </c>
      <c r="B50" s="115" t="s">
        <v>1017</v>
      </c>
      <c r="C50" s="120">
        <v>570</v>
      </c>
      <c r="D50" s="123"/>
      <c r="E50" s="123"/>
      <c r="F50" s="122"/>
      <c r="G50" t="str">
        <f>VLOOKUP(A50,'FL Part Num Mapping'!A:B,2, FALSE)</f>
        <v>SVCS-SHP-CAB</v>
      </c>
    </row>
    <row r="51" spans="1:7" ht="15.75" x14ac:dyDescent="0.25">
      <c r="A51" s="116" t="s">
        <v>817</v>
      </c>
      <c r="B51" s="115" t="s">
        <v>1018</v>
      </c>
      <c r="C51" s="120">
        <v>82.08</v>
      </c>
      <c r="D51" s="123"/>
      <c r="E51" s="123"/>
      <c r="F51" s="122"/>
      <c r="G51" t="str">
        <f>VLOOKUP(A51,'FL Part Num Mapping'!A:B,2, FALSE)</f>
        <v>SVCS-SHP</v>
      </c>
    </row>
    <row r="52" spans="1:7" ht="15.75" x14ac:dyDescent="0.25">
      <c r="A52" s="116" t="s">
        <v>817</v>
      </c>
      <c r="B52" s="115" t="s">
        <v>1019</v>
      </c>
      <c r="C52" s="120">
        <v>41.04</v>
      </c>
      <c r="D52" s="120"/>
      <c r="E52" s="120"/>
      <c r="F52" s="121"/>
      <c r="G52" t="str">
        <f>VLOOKUP(A52,'FL Part Num Mapping'!A:B,2, FALSE)</f>
        <v>SVCS-SHP</v>
      </c>
    </row>
    <row r="53" spans="1:7" ht="15.75" x14ac:dyDescent="0.25">
      <c r="A53" s="116" t="s">
        <v>744</v>
      </c>
      <c r="B53" s="115" t="s">
        <v>1020</v>
      </c>
      <c r="C53" s="120">
        <v>300.2</v>
      </c>
      <c r="D53" s="123"/>
      <c r="E53" s="123"/>
      <c r="F53" s="122"/>
      <c r="G53" t="str">
        <f>VLOOKUP(A53,'FL Part Num Mapping'!A:B,2, FALSE)</f>
        <v>SVCS-CFG</v>
      </c>
    </row>
    <row r="54" spans="1:7" ht="15.75" x14ac:dyDescent="0.25">
      <c r="A54" s="116" t="s">
        <v>744</v>
      </c>
      <c r="B54" s="115" t="s">
        <v>1021</v>
      </c>
      <c r="C54" s="120">
        <v>121.6</v>
      </c>
      <c r="D54" s="123"/>
      <c r="E54" s="123"/>
      <c r="F54" s="122"/>
      <c r="G54" t="str">
        <f>VLOOKUP(A54,'FL Part Num Mapping'!A:B,2, FALSE)</f>
        <v>SVCS-CFG</v>
      </c>
    </row>
    <row r="55" spans="1:7" ht="15.75" x14ac:dyDescent="0.25">
      <c r="A55" s="116" t="s">
        <v>726</v>
      </c>
      <c r="B55" s="115" t="s">
        <v>1022</v>
      </c>
      <c r="C55" s="120">
        <v>0</v>
      </c>
      <c r="D55" s="119"/>
      <c r="E55" s="119"/>
      <c r="F55" s="118"/>
      <c r="G55" t="str">
        <f>VLOOKUP(A55,'FL Part Num Mapping'!A:B,2, FALSE)</f>
        <v>SCVS-OnSite-1</v>
      </c>
    </row>
    <row r="56" spans="1:7" ht="15.75" x14ac:dyDescent="0.25">
      <c r="A56" s="116" t="s">
        <v>716</v>
      </c>
      <c r="B56" s="115" t="s">
        <v>1023</v>
      </c>
      <c r="C56" s="120">
        <v>0</v>
      </c>
      <c r="D56" s="119"/>
      <c r="E56" s="119"/>
      <c r="F56" s="118"/>
      <c r="G56" t="str">
        <f>VLOOKUP(A56,'FL Part Num Mapping'!A:B,2, FALSE)</f>
        <v>SCVS-OnSite-2</v>
      </c>
    </row>
    <row r="57" spans="1:7" ht="15.75" x14ac:dyDescent="0.25">
      <c r="A57" s="116" t="s">
        <v>726</v>
      </c>
      <c r="B57" s="115" t="s">
        <v>1024</v>
      </c>
      <c r="C57" s="120">
        <v>0</v>
      </c>
      <c r="D57" s="119"/>
      <c r="E57" s="119"/>
      <c r="F57" s="118"/>
      <c r="G57" t="str">
        <f>VLOOKUP(A57,'FL Part Num Mapping'!A:B,2, FALSE)</f>
        <v>SCVS-OnSite-1</v>
      </c>
    </row>
    <row r="58" spans="1:7" ht="31.5" x14ac:dyDescent="0.25">
      <c r="A58" s="116" t="s">
        <v>726</v>
      </c>
      <c r="B58" s="115" t="s">
        <v>1025</v>
      </c>
      <c r="C58" s="120">
        <v>1592.2</v>
      </c>
      <c r="D58" s="120">
        <v>601.23599999999999</v>
      </c>
      <c r="E58" s="120">
        <v>601.23599999999999</v>
      </c>
      <c r="F58" s="121">
        <v>601.23599999999999</v>
      </c>
      <c r="G58" t="str">
        <f>VLOOKUP(A58,'FL Part Num Mapping'!A:B,2, FALSE)</f>
        <v>SCVS-OnSite-1</v>
      </c>
    </row>
    <row r="59" spans="1:7" ht="31.5" x14ac:dyDescent="0.25">
      <c r="A59" s="116" t="s">
        <v>729</v>
      </c>
      <c r="B59" s="115" t="s">
        <v>1026</v>
      </c>
      <c r="C59" s="120">
        <v>3340.2</v>
      </c>
      <c r="D59" s="120">
        <v>601.23599999999999</v>
      </c>
      <c r="E59" s="120">
        <v>601.23599999999999</v>
      </c>
      <c r="F59" s="121">
        <v>601.23599999999999</v>
      </c>
      <c r="G59" t="str">
        <f>VLOOKUP(A59,'FL Part Num Mapping'!A:B,2, FALSE)</f>
        <v>SCVS-Onsite-CMS</v>
      </c>
    </row>
    <row r="60" spans="1:7" ht="15.75" x14ac:dyDescent="0.25">
      <c r="A60" s="116" t="s">
        <v>736</v>
      </c>
      <c r="B60" s="115" t="s">
        <v>1027</v>
      </c>
      <c r="C60" s="120">
        <v>300.2</v>
      </c>
      <c r="D60" s="119"/>
      <c r="E60" s="119"/>
      <c r="F60" s="118"/>
      <c r="G60" t="str">
        <f>VLOOKUP(A60,'FL Part Num Mapping'!A:B,2, FALSE)</f>
        <v>SVCS-Train-RM</v>
      </c>
    </row>
    <row r="61" spans="1:7" ht="63" x14ac:dyDescent="0.25">
      <c r="A61" s="117" t="s">
        <v>844</v>
      </c>
      <c r="B61" s="115" t="s">
        <v>1028</v>
      </c>
      <c r="C61" s="114">
        <v>21203.276842105261</v>
      </c>
      <c r="D61" s="114">
        <v>2806.3160526315787</v>
      </c>
      <c r="E61" s="114">
        <v>2806.3160526315787</v>
      </c>
      <c r="F61" s="113">
        <v>2806.3160526315787</v>
      </c>
      <c r="G61" t="str">
        <f>VLOOKUP(A61,'FL Part Num Mapping'!A:B,2, FALSE)</f>
        <v>LS4G-FL-1000-DT</v>
      </c>
    </row>
    <row r="62" spans="1:7" ht="47.25" x14ac:dyDescent="0.25">
      <c r="A62" s="116" t="s">
        <v>835</v>
      </c>
      <c r="B62" s="115" t="s">
        <v>1029</v>
      </c>
      <c r="C62" s="114">
        <v>3947.3157894736801</v>
      </c>
      <c r="D62" s="114">
        <v>1246.5207756232701</v>
      </c>
      <c r="E62" s="114">
        <v>1246.5207756232683</v>
      </c>
      <c r="F62" s="113">
        <v>1246.5207756232701</v>
      </c>
      <c r="G62" t="str">
        <f>VLOOKUP(A62,'FL Part Num Mapping'!A:B,2, FALSE)</f>
        <v>LS4G-FL-2F-DT</v>
      </c>
    </row>
    <row r="63" spans="1:7" ht="47.25" x14ac:dyDescent="0.25">
      <c r="A63" s="116" t="s">
        <v>838</v>
      </c>
      <c r="B63" s="115" t="s">
        <v>1030</v>
      </c>
      <c r="C63" s="114">
        <v>3859.894736842105</v>
      </c>
      <c r="D63" s="114">
        <v>914.18559556786693</v>
      </c>
      <c r="E63" s="114">
        <v>914.18559556786693</v>
      </c>
      <c r="F63" s="113">
        <v>914.18559556786693</v>
      </c>
      <c r="G63" t="str">
        <f>VLOOKUP(A63,'FL Part Num Mapping'!A:B,2, FALSE)</f>
        <v>LS4G-FL-2F-LT</v>
      </c>
    </row>
    <row r="64" spans="1:7" ht="63" x14ac:dyDescent="0.25">
      <c r="A64" s="117" t="s">
        <v>1031</v>
      </c>
      <c r="B64" s="115" t="s">
        <v>1032</v>
      </c>
      <c r="C64" s="114">
        <v>23599.865263157892</v>
      </c>
      <c r="D64" s="114">
        <v>3123.511578947368</v>
      </c>
      <c r="E64" s="114">
        <v>3123.511578947368</v>
      </c>
      <c r="F64" s="113">
        <v>3123.511578947368</v>
      </c>
      <c r="G64" t="str">
        <f>VLOOKUP(A64,'FL Part Num Mapping'!A:B,2, FALSE)</f>
        <v>LS4G-FL-500-CAB</v>
      </c>
    </row>
    <row r="65" spans="1:7" ht="63" x14ac:dyDescent="0.25">
      <c r="A65" s="117" t="s">
        <v>850</v>
      </c>
      <c r="B65" s="115" t="s">
        <v>1033</v>
      </c>
      <c r="C65" s="114">
        <v>18948.539999999997</v>
      </c>
      <c r="D65" s="114">
        <v>2507.8949999999995</v>
      </c>
      <c r="E65" s="114">
        <v>2507.8949999999995</v>
      </c>
      <c r="F65" s="113">
        <v>2507.8949999999995</v>
      </c>
      <c r="G65" t="str">
        <f>VLOOKUP(A65,'FL Part Num Mapping'!A:B,2, FALSE)</f>
        <v>LS4G-FL-500-DT</v>
      </c>
    </row>
    <row r="66" spans="1:7" ht="47.25" x14ac:dyDescent="0.25">
      <c r="A66" s="116" t="s">
        <v>1034</v>
      </c>
      <c r="B66" s="115" t="s">
        <v>1035</v>
      </c>
      <c r="C66" s="114">
        <v>4768.9473684210516</v>
      </c>
      <c r="D66" s="114">
        <v>631.18421052631572</v>
      </c>
      <c r="E66" s="114">
        <v>631.18421052631572</v>
      </c>
      <c r="F66" s="113">
        <v>631.18421052631572</v>
      </c>
      <c r="G66" t="str">
        <f>VLOOKUP(A66,'FL Part Num Mapping'!A:B,2, FALSE)</f>
        <v>LS4G-FL-I3-DT</v>
      </c>
    </row>
    <row r="67" spans="1:7" ht="47.25" x14ac:dyDescent="0.25">
      <c r="A67" s="116" t="s">
        <v>1036</v>
      </c>
      <c r="B67" s="115" t="s">
        <v>1037</v>
      </c>
      <c r="C67" s="114">
        <v>6433.1578947368416</v>
      </c>
      <c r="D67" s="114">
        <v>851.4473684210526</v>
      </c>
      <c r="E67" s="114">
        <v>851.4473684210526</v>
      </c>
      <c r="F67" s="113">
        <v>851.4473684210526</v>
      </c>
      <c r="G67" t="str">
        <f>VLOOKUP(A67,'FL Part Num Mapping'!A:B,2, FALSE)</f>
        <v>LS4G-FL-RS10-DT</v>
      </c>
    </row>
    <row r="68" spans="1:7" ht="47.25" x14ac:dyDescent="0.25">
      <c r="A68" s="116" t="s">
        <v>1038</v>
      </c>
      <c r="B68" s="115" t="s">
        <v>1039</v>
      </c>
      <c r="C68" s="114">
        <v>8430.2105263157882</v>
      </c>
      <c r="D68" s="114">
        <v>1115.7631578947369</v>
      </c>
      <c r="E68" s="114">
        <v>1115.7631578947369</v>
      </c>
      <c r="F68" s="113">
        <v>1115.7631578947369</v>
      </c>
      <c r="G68" t="str">
        <f>VLOOKUP(A68,'FL Part Num Mapping'!A:B,2, FALSE)</f>
        <v>LS4G-FL-200-DT</v>
      </c>
    </row>
    <row r="69" spans="1:7" ht="47.25" x14ac:dyDescent="0.25">
      <c r="A69" s="116" t="s">
        <v>1040</v>
      </c>
      <c r="B69" s="115" t="s">
        <v>1041</v>
      </c>
      <c r="C69" s="114">
        <v>12965.22</v>
      </c>
      <c r="D69" s="114">
        <v>1715.9849999999999</v>
      </c>
      <c r="E69" s="114">
        <v>1715.9849999999999</v>
      </c>
      <c r="F69" s="113">
        <v>1715.9849999999999</v>
      </c>
      <c r="G69" t="str">
        <f>VLOOKUP(A69,'FL Part Num Mapping'!A:B,2, FALSE)</f>
        <v>LS4G-FL-200-CAB</v>
      </c>
    </row>
    <row r="70" spans="1:7" ht="47.25" x14ac:dyDescent="0.25">
      <c r="A70" s="116" t="s">
        <v>862</v>
      </c>
      <c r="B70" s="115" t="s">
        <v>1042</v>
      </c>
      <c r="C70" s="114">
        <v>6601.3684210526308</v>
      </c>
      <c r="D70" s="114">
        <v>873.71052631578937</v>
      </c>
      <c r="E70" s="114">
        <v>873.71052631578937</v>
      </c>
      <c r="F70" s="113">
        <v>873.71052631578937</v>
      </c>
      <c r="G70" t="str">
        <f>VLOOKUP(A70,'FL Part Num Mapping'!A:B,2, FALSE)</f>
        <v>LS4G-FL-PAT-DT</v>
      </c>
    </row>
    <row r="71" spans="1:7" ht="63.75" thickBot="1" x14ac:dyDescent="0.3">
      <c r="A71" s="112" t="s">
        <v>853</v>
      </c>
      <c r="B71" s="111" t="s">
        <v>1043</v>
      </c>
      <c r="C71" s="110">
        <v>15109.1715789474</v>
      </c>
      <c r="D71" s="110">
        <v>1602.6844736842106</v>
      </c>
      <c r="E71" s="110">
        <v>1602.6844736842106</v>
      </c>
      <c r="F71" s="109">
        <v>1602.6844736842106</v>
      </c>
      <c r="G71" t="str">
        <f>VLOOKUP(A71,'FL Part Num Mapping'!A:B,2, FALSE)</f>
        <v>LS4G-FL-RSF-DT</v>
      </c>
    </row>
  </sheetData>
  <sortState xmlns:xlrd2="http://schemas.microsoft.com/office/spreadsheetml/2017/richdata2" ref="A2:F71">
    <sortCondition ref="A2:A7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EU71"/>
  <sheetViews>
    <sheetView topLeftCell="A66" zoomScaleNormal="100" workbookViewId="0">
      <selection activeCell="B70" sqref="B70"/>
    </sheetView>
  </sheetViews>
  <sheetFormatPr defaultColWidth="9.140625" defaultRowHeight="15" x14ac:dyDescent="0.25"/>
  <cols>
    <col min="1" max="1" width="23.85546875" style="224" bestFit="1" customWidth="1"/>
    <col min="2" max="2" width="21.42578125" style="212" bestFit="1" customWidth="1"/>
    <col min="3" max="3" width="126.42578125" customWidth="1"/>
  </cols>
  <sheetData>
    <row r="1" spans="1:3" x14ac:dyDescent="0.25">
      <c r="A1" s="205" t="s">
        <v>1044</v>
      </c>
      <c r="B1" s="205" t="s">
        <v>92</v>
      </c>
      <c r="C1" s="205" t="s">
        <v>93</v>
      </c>
    </row>
    <row r="2" spans="1:3" x14ac:dyDescent="0.25">
      <c r="A2" s="215" t="s">
        <v>176</v>
      </c>
      <c r="B2" s="214" t="s">
        <v>1045</v>
      </c>
      <c r="C2" s="211" t="s">
        <v>177</v>
      </c>
    </row>
    <row r="3" spans="1:3" x14ac:dyDescent="0.25">
      <c r="A3" s="215" t="s">
        <v>181</v>
      </c>
      <c r="B3" s="214" t="s">
        <v>1046</v>
      </c>
      <c r="C3" s="211" t="s">
        <v>182</v>
      </c>
    </row>
    <row r="4" spans="1:3" x14ac:dyDescent="0.25">
      <c r="A4" s="215" t="s">
        <v>184</v>
      </c>
      <c r="B4" s="214" t="s">
        <v>1047</v>
      </c>
      <c r="C4" s="211" t="s">
        <v>185</v>
      </c>
    </row>
    <row r="5" spans="1:3" ht="42.75" x14ac:dyDescent="0.25">
      <c r="A5" s="213" t="s">
        <v>217</v>
      </c>
      <c r="B5" s="214" t="s">
        <v>1048</v>
      </c>
      <c r="C5" s="211" t="s">
        <v>1049</v>
      </c>
    </row>
    <row r="6" spans="1:3" ht="28.5" x14ac:dyDescent="0.25">
      <c r="A6" s="213" t="s">
        <v>217</v>
      </c>
      <c r="B6" s="214" t="s">
        <v>1048</v>
      </c>
      <c r="C6" s="211" t="s">
        <v>1050</v>
      </c>
    </row>
    <row r="7" spans="1:3" x14ac:dyDescent="0.25">
      <c r="A7" s="215" t="s">
        <v>190</v>
      </c>
      <c r="B7" s="214" t="s">
        <v>1051</v>
      </c>
      <c r="C7" s="211" t="s">
        <v>191</v>
      </c>
    </row>
    <row r="8" spans="1:3" x14ac:dyDescent="0.25">
      <c r="A8" s="215" t="s">
        <v>193</v>
      </c>
      <c r="B8" s="214" t="s">
        <v>1052</v>
      </c>
      <c r="C8" s="211" t="s">
        <v>194</v>
      </c>
    </row>
    <row r="9" spans="1:3" x14ac:dyDescent="0.25">
      <c r="A9" s="215" t="s">
        <v>213</v>
      </c>
      <c r="B9" s="214" t="s">
        <v>1053</v>
      </c>
      <c r="C9" s="211" t="s">
        <v>214</v>
      </c>
    </row>
    <row r="10" spans="1:3" x14ac:dyDescent="0.25">
      <c r="A10" s="213" t="s">
        <v>241</v>
      </c>
      <c r="B10" s="214" t="s">
        <v>1054</v>
      </c>
      <c r="C10" s="207" t="s">
        <v>972</v>
      </c>
    </row>
    <row r="11" spans="1:3" s="212" customFormat="1" ht="14.25" x14ac:dyDescent="0.2">
      <c r="A11" s="213" t="s">
        <v>245</v>
      </c>
      <c r="B11" s="214" t="s">
        <v>1055</v>
      </c>
      <c r="C11" s="207" t="s">
        <v>973</v>
      </c>
    </row>
    <row r="12" spans="1:3" s="212" customFormat="1" ht="14.25" x14ac:dyDescent="0.2">
      <c r="A12" s="213" t="s">
        <v>269</v>
      </c>
      <c r="B12" s="214" t="s">
        <v>1056</v>
      </c>
      <c r="C12" s="207" t="s">
        <v>1057</v>
      </c>
    </row>
    <row r="13" spans="1:3" s="212" customFormat="1" ht="14.25" x14ac:dyDescent="0.2">
      <c r="A13" s="213" t="s">
        <v>273</v>
      </c>
      <c r="B13" s="214" t="s">
        <v>1058</v>
      </c>
      <c r="C13" s="207" t="s">
        <v>975</v>
      </c>
    </row>
    <row r="14" spans="1:3" x14ac:dyDescent="0.25">
      <c r="A14" s="213" t="s">
        <v>318</v>
      </c>
      <c r="B14" s="214" t="s">
        <v>1059</v>
      </c>
      <c r="C14" s="207" t="s">
        <v>976</v>
      </c>
    </row>
    <row r="15" spans="1:3" ht="28.5" x14ac:dyDescent="0.25">
      <c r="A15" s="213" t="s">
        <v>335</v>
      </c>
      <c r="B15" s="214" t="s">
        <v>1060</v>
      </c>
      <c r="C15" s="207" t="s">
        <v>1061</v>
      </c>
    </row>
    <row r="16" spans="1:3" ht="57" x14ac:dyDescent="0.25">
      <c r="A16" s="213" t="s">
        <v>335</v>
      </c>
      <c r="B16" s="214" t="s">
        <v>1062</v>
      </c>
      <c r="C16" s="211" t="s">
        <v>1063</v>
      </c>
    </row>
    <row r="17" spans="1:3" x14ac:dyDescent="0.25">
      <c r="A17" s="213" t="s">
        <v>413</v>
      </c>
      <c r="B17" s="214" t="s">
        <v>1064</v>
      </c>
      <c r="C17" s="207" t="s">
        <v>979</v>
      </c>
    </row>
    <row r="18" spans="1:3" x14ac:dyDescent="0.25">
      <c r="A18" s="213" t="s">
        <v>471</v>
      </c>
      <c r="B18" s="214" t="s">
        <v>1065</v>
      </c>
      <c r="C18" s="207" t="s">
        <v>980</v>
      </c>
    </row>
    <row r="19" spans="1:3" x14ac:dyDescent="0.25">
      <c r="A19" s="213" t="s">
        <v>492</v>
      </c>
      <c r="B19" s="214" t="s">
        <v>1066</v>
      </c>
      <c r="C19" s="207" t="s">
        <v>981</v>
      </c>
    </row>
    <row r="20" spans="1:3" x14ac:dyDescent="0.25">
      <c r="A20" s="213" t="s">
        <v>524</v>
      </c>
      <c r="B20" s="214" t="s">
        <v>1067</v>
      </c>
      <c r="C20" s="214" t="s">
        <v>982</v>
      </c>
    </row>
    <row r="21" spans="1:3" x14ac:dyDescent="0.25">
      <c r="A21" s="213" t="s">
        <v>525</v>
      </c>
      <c r="B21" s="214" t="s">
        <v>1068</v>
      </c>
      <c r="C21" s="207" t="s">
        <v>1069</v>
      </c>
    </row>
    <row r="22" spans="1:3" x14ac:dyDescent="0.25">
      <c r="A22" s="213" t="s">
        <v>484</v>
      </c>
      <c r="B22" s="214" t="s">
        <v>1070</v>
      </c>
      <c r="C22" s="214" t="s">
        <v>1071</v>
      </c>
    </row>
    <row r="23" spans="1:3" x14ac:dyDescent="0.25">
      <c r="A23" s="213" t="s">
        <v>542</v>
      </c>
      <c r="B23" s="214" t="s">
        <v>1072</v>
      </c>
      <c r="C23" s="207" t="s">
        <v>985</v>
      </c>
    </row>
    <row r="24" spans="1:3" x14ac:dyDescent="0.25">
      <c r="A24" s="213" t="s">
        <v>550</v>
      </c>
      <c r="B24" s="214" t="s">
        <v>1073</v>
      </c>
      <c r="C24" s="207" t="s">
        <v>986</v>
      </c>
    </row>
    <row r="25" spans="1:3" x14ac:dyDescent="0.25">
      <c r="A25" s="213" t="s">
        <v>554</v>
      </c>
      <c r="B25" s="214" t="s">
        <v>1074</v>
      </c>
      <c r="C25" s="207" t="s">
        <v>987</v>
      </c>
    </row>
    <row r="26" spans="1:3" x14ac:dyDescent="0.25">
      <c r="A26" s="213" t="s">
        <v>557</v>
      </c>
      <c r="B26" s="214" t="s">
        <v>1075</v>
      </c>
      <c r="C26" s="207" t="s">
        <v>988</v>
      </c>
    </row>
    <row r="27" spans="1:3" x14ac:dyDescent="0.25">
      <c r="A27" s="213" t="s">
        <v>565</v>
      </c>
      <c r="B27" s="214" t="s">
        <v>565</v>
      </c>
      <c r="C27" s="207" t="s">
        <v>1076</v>
      </c>
    </row>
    <row r="28" spans="1:3" x14ac:dyDescent="0.25">
      <c r="A28" s="213" t="s">
        <v>570</v>
      </c>
      <c r="B28" s="214" t="s">
        <v>570</v>
      </c>
      <c r="C28" s="207" t="s">
        <v>1077</v>
      </c>
    </row>
    <row r="29" spans="1:3" x14ac:dyDescent="0.25">
      <c r="A29" s="213" t="s">
        <v>568</v>
      </c>
      <c r="B29" s="214" t="s">
        <v>568</v>
      </c>
      <c r="C29" s="207" t="s">
        <v>1078</v>
      </c>
    </row>
    <row r="30" spans="1:3" x14ac:dyDescent="0.25">
      <c r="A30" s="213" t="s">
        <v>601</v>
      </c>
      <c r="B30" s="214" t="s">
        <v>1079</v>
      </c>
      <c r="C30" s="207" t="s">
        <v>1080</v>
      </c>
    </row>
    <row r="31" spans="1:3" x14ac:dyDescent="0.25">
      <c r="A31" s="213" t="s">
        <v>993</v>
      </c>
      <c r="B31" s="214" t="s">
        <v>1081</v>
      </c>
      <c r="C31" s="207" t="s">
        <v>1082</v>
      </c>
    </row>
    <row r="32" spans="1:3" x14ac:dyDescent="0.25">
      <c r="A32" s="213" t="s">
        <v>598</v>
      </c>
      <c r="B32" s="207" t="s">
        <v>1083</v>
      </c>
      <c r="C32" s="214" t="s">
        <v>995</v>
      </c>
    </row>
    <row r="33" spans="1:3" x14ac:dyDescent="0.25">
      <c r="A33" s="213" t="s">
        <v>1084</v>
      </c>
      <c r="B33" s="214" t="s">
        <v>581</v>
      </c>
      <c r="C33" s="207" t="s">
        <v>1085</v>
      </c>
    </row>
    <row r="34" spans="1:3" x14ac:dyDescent="0.25">
      <c r="A34" s="213" t="s">
        <v>605</v>
      </c>
      <c r="B34" s="214" t="s">
        <v>605</v>
      </c>
      <c r="C34" s="207" t="s">
        <v>1086</v>
      </c>
    </row>
    <row r="35" spans="1:3" s="212" customFormat="1" ht="14.25" x14ac:dyDescent="0.2">
      <c r="A35" s="213" t="s">
        <v>595</v>
      </c>
      <c r="B35" s="214" t="s">
        <v>595</v>
      </c>
      <c r="C35" s="207" t="s">
        <v>998</v>
      </c>
    </row>
    <row r="36" spans="1:3" s="212" customFormat="1" ht="14.25" x14ac:dyDescent="0.2">
      <c r="A36" s="208" t="s">
        <v>999</v>
      </c>
      <c r="B36" s="214" t="s">
        <v>1087</v>
      </c>
      <c r="C36" s="207" t="s">
        <v>1000</v>
      </c>
    </row>
    <row r="37" spans="1:3" s="212" customFormat="1" ht="14.25" x14ac:dyDescent="0.2">
      <c r="A37" s="208" t="s">
        <v>633</v>
      </c>
      <c r="B37" s="214" t="s">
        <v>1088</v>
      </c>
      <c r="C37" s="207" t="s">
        <v>1089</v>
      </c>
    </row>
    <row r="38" spans="1:3" s="212" customFormat="1" ht="14.25" x14ac:dyDescent="0.2">
      <c r="A38" s="208" t="s">
        <v>639</v>
      </c>
      <c r="B38" s="214" t="s">
        <v>1090</v>
      </c>
      <c r="C38" s="207" t="s">
        <v>1091</v>
      </c>
    </row>
    <row r="39" spans="1:3" s="212" customFormat="1" ht="14.25" x14ac:dyDescent="0.2">
      <c r="A39" s="213" t="s">
        <v>642</v>
      </c>
      <c r="B39" s="214" t="s">
        <v>1092</v>
      </c>
      <c r="C39" s="207" t="s">
        <v>1093</v>
      </c>
    </row>
    <row r="40" spans="1:3" x14ac:dyDescent="0.25">
      <c r="A40" s="208" t="s">
        <v>653</v>
      </c>
      <c r="B40" s="214" t="s">
        <v>1094</v>
      </c>
      <c r="C40" s="207" t="s">
        <v>1095</v>
      </c>
    </row>
    <row r="41" spans="1:3" x14ac:dyDescent="0.25">
      <c r="A41" s="208" t="s">
        <v>657</v>
      </c>
      <c r="B41" s="214" t="s">
        <v>1096</v>
      </c>
      <c r="C41" s="207" t="s">
        <v>1097</v>
      </c>
    </row>
    <row r="42" spans="1:3" x14ac:dyDescent="0.25">
      <c r="A42" s="208" t="s">
        <v>1006</v>
      </c>
      <c r="B42" s="214" t="s">
        <v>1098</v>
      </c>
      <c r="C42" s="207" t="s">
        <v>1099</v>
      </c>
    </row>
    <row r="43" spans="1:3" x14ac:dyDescent="0.25">
      <c r="A43" s="208" t="s">
        <v>665</v>
      </c>
      <c r="B43" s="214" t="s">
        <v>1100</v>
      </c>
      <c r="C43" s="207" t="s">
        <v>1101</v>
      </c>
    </row>
    <row r="44" spans="1:3" x14ac:dyDescent="0.25">
      <c r="A44" s="215" t="s">
        <v>693</v>
      </c>
      <c r="B44" s="214" t="s">
        <v>1102</v>
      </c>
      <c r="C44" s="207" t="s">
        <v>692</v>
      </c>
    </row>
    <row r="45" spans="1:3" x14ac:dyDescent="0.25">
      <c r="A45" s="208" t="s">
        <v>677</v>
      </c>
      <c r="B45" s="214" t="s">
        <v>1103</v>
      </c>
      <c r="C45" s="207" t="s">
        <v>1104</v>
      </c>
    </row>
    <row r="46" spans="1:3" x14ac:dyDescent="0.25">
      <c r="A46" s="208" t="s">
        <v>677</v>
      </c>
      <c r="B46" s="214" t="s">
        <v>1105</v>
      </c>
      <c r="C46" s="207" t="s">
        <v>1010</v>
      </c>
    </row>
    <row r="47" spans="1:3" x14ac:dyDescent="0.25">
      <c r="A47" s="213" t="s">
        <v>685</v>
      </c>
      <c r="B47" s="214" t="s">
        <v>1106</v>
      </c>
      <c r="C47" s="207" t="s">
        <v>1107</v>
      </c>
    </row>
    <row r="48" spans="1:3" x14ac:dyDescent="0.25">
      <c r="A48" s="208" t="s">
        <v>669</v>
      </c>
      <c r="B48" s="214" t="s">
        <v>1108</v>
      </c>
      <c r="C48" s="207" t="s">
        <v>1109</v>
      </c>
    </row>
    <row r="49" spans="1:16375" ht="42.75" x14ac:dyDescent="0.25">
      <c r="A49" s="206" t="s">
        <v>1015</v>
      </c>
      <c r="B49" s="207" t="s">
        <v>1110</v>
      </c>
      <c r="C49" s="207" t="s">
        <v>1111</v>
      </c>
    </row>
    <row r="50" spans="1:16375" x14ac:dyDescent="0.25">
      <c r="A50" s="208" t="s">
        <v>812</v>
      </c>
      <c r="B50" s="214" t="s">
        <v>1112</v>
      </c>
      <c r="C50" s="207" t="s">
        <v>1017</v>
      </c>
    </row>
    <row r="51" spans="1:16375" x14ac:dyDescent="0.25">
      <c r="A51" s="208" t="s">
        <v>817</v>
      </c>
      <c r="B51" s="214" t="s">
        <v>1113</v>
      </c>
      <c r="C51" s="207" t="s">
        <v>1018</v>
      </c>
    </row>
    <row r="52" spans="1:16375" x14ac:dyDescent="0.25">
      <c r="A52" s="208" t="s">
        <v>817</v>
      </c>
      <c r="B52" s="214" t="s">
        <v>1114</v>
      </c>
      <c r="C52" s="207" t="s">
        <v>1018</v>
      </c>
    </row>
    <row r="53" spans="1:16375" x14ac:dyDescent="0.25">
      <c r="A53" s="208" t="s">
        <v>744</v>
      </c>
      <c r="B53" s="214" t="s">
        <v>1115</v>
      </c>
      <c r="C53" s="207" t="s">
        <v>1020</v>
      </c>
    </row>
    <row r="54" spans="1:16375" x14ac:dyDescent="0.25">
      <c r="A54" s="208" t="s">
        <v>744</v>
      </c>
      <c r="B54" s="214" t="s">
        <v>1116</v>
      </c>
      <c r="C54" s="207" t="s">
        <v>1021</v>
      </c>
    </row>
    <row r="55" spans="1:16375" ht="28.5" x14ac:dyDescent="0.25">
      <c r="A55" s="208" t="s">
        <v>726</v>
      </c>
      <c r="B55" s="214" t="s">
        <v>1117</v>
      </c>
      <c r="C55" s="207" t="s">
        <v>1118</v>
      </c>
    </row>
    <row r="56" spans="1:16375" x14ac:dyDescent="0.25">
      <c r="A56" s="208" t="s">
        <v>716</v>
      </c>
      <c r="B56" s="214" t="s">
        <v>1119</v>
      </c>
      <c r="C56" s="207" t="s">
        <v>1120</v>
      </c>
    </row>
    <row r="57" spans="1:16375" s="212" customFormat="1" ht="14.25" x14ac:dyDescent="0.2">
      <c r="A57" s="208" t="s">
        <v>726</v>
      </c>
      <c r="B57" s="214" t="s">
        <v>1121</v>
      </c>
      <c r="C57" s="207" t="s">
        <v>1122</v>
      </c>
    </row>
    <row r="58" spans="1:16375" s="212" customFormat="1" ht="28.5" x14ac:dyDescent="0.2">
      <c r="A58" s="208" t="s">
        <v>729</v>
      </c>
      <c r="B58" s="214" t="s">
        <v>1123</v>
      </c>
      <c r="C58" s="211" t="s">
        <v>1026</v>
      </c>
    </row>
    <row r="59" spans="1:16375" s="212" customFormat="1" ht="14.25" x14ac:dyDescent="0.2">
      <c r="A59" s="208" t="s">
        <v>736</v>
      </c>
      <c r="B59" s="214" t="s">
        <v>1124</v>
      </c>
      <c r="C59" s="207" t="s">
        <v>1125</v>
      </c>
    </row>
    <row r="60" spans="1:16375" s="212" customFormat="1" ht="14.25" x14ac:dyDescent="0.2">
      <c r="A60" s="222" t="s">
        <v>736</v>
      </c>
      <c r="B60" s="223" t="s">
        <v>1126</v>
      </c>
      <c r="C60" s="223" t="s">
        <v>1127</v>
      </c>
      <c r="D60" s="216"/>
      <c r="E60" s="217"/>
      <c r="F60" s="218"/>
      <c r="G60" s="219"/>
      <c r="H60" s="220"/>
      <c r="I60" s="220"/>
      <c r="J60" s="220"/>
      <c r="K60" s="220"/>
      <c r="L60" s="217"/>
      <c r="M60" s="221"/>
      <c r="N60" s="216"/>
      <c r="O60" s="217"/>
      <c r="P60" s="218"/>
      <c r="Q60" s="219"/>
      <c r="R60" s="220"/>
      <c r="S60" s="220"/>
      <c r="T60" s="220"/>
      <c r="U60" s="220"/>
      <c r="V60" s="217"/>
      <c r="W60" s="221"/>
      <c r="X60" s="216"/>
      <c r="Y60" s="217"/>
      <c r="Z60" s="218"/>
      <c r="AA60" s="219"/>
      <c r="AB60" s="220"/>
      <c r="AC60" s="220"/>
      <c r="AD60" s="220"/>
      <c r="AE60" s="220"/>
      <c r="AF60" s="217"/>
      <c r="AG60" s="221"/>
      <c r="AH60" s="216"/>
      <c r="AI60" s="217"/>
      <c r="AJ60" s="218"/>
      <c r="AK60" s="219"/>
      <c r="AL60" s="220"/>
      <c r="AM60" s="220"/>
      <c r="AN60" s="220"/>
      <c r="AO60" s="220"/>
      <c r="AP60" s="217"/>
      <c r="AQ60" s="221"/>
      <c r="AR60" s="216"/>
      <c r="AS60" s="217"/>
      <c r="AT60" s="218"/>
      <c r="AU60" s="219"/>
      <c r="AV60" s="220"/>
      <c r="AW60" s="220"/>
      <c r="AX60" s="220"/>
      <c r="AY60" s="220"/>
      <c r="AZ60" s="217"/>
      <c r="BA60" s="221"/>
      <c r="BB60" s="216"/>
      <c r="BC60" s="217"/>
      <c r="BD60" s="218"/>
      <c r="BE60" s="219"/>
      <c r="BF60" s="220"/>
      <c r="BG60" s="220"/>
      <c r="BH60" s="220"/>
      <c r="BI60" s="220"/>
      <c r="BJ60" s="217"/>
      <c r="BK60" s="221"/>
      <c r="BL60" s="216"/>
      <c r="BM60" s="217"/>
      <c r="BN60" s="218"/>
      <c r="BO60" s="219"/>
      <c r="BP60" s="220"/>
      <c r="BQ60" s="220"/>
      <c r="BR60" s="220"/>
      <c r="BS60" s="220"/>
      <c r="BT60" s="217"/>
      <c r="BU60" s="221"/>
      <c r="BV60" s="216"/>
      <c r="BW60" s="217"/>
      <c r="BX60" s="218"/>
      <c r="BY60" s="219"/>
      <c r="BZ60" s="220"/>
      <c r="CA60" s="220"/>
      <c r="CB60" s="220"/>
      <c r="CC60" s="220"/>
      <c r="CD60" s="217"/>
      <c r="CE60" s="221"/>
      <c r="CF60" s="216"/>
      <c r="CG60" s="217"/>
      <c r="CH60" s="218"/>
      <c r="CI60" s="219"/>
      <c r="CJ60" s="220"/>
      <c r="CK60" s="220"/>
      <c r="CL60" s="220"/>
      <c r="CM60" s="220"/>
      <c r="CN60" s="217"/>
      <c r="CO60" s="221"/>
      <c r="CP60" s="216"/>
      <c r="CQ60" s="217"/>
      <c r="CR60" s="218"/>
      <c r="CS60" s="219"/>
      <c r="CT60" s="220"/>
      <c r="CU60" s="220"/>
      <c r="CV60" s="220"/>
      <c r="CW60" s="220"/>
      <c r="CX60" s="217"/>
      <c r="CY60" s="221"/>
      <c r="CZ60" s="216"/>
      <c r="DA60" s="217"/>
      <c r="DB60" s="218"/>
      <c r="DC60" s="219"/>
      <c r="DD60" s="220"/>
      <c r="DE60" s="220"/>
      <c r="DF60" s="220"/>
      <c r="DG60" s="220"/>
      <c r="DH60" s="217"/>
      <c r="DI60" s="221"/>
      <c r="DJ60" s="216"/>
      <c r="DK60" s="217"/>
      <c r="DL60" s="218"/>
      <c r="DM60" s="219"/>
      <c r="DN60" s="220"/>
      <c r="DO60" s="220"/>
      <c r="DP60" s="220"/>
      <c r="DQ60" s="220"/>
      <c r="DR60" s="217"/>
      <c r="DS60" s="221"/>
      <c r="DT60" s="216"/>
      <c r="DU60" s="217"/>
      <c r="DV60" s="218"/>
      <c r="DW60" s="219"/>
      <c r="DX60" s="220"/>
      <c r="DY60" s="220"/>
      <c r="DZ60" s="220"/>
      <c r="EA60" s="220"/>
      <c r="EB60" s="217"/>
      <c r="EC60" s="221"/>
      <c r="ED60" s="216"/>
      <c r="EE60" s="217"/>
      <c r="EF60" s="218"/>
      <c r="EG60" s="219"/>
      <c r="EH60" s="220"/>
      <c r="EI60" s="220"/>
      <c r="EJ60" s="220"/>
      <c r="EK60" s="220"/>
      <c r="EL60" s="217"/>
      <c r="EM60" s="221"/>
      <c r="EN60" s="216"/>
      <c r="EO60" s="217"/>
      <c r="EP60" s="218"/>
      <c r="EQ60" s="219"/>
      <c r="ER60" s="220"/>
      <c r="ES60" s="220"/>
      <c r="ET60" s="220"/>
      <c r="EU60" s="220"/>
      <c r="EV60" s="217"/>
      <c r="EW60" s="221"/>
      <c r="EX60" s="216"/>
      <c r="EY60" s="217"/>
      <c r="EZ60" s="218"/>
      <c r="FA60" s="219"/>
      <c r="FB60" s="220"/>
      <c r="FC60" s="220"/>
      <c r="FD60" s="220"/>
      <c r="FE60" s="220"/>
      <c r="FF60" s="217"/>
      <c r="FG60" s="221"/>
      <c r="FH60" s="216"/>
      <c r="FI60" s="217"/>
      <c r="FJ60" s="218"/>
      <c r="FK60" s="219"/>
      <c r="FL60" s="220"/>
      <c r="FM60" s="220"/>
      <c r="FN60" s="220"/>
      <c r="FO60" s="220"/>
      <c r="FP60" s="217"/>
      <c r="FQ60" s="221"/>
      <c r="FR60" s="216"/>
      <c r="FS60" s="217"/>
      <c r="FT60" s="218"/>
      <c r="FU60" s="219"/>
      <c r="FV60" s="220"/>
      <c r="FW60" s="220"/>
      <c r="FX60" s="220"/>
      <c r="FY60" s="220"/>
      <c r="FZ60" s="217"/>
      <c r="GA60" s="221"/>
      <c r="GB60" s="216"/>
      <c r="GC60" s="217"/>
      <c r="GD60" s="218"/>
      <c r="GE60" s="219"/>
      <c r="GF60" s="220"/>
      <c r="GG60" s="220"/>
      <c r="GH60" s="220"/>
      <c r="GI60" s="220"/>
      <c r="GJ60" s="217"/>
      <c r="GK60" s="221"/>
      <c r="GL60" s="216"/>
      <c r="GM60" s="217"/>
      <c r="GN60" s="218"/>
      <c r="GO60" s="219"/>
      <c r="GP60" s="220"/>
      <c r="GQ60" s="220"/>
      <c r="GR60" s="220"/>
      <c r="GS60" s="220"/>
      <c r="GT60" s="217"/>
      <c r="GU60" s="221"/>
      <c r="GV60" s="216"/>
      <c r="GW60" s="217"/>
      <c r="GX60" s="218"/>
      <c r="GY60" s="219"/>
      <c r="GZ60" s="220"/>
      <c r="HA60" s="220"/>
      <c r="HB60" s="220"/>
      <c r="HC60" s="220"/>
      <c r="HD60" s="217"/>
      <c r="HE60" s="221"/>
      <c r="HF60" s="216"/>
      <c r="HG60" s="217"/>
      <c r="HH60" s="218"/>
      <c r="HI60" s="219"/>
      <c r="HJ60" s="220"/>
      <c r="HK60" s="220"/>
      <c r="HL60" s="220"/>
      <c r="HM60" s="220"/>
      <c r="HN60" s="217"/>
      <c r="HO60" s="221"/>
      <c r="HP60" s="216"/>
      <c r="HQ60" s="217"/>
      <c r="HR60" s="218"/>
      <c r="HS60" s="219"/>
      <c r="HT60" s="220"/>
      <c r="HU60" s="220"/>
      <c r="HV60" s="220"/>
      <c r="HW60" s="220"/>
      <c r="HX60" s="217"/>
      <c r="HY60" s="221"/>
      <c r="HZ60" s="216"/>
      <c r="IA60" s="217"/>
      <c r="IB60" s="218"/>
      <c r="IC60" s="219"/>
      <c r="ID60" s="220"/>
      <c r="IE60" s="220"/>
      <c r="IF60" s="220"/>
      <c r="IG60" s="220"/>
      <c r="IH60" s="217"/>
      <c r="II60" s="221"/>
      <c r="IJ60" s="216"/>
      <c r="IK60" s="217"/>
      <c r="IL60" s="218"/>
      <c r="IM60" s="219"/>
      <c r="IN60" s="220"/>
      <c r="IO60" s="220"/>
      <c r="IP60" s="220"/>
      <c r="IQ60" s="220"/>
      <c r="IR60" s="217"/>
      <c r="IS60" s="221"/>
      <c r="IT60" s="216"/>
      <c r="IU60" s="217"/>
      <c r="IV60" s="218"/>
      <c r="IW60" s="219"/>
      <c r="IX60" s="220"/>
      <c r="IY60" s="220"/>
      <c r="IZ60" s="220"/>
      <c r="JA60" s="220"/>
      <c r="JB60" s="217"/>
      <c r="JC60" s="221"/>
      <c r="JD60" s="216"/>
      <c r="JE60" s="217"/>
      <c r="JF60" s="218"/>
      <c r="JG60" s="219"/>
      <c r="JH60" s="220"/>
      <c r="JI60" s="220"/>
      <c r="JJ60" s="220"/>
      <c r="JK60" s="220"/>
      <c r="JL60" s="217"/>
      <c r="JM60" s="221"/>
      <c r="JN60" s="216"/>
      <c r="JO60" s="217"/>
      <c r="JP60" s="218"/>
      <c r="JQ60" s="219"/>
      <c r="JR60" s="220"/>
      <c r="JS60" s="220"/>
      <c r="JT60" s="220"/>
      <c r="JU60" s="220"/>
      <c r="JV60" s="217"/>
      <c r="JW60" s="221"/>
      <c r="JX60" s="216"/>
      <c r="JY60" s="217"/>
      <c r="JZ60" s="218"/>
      <c r="KA60" s="219"/>
      <c r="KB60" s="220"/>
      <c r="KC60" s="220"/>
      <c r="KD60" s="220"/>
      <c r="KE60" s="220"/>
      <c r="KF60" s="217"/>
      <c r="KG60" s="221"/>
      <c r="KH60" s="216"/>
      <c r="KI60" s="217"/>
      <c r="KJ60" s="218"/>
      <c r="KK60" s="219"/>
      <c r="KL60" s="220"/>
      <c r="KM60" s="220"/>
      <c r="KN60" s="220"/>
      <c r="KO60" s="220"/>
      <c r="KP60" s="217"/>
      <c r="KQ60" s="221"/>
      <c r="KR60" s="216"/>
      <c r="KS60" s="217"/>
      <c r="KT60" s="218"/>
      <c r="KU60" s="219"/>
      <c r="KV60" s="220"/>
      <c r="KW60" s="220"/>
      <c r="KX60" s="220"/>
      <c r="KY60" s="220"/>
      <c r="KZ60" s="217"/>
      <c r="LA60" s="221"/>
      <c r="LB60" s="216"/>
      <c r="LC60" s="217"/>
      <c r="LD60" s="218"/>
      <c r="LE60" s="219"/>
      <c r="LF60" s="220"/>
      <c r="LG60" s="220"/>
      <c r="LH60" s="220"/>
      <c r="LI60" s="220"/>
      <c r="LJ60" s="217"/>
      <c r="LK60" s="221"/>
      <c r="LL60" s="216"/>
      <c r="LM60" s="217"/>
      <c r="LN60" s="218"/>
      <c r="LO60" s="219"/>
      <c r="LP60" s="220"/>
      <c r="LQ60" s="220"/>
      <c r="LR60" s="220"/>
      <c r="LS60" s="220"/>
      <c r="LT60" s="217"/>
      <c r="LU60" s="221"/>
      <c r="LV60" s="216"/>
      <c r="LW60" s="217"/>
      <c r="LX60" s="218"/>
      <c r="LY60" s="219"/>
      <c r="LZ60" s="220"/>
      <c r="MA60" s="220"/>
      <c r="MB60" s="220"/>
      <c r="MC60" s="220"/>
      <c r="MD60" s="217"/>
      <c r="ME60" s="221"/>
      <c r="MF60" s="216"/>
      <c r="MG60" s="217"/>
      <c r="MH60" s="218"/>
      <c r="MI60" s="219"/>
      <c r="MJ60" s="220"/>
      <c r="MK60" s="220"/>
      <c r="ML60" s="220"/>
      <c r="MM60" s="220"/>
      <c r="MN60" s="217"/>
      <c r="MO60" s="221"/>
      <c r="MP60" s="216"/>
      <c r="MQ60" s="217"/>
      <c r="MR60" s="218"/>
      <c r="MS60" s="219"/>
      <c r="MT60" s="220"/>
      <c r="MU60" s="220"/>
      <c r="MV60" s="220"/>
      <c r="MW60" s="220"/>
      <c r="MX60" s="217"/>
      <c r="MY60" s="221"/>
      <c r="MZ60" s="216"/>
      <c r="NA60" s="217"/>
      <c r="NB60" s="218"/>
      <c r="NC60" s="219"/>
      <c r="ND60" s="220"/>
      <c r="NE60" s="220"/>
      <c r="NF60" s="220"/>
      <c r="NG60" s="220"/>
      <c r="NH60" s="217"/>
      <c r="NI60" s="221"/>
      <c r="NJ60" s="216"/>
      <c r="NK60" s="217"/>
      <c r="NL60" s="218"/>
      <c r="NM60" s="219"/>
      <c r="NN60" s="220"/>
      <c r="NO60" s="220"/>
      <c r="NP60" s="220"/>
      <c r="NQ60" s="220"/>
      <c r="NR60" s="217"/>
      <c r="NS60" s="221"/>
      <c r="NT60" s="216"/>
      <c r="NU60" s="217"/>
      <c r="NV60" s="218"/>
      <c r="NW60" s="219"/>
      <c r="NX60" s="220"/>
      <c r="NY60" s="220"/>
      <c r="NZ60" s="220"/>
      <c r="OA60" s="220"/>
      <c r="OB60" s="217"/>
      <c r="OC60" s="221"/>
      <c r="OD60" s="216"/>
      <c r="OE60" s="217"/>
      <c r="OF60" s="218"/>
      <c r="OG60" s="219"/>
      <c r="OH60" s="220"/>
      <c r="OI60" s="220"/>
      <c r="OJ60" s="220"/>
      <c r="OK60" s="220"/>
      <c r="OL60" s="217"/>
      <c r="OM60" s="221"/>
      <c r="ON60" s="216"/>
      <c r="OO60" s="217"/>
      <c r="OP60" s="218"/>
      <c r="OQ60" s="219"/>
      <c r="OR60" s="220"/>
      <c r="OS60" s="220"/>
      <c r="OT60" s="220"/>
      <c r="OU60" s="220"/>
      <c r="OV60" s="217"/>
      <c r="OW60" s="221"/>
      <c r="OX60" s="216"/>
      <c r="OY60" s="217"/>
      <c r="OZ60" s="218"/>
      <c r="PA60" s="219"/>
      <c r="PB60" s="220"/>
      <c r="PC60" s="220"/>
      <c r="PD60" s="220"/>
      <c r="PE60" s="220"/>
      <c r="PF60" s="217"/>
      <c r="PG60" s="221"/>
      <c r="PH60" s="216"/>
      <c r="PI60" s="217"/>
      <c r="PJ60" s="218"/>
      <c r="PK60" s="219"/>
      <c r="PL60" s="220"/>
      <c r="PM60" s="220"/>
      <c r="PN60" s="220"/>
      <c r="PO60" s="220"/>
      <c r="PP60" s="217"/>
      <c r="PQ60" s="221"/>
      <c r="PR60" s="216"/>
      <c r="PS60" s="217"/>
      <c r="PT60" s="218"/>
      <c r="PU60" s="219"/>
      <c r="PV60" s="220"/>
      <c r="PW60" s="220"/>
      <c r="PX60" s="220"/>
      <c r="PY60" s="220"/>
      <c r="PZ60" s="217"/>
      <c r="QA60" s="221"/>
      <c r="QB60" s="216"/>
      <c r="QC60" s="217"/>
      <c r="QD60" s="218"/>
      <c r="QE60" s="219"/>
      <c r="QF60" s="220"/>
      <c r="QG60" s="220"/>
      <c r="QH60" s="220"/>
      <c r="QI60" s="220"/>
      <c r="QJ60" s="217"/>
      <c r="QK60" s="221"/>
      <c r="QL60" s="216"/>
      <c r="QM60" s="217"/>
      <c r="QN60" s="218"/>
      <c r="QO60" s="219"/>
      <c r="QP60" s="220"/>
      <c r="QQ60" s="220"/>
      <c r="QR60" s="220"/>
      <c r="QS60" s="220"/>
      <c r="QT60" s="217"/>
      <c r="QU60" s="221"/>
      <c r="QV60" s="216"/>
      <c r="QW60" s="217"/>
      <c r="QX60" s="218"/>
      <c r="QY60" s="219"/>
      <c r="QZ60" s="220"/>
      <c r="RA60" s="220"/>
      <c r="RB60" s="220"/>
      <c r="RC60" s="220"/>
      <c r="RD60" s="217"/>
      <c r="RE60" s="221"/>
      <c r="RF60" s="216"/>
      <c r="RG60" s="217"/>
      <c r="RH60" s="218"/>
      <c r="RI60" s="219"/>
      <c r="RJ60" s="220"/>
      <c r="RK60" s="220"/>
      <c r="RL60" s="220"/>
      <c r="RM60" s="220"/>
      <c r="RN60" s="217"/>
      <c r="RO60" s="221"/>
      <c r="RP60" s="216"/>
      <c r="RQ60" s="217"/>
      <c r="RR60" s="218"/>
      <c r="RS60" s="219"/>
      <c r="RT60" s="220"/>
      <c r="RU60" s="220"/>
      <c r="RV60" s="220"/>
      <c r="RW60" s="220"/>
      <c r="RX60" s="217"/>
      <c r="RY60" s="221"/>
      <c r="RZ60" s="216"/>
      <c r="SA60" s="217"/>
      <c r="SB60" s="218"/>
      <c r="SC60" s="219"/>
      <c r="SD60" s="220"/>
      <c r="SE60" s="220"/>
      <c r="SF60" s="220"/>
      <c r="SG60" s="220"/>
      <c r="SH60" s="217"/>
      <c r="SI60" s="221"/>
      <c r="SJ60" s="216"/>
      <c r="SK60" s="217"/>
      <c r="SL60" s="218"/>
      <c r="SM60" s="219"/>
      <c r="SN60" s="220"/>
      <c r="SO60" s="220"/>
      <c r="SP60" s="220"/>
      <c r="SQ60" s="220"/>
      <c r="SR60" s="217"/>
      <c r="SS60" s="221"/>
      <c r="ST60" s="216"/>
      <c r="SU60" s="217"/>
      <c r="SV60" s="218"/>
      <c r="SW60" s="219"/>
      <c r="SX60" s="220"/>
      <c r="SY60" s="220"/>
      <c r="SZ60" s="220"/>
      <c r="TA60" s="220"/>
      <c r="TB60" s="217"/>
      <c r="TC60" s="221"/>
      <c r="TD60" s="216"/>
      <c r="TE60" s="217"/>
      <c r="TF60" s="218"/>
      <c r="TG60" s="219"/>
      <c r="TH60" s="220"/>
      <c r="TI60" s="220"/>
      <c r="TJ60" s="220"/>
      <c r="TK60" s="220"/>
      <c r="TL60" s="217"/>
      <c r="TM60" s="221"/>
      <c r="TN60" s="216"/>
      <c r="TO60" s="217"/>
      <c r="TP60" s="218"/>
      <c r="TQ60" s="219"/>
      <c r="TR60" s="220"/>
      <c r="TS60" s="220"/>
      <c r="TT60" s="220"/>
      <c r="TU60" s="220"/>
      <c r="TV60" s="217"/>
      <c r="TW60" s="221"/>
      <c r="TX60" s="216"/>
      <c r="TY60" s="217"/>
      <c r="TZ60" s="218"/>
      <c r="UA60" s="219"/>
      <c r="UB60" s="220"/>
      <c r="UC60" s="220"/>
      <c r="UD60" s="220"/>
      <c r="UE60" s="220"/>
      <c r="UF60" s="217"/>
      <c r="UG60" s="221"/>
      <c r="UH60" s="216"/>
      <c r="UI60" s="217"/>
      <c r="UJ60" s="218"/>
      <c r="UK60" s="219"/>
      <c r="UL60" s="220"/>
      <c r="UM60" s="220"/>
      <c r="UN60" s="220"/>
      <c r="UO60" s="220"/>
      <c r="UP60" s="217"/>
      <c r="UQ60" s="221"/>
      <c r="UR60" s="216"/>
      <c r="US60" s="217"/>
      <c r="UT60" s="218"/>
      <c r="UU60" s="219"/>
      <c r="UV60" s="220"/>
      <c r="UW60" s="220"/>
      <c r="UX60" s="220"/>
      <c r="UY60" s="220"/>
      <c r="UZ60" s="217"/>
      <c r="VA60" s="221"/>
      <c r="VB60" s="216"/>
      <c r="VC60" s="217"/>
      <c r="VD60" s="218"/>
      <c r="VE60" s="219"/>
      <c r="VF60" s="220"/>
      <c r="VG60" s="220"/>
      <c r="VH60" s="220"/>
      <c r="VI60" s="220"/>
      <c r="VJ60" s="217"/>
      <c r="VK60" s="221"/>
      <c r="VL60" s="216"/>
      <c r="VM60" s="217"/>
      <c r="VN60" s="218"/>
      <c r="VO60" s="219"/>
      <c r="VP60" s="220"/>
      <c r="VQ60" s="220"/>
      <c r="VR60" s="220"/>
      <c r="VS60" s="220"/>
      <c r="VT60" s="217"/>
      <c r="VU60" s="221"/>
      <c r="VV60" s="216"/>
      <c r="VW60" s="217"/>
      <c r="VX60" s="218"/>
      <c r="VY60" s="219"/>
      <c r="VZ60" s="220"/>
      <c r="WA60" s="220"/>
      <c r="WB60" s="220"/>
      <c r="WC60" s="220"/>
      <c r="WD60" s="217"/>
      <c r="WE60" s="221"/>
      <c r="WF60" s="216"/>
      <c r="WG60" s="217"/>
      <c r="WH60" s="218"/>
      <c r="WI60" s="219"/>
      <c r="WJ60" s="220"/>
      <c r="WK60" s="220"/>
      <c r="WL60" s="220"/>
      <c r="WM60" s="220"/>
      <c r="WN60" s="217"/>
      <c r="WO60" s="221"/>
      <c r="WP60" s="216"/>
      <c r="WQ60" s="217"/>
      <c r="WR60" s="218"/>
      <c r="WS60" s="219"/>
      <c r="WT60" s="220"/>
      <c r="WU60" s="220"/>
      <c r="WV60" s="220"/>
      <c r="WW60" s="220"/>
      <c r="WX60" s="217"/>
      <c r="WY60" s="221"/>
      <c r="WZ60" s="216"/>
      <c r="XA60" s="217"/>
      <c r="XB60" s="218"/>
      <c r="XC60" s="219"/>
      <c r="XD60" s="220"/>
      <c r="XE60" s="220"/>
      <c r="XF60" s="220"/>
      <c r="XG60" s="220"/>
      <c r="XH60" s="217"/>
      <c r="XI60" s="221"/>
      <c r="XJ60" s="216"/>
      <c r="XK60" s="217"/>
      <c r="XL60" s="218"/>
      <c r="XM60" s="219"/>
      <c r="XN60" s="220"/>
      <c r="XO60" s="220"/>
      <c r="XP60" s="220"/>
      <c r="XQ60" s="220"/>
      <c r="XR60" s="217"/>
      <c r="XS60" s="221"/>
      <c r="XT60" s="216"/>
      <c r="XU60" s="217"/>
      <c r="XV60" s="218"/>
      <c r="XW60" s="219"/>
      <c r="XX60" s="220"/>
      <c r="XY60" s="220"/>
      <c r="XZ60" s="220"/>
      <c r="YA60" s="220"/>
      <c r="YB60" s="217"/>
      <c r="YC60" s="221"/>
      <c r="YD60" s="216"/>
      <c r="YE60" s="217"/>
      <c r="YF60" s="218"/>
      <c r="YG60" s="219"/>
      <c r="YH60" s="220"/>
      <c r="YI60" s="220"/>
      <c r="YJ60" s="220"/>
      <c r="YK60" s="220"/>
      <c r="YL60" s="217"/>
      <c r="YM60" s="221"/>
      <c r="YN60" s="216"/>
      <c r="YO60" s="217"/>
      <c r="YP60" s="218"/>
      <c r="YQ60" s="219"/>
      <c r="YR60" s="220"/>
      <c r="YS60" s="220"/>
      <c r="YT60" s="220"/>
      <c r="YU60" s="220"/>
      <c r="YV60" s="217"/>
      <c r="YW60" s="221"/>
      <c r="YX60" s="216"/>
      <c r="YY60" s="217"/>
      <c r="YZ60" s="218"/>
      <c r="ZA60" s="219"/>
      <c r="ZB60" s="220"/>
      <c r="ZC60" s="220"/>
      <c r="ZD60" s="220"/>
      <c r="ZE60" s="220"/>
      <c r="ZF60" s="217"/>
      <c r="ZG60" s="221"/>
      <c r="ZH60" s="216"/>
      <c r="ZI60" s="217"/>
      <c r="ZJ60" s="218"/>
      <c r="ZK60" s="219"/>
      <c r="ZL60" s="220"/>
      <c r="ZM60" s="220"/>
      <c r="ZN60" s="220"/>
      <c r="ZO60" s="220"/>
      <c r="ZP60" s="217"/>
      <c r="ZQ60" s="221"/>
      <c r="ZR60" s="216"/>
      <c r="ZS60" s="217"/>
      <c r="ZT60" s="218"/>
      <c r="ZU60" s="219"/>
      <c r="ZV60" s="220"/>
      <c r="ZW60" s="220"/>
      <c r="ZX60" s="220"/>
      <c r="ZY60" s="220"/>
      <c r="ZZ60" s="217"/>
      <c r="AAA60" s="221"/>
      <c r="AAB60" s="216"/>
      <c r="AAC60" s="217"/>
      <c r="AAD60" s="218"/>
      <c r="AAE60" s="219"/>
      <c r="AAF60" s="220"/>
      <c r="AAG60" s="220"/>
      <c r="AAH60" s="220"/>
      <c r="AAI60" s="220"/>
      <c r="AAJ60" s="217"/>
      <c r="AAK60" s="221"/>
      <c r="AAL60" s="216"/>
      <c r="AAM60" s="217"/>
      <c r="AAN60" s="218"/>
      <c r="AAO60" s="219"/>
      <c r="AAP60" s="220"/>
      <c r="AAQ60" s="220"/>
      <c r="AAR60" s="220"/>
      <c r="AAS60" s="220"/>
      <c r="AAT60" s="217"/>
      <c r="AAU60" s="221"/>
      <c r="AAV60" s="216"/>
      <c r="AAW60" s="217"/>
      <c r="AAX60" s="218"/>
      <c r="AAY60" s="219"/>
      <c r="AAZ60" s="220"/>
      <c r="ABA60" s="220"/>
      <c r="ABB60" s="220"/>
      <c r="ABC60" s="220"/>
      <c r="ABD60" s="217"/>
      <c r="ABE60" s="221"/>
      <c r="ABF60" s="216"/>
      <c r="ABG60" s="217"/>
      <c r="ABH60" s="218"/>
      <c r="ABI60" s="219"/>
      <c r="ABJ60" s="220"/>
      <c r="ABK60" s="220"/>
      <c r="ABL60" s="220"/>
      <c r="ABM60" s="220"/>
      <c r="ABN60" s="217"/>
      <c r="ABO60" s="221"/>
      <c r="ABP60" s="216"/>
      <c r="ABQ60" s="217"/>
      <c r="ABR60" s="218"/>
      <c r="ABS60" s="219"/>
      <c r="ABT60" s="220"/>
      <c r="ABU60" s="220"/>
      <c r="ABV60" s="220"/>
      <c r="ABW60" s="220"/>
      <c r="ABX60" s="217"/>
      <c r="ABY60" s="221"/>
      <c r="ABZ60" s="216"/>
      <c r="ACA60" s="217"/>
      <c r="ACB60" s="218"/>
      <c r="ACC60" s="219"/>
      <c r="ACD60" s="220"/>
      <c r="ACE60" s="220"/>
      <c r="ACF60" s="220"/>
      <c r="ACG60" s="220"/>
      <c r="ACH60" s="217"/>
      <c r="ACI60" s="221"/>
      <c r="ACJ60" s="216"/>
      <c r="ACK60" s="217"/>
      <c r="ACL60" s="218"/>
      <c r="ACM60" s="219"/>
      <c r="ACN60" s="220"/>
      <c r="ACO60" s="220"/>
      <c r="ACP60" s="220"/>
      <c r="ACQ60" s="220"/>
      <c r="ACR60" s="217"/>
      <c r="ACS60" s="221"/>
      <c r="ACT60" s="216"/>
      <c r="ACU60" s="217"/>
      <c r="ACV60" s="218"/>
      <c r="ACW60" s="219"/>
      <c r="ACX60" s="220"/>
      <c r="ACY60" s="220"/>
      <c r="ACZ60" s="220"/>
      <c r="ADA60" s="220"/>
      <c r="ADB60" s="217"/>
      <c r="ADC60" s="221"/>
      <c r="ADD60" s="216"/>
      <c r="ADE60" s="217"/>
      <c r="ADF60" s="218"/>
      <c r="ADG60" s="219"/>
      <c r="ADH60" s="220"/>
      <c r="ADI60" s="220"/>
      <c r="ADJ60" s="220"/>
      <c r="ADK60" s="220"/>
      <c r="ADL60" s="217"/>
      <c r="ADM60" s="221"/>
      <c r="ADN60" s="216"/>
      <c r="ADO60" s="217"/>
      <c r="ADP60" s="218"/>
      <c r="ADQ60" s="219"/>
      <c r="ADR60" s="220"/>
      <c r="ADS60" s="220"/>
      <c r="ADT60" s="220"/>
      <c r="ADU60" s="220"/>
      <c r="ADV60" s="217"/>
      <c r="ADW60" s="221"/>
      <c r="ADX60" s="216"/>
      <c r="ADY60" s="217"/>
      <c r="ADZ60" s="218"/>
      <c r="AEA60" s="219"/>
      <c r="AEB60" s="220"/>
      <c r="AEC60" s="220"/>
      <c r="AED60" s="220"/>
      <c r="AEE60" s="220"/>
      <c r="AEF60" s="217"/>
      <c r="AEG60" s="221"/>
      <c r="AEH60" s="216"/>
      <c r="AEI60" s="217"/>
      <c r="AEJ60" s="218"/>
      <c r="AEK60" s="219"/>
      <c r="AEL60" s="220"/>
      <c r="AEM60" s="220"/>
      <c r="AEN60" s="220"/>
      <c r="AEO60" s="220"/>
      <c r="AEP60" s="217"/>
      <c r="AEQ60" s="221"/>
      <c r="AER60" s="216"/>
      <c r="AES60" s="217"/>
      <c r="AET60" s="218"/>
      <c r="AEU60" s="219"/>
      <c r="AEV60" s="220"/>
      <c r="AEW60" s="220"/>
      <c r="AEX60" s="220"/>
      <c r="AEY60" s="220"/>
      <c r="AEZ60" s="217"/>
      <c r="AFA60" s="221"/>
      <c r="AFB60" s="216"/>
      <c r="AFC60" s="217"/>
      <c r="AFD60" s="218"/>
      <c r="AFE60" s="219"/>
      <c r="AFF60" s="220"/>
      <c r="AFG60" s="220"/>
      <c r="AFH60" s="220"/>
      <c r="AFI60" s="220"/>
      <c r="AFJ60" s="217"/>
      <c r="AFK60" s="221"/>
      <c r="AFL60" s="216"/>
      <c r="AFM60" s="217"/>
      <c r="AFN60" s="218"/>
      <c r="AFO60" s="219"/>
      <c r="AFP60" s="220"/>
      <c r="AFQ60" s="220"/>
      <c r="AFR60" s="220"/>
      <c r="AFS60" s="220"/>
      <c r="AFT60" s="217"/>
      <c r="AFU60" s="221"/>
      <c r="AFV60" s="216"/>
      <c r="AFW60" s="217"/>
      <c r="AFX60" s="218"/>
      <c r="AFY60" s="219"/>
      <c r="AFZ60" s="220"/>
      <c r="AGA60" s="220"/>
      <c r="AGB60" s="220"/>
      <c r="AGC60" s="220"/>
      <c r="AGD60" s="217"/>
      <c r="AGE60" s="221"/>
      <c r="AGF60" s="216"/>
      <c r="AGG60" s="217"/>
      <c r="AGH60" s="218"/>
      <c r="AGI60" s="219"/>
      <c r="AGJ60" s="220"/>
      <c r="AGK60" s="220"/>
      <c r="AGL60" s="220"/>
      <c r="AGM60" s="220"/>
      <c r="AGN60" s="217"/>
      <c r="AGO60" s="221"/>
      <c r="AGP60" s="216"/>
      <c r="AGQ60" s="217"/>
      <c r="AGR60" s="218"/>
      <c r="AGS60" s="219"/>
      <c r="AGT60" s="220"/>
      <c r="AGU60" s="220"/>
      <c r="AGV60" s="220"/>
      <c r="AGW60" s="220"/>
      <c r="AGX60" s="217"/>
      <c r="AGY60" s="221"/>
      <c r="AGZ60" s="216"/>
      <c r="AHA60" s="217"/>
      <c r="AHB60" s="218"/>
      <c r="AHC60" s="219"/>
      <c r="AHD60" s="220"/>
      <c r="AHE60" s="220"/>
      <c r="AHF60" s="220"/>
      <c r="AHG60" s="220"/>
      <c r="AHH60" s="217"/>
      <c r="AHI60" s="221"/>
      <c r="AHJ60" s="216"/>
      <c r="AHK60" s="217"/>
      <c r="AHL60" s="218"/>
      <c r="AHM60" s="219"/>
      <c r="AHN60" s="220"/>
      <c r="AHO60" s="220"/>
      <c r="AHP60" s="220"/>
      <c r="AHQ60" s="220"/>
      <c r="AHR60" s="217"/>
      <c r="AHS60" s="221"/>
      <c r="AHT60" s="216"/>
      <c r="AHU60" s="217"/>
      <c r="AHV60" s="218"/>
      <c r="AHW60" s="219"/>
      <c r="AHX60" s="220"/>
      <c r="AHY60" s="220"/>
      <c r="AHZ60" s="220"/>
      <c r="AIA60" s="220"/>
      <c r="AIB60" s="217"/>
      <c r="AIC60" s="221"/>
      <c r="AID60" s="216"/>
      <c r="AIE60" s="217"/>
      <c r="AIF60" s="218"/>
      <c r="AIG60" s="219"/>
      <c r="AIH60" s="220"/>
      <c r="AII60" s="220"/>
      <c r="AIJ60" s="220"/>
      <c r="AIK60" s="220"/>
      <c r="AIL60" s="217"/>
      <c r="AIM60" s="221"/>
      <c r="AIN60" s="216"/>
      <c r="AIO60" s="217"/>
      <c r="AIP60" s="218"/>
      <c r="AIQ60" s="219"/>
      <c r="AIR60" s="220"/>
      <c r="AIS60" s="220"/>
      <c r="AIT60" s="220"/>
      <c r="AIU60" s="220"/>
      <c r="AIV60" s="217"/>
      <c r="AIW60" s="221"/>
      <c r="AIX60" s="216"/>
      <c r="AIY60" s="217"/>
      <c r="AIZ60" s="218"/>
      <c r="AJA60" s="219"/>
      <c r="AJB60" s="220"/>
      <c r="AJC60" s="220"/>
      <c r="AJD60" s="220"/>
      <c r="AJE60" s="220"/>
      <c r="AJF60" s="217"/>
      <c r="AJG60" s="221"/>
      <c r="AJH60" s="216"/>
      <c r="AJI60" s="217"/>
      <c r="AJJ60" s="218"/>
      <c r="AJK60" s="219"/>
      <c r="AJL60" s="220"/>
      <c r="AJM60" s="220"/>
      <c r="AJN60" s="220"/>
      <c r="AJO60" s="220"/>
      <c r="AJP60" s="217"/>
      <c r="AJQ60" s="221"/>
      <c r="AJR60" s="216"/>
      <c r="AJS60" s="217"/>
      <c r="AJT60" s="218"/>
      <c r="AJU60" s="219"/>
      <c r="AJV60" s="220"/>
      <c r="AJW60" s="220"/>
      <c r="AJX60" s="220"/>
      <c r="AJY60" s="220"/>
      <c r="AJZ60" s="217"/>
      <c r="AKA60" s="221"/>
      <c r="AKB60" s="216"/>
      <c r="AKC60" s="217"/>
      <c r="AKD60" s="218"/>
      <c r="AKE60" s="219"/>
      <c r="AKF60" s="220"/>
      <c r="AKG60" s="220"/>
      <c r="AKH60" s="220"/>
      <c r="AKI60" s="220"/>
      <c r="AKJ60" s="217"/>
      <c r="AKK60" s="221"/>
      <c r="AKL60" s="216"/>
      <c r="AKM60" s="217"/>
      <c r="AKN60" s="218"/>
      <c r="AKO60" s="219"/>
      <c r="AKP60" s="220"/>
      <c r="AKQ60" s="220"/>
      <c r="AKR60" s="220"/>
      <c r="AKS60" s="220"/>
      <c r="AKT60" s="217"/>
      <c r="AKU60" s="221"/>
      <c r="AKV60" s="216"/>
      <c r="AKW60" s="217"/>
      <c r="AKX60" s="218"/>
      <c r="AKY60" s="219"/>
      <c r="AKZ60" s="220"/>
      <c r="ALA60" s="220"/>
      <c r="ALB60" s="220"/>
      <c r="ALC60" s="220"/>
      <c r="ALD60" s="217"/>
      <c r="ALE60" s="221"/>
      <c r="ALF60" s="216"/>
      <c r="ALG60" s="217"/>
      <c r="ALH60" s="218"/>
      <c r="ALI60" s="219"/>
      <c r="ALJ60" s="220"/>
      <c r="ALK60" s="220"/>
      <c r="ALL60" s="220"/>
      <c r="ALM60" s="220"/>
      <c r="ALN60" s="217"/>
      <c r="ALO60" s="221"/>
      <c r="ALP60" s="216"/>
      <c r="ALQ60" s="217"/>
      <c r="ALR60" s="218"/>
      <c r="ALS60" s="219"/>
      <c r="ALT60" s="220"/>
      <c r="ALU60" s="220"/>
      <c r="ALV60" s="220"/>
      <c r="ALW60" s="220"/>
      <c r="ALX60" s="217"/>
      <c r="ALY60" s="221"/>
      <c r="ALZ60" s="216"/>
      <c r="AMA60" s="217"/>
      <c r="AMB60" s="218"/>
      <c r="AMC60" s="219"/>
      <c r="AMD60" s="220"/>
      <c r="AME60" s="220"/>
      <c r="AMF60" s="220"/>
      <c r="AMG60" s="220"/>
      <c r="AMH60" s="217"/>
      <c r="AMI60" s="221"/>
      <c r="AMJ60" s="216"/>
      <c r="AMK60" s="217"/>
      <c r="AML60" s="218"/>
      <c r="AMM60" s="219"/>
      <c r="AMN60" s="220"/>
      <c r="AMO60" s="220"/>
      <c r="AMP60" s="220"/>
      <c r="AMQ60" s="220"/>
      <c r="AMR60" s="217"/>
      <c r="AMS60" s="221"/>
      <c r="AMT60" s="216"/>
      <c r="AMU60" s="217"/>
      <c r="AMV60" s="218"/>
      <c r="AMW60" s="219"/>
      <c r="AMX60" s="220"/>
      <c r="AMY60" s="220"/>
      <c r="AMZ60" s="220"/>
      <c r="ANA60" s="220"/>
      <c r="ANB60" s="217"/>
      <c r="ANC60" s="221"/>
      <c r="AND60" s="216"/>
      <c r="ANE60" s="217"/>
      <c r="ANF60" s="218"/>
      <c r="ANG60" s="219"/>
      <c r="ANH60" s="220"/>
      <c r="ANI60" s="220"/>
      <c r="ANJ60" s="220"/>
      <c r="ANK60" s="220"/>
      <c r="ANL60" s="217"/>
      <c r="ANM60" s="221"/>
      <c r="ANN60" s="216"/>
      <c r="ANO60" s="217"/>
      <c r="ANP60" s="218"/>
      <c r="ANQ60" s="219"/>
      <c r="ANR60" s="220"/>
      <c r="ANS60" s="220"/>
      <c r="ANT60" s="220"/>
      <c r="ANU60" s="220"/>
      <c r="ANV60" s="217"/>
      <c r="ANW60" s="221"/>
      <c r="ANX60" s="216"/>
      <c r="ANY60" s="217"/>
      <c r="ANZ60" s="218"/>
      <c r="AOA60" s="219"/>
      <c r="AOB60" s="220"/>
      <c r="AOC60" s="220"/>
      <c r="AOD60" s="220"/>
      <c r="AOE60" s="220"/>
      <c r="AOF60" s="217"/>
      <c r="AOG60" s="221"/>
      <c r="AOH60" s="216"/>
      <c r="AOI60" s="217"/>
      <c r="AOJ60" s="218"/>
      <c r="AOK60" s="219"/>
      <c r="AOL60" s="220"/>
      <c r="AOM60" s="220"/>
      <c r="AON60" s="220"/>
      <c r="AOO60" s="220"/>
      <c r="AOP60" s="217"/>
      <c r="AOQ60" s="221"/>
      <c r="AOR60" s="216"/>
      <c r="AOS60" s="217"/>
      <c r="AOT60" s="218"/>
      <c r="AOU60" s="219"/>
      <c r="AOV60" s="220"/>
      <c r="AOW60" s="220"/>
      <c r="AOX60" s="220"/>
      <c r="AOY60" s="220"/>
      <c r="AOZ60" s="217"/>
      <c r="APA60" s="221"/>
      <c r="APB60" s="216"/>
      <c r="APC60" s="217"/>
      <c r="APD60" s="218"/>
      <c r="APE60" s="219"/>
      <c r="APF60" s="220"/>
      <c r="APG60" s="220"/>
      <c r="APH60" s="220"/>
      <c r="API60" s="220"/>
      <c r="APJ60" s="217"/>
      <c r="APK60" s="221"/>
      <c r="APL60" s="216"/>
      <c r="APM60" s="217"/>
      <c r="APN60" s="218"/>
      <c r="APO60" s="219"/>
      <c r="APP60" s="220"/>
      <c r="APQ60" s="220"/>
      <c r="APR60" s="220"/>
      <c r="APS60" s="220"/>
      <c r="APT60" s="217"/>
      <c r="APU60" s="221"/>
      <c r="APV60" s="216"/>
      <c r="APW60" s="217"/>
      <c r="APX60" s="218"/>
      <c r="APY60" s="219"/>
      <c r="APZ60" s="220"/>
      <c r="AQA60" s="220"/>
      <c r="AQB60" s="220"/>
      <c r="AQC60" s="220"/>
      <c r="AQD60" s="217"/>
      <c r="AQE60" s="221"/>
      <c r="AQF60" s="216"/>
      <c r="AQG60" s="217"/>
      <c r="AQH60" s="218"/>
      <c r="AQI60" s="219"/>
      <c r="AQJ60" s="220"/>
      <c r="AQK60" s="220"/>
      <c r="AQL60" s="220"/>
      <c r="AQM60" s="220"/>
      <c r="AQN60" s="217"/>
      <c r="AQO60" s="221"/>
      <c r="AQP60" s="216"/>
      <c r="AQQ60" s="217"/>
      <c r="AQR60" s="218"/>
      <c r="AQS60" s="219"/>
      <c r="AQT60" s="220"/>
      <c r="AQU60" s="220"/>
      <c r="AQV60" s="220"/>
      <c r="AQW60" s="220"/>
      <c r="AQX60" s="217"/>
      <c r="AQY60" s="221"/>
      <c r="AQZ60" s="216"/>
      <c r="ARA60" s="217"/>
      <c r="ARB60" s="218"/>
      <c r="ARC60" s="219"/>
      <c r="ARD60" s="220"/>
      <c r="ARE60" s="220"/>
      <c r="ARF60" s="220"/>
      <c r="ARG60" s="220"/>
      <c r="ARH60" s="217"/>
      <c r="ARI60" s="221"/>
      <c r="ARJ60" s="216"/>
      <c r="ARK60" s="217"/>
      <c r="ARL60" s="218"/>
      <c r="ARM60" s="219"/>
      <c r="ARN60" s="220"/>
      <c r="ARO60" s="220"/>
      <c r="ARP60" s="220"/>
      <c r="ARQ60" s="220"/>
      <c r="ARR60" s="217"/>
      <c r="ARS60" s="221"/>
      <c r="ART60" s="216"/>
      <c r="ARU60" s="217"/>
      <c r="ARV60" s="218"/>
      <c r="ARW60" s="219"/>
      <c r="ARX60" s="220"/>
      <c r="ARY60" s="220"/>
      <c r="ARZ60" s="220"/>
      <c r="ASA60" s="220"/>
      <c r="ASB60" s="217"/>
      <c r="ASC60" s="221"/>
      <c r="ASD60" s="216"/>
      <c r="ASE60" s="217"/>
      <c r="ASF60" s="218"/>
      <c r="ASG60" s="219"/>
      <c r="ASH60" s="220"/>
      <c r="ASI60" s="220"/>
      <c r="ASJ60" s="220"/>
      <c r="ASK60" s="220"/>
      <c r="ASL60" s="217"/>
      <c r="ASM60" s="221"/>
      <c r="ASN60" s="216"/>
      <c r="ASO60" s="217"/>
      <c r="ASP60" s="218"/>
      <c r="ASQ60" s="219"/>
      <c r="ASR60" s="220"/>
      <c r="ASS60" s="220"/>
      <c r="AST60" s="220"/>
      <c r="ASU60" s="220"/>
      <c r="ASV60" s="217"/>
      <c r="ASW60" s="221"/>
      <c r="ASX60" s="216"/>
      <c r="ASY60" s="217"/>
      <c r="ASZ60" s="218"/>
      <c r="ATA60" s="219"/>
      <c r="ATB60" s="220"/>
      <c r="ATC60" s="220"/>
      <c r="ATD60" s="220"/>
      <c r="ATE60" s="220"/>
      <c r="ATF60" s="217"/>
      <c r="ATG60" s="221"/>
      <c r="ATH60" s="216"/>
      <c r="ATI60" s="217"/>
      <c r="ATJ60" s="218"/>
      <c r="ATK60" s="219"/>
      <c r="ATL60" s="220"/>
      <c r="ATM60" s="220"/>
      <c r="ATN60" s="220"/>
      <c r="ATO60" s="220"/>
      <c r="ATP60" s="217"/>
      <c r="ATQ60" s="221"/>
      <c r="ATR60" s="216"/>
      <c r="ATS60" s="217"/>
      <c r="ATT60" s="218"/>
      <c r="ATU60" s="219"/>
      <c r="ATV60" s="220"/>
      <c r="ATW60" s="220"/>
      <c r="ATX60" s="220"/>
      <c r="ATY60" s="220"/>
      <c r="ATZ60" s="217"/>
      <c r="AUA60" s="221"/>
      <c r="AUB60" s="216"/>
      <c r="AUC60" s="217"/>
      <c r="AUD60" s="218"/>
      <c r="AUE60" s="219"/>
      <c r="AUF60" s="220"/>
      <c r="AUG60" s="220"/>
      <c r="AUH60" s="220"/>
      <c r="AUI60" s="220"/>
      <c r="AUJ60" s="217"/>
      <c r="AUK60" s="221"/>
      <c r="AUL60" s="216"/>
      <c r="AUM60" s="217"/>
      <c r="AUN60" s="218"/>
      <c r="AUO60" s="219"/>
      <c r="AUP60" s="220"/>
      <c r="AUQ60" s="220"/>
      <c r="AUR60" s="220"/>
      <c r="AUS60" s="220"/>
      <c r="AUT60" s="217"/>
      <c r="AUU60" s="221"/>
      <c r="AUV60" s="216"/>
      <c r="AUW60" s="217"/>
      <c r="AUX60" s="218"/>
      <c r="AUY60" s="219"/>
      <c r="AUZ60" s="220"/>
      <c r="AVA60" s="220"/>
      <c r="AVB60" s="220"/>
      <c r="AVC60" s="220"/>
      <c r="AVD60" s="217"/>
      <c r="AVE60" s="221"/>
      <c r="AVF60" s="216"/>
      <c r="AVG60" s="217"/>
      <c r="AVH60" s="218"/>
      <c r="AVI60" s="219"/>
      <c r="AVJ60" s="220"/>
      <c r="AVK60" s="220"/>
      <c r="AVL60" s="220"/>
      <c r="AVM60" s="220"/>
      <c r="AVN60" s="217"/>
      <c r="AVO60" s="221"/>
      <c r="AVP60" s="216"/>
      <c r="AVQ60" s="217"/>
      <c r="AVR60" s="218"/>
      <c r="AVS60" s="219"/>
      <c r="AVT60" s="220"/>
      <c r="AVU60" s="220"/>
      <c r="AVV60" s="220"/>
      <c r="AVW60" s="220"/>
      <c r="AVX60" s="217"/>
      <c r="AVY60" s="221"/>
      <c r="AVZ60" s="216"/>
      <c r="AWA60" s="217"/>
      <c r="AWB60" s="218"/>
      <c r="AWC60" s="219"/>
      <c r="AWD60" s="220"/>
      <c r="AWE60" s="220"/>
      <c r="AWF60" s="220"/>
      <c r="AWG60" s="220"/>
      <c r="AWH60" s="217"/>
      <c r="AWI60" s="221"/>
      <c r="AWJ60" s="216"/>
      <c r="AWK60" s="217"/>
      <c r="AWL60" s="218"/>
      <c r="AWM60" s="219"/>
      <c r="AWN60" s="220"/>
      <c r="AWO60" s="220"/>
      <c r="AWP60" s="220"/>
      <c r="AWQ60" s="220"/>
      <c r="AWR60" s="217"/>
      <c r="AWS60" s="221"/>
      <c r="AWT60" s="216"/>
      <c r="AWU60" s="217"/>
      <c r="AWV60" s="218"/>
      <c r="AWW60" s="219"/>
      <c r="AWX60" s="220"/>
      <c r="AWY60" s="220"/>
      <c r="AWZ60" s="220"/>
      <c r="AXA60" s="220"/>
      <c r="AXB60" s="217"/>
      <c r="AXC60" s="221"/>
      <c r="AXD60" s="216"/>
      <c r="AXE60" s="217"/>
      <c r="AXF60" s="218"/>
      <c r="AXG60" s="219"/>
      <c r="AXH60" s="220"/>
      <c r="AXI60" s="220"/>
      <c r="AXJ60" s="220"/>
      <c r="AXK60" s="220"/>
      <c r="AXL60" s="217"/>
      <c r="AXM60" s="221"/>
      <c r="AXN60" s="216"/>
      <c r="AXO60" s="217"/>
      <c r="AXP60" s="218"/>
      <c r="AXQ60" s="219"/>
      <c r="AXR60" s="220"/>
      <c r="AXS60" s="220"/>
      <c r="AXT60" s="220"/>
      <c r="AXU60" s="220"/>
      <c r="AXV60" s="217"/>
      <c r="AXW60" s="221"/>
      <c r="AXX60" s="216"/>
      <c r="AXY60" s="217"/>
      <c r="AXZ60" s="218"/>
      <c r="AYA60" s="219"/>
      <c r="AYB60" s="220"/>
      <c r="AYC60" s="220"/>
      <c r="AYD60" s="220"/>
      <c r="AYE60" s="220"/>
      <c r="AYF60" s="217"/>
      <c r="AYG60" s="221"/>
      <c r="AYH60" s="216"/>
      <c r="AYI60" s="217"/>
      <c r="AYJ60" s="218"/>
      <c r="AYK60" s="219"/>
      <c r="AYL60" s="220"/>
      <c r="AYM60" s="220"/>
      <c r="AYN60" s="220"/>
      <c r="AYO60" s="220"/>
      <c r="AYP60" s="217"/>
      <c r="AYQ60" s="221"/>
      <c r="AYR60" s="216"/>
      <c r="AYS60" s="217"/>
      <c r="AYT60" s="218"/>
      <c r="AYU60" s="219"/>
      <c r="AYV60" s="220"/>
      <c r="AYW60" s="220"/>
      <c r="AYX60" s="220"/>
      <c r="AYY60" s="220"/>
      <c r="AYZ60" s="217"/>
      <c r="AZA60" s="221"/>
      <c r="AZB60" s="216"/>
      <c r="AZC60" s="217"/>
      <c r="AZD60" s="218"/>
      <c r="AZE60" s="219"/>
      <c r="AZF60" s="220"/>
      <c r="AZG60" s="220"/>
      <c r="AZH60" s="220"/>
      <c r="AZI60" s="220"/>
      <c r="AZJ60" s="217"/>
      <c r="AZK60" s="221"/>
      <c r="AZL60" s="216"/>
      <c r="AZM60" s="217"/>
      <c r="AZN60" s="218"/>
      <c r="AZO60" s="219"/>
      <c r="AZP60" s="220"/>
      <c r="AZQ60" s="220"/>
      <c r="AZR60" s="220"/>
      <c r="AZS60" s="220"/>
      <c r="AZT60" s="217"/>
      <c r="AZU60" s="221"/>
      <c r="AZV60" s="216"/>
      <c r="AZW60" s="217"/>
      <c r="AZX60" s="218"/>
      <c r="AZY60" s="219"/>
      <c r="AZZ60" s="220"/>
      <c r="BAA60" s="220"/>
      <c r="BAB60" s="220"/>
      <c r="BAC60" s="220"/>
      <c r="BAD60" s="217"/>
      <c r="BAE60" s="221"/>
      <c r="BAF60" s="216"/>
      <c r="BAG60" s="217"/>
      <c r="BAH60" s="218"/>
      <c r="BAI60" s="219"/>
      <c r="BAJ60" s="220"/>
      <c r="BAK60" s="220"/>
      <c r="BAL60" s="220"/>
      <c r="BAM60" s="220"/>
      <c r="BAN60" s="217"/>
      <c r="BAO60" s="221"/>
      <c r="BAP60" s="216"/>
      <c r="BAQ60" s="217"/>
      <c r="BAR60" s="218"/>
      <c r="BAS60" s="219"/>
      <c r="BAT60" s="220"/>
      <c r="BAU60" s="220"/>
      <c r="BAV60" s="220"/>
      <c r="BAW60" s="220"/>
      <c r="BAX60" s="217"/>
      <c r="BAY60" s="221"/>
      <c r="BAZ60" s="216"/>
      <c r="BBA60" s="217"/>
      <c r="BBB60" s="218"/>
      <c r="BBC60" s="219"/>
      <c r="BBD60" s="220"/>
      <c r="BBE60" s="220"/>
      <c r="BBF60" s="220"/>
      <c r="BBG60" s="220"/>
      <c r="BBH60" s="217"/>
      <c r="BBI60" s="221"/>
      <c r="BBJ60" s="216"/>
      <c r="BBK60" s="217"/>
      <c r="BBL60" s="218"/>
      <c r="BBM60" s="219"/>
      <c r="BBN60" s="220"/>
      <c r="BBO60" s="220"/>
      <c r="BBP60" s="220"/>
      <c r="BBQ60" s="220"/>
      <c r="BBR60" s="217"/>
      <c r="BBS60" s="221"/>
      <c r="BBT60" s="216"/>
      <c r="BBU60" s="217"/>
      <c r="BBV60" s="218"/>
      <c r="BBW60" s="219"/>
      <c r="BBX60" s="220"/>
      <c r="BBY60" s="220"/>
      <c r="BBZ60" s="220"/>
      <c r="BCA60" s="220"/>
      <c r="BCB60" s="217"/>
      <c r="BCC60" s="221"/>
      <c r="BCD60" s="216"/>
      <c r="BCE60" s="217"/>
      <c r="BCF60" s="218"/>
      <c r="BCG60" s="219"/>
      <c r="BCH60" s="220"/>
      <c r="BCI60" s="220"/>
      <c r="BCJ60" s="220"/>
      <c r="BCK60" s="220"/>
      <c r="BCL60" s="217"/>
      <c r="BCM60" s="221"/>
      <c r="BCN60" s="216"/>
      <c r="BCO60" s="217"/>
      <c r="BCP60" s="218"/>
      <c r="BCQ60" s="219"/>
      <c r="BCR60" s="220"/>
      <c r="BCS60" s="220"/>
      <c r="BCT60" s="220"/>
      <c r="BCU60" s="220"/>
      <c r="BCV60" s="217"/>
      <c r="BCW60" s="221"/>
      <c r="BCX60" s="216"/>
      <c r="BCY60" s="217"/>
      <c r="BCZ60" s="218"/>
      <c r="BDA60" s="219"/>
      <c r="BDB60" s="220"/>
      <c r="BDC60" s="220"/>
      <c r="BDD60" s="220"/>
      <c r="BDE60" s="220"/>
      <c r="BDF60" s="217"/>
      <c r="BDG60" s="221"/>
      <c r="BDH60" s="216"/>
      <c r="BDI60" s="217"/>
      <c r="BDJ60" s="218"/>
      <c r="BDK60" s="219"/>
      <c r="BDL60" s="220"/>
      <c r="BDM60" s="220"/>
      <c r="BDN60" s="220"/>
      <c r="BDO60" s="220"/>
      <c r="BDP60" s="217"/>
      <c r="BDQ60" s="221"/>
      <c r="BDR60" s="216"/>
      <c r="BDS60" s="217"/>
      <c r="BDT60" s="218"/>
      <c r="BDU60" s="219"/>
      <c r="BDV60" s="220"/>
      <c r="BDW60" s="220"/>
      <c r="BDX60" s="220"/>
      <c r="BDY60" s="220"/>
      <c r="BDZ60" s="217"/>
      <c r="BEA60" s="221"/>
      <c r="BEB60" s="216"/>
      <c r="BEC60" s="217"/>
      <c r="BED60" s="218"/>
      <c r="BEE60" s="219"/>
      <c r="BEF60" s="220"/>
      <c r="BEG60" s="220"/>
      <c r="BEH60" s="220"/>
      <c r="BEI60" s="220"/>
      <c r="BEJ60" s="217"/>
      <c r="BEK60" s="221"/>
      <c r="BEL60" s="216"/>
      <c r="BEM60" s="217"/>
      <c r="BEN60" s="218"/>
      <c r="BEO60" s="219"/>
      <c r="BEP60" s="220"/>
      <c r="BEQ60" s="220"/>
      <c r="BER60" s="220"/>
      <c r="BES60" s="220"/>
      <c r="BET60" s="217"/>
      <c r="BEU60" s="221"/>
      <c r="BEV60" s="216"/>
      <c r="BEW60" s="217"/>
      <c r="BEX60" s="218"/>
      <c r="BEY60" s="219"/>
      <c r="BEZ60" s="220"/>
      <c r="BFA60" s="220"/>
      <c r="BFB60" s="220"/>
      <c r="BFC60" s="220"/>
      <c r="BFD60" s="217"/>
      <c r="BFE60" s="221"/>
      <c r="BFF60" s="216"/>
      <c r="BFG60" s="217"/>
      <c r="BFH60" s="218"/>
      <c r="BFI60" s="219"/>
      <c r="BFJ60" s="220"/>
      <c r="BFK60" s="220"/>
      <c r="BFL60" s="220"/>
      <c r="BFM60" s="220"/>
      <c r="BFN60" s="217"/>
      <c r="BFO60" s="221"/>
      <c r="BFP60" s="216"/>
      <c r="BFQ60" s="217"/>
      <c r="BFR60" s="218"/>
      <c r="BFS60" s="219"/>
      <c r="BFT60" s="220"/>
      <c r="BFU60" s="220"/>
      <c r="BFV60" s="220"/>
      <c r="BFW60" s="220"/>
      <c r="BFX60" s="217"/>
      <c r="BFY60" s="221"/>
      <c r="BFZ60" s="216"/>
      <c r="BGA60" s="217"/>
      <c r="BGB60" s="218"/>
      <c r="BGC60" s="219"/>
      <c r="BGD60" s="220"/>
      <c r="BGE60" s="220"/>
      <c r="BGF60" s="220"/>
      <c r="BGG60" s="220"/>
      <c r="BGH60" s="217"/>
      <c r="BGI60" s="221"/>
      <c r="BGJ60" s="216"/>
      <c r="BGK60" s="217"/>
      <c r="BGL60" s="218"/>
      <c r="BGM60" s="219"/>
      <c r="BGN60" s="220"/>
      <c r="BGO60" s="220"/>
      <c r="BGP60" s="220"/>
      <c r="BGQ60" s="220"/>
      <c r="BGR60" s="217"/>
      <c r="BGS60" s="221"/>
      <c r="BGT60" s="216"/>
      <c r="BGU60" s="217"/>
      <c r="BGV60" s="218"/>
      <c r="BGW60" s="219"/>
      <c r="BGX60" s="220"/>
      <c r="BGY60" s="220"/>
      <c r="BGZ60" s="220"/>
      <c r="BHA60" s="220"/>
      <c r="BHB60" s="217"/>
      <c r="BHC60" s="221"/>
      <c r="BHD60" s="216"/>
      <c r="BHE60" s="217"/>
      <c r="BHF60" s="218"/>
      <c r="BHG60" s="219"/>
      <c r="BHH60" s="220"/>
      <c r="BHI60" s="220"/>
      <c r="BHJ60" s="220"/>
      <c r="BHK60" s="220"/>
      <c r="BHL60" s="217"/>
      <c r="BHM60" s="221"/>
      <c r="BHN60" s="216"/>
      <c r="BHO60" s="217"/>
      <c r="BHP60" s="218"/>
      <c r="BHQ60" s="219"/>
      <c r="BHR60" s="220"/>
      <c r="BHS60" s="220"/>
      <c r="BHT60" s="220"/>
      <c r="BHU60" s="220"/>
      <c r="BHV60" s="217"/>
      <c r="BHW60" s="221"/>
      <c r="BHX60" s="216"/>
      <c r="BHY60" s="217"/>
      <c r="BHZ60" s="218"/>
      <c r="BIA60" s="219"/>
      <c r="BIB60" s="220"/>
      <c r="BIC60" s="220"/>
      <c r="BID60" s="220"/>
      <c r="BIE60" s="220"/>
      <c r="BIF60" s="217"/>
      <c r="BIG60" s="221"/>
      <c r="BIH60" s="216"/>
      <c r="BII60" s="217"/>
      <c r="BIJ60" s="218"/>
      <c r="BIK60" s="219"/>
      <c r="BIL60" s="220"/>
      <c r="BIM60" s="220"/>
      <c r="BIN60" s="220"/>
      <c r="BIO60" s="220"/>
      <c r="BIP60" s="217"/>
      <c r="BIQ60" s="221"/>
      <c r="BIR60" s="216"/>
      <c r="BIS60" s="217"/>
      <c r="BIT60" s="218"/>
      <c r="BIU60" s="219"/>
      <c r="BIV60" s="220"/>
      <c r="BIW60" s="220"/>
      <c r="BIX60" s="220"/>
      <c r="BIY60" s="220"/>
      <c r="BIZ60" s="217"/>
      <c r="BJA60" s="221"/>
      <c r="BJB60" s="216"/>
      <c r="BJC60" s="217"/>
      <c r="BJD60" s="218"/>
      <c r="BJE60" s="219"/>
      <c r="BJF60" s="220"/>
      <c r="BJG60" s="220"/>
      <c r="BJH60" s="220"/>
      <c r="BJI60" s="220"/>
      <c r="BJJ60" s="217"/>
      <c r="BJK60" s="221"/>
      <c r="BJL60" s="216"/>
      <c r="BJM60" s="217"/>
      <c r="BJN60" s="218"/>
      <c r="BJO60" s="219"/>
      <c r="BJP60" s="220"/>
      <c r="BJQ60" s="220"/>
      <c r="BJR60" s="220"/>
      <c r="BJS60" s="220"/>
      <c r="BJT60" s="217"/>
      <c r="BJU60" s="221"/>
      <c r="BJV60" s="216"/>
      <c r="BJW60" s="217"/>
      <c r="BJX60" s="218"/>
      <c r="BJY60" s="219"/>
      <c r="BJZ60" s="220"/>
      <c r="BKA60" s="220"/>
      <c r="BKB60" s="220"/>
      <c r="BKC60" s="220"/>
      <c r="BKD60" s="217"/>
      <c r="BKE60" s="221"/>
      <c r="BKF60" s="216"/>
      <c r="BKG60" s="217"/>
      <c r="BKH60" s="218"/>
      <c r="BKI60" s="219"/>
      <c r="BKJ60" s="220"/>
      <c r="BKK60" s="220"/>
      <c r="BKL60" s="220"/>
      <c r="BKM60" s="220"/>
      <c r="BKN60" s="217"/>
      <c r="BKO60" s="221"/>
      <c r="BKP60" s="216"/>
      <c r="BKQ60" s="217"/>
      <c r="BKR60" s="218"/>
      <c r="BKS60" s="219"/>
      <c r="BKT60" s="220"/>
      <c r="BKU60" s="220"/>
      <c r="BKV60" s="220"/>
      <c r="BKW60" s="220"/>
      <c r="BKX60" s="217"/>
      <c r="BKY60" s="221"/>
      <c r="BKZ60" s="216"/>
      <c r="BLA60" s="217"/>
      <c r="BLB60" s="218"/>
      <c r="BLC60" s="219"/>
      <c r="BLD60" s="220"/>
      <c r="BLE60" s="220"/>
      <c r="BLF60" s="220"/>
      <c r="BLG60" s="220"/>
      <c r="BLH60" s="217"/>
      <c r="BLI60" s="221"/>
      <c r="BLJ60" s="216"/>
      <c r="BLK60" s="217"/>
      <c r="BLL60" s="218"/>
      <c r="BLM60" s="219"/>
      <c r="BLN60" s="220"/>
      <c r="BLO60" s="220"/>
      <c r="BLP60" s="220"/>
      <c r="BLQ60" s="220"/>
      <c r="BLR60" s="217"/>
      <c r="BLS60" s="221"/>
      <c r="BLT60" s="216"/>
      <c r="BLU60" s="217"/>
      <c r="BLV60" s="218"/>
      <c r="BLW60" s="219"/>
      <c r="BLX60" s="220"/>
      <c r="BLY60" s="220"/>
      <c r="BLZ60" s="220"/>
      <c r="BMA60" s="220"/>
      <c r="BMB60" s="217"/>
      <c r="BMC60" s="221"/>
      <c r="BMD60" s="216"/>
      <c r="BME60" s="217"/>
      <c r="BMF60" s="218"/>
      <c r="BMG60" s="219"/>
      <c r="BMH60" s="220"/>
      <c r="BMI60" s="220"/>
      <c r="BMJ60" s="220"/>
      <c r="BMK60" s="220"/>
      <c r="BML60" s="217"/>
      <c r="BMM60" s="221"/>
      <c r="BMN60" s="216"/>
      <c r="BMO60" s="217"/>
      <c r="BMP60" s="218"/>
      <c r="BMQ60" s="219"/>
      <c r="BMR60" s="220"/>
      <c r="BMS60" s="220"/>
      <c r="BMT60" s="220"/>
      <c r="BMU60" s="220"/>
      <c r="BMV60" s="217"/>
      <c r="BMW60" s="221"/>
      <c r="BMX60" s="216"/>
      <c r="BMY60" s="217"/>
      <c r="BMZ60" s="218"/>
      <c r="BNA60" s="219"/>
      <c r="BNB60" s="220"/>
      <c r="BNC60" s="220"/>
      <c r="BND60" s="220"/>
      <c r="BNE60" s="220"/>
      <c r="BNF60" s="217"/>
      <c r="BNG60" s="221"/>
      <c r="BNH60" s="216"/>
      <c r="BNI60" s="217"/>
      <c r="BNJ60" s="218"/>
      <c r="BNK60" s="219"/>
      <c r="BNL60" s="220"/>
      <c r="BNM60" s="220"/>
      <c r="BNN60" s="220"/>
      <c r="BNO60" s="220"/>
      <c r="BNP60" s="217"/>
      <c r="BNQ60" s="221"/>
      <c r="BNR60" s="216"/>
      <c r="BNS60" s="217"/>
      <c r="BNT60" s="218"/>
      <c r="BNU60" s="219"/>
      <c r="BNV60" s="220"/>
      <c r="BNW60" s="220"/>
      <c r="BNX60" s="220"/>
      <c r="BNY60" s="220"/>
      <c r="BNZ60" s="217"/>
      <c r="BOA60" s="221"/>
      <c r="BOB60" s="216"/>
      <c r="BOC60" s="217"/>
      <c r="BOD60" s="218"/>
      <c r="BOE60" s="219"/>
      <c r="BOF60" s="220"/>
      <c r="BOG60" s="220"/>
      <c r="BOH60" s="220"/>
      <c r="BOI60" s="220"/>
      <c r="BOJ60" s="217"/>
      <c r="BOK60" s="221"/>
      <c r="BOL60" s="216"/>
      <c r="BOM60" s="217"/>
      <c r="BON60" s="218"/>
      <c r="BOO60" s="219"/>
      <c r="BOP60" s="220"/>
      <c r="BOQ60" s="220"/>
      <c r="BOR60" s="220"/>
      <c r="BOS60" s="220"/>
      <c r="BOT60" s="217"/>
      <c r="BOU60" s="221"/>
      <c r="BOV60" s="216"/>
      <c r="BOW60" s="217"/>
      <c r="BOX60" s="218"/>
      <c r="BOY60" s="219"/>
      <c r="BOZ60" s="220"/>
      <c r="BPA60" s="220"/>
      <c r="BPB60" s="220"/>
      <c r="BPC60" s="220"/>
      <c r="BPD60" s="217"/>
      <c r="BPE60" s="221"/>
      <c r="BPF60" s="216"/>
      <c r="BPG60" s="217"/>
      <c r="BPH60" s="218"/>
      <c r="BPI60" s="219"/>
      <c r="BPJ60" s="220"/>
      <c r="BPK60" s="220"/>
      <c r="BPL60" s="220"/>
      <c r="BPM60" s="220"/>
      <c r="BPN60" s="217"/>
      <c r="BPO60" s="221"/>
      <c r="BPP60" s="216"/>
      <c r="BPQ60" s="217"/>
      <c r="BPR60" s="218"/>
      <c r="BPS60" s="219"/>
      <c r="BPT60" s="220"/>
      <c r="BPU60" s="220"/>
      <c r="BPV60" s="220"/>
      <c r="BPW60" s="220"/>
      <c r="BPX60" s="217"/>
      <c r="BPY60" s="221"/>
      <c r="BPZ60" s="216"/>
      <c r="BQA60" s="217"/>
      <c r="BQB60" s="218"/>
      <c r="BQC60" s="219"/>
      <c r="BQD60" s="220"/>
      <c r="BQE60" s="220"/>
      <c r="BQF60" s="220"/>
      <c r="BQG60" s="220"/>
      <c r="BQH60" s="217"/>
      <c r="BQI60" s="221"/>
      <c r="BQJ60" s="216"/>
      <c r="BQK60" s="217"/>
      <c r="BQL60" s="218"/>
      <c r="BQM60" s="219"/>
      <c r="BQN60" s="220"/>
      <c r="BQO60" s="220"/>
      <c r="BQP60" s="220"/>
      <c r="BQQ60" s="220"/>
      <c r="BQR60" s="217"/>
      <c r="BQS60" s="221"/>
      <c r="BQT60" s="216"/>
      <c r="BQU60" s="217"/>
      <c r="BQV60" s="218"/>
      <c r="BQW60" s="219"/>
      <c r="BQX60" s="220"/>
      <c r="BQY60" s="220"/>
      <c r="BQZ60" s="220"/>
      <c r="BRA60" s="220"/>
      <c r="BRB60" s="217"/>
      <c r="BRC60" s="221"/>
      <c r="BRD60" s="216"/>
      <c r="BRE60" s="217"/>
      <c r="BRF60" s="218"/>
      <c r="BRG60" s="219"/>
      <c r="BRH60" s="220"/>
      <c r="BRI60" s="220"/>
      <c r="BRJ60" s="220"/>
      <c r="BRK60" s="220"/>
      <c r="BRL60" s="217"/>
      <c r="BRM60" s="221"/>
      <c r="BRN60" s="216"/>
      <c r="BRO60" s="217"/>
      <c r="BRP60" s="218"/>
      <c r="BRQ60" s="219"/>
      <c r="BRR60" s="220"/>
      <c r="BRS60" s="220"/>
      <c r="BRT60" s="220"/>
      <c r="BRU60" s="220"/>
      <c r="BRV60" s="217"/>
      <c r="BRW60" s="221"/>
      <c r="BRX60" s="216"/>
      <c r="BRY60" s="217"/>
      <c r="BRZ60" s="218"/>
      <c r="BSA60" s="219"/>
      <c r="BSB60" s="220"/>
      <c r="BSC60" s="220"/>
      <c r="BSD60" s="220"/>
      <c r="BSE60" s="220"/>
      <c r="BSF60" s="217"/>
      <c r="BSG60" s="221"/>
      <c r="BSH60" s="216"/>
      <c r="BSI60" s="217"/>
      <c r="BSJ60" s="218"/>
      <c r="BSK60" s="219"/>
      <c r="BSL60" s="220"/>
      <c r="BSM60" s="220"/>
      <c r="BSN60" s="220"/>
      <c r="BSO60" s="220"/>
      <c r="BSP60" s="217"/>
      <c r="BSQ60" s="221"/>
      <c r="BSR60" s="216"/>
      <c r="BSS60" s="217"/>
      <c r="BST60" s="218"/>
      <c r="BSU60" s="219"/>
      <c r="BSV60" s="220"/>
      <c r="BSW60" s="220"/>
      <c r="BSX60" s="220"/>
      <c r="BSY60" s="220"/>
      <c r="BSZ60" s="217"/>
      <c r="BTA60" s="221"/>
      <c r="BTB60" s="216"/>
      <c r="BTC60" s="217"/>
      <c r="BTD60" s="218"/>
      <c r="BTE60" s="219"/>
      <c r="BTF60" s="220"/>
      <c r="BTG60" s="220"/>
      <c r="BTH60" s="220"/>
      <c r="BTI60" s="220"/>
      <c r="BTJ60" s="217"/>
      <c r="BTK60" s="221"/>
      <c r="BTL60" s="216"/>
      <c r="BTM60" s="217"/>
      <c r="BTN60" s="218"/>
      <c r="BTO60" s="219"/>
      <c r="BTP60" s="220"/>
      <c r="BTQ60" s="220"/>
      <c r="BTR60" s="220"/>
      <c r="BTS60" s="220"/>
      <c r="BTT60" s="217"/>
      <c r="BTU60" s="221"/>
      <c r="BTV60" s="216"/>
      <c r="BTW60" s="217"/>
      <c r="BTX60" s="218"/>
      <c r="BTY60" s="219"/>
      <c r="BTZ60" s="220"/>
      <c r="BUA60" s="220"/>
      <c r="BUB60" s="220"/>
      <c r="BUC60" s="220"/>
      <c r="BUD60" s="217"/>
      <c r="BUE60" s="221"/>
      <c r="BUF60" s="216"/>
      <c r="BUG60" s="217"/>
      <c r="BUH60" s="218"/>
      <c r="BUI60" s="219"/>
      <c r="BUJ60" s="220"/>
      <c r="BUK60" s="220"/>
      <c r="BUL60" s="220"/>
      <c r="BUM60" s="220"/>
      <c r="BUN60" s="217"/>
      <c r="BUO60" s="221"/>
      <c r="BUP60" s="216"/>
      <c r="BUQ60" s="217"/>
      <c r="BUR60" s="218"/>
      <c r="BUS60" s="219"/>
      <c r="BUT60" s="220"/>
      <c r="BUU60" s="220"/>
      <c r="BUV60" s="220"/>
      <c r="BUW60" s="220"/>
      <c r="BUX60" s="217"/>
      <c r="BUY60" s="221"/>
      <c r="BUZ60" s="216"/>
      <c r="BVA60" s="217"/>
      <c r="BVB60" s="218"/>
      <c r="BVC60" s="219"/>
      <c r="BVD60" s="220"/>
      <c r="BVE60" s="220"/>
      <c r="BVF60" s="220"/>
      <c r="BVG60" s="220"/>
      <c r="BVH60" s="217"/>
      <c r="BVI60" s="221"/>
      <c r="BVJ60" s="216"/>
      <c r="BVK60" s="217"/>
      <c r="BVL60" s="218"/>
      <c r="BVM60" s="219"/>
      <c r="BVN60" s="220"/>
      <c r="BVO60" s="220"/>
      <c r="BVP60" s="220"/>
      <c r="BVQ60" s="220"/>
      <c r="BVR60" s="217"/>
      <c r="BVS60" s="221"/>
      <c r="BVT60" s="216"/>
      <c r="BVU60" s="217"/>
      <c r="BVV60" s="218"/>
      <c r="BVW60" s="219"/>
      <c r="BVX60" s="220"/>
      <c r="BVY60" s="220"/>
      <c r="BVZ60" s="220"/>
      <c r="BWA60" s="220"/>
      <c r="BWB60" s="217"/>
      <c r="BWC60" s="221"/>
      <c r="BWD60" s="216"/>
      <c r="BWE60" s="217"/>
      <c r="BWF60" s="218"/>
      <c r="BWG60" s="219"/>
      <c r="BWH60" s="220"/>
      <c r="BWI60" s="220"/>
      <c r="BWJ60" s="220"/>
      <c r="BWK60" s="220"/>
      <c r="BWL60" s="217"/>
      <c r="BWM60" s="221"/>
      <c r="BWN60" s="216"/>
      <c r="BWO60" s="217"/>
      <c r="BWP60" s="218"/>
      <c r="BWQ60" s="219"/>
      <c r="BWR60" s="220"/>
      <c r="BWS60" s="220"/>
      <c r="BWT60" s="220"/>
      <c r="BWU60" s="220"/>
      <c r="BWV60" s="217"/>
      <c r="BWW60" s="221"/>
      <c r="BWX60" s="216"/>
      <c r="BWY60" s="217"/>
      <c r="BWZ60" s="218"/>
      <c r="BXA60" s="219"/>
      <c r="BXB60" s="220"/>
      <c r="BXC60" s="220"/>
      <c r="BXD60" s="220"/>
      <c r="BXE60" s="220"/>
      <c r="BXF60" s="217"/>
      <c r="BXG60" s="221"/>
      <c r="BXH60" s="216"/>
      <c r="BXI60" s="217"/>
      <c r="BXJ60" s="218"/>
      <c r="BXK60" s="219"/>
      <c r="BXL60" s="220"/>
      <c r="BXM60" s="220"/>
      <c r="BXN60" s="220"/>
      <c r="BXO60" s="220"/>
      <c r="BXP60" s="217"/>
      <c r="BXQ60" s="221"/>
      <c r="BXR60" s="216"/>
      <c r="BXS60" s="217"/>
      <c r="BXT60" s="218"/>
      <c r="BXU60" s="219"/>
      <c r="BXV60" s="220"/>
      <c r="BXW60" s="220"/>
      <c r="BXX60" s="220"/>
      <c r="BXY60" s="220"/>
      <c r="BXZ60" s="217"/>
      <c r="BYA60" s="221"/>
      <c r="BYB60" s="216"/>
      <c r="BYC60" s="217"/>
      <c r="BYD60" s="218"/>
      <c r="BYE60" s="219"/>
      <c r="BYF60" s="220"/>
      <c r="BYG60" s="220"/>
      <c r="BYH60" s="220"/>
      <c r="BYI60" s="220"/>
      <c r="BYJ60" s="217"/>
      <c r="BYK60" s="221"/>
      <c r="BYL60" s="216"/>
      <c r="BYM60" s="217"/>
      <c r="BYN60" s="218"/>
      <c r="BYO60" s="219"/>
      <c r="BYP60" s="220"/>
      <c r="BYQ60" s="220"/>
      <c r="BYR60" s="220"/>
      <c r="BYS60" s="220"/>
      <c r="BYT60" s="217"/>
      <c r="BYU60" s="221"/>
      <c r="BYV60" s="216"/>
      <c r="BYW60" s="217"/>
      <c r="BYX60" s="218"/>
      <c r="BYY60" s="219"/>
      <c r="BYZ60" s="220"/>
      <c r="BZA60" s="220"/>
      <c r="BZB60" s="220"/>
      <c r="BZC60" s="220"/>
      <c r="BZD60" s="217"/>
      <c r="BZE60" s="221"/>
      <c r="BZF60" s="216"/>
      <c r="BZG60" s="217"/>
      <c r="BZH60" s="218"/>
      <c r="BZI60" s="219"/>
      <c r="BZJ60" s="220"/>
      <c r="BZK60" s="220"/>
      <c r="BZL60" s="220"/>
      <c r="BZM60" s="220"/>
      <c r="BZN60" s="217"/>
      <c r="BZO60" s="221"/>
      <c r="BZP60" s="216"/>
      <c r="BZQ60" s="217"/>
      <c r="BZR60" s="218"/>
      <c r="BZS60" s="219"/>
      <c r="BZT60" s="220"/>
      <c r="BZU60" s="220"/>
      <c r="BZV60" s="220"/>
      <c r="BZW60" s="220"/>
      <c r="BZX60" s="217"/>
      <c r="BZY60" s="221"/>
      <c r="BZZ60" s="216"/>
      <c r="CAA60" s="217"/>
      <c r="CAB60" s="218"/>
      <c r="CAC60" s="219"/>
      <c r="CAD60" s="220"/>
      <c r="CAE60" s="220"/>
      <c r="CAF60" s="220"/>
      <c r="CAG60" s="220"/>
      <c r="CAH60" s="217"/>
      <c r="CAI60" s="221"/>
      <c r="CAJ60" s="216"/>
      <c r="CAK60" s="217"/>
      <c r="CAL60" s="218"/>
      <c r="CAM60" s="219"/>
      <c r="CAN60" s="220"/>
      <c r="CAO60" s="220"/>
      <c r="CAP60" s="220"/>
      <c r="CAQ60" s="220"/>
      <c r="CAR60" s="217"/>
      <c r="CAS60" s="221"/>
      <c r="CAT60" s="216"/>
      <c r="CAU60" s="217"/>
      <c r="CAV60" s="218"/>
      <c r="CAW60" s="219"/>
      <c r="CAX60" s="220"/>
      <c r="CAY60" s="220"/>
      <c r="CAZ60" s="220"/>
      <c r="CBA60" s="220"/>
      <c r="CBB60" s="217"/>
      <c r="CBC60" s="221"/>
      <c r="CBD60" s="216"/>
      <c r="CBE60" s="217"/>
      <c r="CBF60" s="218"/>
      <c r="CBG60" s="219"/>
      <c r="CBH60" s="220"/>
      <c r="CBI60" s="220"/>
      <c r="CBJ60" s="220"/>
      <c r="CBK60" s="220"/>
      <c r="CBL60" s="217"/>
      <c r="CBM60" s="221"/>
      <c r="CBN60" s="216"/>
      <c r="CBO60" s="217"/>
      <c r="CBP60" s="218"/>
      <c r="CBQ60" s="219"/>
      <c r="CBR60" s="220"/>
      <c r="CBS60" s="220"/>
      <c r="CBT60" s="220"/>
      <c r="CBU60" s="220"/>
      <c r="CBV60" s="217"/>
      <c r="CBW60" s="221"/>
      <c r="CBX60" s="216"/>
      <c r="CBY60" s="217"/>
      <c r="CBZ60" s="218"/>
      <c r="CCA60" s="219"/>
      <c r="CCB60" s="220"/>
      <c r="CCC60" s="220"/>
      <c r="CCD60" s="220"/>
      <c r="CCE60" s="220"/>
      <c r="CCF60" s="217"/>
      <c r="CCG60" s="221"/>
      <c r="CCH60" s="216"/>
      <c r="CCI60" s="217"/>
      <c r="CCJ60" s="218"/>
      <c r="CCK60" s="219"/>
      <c r="CCL60" s="220"/>
      <c r="CCM60" s="220"/>
      <c r="CCN60" s="220"/>
      <c r="CCO60" s="220"/>
      <c r="CCP60" s="217"/>
      <c r="CCQ60" s="221"/>
      <c r="CCR60" s="216"/>
      <c r="CCS60" s="217"/>
      <c r="CCT60" s="218"/>
      <c r="CCU60" s="219"/>
      <c r="CCV60" s="220"/>
      <c r="CCW60" s="220"/>
      <c r="CCX60" s="220"/>
      <c r="CCY60" s="220"/>
      <c r="CCZ60" s="217"/>
      <c r="CDA60" s="221"/>
      <c r="CDB60" s="216"/>
      <c r="CDC60" s="217"/>
      <c r="CDD60" s="218"/>
      <c r="CDE60" s="219"/>
      <c r="CDF60" s="220"/>
      <c r="CDG60" s="220"/>
      <c r="CDH60" s="220"/>
      <c r="CDI60" s="220"/>
      <c r="CDJ60" s="217"/>
      <c r="CDK60" s="221"/>
      <c r="CDL60" s="216"/>
      <c r="CDM60" s="217"/>
      <c r="CDN60" s="218"/>
      <c r="CDO60" s="219"/>
      <c r="CDP60" s="220"/>
      <c r="CDQ60" s="220"/>
      <c r="CDR60" s="220"/>
      <c r="CDS60" s="220"/>
      <c r="CDT60" s="217"/>
      <c r="CDU60" s="221"/>
      <c r="CDV60" s="216"/>
      <c r="CDW60" s="217"/>
      <c r="CDX60" s="218"/>
      <c r="CDY60" s="219"/>
      <c r="CDZ60" s="220"/>
      <c r="CEA60" s="220"/>
      <c r="CEB60" s="220"/>
      <c r="CEC60" s="220"/>
      <c r="CED60" s="217"/>
      <c r="CEE60" s="221"/>
      <c r="CEF60" s="216"/>
      <c r="CEG60" s="217"/>
      <c r="CEH60" s="218"/>
      <c r="CEI60" s="219"/>
      <c r="CEJ60" s="220"/>
      <c r="CEK60" s="220"/>
      <c r="CEL60" s="220"/>
      <c r="CEM60" s="220"/>
      <c r="CEN60" s="217"/>
      <c r="CEO60" s="221"/>
      <c r="CEP60" s="216"/>
      <c r="CEQ60" s="217"/>
      <c r="CER60" s="218"/>
      <c r="CES60" s="219"/>
      <c r="CET60" s="220"/>
      <c r="CEU60" s="220"/>
      <c r="CEV60" s="220"/>
      <c r="CEW60" s="220"/>
      <c r="CEX60" s="217"/>
      <c r="CEY60" s="221"/>
      <c r="CEZ60" s="216"/>
      <c r="CFA60" s="217"/>
      <c r="CFB60" s="218"/>
      <c r="CFC60" s="219"/>
      <c r="CFD60" s="220"/>
      <c r="CFE60" s="220"/>
      <c r="CFF60" s="220"/>
      <c r="CFG60" s="220"/>
      <c r="CFH60" s="217"/>
      <c r="CFI60" s="221"/>
      <c r="CFJ60" s="216"/>
      <c r="CFK60" s="217"/>
      <c r="CFL60" s="218"/>
      <c r="CFM60" s="219"/>
      <c r="CFN60" s="220"/>
      <c r="CFO60" s="220"/>
      <c r="CFP60" s="220"/>
      <c r="CFQ60" s="220"/>
      <c r="CFR60" s="217"/>
      <c r="CFS60" s="221"/>
      <c r="CFT60" s="216"/>
      <c r="CFU60" s="217"/>
      <c r="CFV60" s="218"/>
      <c r="CFW60" s="219"/>
      <c r="CFX60" s="220"/>
      <c r="CFY60" s="220"/>
      <c r="CFZ60" s="220"/>
      <c r="CGA60" s="220"/>
      <c r="CGB60" s="217"/>
      <c r="CGC60" s="221"/>
      <c r="CGD60" s="216"/>
      <c r="CGE60" s="217"/>
      <c r="CGF60" s="218"/>
      <c r="CGG60" s="219"/>
      <c r="CGH60" s="220"/>
      <c r="CGI60" s="220"/>
      <c r="CGJ60" s="220"/>
      <c r="CGK60" s="220"/>
      <c r="CGL60" s="217"/>
      <c r="CGM60" s="221"/>
      <c r="CGN60" s="216"/>
      <c r="CGO60" s="217"/>
      <c r="CGP60" s="218"/>
      <c r="CGQ60" s="219"/>
      <c r="CGR60" s="220"/>
      <c r="CGS60" s="220"/>
      <c r="CGT60" s="220"/>
      <c r="CGU60" s="220"/>
      <c r="CGV60" s="217"/>
      <c r="CGW60" s="221"/>
      <c r="CGX60" s="216"/>
      <c r="CGY60" s="217"/>
      <c r="CGZ60" s="218"/>
      <c r="CHA60" s="219"/>
      <c r="CHB60" s="220"/>
      <c r="CHC60" s="220"/>
      <c r="CHD60" s="220"/>
      <c r="CHE60" s="220"/>
      <c r="CHF60" s="217"/>
      <c r="CHG60" s="221"/>
      <c r="CHH60" s="216"/>
      <c r="CHI60" s="217"/>
      <c r="CHJ60" s="218"/>
      <c r="CHK60" s="219"/>
      <c r="CHL60" s="220"/>
      <c r="CHM60" s="220"/>
      <c r="CHN60" s="220"/>
      <c r="CHO60" s="220"/>
      <c r="CHP60" s="217"/>
      <c r="CHQ60" s="221"/>
      <c r="CHR60" s="216"/>
      <c r="CHS60" s="217"/>
      <c r="CHT60" s="218"/>
      <c r="CHU60" s="219"/>
      <c r="CHV60" s="220"/>
      <c r="CHW60" s="220"/>
      <c r="CHX60" s="220"/>
      <c r="CHY60" s="220"/>
      <c r="CHZ60" s="217"/>
      <c r="CIA60" s="221"/>
      <c r="CIB60" s="216"/>
      <c r="CIC60" s="217"/>
      <c r="CID60" s="218"/>
      <c r="CIE60" s="219"/>
      <c r="CIF60" s="220"/>
      <c r="CIG60" s="220"/>
      <c r="CIH60" s="220"/>
      <c r="CII60" s="220"/>
      <c r="CIJ60" s="217"/>
      <c r="CIK60" s="221"/>
      <c r="CIL60" s="216"/>
      <c r="CIM60" s="217"/>
      <c r="CIN60" s="218"/>
      <c r="CIO60" s="219"/>
      <c r="CIP60" s="220"/>
      <c r="CIQ60" s="220"/>
      <c r="CIR60" s="220"/>
      <c r="CIS60" s="220"/>
      <c r="CIT60" s="217"/>
      <c r="CIU60" s="221"/>
      <c r="CIV60" s="216"/>
      <c r="CIW60" s="217"/>
      <c r="CIX60" s="218"/>
      <c r="CIY60" s="219"/>
      <c r="CIZ60" s="220"/>
      <c r="CJA60" s="220"/>
      <c r="CJB60" s="220"/>
      <c r="CJC60" s="220"/>
      <c r="CJD60" s="217"/>
      <c r="CJE60" s="221"/>
      <c r="CJF60" s="216"/>
      <c r="CJG60" s="217"/>
      <c r="CJH60" s="218"/>
      <c r="CJI60" s="219"/>
      <c r="CJJ60" s="220"/>
      <c r="CJK60" s="220"/>
      <c r="CJL60" s="220"/>
      <c r="CJM60" s="220"/>
      <c r="CJN60" s="217"/>
      <c r="CJO60" s="221"/>
      <c r="CJP60" s="216"/>
      <c r="CJQ60" s="217"/>
      <c r="CJR60" s="218"/>
      <c r="CJS60" s="219"/>
      <c r="CJT60" s="220"/>
      <c r="CJU60" s="220"/>
      <c r="CJV60" s="220"/>
      <c r="CJW60" s="220"/>
      <c r="CJX60" s="217"/>
      <c r="CJY60" s="221"/>
      <c r="CJZ60" s="216"/>
      <c r="CKA60" s="217"/>
      <c r="CKB60" s="218"/>
      <c r="CKC60" s="219"/>
      <c r="CKD60" s="220"/>
      <c r="CKE60" s="220"/>
      <c r="CKF60" s="220"/>
      <c r="CKG60" s="220"/>
      <c r="CKH60" s="217"/>
      <c r="CKI60" s="221"/>
      <c r="CKJ60" s="216"/>
      <c r="CKK60" s="217"/>
      <c r="CKL60" s="218"/>
      <c r="CKM60" s="219"/>
      <c r="CKN60" s="220"/>
      <c r="CKO60" s="220"/>
      <c r="CKP60" s="220"/>
      <c r="CKQ60" s="220"/>
      <c r="CKR60" s="217"/>
      <c r="CKS60" s="221"/>
      <c r="CKT60" s="216"/>
      <c r="CKU60" s="217"/>
      <c r="CKV60" s="218"/>
      <c r="CKW60" s="219"/>
      <c r="CKX60" s="220"/>
      <c r="CKY60" s="220"/>
      <c r="CKZ60" s="220"/>
      <c r="CLA60" s="220"/>
      <c r="CLB60" s="217"/>
      <c r="CLC60" s="221"/>
      <c r="CLD60" s="216"/>
      <c r="CLE60" s="217"/>
      <c r="CLF60" s="218"/>
      <c r="CLG60" s="219"/>
      <c r="CLH60" s="220"/>
      <c r="CLI60" s="220"/>
      <c r="CLJ60" s="220"/>
      <c r="CLK60" s="220"/>
      <c r="CLL60" s="217"/>
      <c r="CLM60" s="221"/>
      <c r="CLN60" s="216"/>
      <c r="CLO60" s="217"/>
      <c r="CLP60" s="218"/>
      <c r="CLQ60" s="219"/>
      <c r="CLR60" s="220"/>
      <c r="CLS60" s="220"/>
      <c r="CLT60" s="220"/>
      <c r="CLU60" s="220"/>
      <c r="CLV60" s="217"/>
      <c r="CLW60" s="221"/>
      <c r="CLX60" s="216"/>
      <c r="CLY60" s="217"/>
      <c r="CLZ60" s="218"/>
      <c r="CMA60" s="219"/>
      <c r="CMB60" s="220"/>
      <c r="CMC60" s="220"/>
      <c r="CMD60" s="220"/>
      <c r="CME60" s="220"/>
      <c r="CMF60" s="217"/>
      <c r="CMG60" s="221"/>
      <c r="CMH60" s="216"/>
      <c r="CMI60" s="217"/>
      <c r="CMJ60" s="218"/>
      <c r="CMK60" s="219"/>
      <c r="CML60" s="220"/>
      <c r="CMM60" s="220"/>
      <c r="CMN60" s="220"/>
      <c r="CMO60" s="220"/>
      <c r="CMP60" s="217"/>
      <c r="CMQ60" s="221"/>
      <c r="CMR60" s="216"/>
      <c r="CMS60" s="217"/>
      <c r="CMT60" s="218"/>
      <c r="CMU60" s="219"/>
      <c r="CMV60" s="220"/>
      <c r="CMW60" s="220"/>
      <c r="CMX60" s="220"/>
      <c r="CMY60" s="220"/>
      <c r="CMZ60" s="217"/>
      <c r="CNA60" s="221"/>
      <c r="CNB60" s="216"/>
      <c r="CNC60" s="217"/>
      <c r="CND60" s="218"/>
      <c r="CNE60" s="219"/>
      <c r="CNF60" s="220"/>
      <c r="CNG60" s="220"/>
      <c r="CNH60" s="220"/>
      <c r="CNI60" s="220"/>
      <c r="CNJ60" s="217"/>
      <c r="CNK60" s="221"/>
      <c r="CNL60" s="216"/>
      <c r="CNM60" s="217"/>
      <c r="CNN60" s="218"/>
      <c r="CNO60" s="219"/>
      <c r="CNP60" s="220"/>
      <c r="CNQ60" s="220"/>
      <c r="CNR60" s="220"/>
      <c r="CNS60" s="220"/>
      <c r="CNT60" s="217"/>
      <c r="CNU60" s="221"/>
      <c r="CNV60" s="216"/>
      <c r="CNW60" s="217"/>
      <c r="CNX60" s="218"/>
      <c r="CNY60" s="219"/>
      <c r="CNZ60" s="220"/>
      <c r="COA60" s="220"/>
      <c r="COB60" s="220"/>
      <c r="COC60" s="220"/>
      <c r="COD60" s="217"/>
      <c r="COE60" s="221"/>
      <c r="COF60" s="216"/>
      <c r="COG60" s="217"/>
      <c r="COH60" s="218"/>
      <c r="COI60" s="219"/>
      <c r="COJ60" s="220"/>
      <c r="COK60" s="220"/>
      <c r="COL60" s="220"/>
      <c r="COM60" s="220"/>
      <c r="CON60" s="217"/>
      <c r="COO60" s="221"/>
      <c r="COP60" s="216"/>
      <c r="COQ60" s="217"/>
      <c r="COR60" s="218"/>
      <c r="COS60" s="219"/>
      <c r="COT60" s="220"/>
      <c r="COU60" s="220"/>
      <c r="COV60" s="220"/>
      <c r="COW60" s="220"/>
      <c r="COX60" s="217"/>
      <c r="COY60" s="221"/>
      <c r="COZ60" s="216"/>
      <c r="CPA60" s="217"/>
      <c r="CPB60" s="218"/>
      <c r="CPC60" s="219"/>
      <c r="CPD60" s="220"/>
      <c r="CPE60" s="220"/>
      <c r="CPF60" s="220"/>
      <c r="CPG60" s="220"/>
      <c r="CPH60" s="217"/>
      <c r="CPI60" s="221"/>
      <c r="CPJ60" s="216"/>
      <c r="CPK60" s="217"/>
      <c r="CPL60" s="218"/>
      <c r="CPM60" s="219"/>
      <c r="CPN60" s="220"/>
      <c r="CPO60" s="220"/>
      <c r="CPP60" s="220"/>
      <c r="CPQ60" s="220"/>
      <c r="CPR60" s="217"/>
      <c r="CPS60" s="221"/>
      <c r="CPT60" s="216"/>
      <c r="CPU60" s="217"/>
      <c r="CPV60" s="218"/>
      <c r="CPW60" s="219"/>
      <c r="CPX60" s="220"/>
      <c r="CPY60" s="220"/>
      <c r="CPZ60" s="220"/>
      <c r="CQA60" s="220"/>
      <c r="CQB60" s="217"/>
      <c r="CQC60" s="221"/>
      <c r="CQD60" s="216"/>
      <c r="CQE60" s="217"/>
      <c r="CQF60" s="218"/>
      <c r="CQG60" s="219"/>
      <c r="CQH60" s="220"/>
      <c r="CQI60" s="220"/>
      <c r="CQJ60" s="220"/>
      <c r="CQK60" s="220"/>
      <c r="CQL60" s="217"/>
      <c r="CQM60" s="221"/>
      <c r="CQN60" s="216"/>
      <c r="CQO60" s="217"/>
      <c r="CQP60" s="218"/>
      <c r="CQQ60" s="219"/>
      <c r="CQR60" s="220"/>
      <c r="CQS60" s="220"/>
      <c r="CQT60" s="220"/>
      <c r="CQU60" s="220"/>
      <c r="CQV60" s="217"/>
      <c r="CQW60" s="221"/>
      <c r="CQX60" s="216"/>
      <c r="CQY60" s="217"/>
      <c r="CQZ60" s="218"/>
      <c r="CRA60" s="219"/>
      <c r="CRB60" s="220"/>
      <c r="CRC60" s="220"/>
      <c r="CRD60" s="220"/>
      <c r="CRE60" s="220"/>
      <c r="CRF60" s="217"/>
      <c r="CRG60" s="221"/>
      <c r="CRH60" s="216"/>
      <c r="CRI60" s="217"/>
      <c r="CRJ60" s="218"/>
      <c r="CRK60" s="219"/>
      <c r="CRL60" s="220"/>
      <c r="CRM60" s="220"/>
      <c r="CRN60" s="220"/>
      <c r="CRO60" s="220"/>
      <c r="CRP60" s="217"/>
      <c r="CRQ60" s="221"/>
      <c r="CRR60" s="216"/>
      <c r="CRS60" s="217"/>
      <c r="CRT60" s="218"/>
      <c r="CRU60" s="219"/>
      <c r="CRV60" s="220"/>
      <c r="CRW60" s="220"/>
      <c r="CRX60" s="220"/>
      <c r="CRY60" s="220"/>
      <c r="CRZ60" s="217"/>
      <c r="CSA60" s="221"/>
      <c r="CSB60" s="216"/>
      <c r="CSC60" s="217"/>
      <c r="CSD60" s="218"/>
      <c r="CSE60" s="219"/>
      <c r="CSF60" s="220"/>
      <c r="CSG60" s="220"/>
      <c r="CSH60" s="220"/>
      <c r="CSI60" s="220"/>
      <c r="CSJ60" s="217"/>
      <c r="CSK60" s="221"/>
      <c r="CSL60" s="216"/>
      <c r="CSM60" s="217"/>
      <c r="CSN60" s="218"/>
      <c r="CSO60" s="219"/>
      <c r="CSP60" s="220"/>
      <c r="CSQ60" s="220"/>
      <c r="CSR60" s="220"/>
      <c r="CSS60" s="220"/>
      <c r="CST60" s="217"/>
      <c r="CSU60" s="221"/>
      <c r="CSV60" s="216"/>
      <c r="CSW60" s="217"/>
      <c r="CSX60" s="218"/>
      <c r="CSY60" s="219"/>
      <c r="CSZ60" s="220"/>
      <c r="CTA60" s="220"/>
      <c r="CTB60" s="220"/>
      <c r="CTC60" s="220"/>
      <c r="CTD60" s="217"/>
      <c r="CTE60" s="221"/>
      <c r="CTF60" s="216"/>
      <c r="CTG60" s="217"/>
      <c r="CTH60" s="218"/>
      <c r="CTI60" s="219"/>
      <c r="CTJ60" s="220"/>
      <c r="CTK60" s="220"/>
      <c r="CTL60" s="220"/>
      <c r="CTM60" s="220"/>
      <c r="CTN60" s="217"/>
      <c r="CTO60" s="221"/>
      <c r="CTP60" s="216"/>
      <c r="CTQ60" s="217"/>
      <c r="CTR60" s="218"/>
      <c r="CTS60" s="219"/>
      <c r="CTT60" s="220"/>
      <c r="CTU60" s="220"/>
      <c r="CTV60" s="220"/>
      <c r="CTW60" s="220"/>
      <c r="CTX60" s="217"/>
      <c r="CTY60" s="221"/>
      <c r="CTZ60" s="216"/>
      <c r="CUA60" s="217"/>
      <c r="CUB60" s="218"/>
      <c r="CUC60" s="219"/>
      <c r="CUD60" s="220"/>
      <c r="CUE60" s="220"/>
      <c r="CUF60" s="220"/>
      <c r="CUG60" s="220"/>
      <c r="CUH60" s="217"/>
      <c r="CUI60" s="221"/>
      <c r="CUJ60" s="216"/>
      <c r="CUK60" s="217"/>
      <c r="CUL60" s="218"/>
      <c r="CUM60" s="219"/>
      <c r="CUN60" s="220"/>
      <c r="CUO60" s="220"/>
      <c r="CUP60" s="220"/>
      <c r="CUQ60" s="220"/>
      <c r="CUR60" s="217"/>
      <c r="CUS60" s="221"/>
      <c r="CUT60" s="216"/>
      <c r="CUU60" s="217"/>
      <c r="CUV60" s="218"/>
      <c r="CUW60" s="219"/>
      <c r="CUX60" s="220"/>
      <c r="CUY60" s="220"/>
      <c r="CUZ60" s="220"/>
      <c r="CVA60" s="220"/>
      <c r="CVB60" s="217"/>
      <c r="CVC60" s="221"/>
      <c r="CVD60" s="216"/>
      <c r="CVE60" s="217"/>
      <c r="CVF60" s="218"/>
      <c r="CVG60" s="219"/>
      <c r="CVH60" s="220"/>
      <c r="CVI60" s="220"/>
      <c r="CVJ60" s="220"/>
      <c r="CVK60" s="220"/>
      <c r="CVL60" s="217"/>
      <c r="CVM60" s="221"/>
      <c r="CVN60" s="216"/>
      <c r="CVO60" s="217"/>
      <c r="CVP60" s="218"/>
      <c r="CVQ60" s="219"/>
      <c r="CVR60" s="220"/>
      <c r="CVS60" s="220"/>
      <c r="CVT60" s="220"/>
      <c r="CVU60" s="220"/>
      <c r="CVV60" s="217"/>
      <c r="CVW60" s="221"/>
      <c r="CVX60" s="216"/>
      <c r="CVY60" s="217"/>
      <c r="CVZ60" s="218"/>
      <c r="CWA60" s="219"/>
      <c r="CWB60" s="220"/>
      <c r="CWC60" s="220"/>
      <c r="CWD60" s="220"/>
      <c r="CWE60" s="220"/>
      <c r="CWF60" s="217"/>
      <c r="CWG60" s="221"/>
      <c r="CWH60" s="216"/>
      <c r="CWI60" s="217"/>
      <c r="CWJ60" s="218"/>
      <c r="CWK60" s="219"/>
      <c r="CWL60" s="220"/>
      <c r="CWM60" s="220"/>
      <c r="CWN60" s="220"/>
      <c r="CWO60" s="220"/>
      <c r="CWP60" s="217"/>
      <c r="CWQ60" s="221"/>
      <c r="CWR60" s="216"/>
      <c r="CWS60" s="217"/>
      <c r="CWT60" s="218"/>
      <c r="CWU60" s="219"/>
      <c r="CWV60" s="220"/>
      <c r="CWW60" s="220"/>
      <c r="CWX60" s="220"/>
      <c r="CWY60" s="220"/>
      <c r="CWZ60" s="217"/>
      <c r="CXA60" s="221"/>
      <c r="CXB60" s="216"/>
      <c r="CXC60" s="217"/>
      <c r="CXD60" s="218"/>
      <c r="CXE60" s="219"/>
      <c r="CXF60" s="220"/>
      <c r="CXG60" s="220"/>
      <c r="CXH60" s="220"/>
      <c r="CXI60" s="220"/>
      <c r="CXJ60" s="217"/>
      <c r="CXK60" s="221"/>
      <c r="CXL60" s="216"/>
      <c r="CXM60" s="217"/>
      <c r="CXN60" s="218"/>
      <c r="CXO60" s="219"/>
      <c r="CXP60" s="220"/>
      <c r="CXQ60" s="220"/>
      <c r="CXR60" s="220"/>
      <c r="CXS60" s="220"/>
      <c r="CXT60" s="217"/>
      <c r="CXU60" s="221"/>
      <c r="CXV60" s="216"/>
      <c r="CXW60" s="217"/>
      <c r="CXX60" s="218"/>
      <c r="CXY60" s="219"/>
      <c r="CXZ60" s="220"/>
      <c r="CYA60" s="220"/>
      <c r="CYB60" s="220"/>
      <c r="CYC60" s="220"/>
      <c r="CYD60" s="217"/>
      <c r="CYE60" s="221"/>
      <c r="CYF60" s="216"/>
      <c r="CYG60" s="217"/>
      <c r="CYH60" s="218"/>
      <c r="CYI60" s="219"/>
      <c r="CYJ60" s="220"/>
      <c r="CYK60" s="220"/>
      <c r="CYL60" s="220"/>
      <c r="CYM60" s="220"/>
      <c r="CYN60" s="217"/>
      <c r="CYO60" s="221"/>
      <c r="CYP60" s="216"/>
      <c r="CYQ60" s="217"/>
      <c r="CYR60" s="218"/>
      <c r="CYS60" s="219"/>
      <c r="CYT60" s="220"/>
      <c r="CYU60" s="220"/>
      <c r="CYV60" s="220"/>
      <c r="CYW60" s="220"/>
      <c r="CYX60" s="217"/>
      <c r="CYY60" s="221"/>
      <c r="CYZ60" s="216"/>
      <c r="CZA60" s="217"/>
      <c r="CZB60" s="218"/>
      <c r="CZC60" s="219"/>
      <c r="CZD60" s="220"/>
      <c r="CZE60" s="220"/>
      <c r="CZF60" s="220"/>
      <c r="CZG60" s="220"/>
      <c r="CZH60" s="217"/>
      <c r="CZI60" s="221"/>
      <c r="CZJ60" s="216"/>
      <c r="CZK60" s="217"/>
      <c r="CZL60" s="218"/>
      <c r="CZM60" s="219"/>
      <c r="CZN60" s="220"/>
      <c r="CZO60" s="220"/>
      <c r="CZP60" s="220"/>
      <c r="CZQ60" s="220"/>
      <c r="CZR60" s="217"/>
      <c r="CZS60" s="221"/>
      <c r="CZT60" s="216"/>
      <c r="CZU60" s="217"/>
      <c r="CZV60" s="218"/>
      <c r="CZW60" s="219"/>
      <c r="CZX60" s="220"/>
      <c r="CZY60" s="220"/>
      <c r="CZZ60" s="220"/>
      <c r="DAA60" s="220"/>
      <c r="DAB60" s="217"/>
      <c r="DAC60" s="221"/>
      <c r="DAD60" s="216"/>
      <c r="DAE60" s="217"/>
      <c r="DAF60" s="218"/>
      <c r="DAG60" s="219"/>
      <c r="DAH60" s="220"/>
      <c r="DAI60" s="220"/>
      <c r="DAJ60" s="220"/>
      <c r="DAK60" s="220"/>
      <c r="DAL60" s="217"/>
      <c r="DAM60" s="221"/>
      <c r="DAN60" s="216"/>
      <c r="DAO60" s="217"/>
      <c r="DAP60" s="218"/>
      <c r="DAQ60" s="219"/>
      <c r="DAR60" s="220"/>
      <c r="DAS60" s="220"/>
      <c r="DAT60" s="220"/>
      <c r="DAU60" s="220"/>
      <c r="DAV60" s="217"/>
      <c r="DAW60" s="221"/>
      <c r="DAX60" s="216"/>
      <c r="DAY60" s="217"/>
      <c r="DAZ60" s="218"/>
      <c r="DBA60" s="219"/>
      <c r="DBB60" s="220"/>
      <c r="DBC60" s="220"/>
      <c r="DBD60" s="220"/>
      <c r="DBE60" s="220"/>
      <c r="DBF60" s="217"/>
      <c r="DBG60" s="221"/>
      <c r="DBH60" s="216"/>
      <c r="DBI60" s="217"/>
      <c r="DBJ60" s="218"/>
      <c r="DBK60" s="219"/>
      <c r="DBL60" s="220"/>
      <c r="DBM60" s="220"/>
      <c r="DBN60" s="220"/>
      <c r="DBO60" s="220"/>
      <c r="DBP60" s="217"/>
      <c r="DBQ60" s="221"/>
      <c r="DBR60" s="216"/>
      <c r="DBS60" s="217"/>
      <c r="DBT60" s="218"/>
      <c r="DBU60" s="219"/>
      <c r="DBV60" s="220"/>
      <c r="DBW60" s="220"/>
      <c r="DBX60" s="220"/>
      <c r="DBY60" s="220"/>
      <c r="DBZ60" s="217"/>
      <c r="DCA60" s="221"/>
      <c r="DCB60" s="216"/>
      <c r="DCC60" s="217"/>
      <c r="DCD60" s="218"/>
      <c r="DCE60" s="219"/>
      <c r="DCF60" s="220"/>
      <c r="DCG60" s="220"/>
      <c r="DCH60" s="220"/>
      <c r="DCI60" s="220"/>
      <c r="DCJ60" s="217"/>
      <c r="DCK60" s="221"/>
      <c r="DCL60" s="216"/>
      <c r="DCM60" s="217"/>
      <c r="DCN60" s="218"/>
      <c r="DCO60" s="219"/>
      <c r="DCP60" s="220"/>
      <c r="DCQ60" s="220"/>
      <c r="DCR60" s="220"/>
      <c r="DCS60" s="220"/>
      <c r="DCT60" s="217"/>
      <c r="DCU60" s="221"/>
      <c r="DCV60" s="216"/>
      <c r="DCW60" s="217"/>
      <c r="DCX60" s="218"/>
      <c r="DCY60" s="219"/>
      <c r="DCZ60" s="220"/>
      <c r="DDA60" s="220"/>
      <c r="DDB60" s="220"/>
      <c r="DDC60" s="220"/>
      <c r="DDD60" s="217"/>
      <c r="DDE60" s="221"/>
      <c r="DDF60" s="216"/>
      <c r="DDG60" s="217"/>
      <c r="DDH60" s="218"/>
      <c r="DDI60" s="219"/>
      <c r="DDJ60" s="220"/>
      <c r="DDK60" s="220"/>
      <c r="DDL60" s="220"/>
      <c r="DDM60" s="220"/>
      <c r="DDN60" s="217"/>
      <c r="DDO60" s="221"/>
      <c r="DDP60" s="216"/>
      <c r="DDQ60" s="217"/>
      <c r="DDR60" s="218"/>
      <c r="DDS60" s="219"/>
      <c r="DDT60" s="220"/>
      <c r="DDU60" s="220"/>
      <c r="DDV60" s="220"/>
      <c r="DDW60" s="220"/>
      <c r="DDX60" s="217"/>
      <c r="DDY60" s="221"/>
      <c r="DDZ60" s="216"/>
      <c r="DEA60" s="217"/>
      <c r="DEB60" s="218"/>
      <c r="DEC60" s="219"/>
      <c r="DED60" s="220"/>
      <c r="DEE60" s="220"/>
      <c r="DEF60" s="220"/>
      <c r="DEG60" s="220"/>
      <c r="DEH60" s="217"/>
      <c r="DEI60" s="221"/>
      <c r="DEJ60" s="216"/>
      <c r="DEK60" s="217"/>
      <c r="DEL60" s="218"/>
      <c r="DEM60" s="219"/>
      <c r="DEN60" s="220"/>
      <c r="DEO60" s="220"/>
      <c r="DEP60" s="220"/>
      <c r="DEQ60" s="220"/>
      <c r="DER60" s="217"/>
      <c r="DES60" s="221"/>
      <c r="DET60" s="216"/>
      <c r="DEU60" s="217"/>
      <c r="DEV60" s="218"/>
      <c r="DEW60" s="219"/>
      <c r="DEX60" s="220"/>
      <c r="DEY60" s="220"/>
      <c r="DEZ60" s="220"/>
      <c r="DFA60" s="220"/>
      <c r="DFB60" s="217"/>
      <c r="DFC60" s="221"/>
      <c r="DFD60" s="216"/>
      <c r="DFE60" s="217"/>
      <c r="DFF60" s="218"/>
      <c r="DFG60" s="219"/>
      <c r="DFH60" s="220"/>
      <c r="DFI60" s="220"/>
      <c r="DFJ60" s="220"/>
      <c r="DFK60" s="220"/>
      <c r="DFL60" s="217"/>
      <c r="DFM60" s="221"/>
      <c r="DFN60" s="216"/>
      <c r="DFO60" s="217"/>
      <c r="DFP60" s="218"/>
      <c r="DFQ60" s="219"/>
      <c r="DFR60" s="220"/>
      <c r="DFS60" s="220"/>
      <c r="DFT60" s="220"/>
      <c r="DFU60" s="220"/>
      <c r="DFV60" s="217"/>
      <c r="DFW60" s="221"/>
      <c r="DFX60" s="216"/>
      <c r="DFY60" s="217"/>
      <c r="DFZ60" s="218"/>
      <c r="DGA60" s="219"/>
      <c r="DGB60" s="220"/>
      <c r="DGC60" s="220"/>
      <c r="DGD60" s="220"/>
      <c r="DGE60" s="220"/>
      <c r="DGF60" s="217"/>
      <c r="DGG60" s="221"/>
      <c r="DGH60" s="216"/>
      <c r="DGI60" s="217"/>
      <c r="DGJ60" s="218"/>
      <c r="DGK60" s="219"/>
      <c r="DGL60" s="220"/>
      <c r="DGM60" s="220"/>
      <c r="DGN60" s="220"/>
      <c r="DGO60" s="220"/>
      <c r="DGP60" s="217"/>
      <c r="DGQ60" s="221"/>
      <c r="DGR60" s="216"/>
      <c r="DGS60" s="217"/>
      <c r="DGT60" s="218"/>
      <c r="DGU60" s="219"/>
      <c r="DGV60" s="220"/>
      <c r="DGW60" s="220"/>
      <c r="DGX60" s="220"/>
      <c r="DGY60" s="220"/>
      <c r="DGZ60" s="217"/>
      <c r="DHA60" s="221"/>
      <c r="DHB60" s="216"/>
      <c r="DHC60" s="217"/>
      <c r="DHD60" s="218"/>
      <c r="DHE60" s="219"/>
      <c r="DHF60" s="220"/>
      <c r="DHG60" s="220"/>
      <c r="DHH60" s="220"/>
      <c r="DHI60" s="220"/>
      <c r="DHJ60" s="217"/>
      <c r="DHK60" s="221"/>
      <c r="DHL60" s="216"/>
      <c r="DHM60" s="217"/>
      <c r="DHN60" s="218"/>
      <c r="DHO60" s="219"/>
      <c r="DHP60" s="220"/>
      <c r="DHQ60" s="220"/>
      <c r="DHR60" s="220"/>
      <c r="DHS60" s="220"/>
      <c r="DHT60" s="217"/>
      <c r="DHU60" s="221"/>
      <c r="DHV60" s="216"/>
      <c r="DHW60" s="217"/>
      <c r="DHX60" s="218"/>
      <c r="DHY60" s="219"/>
      <c r="DHZ60" s="220"/>
      <c r="DIA60" s="220"/>
      <c r="DIB60" s="220"/>
      <c r="DIC60" s="220"/>
      <c r="DID60" s="217"/>
      <c r="DIE60" s="221"/>
      <c r="DIF60" s="216"/>
      <c r="DIG60" s="217"/>
      <c r="DIH60" s="218"/>
      <c r="DII60" s="219"/>
      <c r="DIJ60" s="220"/>
      <c r="DIK60" s="220"/>
      <c r="DIL60" s="220"/>
      <c r="DIM60" s="220"/>
      <c r="DIN60" s="217"/>
      <c r="DIO60" s="221"/>
      <c r="DIP60" s="216"/>
      <c r="DIQ60" s="217"/>
      <c r="DIR60" s="218"/>
      <c r="DIS60" s="219"/>
      <c r="DIT60" s="220"/>
      <c r="DIU60" s="220"/>
      <c r="DIV60" s="220"/>
      <c r="DIW60" s="220"/>
      <c r="DIX60" s="217"/>
      <c r="DIY60" s="221"/>
      <c r="DIZ60" s="216"/>
      <c r="DJA60" s="217"/>
      <c r="DJB60" s="218"/>
      <c r="DJC60" s="219"/>
      <c r="DJD60" s="220"/>
      <c r="DJE60" s="220"/>
      <c r="DJF60" s="220"/>
      <c r="DJG60" s="220"/>
      <c r="DJH60" s="217"/>
      <c r="DJI60" s="221"/>
      <c r="DJJ60" s="216"/>
      <c r="DJK60" s="217"/>
      <c r="DJL60" s="218"/>
      <c r="DJM60" s="219"/>
      <c r="DJN60" s="220"/>
      <c r="DJO60" s="220"/>
      <c r="DJP60" s="220"/>
      <c r="DJQ60" s="220"/>
      <c r="DJR60" s="217"/>
      <c r="DJS60" s="221"/>
      <c r="DJT60" s="216"/>
      <c r="DJU60" s="217"/>
      <c r="DJV60" s="218"/>
      <c r="DJW60" s="219"/>
      <c r="DJX60" s="220"/>
      <c r="DJY60" s="220"/>
      <c r="DJZ60" s="220"/>
      <c r="DKA60" s="220"/>
      <c r="DKB60" s="217"/>
      <c r="DKC60" s="221"/>
      <c r="DKD60" s="216"/>
      <c r="DKE60" s="217"/>
      <c r="DKF60" s="218"/>
      <c r="DKG60" s="219"/>
      <c r="DKH60" s="220"/>
      <c r="DKI60" s="220"/>
      <c r="DKJ60" s="220"/>
      <c r="DKK60" s="220"/>
      <c r="DKL60" s="217"/>
      <c r="DKM60" s="221"/>
      <c r="DKN60" s="216"/>
      <c r="DKO60" s="217"/>
      <c r="DKP60" s="218"/>
      <c r="DKQ60" s="219"/>
      <c r="DKR60" s="220"/>
      <c r="DKS60" s="220"/>
      <c r="DKT60" s="220"/>
      <c r="DKU60" s="220"/>
      <c r="DKV60" s="217"/>
      <c r="DKW60" s="221"/>
      <c r="DKX60" s="216"/>
      <c r="DKY60" s="217"/>
      <c r="DKZ60" s="218"/>
      <c r="DLA60" s="219"/>
      <c r="DLB60" s="220"/>
      <c r="DLC60" s="220"/>
      <c r="DLD60" s="220"/>
      <c r="DLE60" s="220"/>
      <c r="DLF60" s="217"/>
      <c r="DLG60" s="221"/>
      <c r="DLH60" s="216"/>
      <c r="DLI60" s="217"/>
      <c r="DLJ60" s="218"/>
      <c r="DLK60" s="219"/>
      <c r="DLL60" s="220"/>
      <c r="DLM60" s="220"/>
      <c r="DLN60" s="220"/>
      <c r="DLO60" s="220"/>
      <c r="DLP60" s="217"/>
      <c r="DLQ60" s="221"/>
      <c r="DLR60" s="216"/>
      <c r="DLS60" s="217"/>
      <c r="DLT60" s="218"/>
      <c r="DLU60" s="219"/>
      <c r="DLV60" s="220"/>
      <c r="DLW60" s="220"/>
      <c r="DLX60" s="220"/>
      <c r="DLY60" s="220"/>
      <c r="DLZ60" s="217"/>
      <c r="DMA60" s="221"/>
      <c r="DMB60" s="216"/>
      <c r="DMC60" s="217"/>
      <c r="DMD60" s="218"/>
      <c r="DME60" s="219"/>
      <c r="DMF60" s="220"/>
      <c r="DMG60" s="220"/>
      <c r="DMH60" s="220"/>
      <c r="DMI60" s="220"/>
      <c r="DMJ60" s="217"/>
      <c r="DMK60" s="221"/>
      <c r="DML60" s="216"/>
      <c r="DMM60" s="217"/>
      <c r="DMN60" s="218"/>
      <c r="DMO60" s="219"/>
      <c r="DMP60" s="220"/>
      <c r="DMQ60" s="220"/>
      <c r="DMR60" s="220"/>
      <c r="DMS60" s="220"/>
      <c r="DMT60" s="217"/>
      <c r="DMU60" s="221"/>
      <c r="DMV60" s="216"/>
      <c r="DMW60" s="217"/>
      <c r="DMX60" s="218"/>
      <c r="DMY60" s="219"/>
      <c r="DMZ60" s="220"/>
      <c r="DNA60" s="220"/>
      <c r="DNB60" s="220"/>
      <c r="DNC60" s="220"/>
      <c r="DND60" s="217"/>
      <c r="DNE60" s="221"/>
      <c r="DNF60" s="216"/>
      <c r="DNG60" s="217"/>
      <c r="DNH60" s="218"/>
      <c r="DNI60" s="219"/>
      <c r="DNJ60" s="220"/>
      <c r="DNK60" s="220"/>
      <c r="DNL60" s="220"/>
      <c r="DNM60" s="220"/>
      <c r="DNN60" s="217"/>
      <c r="DNO60" s="221"/>
      <c r="DNP60" s="216"/>
      <c r="DNQ60" s="217"/>
      <c r="DNR60" s="218"/>
      <c r="DNS60" s="219"/>
      <c r="DNT60" s="220"/>
      <c r="DNU60" s="220"/>
      <c r="DNV60" s="220"/>
      <c r="DNW60" s="220"/>
      <c r="DNX60" s="217"/>
      <c r="DNY60" s="221"/>
      <c r="DNZ60" s="216"/>
      <c r="DOA60" s="217"/>
      <c r="DOB60" s="218"/>
      <c r="DOC60" s="219"/>
      <c r="DOD60" s="220"/>
      <c r="DOE60" s="220"/>
      <c r="DOF60" s="220"/>
      <c r="DOG60" s="220"/>
      <c r="DOH60" s="217"/>
      <c r="DOI60" s="221"/>
      <c r="DOJ60" s="216"/>
      <c r="DOK60" s="217"/>
      <c r="DOL60" s="218"/>
      <c r="DOM60" s="219"/>
      <c r="DON60" s="220"/>
      <c r="DOO60" s="220"/>
      <c r="DOP60" s="220"/>
      <c r="DOQ60" s="220"/>
      <c r="DOR60" s="217"/>
      <c r="DOS60" s="221"/>
      <c r="DOT60" s="216"/>
      <c r="DOU60" s="217"/>
      <c r="DOV60" s="218"/>
      <c r="DOW60" s="219"/>
      <c r="DOX60" s="220"/>
      <c r="DOY60" s="220"/>
      <c r="DOZ60" s="220"/>
      <c r="DPA60" s="220"/>
      <c r="DPB60" s="217"/>
      <c r="DPC60" s="221"/>
      <c r="DPD60" s="216"/>
      <c r="DPE60" s="217"/>
      <c r="DPF60" s="218"/>
      <c r="DPG60" s="219"/>
      <c r="DPH60" s="220"/>
      <c r="DPI60" s="220"/>
      <c r="DPJ60" s="220"/>
      <c r="DPK60" s="220"/>
      <c r="DPL60" s="217"/>
      <c r="DPM60" s="221"/>
      <c r="DPN60" s="216"/>
      <c r="DPO60" s="217"/>
      <c r="DPP60" s="218"/>
      <c r="DPQ60" s="219"/>
      <c r="DPR60" s="220"/>
      <c r="DPS60" s="220"/>
      <c r="DPT60" s="220"/>
      <c r="DPU60" s="220"/>
      <c r="DPV60" s="217"/>
      <c r="DPW60" s="221"/>
      <c r="DPX60" s="216"/>
      <c r="DPY60" s="217"/>
      <c r="DPZ60" s="218"/>
      <c r="DQA60" s="219"/>
      <c r="DQB60" s="220"/>
      <c r="DQC60" s="220"/>
      <c r="DQD60" s="220"/>
      <c r="DQE60" s="220"/>
      <c r="DQF60" s="217"/>
      <c r="DQG60" s="221"/>
      <c r="DQH60" s="216"/>
      <c r="DQI60" s="217"/>
      <c r="DQJ60" s="218"/>
      <c r="DQK60" s="219"/>
      <c r="DQL60" s="220"/>
      <c r="DQM60" s="220"/>
      <c r="DQN60" s="220"/>
      <c r="DQO60" s="220"/>
      <c r="DQP60" s="217"/>
      <c r="DQQ60" s="221"/>
      <c r="DQR60" s="216"/>
      <c r="DQS60" s="217"/>
      <c r="DQT60" s="218"/>
      <c r="DQU60" s="219"/>
      <c r="DQV60" s="220"/>
      <c r="DQW60" s="220"/>
      <c r="DQX60" s="220"/>
      <c r="DQY60" s="220"/>
      <c r="DQZ60" s="217"/>
      <c r="DRA60" s="221"/>
      <c r="DRB60" s="216"/>
      <c r="DRC60" s="217"/>
      <c r="DRD60" s="218"/>
      <c r="DRE60" s="219"/>
      <c r="DRF60" s="220"/>
      <c r="DRG60" s="220"/>
      <c r="DRH60" s="220"/>
      <c r="DRI60" s="220"/>
      <c r="DRJ60" s="217"/>
      <c r="DRK60" s="221"/>
      <c r="DRL60" s="216"/>
      <c r="DRM60" s="217"/>
      <c r="DRN60" s="218"/>
      <c r="DRO60" s="219"/>
      <c r="DRP60" s="220"/>
      <c r="DRQ60" s="220"/>
      <c r="DRR60" s="220"/>
      <c r="DRS60" s="220"/>
      <c r="DRT60" s="217"/>
      <c r="DRU60" s="221"/>
      <c r="DRV60" s="216"/>
      <c r="DRW60" s="217"/>
      <c r="DRX60" s="218"/>
      <c r="DRY60" s="219"/>
      <c r="DRZ60" s="220"/>
      <c r="DSA60" s="220"/>
      <c r="DSB60" s="220"/>
      <c r="DSC60" s="220"/>
      <c r="DSD60" s="217"/>
      <c r="DSE60" s="221"/>
      <c r="DSF60" s="216"/>
      <c r="DSG60" s="217"/>
      <c r="DSH60" s="218"/>
      <c r="DSI60" s="219"/>
      <c r="DSJ60" s="220"/>
      <c r="DSK60" s="220"/>
      <c r="DSL60" s="220"/>
      <c r="DSM60" s="220"/>
      <c r="DSN60" s="217"/>
      <c r="DSO60" s="221"/>
      <c r="DSP60" s="216"/>
      <c r="DSQ60" s="217"/>
      <c r="DSR60" s="218"/>
      <c r="DSS60" s="219"/>
      <c r="DST60" s="220"/>
      <c r="DSU60" s="220"/>
      <c r="DSV60" s="220"/>
      <c r="DSW60" s="220"/>
      <c r="DSX60" s="217"/>
      <c r="DSY60" s="221"/>
      <c r="DSZ60" s="216"/>
      <c r="DTA60" s="217"/>
      <c r="DTB60" s="218"/>
      <c r="DTC60" s="219"/>
      <c r="DTD60" s="220"/>
      <c r="DTE60" s="220"/>
      <c r="DTF60" s="220"/>
      <c r="DTG60" s="220"/>
      <c r="DTH60" s="217"/>
      <c r="DTI60" s="221"/>
      <c r="DTJ60" s="216"/>
      <c r="DTK60" s="217"/>
      <c r="DTL60" s="218"/>
      <c r="DTM60" s="219"/>
      <c r="DTN60" s="220"/>
      <c r="DTO60" s="220"/>
      <c r="DTP60" s="220"/>
      <c r="DTQ60" s="220"/>
      <c r="DTR60" s="217"/>
      <c r="DTS60" s="221"/>
      <c r="DTT60" s="216"/>
      <c r="DTU60" s="217"/>
      <c r="DTV60" s="218"/>
      <c r="DTW60" s="219"/>
      <c r="DTX60" s="220"/>
      <c r="DTY60" s="220"/>
      <c r="DTZ60" s="220"/>
      <c r="DUA60" s="220"/>
      <c r="DUB60" s="217"/>
      <c r="DUC60" s="221"/>
      <c r="DUD60" s="216"/>
      <c r="DUE60" s="217"/>
      <c r="DUF60" s="218"/>
      <c r="DUG60" s="219"/>
      <c r="DUH60" s="220"/>
      <c r="DUI60" s="220"/>
      <c r="DUJ60" s="220"/>
      <c r="DUK60" s="220"/>
      <c r="DUL60" s="217"/>
      <c r="DUM60" s="221"/>
      <c r="DUN60" s="216"/>
      <c r="DUO60" s="217"/>
      <c r="DUP60" s="218"/>
      <c r="DUQ60" s="219"/>
      <c r="DUR60" s="220"/>
      <c r="DUS60" s="220"/>
      <c r="DUT60" s="220"/>
      <c r="DUU60" s="220"/>
      <c r="DUV60" s="217"/>
      <c r="DUW60" s="221"/>
      <c r="DUX60" s="216"/>
      <c r="DUY60" s="217"/>
      <c r="DUZ60" s="218"/>
      <c r="DVA60" s="219"/>
      <c r="DVB60" s="220"/>
      <c r="DVC60" s="220"/>
      <c r="DVD60" s="220"/>
      <c r="DVE60" s="220"/>
      <c r="DVF60" s="217"/>
      <c r="DVG60" s="221"/>
      <c r="DVH60" s="216"/>
      <c r="DVI60" s="217"/>
      <c r="DVJ60" s="218"/>
      <c r="DVK60" s="219"/>
      <c r="DVL60" s="220"/>
      <c r="DVM60" s="220"/>
      <c r="DVN60" s="220"/>
      <c r="DVO60" s="220"/>
      <c r="DVP60" s="217"/>
      <c r="DVQ60" s="221"/>
      <c r="DVR60" s="216"/>
      <c r="DVS60" s="217"/>
      <c r="DVT60" s="218"/>
      <c r="DVU60" s="219"/>
      <c r="DVV60" s="220"/>
      <c r="DVW60" s="220"/>
      <c r="DVX60" s="220"/>
      <c r="DVY60" s="220"/>
      <c r="DVZ60" s="217"/>
      <c r="DWA60" s="221"/>
      <c r="DWB60" s="216"/>
      <c r="DWC60" s="217"/>
      <c r="DWD60" s="218"/>
      <c r="DWE60" s="219"/>
      <c r="DWF60" s="220"/>
      <c r="DWG60" s="220"/>
      <c r="DWH60" s="220"/>
      <c r="DWI60" s="220"/>
      <c r="DWJ60" s="217"/>
      <c r="DWK60" s="221"/>
      <c r="DWL60" s="216"/>
      <c r="DWM60" s="217"/>
      <c r="DWN60" s="218"/>
      <c r="DWO60" s="219"/>
      <c r="DWP60" s="220"/>
      <c r="DWQ60" s="220"/>
      <c r="DWR60" s="220"/>
      <c r="DWS60" s="220"/>
      <c r="DWT60" s="217"/>
      <c r="DWU60" s="221"/>
      <c r="DWV60" s="216"/>
      <c r="DWW60" s="217"/>
      <c r="DWX60" s="218"/>
      <c r="DWY60" s="219"/>
      <c r="DWZ60" s="220"/>
      <c r="DXA60" s="220"/>
      <c r="DXB60" s="220"/>
      <c r="DXC60" s="220"/>
      <c r="DXD60" s="217"/>
      <c r="DXE60" s="221"/>
      <c r="DXF60" s="216"/>
      <c r="DXG60" s="217"/>
      <c r="DXH60" s="218"/>
      <c r="DXI60" s="219"/>
      <c r="DXJ60" s="220"/>
      <c r="DXK60" s="220"/>
      <c r="DXL60" s="220"/>
      <c r="DXM60" s="220"/>
      <c r="DXN60" s="217"/>
      <c r="DXO60" s="221"/>
      <c r="DXP60" s="216"/>
      <c r="DXQ60" s="217"/>
      <c r="DXR60" s="218"/>
      <c r="DXS60" s="219"/>
      <c r="DXT60" s="220"/>
      <c r="DXU60" s="220"/>
      <c r="DXV60" s="220"/>
      <c r="DXW60" s="220"/>
      <c r="DXX60" s="217"/>
      <c r="DXY60" s="221"/>
      <c r="DXZ60" s="216"/>
      <c r="DYA60" s="217"/>
      <c r="DYB60" s="218"/>
      <c r="DYC60" s="219"/>
      <c r="DYD60" s="220"/>
      <c r="DYE60" s="220"/>
      <c r="DYF60" s="220"/>
      <c r="DYG60" s="220"/>
      <c r="DYH60" s="217"/>
      <c r="DYI60" s="221"/>
      <c r="DYJ60" s="216"/>
      <c r="DYK60" s="217"/>
      <c r="DYL60" s="218"/>
      <c r="DYM60" s="219"/>
      <c r="DYN60" s="220"/>
      <c r="DYO60" s="220"/>
      <c r="DYP60" s="220"/>
      <c r="DYQ60" s="220"/>
      <c r="DYR60" s="217"/>
      <c r="DYS60" s="221"/>
      <c r="DYT60" s="216"/>
      <c r="DYU60" s="217"/>
      <c r="DYV60" s="218"/>
      <c r="DYW60" s="219"/>
      <c r="DYX60" s="220"/>
      <c r="DYY60" s="220"/>
      <c r="DYZ60" s="220"/>
      <c r="DZA60" s="220"/>
      <c r="DZB60" s="217"/>
      <c r="DZC60" s="221"/>
      <c r="DZD60" s="216"/>
      <c r="DZE60" s="217"/>
      <c r="DZF60" s="218"/>
      <c r="DZG60" s="219"/>
      <c r="DZH60" s="220"/>
      <c r="DZI60" s="220"/>
      <c r="DZJ60" s="220"/>
      <c r="DZK60" s="220"/>
      <c r="DZL60" s="217"/>
      <c r="DZM60" s="221"/>
      <c r="DZN60" s="216"/>
      <c r="DZO60" s="217"/>
      <c r="DZP60" s="218"/>
      <c r="DZQ60" s="219"/>
      <c r="DZR60" s="220"/>
      <c r="DZS60" s="220"/>
      <c r="DZT60" s="220"/>
      <c r="DZU60" s="220"/>
      <c r="DZV60" s="217"/>
      <c r="DZW60" s="221"/>
      <c r="DZX60" s="216"/>
      <c r="DZY60" s="217"/>
      <c r="DZZ60" s="218"/>
      <c r="EAA60" s="219"/>
      <c r="EAB60" s="220"/>
      <c r="EAC60" s="220"/>
      <c r="EAD60" s="220"/>
      <c r="EAE60" s="220"/>
      <c r="EAF60" s="217"/>
      <c r="EAG60" s="221"/>
      <c r="EAH60" s="216"/>
      <c r="EAI60" s="217"/>
      <c r="EAJ60" s="218"/>
      <c r="EAK60" s="219"/>
      <c r="EAL60" s="220"/>
      <c r="EAM60" s="220"/>
      <c r="EAN60" s="220"/>
      <c r="EAO60" s="220"/>
      <c r="EAP60" s="217"/>
      <c r="EAQ60" s="221"/>
      <c r="EAR60" s="216"/>
      <c r="EAS60" s="217"/>
      <c r="EAT60" s="218"/>
      <c r="EAU60" s="219"/>
      <c r="EAV60" s="220"/>
      <c r="EAW60" s="220"/>
      <c r="EAX60" s="220"/>
      <c r="EAY60" s="220"/>
      <c r="EAZ60" s="217"/>
      <c r="EBA60" s="221"/>
      <c r="EBB60" s="216"/>
      <c r="EBC60" s="217"/>
      <c r="EBD60" s="218"/>
      <c r="EBE60" s="219"/>
      <c r="EBF60" s="220"/>
      <c r="EBG60" s="220"/>
      <c r="EBH60" s="220"/>
      <c r="EBI60" s="220"/>
      <c r="EBJ60" s="217"/>
      <c r="EBK60" s="221"/>
      <c r="EBL60" s="216"/>
      <c r="EBM60" s="217"/>
      <c r="EBN60" s="218"/>
      <c r="EBO60" s="219"/>
      <c r="EBP60" s="220"/>
      <c r="EBQ60" s="220"/>
      <c r="EBR60" s="220"/>
      <c r="EBS60" s="220"/>
      <c r="EBT60" s="217"/>
      <c r="EBU60" s="221"/>
      <c r="EBV60" s="216"/>
      <c r="EBW60" s="217"/>
      <c r="EBX60" s="218"/>
      <c r="EBY60" s="219"/>
      <c r="EBZ60" s="220"/>
      <c r="ECA60" s="220"/>
      <c r="ECB60" s="220"/>
      <c r="ECC60" s="220"/>
      <c r="ECD60" s="217"/>
      <c r="ECE60" s="221"/>
      <c r="ECF60" s="216"/>
      <c r="ECG60" s="217"/>
      <c r="ECH60" s="218"/>
      <c r="ECI60" s="219"/>
      <c r="ECJ60" s="220"/>
      <c r="ECK60" s="220"/>
      <c r="ECL60" s="220"/>
      <c r="ECM60" s="220"/>
      <c r="ECN60" s="217"/>
      <c r="ECO60" s="221"/>
      <c r="ECP60" s="216"/>
      <c r="ECQ60" s="217"/>
      <c r="ECR60" s="218"/>
      <c r="ECS60" s="219"/>
      <c r="ECT60" s="220"/>
      <c r="ECU60" s="220"/>
      <c r="ECV60" s="220"/>
      <c r="ECW60" s="220"/>
      <c r="ECX60" s="217"/>
      <c r="ECY60" s="221"/>
      <c r="ECZ60" s="216"/>
      <c r="EDA60" s="217"/>
      <c r="EDB60" s="218"/>
      <c r="EDC60" s="219"/>
      <c r="EDD60" s="220"/>
      <c r="EDE60" s="220"/>
      <c r="EDF60" s="220"/>
      <c r="EDG60" s="220"/>
      <c r="EDH60" s="217"/>
      <c r="EDI60" s="221"/>
      <c r="EDJ60" s="216"/>
      <c r="EDK60" s="217"/>
      <c r="EDL60" s="218"/>
      <c r="EDM60" s="219"/>
      <c r="EDN60" s="220"/>
      <c r="EDO60" s="220"/>
      <c r="EDP60" s="220"/>
      <c r="EDQ60" s="220"/>
      <c r="EDR60" s="217"/>
      <c r="EDS60" s="221"/>
      <c r="EDT60" s="216"/>
      <c r="EDU60" s="217"/>
      <c r="EDV60" s="218"/>
      <c r="EDW60" s="219"/>
      <c r="EDX60" s="220"/>
      <c r="EDY60" s="220"/>
      <c r="EDZ60" s="220"/>
      <c r="EEA60" s="220"/>
      <c r="EEB60" s="217"/>
      <c r="EEC60" s="221"/>
      <c r="EED60" s="216"/>
      <c r="EEE60" s="217"/>
      <c r="EEF60" s="218"/>
      <c r="EEG60" s="219"/>
      <c r="EEH60" s="220"/>
      <c r="EEI60" s="220"/>
      <c r="EEJ60" s="220"/>
      <c r="EEK60" s="220"/>
      <c r="EEL60" s="217"/>
      <c r="EEM60" s="221"/>
      <c r="EEN60" s="216"/>
      <c r="EEO60" s="217"/>
      <c r="EEP60" s="218"/>
      <c r="EEQ60" s="219"/>
      <c r="EER60" s="220"/>
      <c r="EES60" s="220"/>
      <c r="EET60" s="220"/>
      <c r="EEU60" s="220"/>
      <c r="EEV60" s="217"/>
      <c r="EEW60" s="221"/>
      <c r="EEX60" s="216"/>
      <c r="EEY60" s="217"/>
      <c r="EEZ60" s="218"/>
      <c r="EFA60" s="219"/>
      <c r="EFB60" s="220"/>
      <c r="EFC60" s="220"/>
      <c r="EFD60" s="220"/>
      <c r="EFE60" s="220"/>
      <c r="EFF60" s="217"/>
      <c r="EFG60" s="221"/>
      <c r="EFH60" s="216"/>
      <c r="EFI60" s="217"/>
      <c r="EFJ60" s="218"/>
      <c r="EFK60" s="219"/>
      <c r="EFL60" s="220"/>
      <c r="EFM60" s="220"/>
      <c r="EFN60" s="220"/>
      <c r="EFO60" s="220"/>
      <c r="EFP60" s="217"/>
      <c r="EFQ60" s="221"/>
      <c r="EFR60" s="216"/>
      <c r="EFS60" s="217"/>
      <c r="EFT60" s="218"/>
      <c r="EFU60" s="219"/>
      <c r="EFV60" s="220"/>
      <c r="EFW60" s="220"/>
      <c r="EFX60" s="220"/>
      <c r="EFY60" s="220"/>
      <c r="EFZ60" s="217"/>
      <c r="EGA60" s="221"/>
      <c r="EGB60" s="216"/>
      <c r="EGC60" s="217"/>
      <c r="EGD60" s="218"/>
      <c r="EGE60" s="219"/>
      <c r="EGF60" s="220"/>
      <c r="EGG60" s="220"/>
      <c r="EGH60" s="220"/>
      <c r="EGI60" s="220"/>
      <c r="EGJ60" s="217"/>
      <c r="EGK60" s="221"/>
      <c r="EGL60" s="216"/>
      <c r="EGM60" s="217"/>
      <c r="EGN60" s="218"/>
      <c r="EGO60" s="219"/>
      <c r="EGP60" s="220"/>
      <c r="EGQ60" s="220"/>
      <c r="EGR60" s="220"/>
      <c r="EGS60" s="220"/>
      <c r="EGT60" s="217"/>
      <c r="EGU60" s="221"/>
      <c r="EGV60" s="216"/>
      <c r="EGW60" s="217"/>
      <c r="EGX60" s="218"/>
      <c r="EGY60" s="219"/>
      <c r="EGZ60" s="220"/>
      <c r="EHA60" s="220"/>
      <c r="EHB60" s="220"/>
      <c r="EHC60" s="220"/>
      <c r="EHD60" s="217"/>
      <c r="EHE60" s="221"/>
      <c r="EHF60" s="216"/>
      <c r="EHG60" s="217"/>
      <c r="EHH60" s="218"/>
      <c r="EHI60" s="219"/>
      <c r="EHJ60" s="220"/>
      <c r="EHK60" s="220"/>
      <c r="EHL60" s="220"/>
      <c r="EHM60" s="220"/>
      <c r="EHN60" s="217"/>
      <c r="EHO60" s="221"/>
      <c r="EHP60" s="216"/>
      <c r="EHQ60" s="217"/>
      <c r="EHR60" s="218"/>
      <c r="EHS60" s="219"/>
      <c r="EHT60" s="220"/>
      <c r="EHU60" s="220"/>
      <c r="EHV60" s="220"/>
      <c r="EHW60" s="220"/>
      <c r="EHX60" s="217"/>
      <c r="EHY60" s="221"/>
      <c r="EHZ60" s="216"/>
      <c r="EIA60" s="217"/>
      <c r="EIB60" s="218"/>
      <c r="EIC60" s="219"/>
      <c r="EID60" s="220"/>
      <c r="EIE60" s="220"/>
      <c r="EIF60" s="220"/>
      <c r="EIG60" s="220"/>
      <c r="EIH60" s="217"/>
      <c r="EII60" s="221"/>
      <c r="EIJ60" s="216"/>
      <c r="EIK60" s="217"/>
      <c r="EIL60" s="218"/>
      <c r="EIM60" s="219"/>
      <c r="EIN60" s="220"/>
      <c r="EIO60" s="220"/>
      <c r="EIP60" s="220"/>
      <c r="EIQ60" s="220"/>
      <c r="EIR60" s="217"/>
      <c r="EIS60" s="221"/>
      <c r="EIT60" s="216"/>
      <c r="EIU60" s="217"/>
      <c r="EIV60" s="218"/>
      <c r="EIW60" s="219"/>
      <c r="EIX60" s="220"/>
      <c r="EIY60" s="220"/>
      <c r="EIZ60" s="220"/>
      <c r="EJA60" s="220"/>
      <c r="EJB60" s="217"/>
      <c r="EJC60" s="221"/>
      <c r="EJD60" s="216"/>
      <c r="EJE60" s="217"/>
      <c r="EJF60" s="218"/>
      <c r="EJG60" s="219"/>
      <c r="EJH60" s="220"/>
      <c r="EJI60" s="220"/>
      <c r="EJJ60" s="220"/>
      <c r="EJK60" s="220"/>
      <c r="EJL60" s="217"/>
      <c r="EJM60" s="221"/>
      <c r="EJN60" s="216"/>
      <c r="EJO60" s="217"/>
      <c r="EJP60" s="218"/>
      <c r="EJQ60" s="219"/>
      <c r="EJR60" s="220"/>
      <c r="EJS60" s="220"/>
      <c r="EJT60" s="220"/>
      <c r="EJU60" s="220"/>
      <c r="EJV60" s="217"/>
      <c r="EJW60" s="221"/>
      <c r="EJX60" s="216"/>
      <c r="EJY60" s="217"/>
      <c r="EJZ60" s="218"/>
      <c r="EKA60" s="219"/>
      <c r="EKB60" s="220"/>
      <c r="EKC60" s="220"/>
      <c r="EKD60" s="220"/>
      <c r="EKE60" s="220"/>
      <c r="EKF60" s="217"/>
      <c r="EKG60" s="221"/>
      <c r="EKH60" s="216"/>
      <c r="EKI60" s="217"/>
      <c r="EKJ60" s="218"/>
      <c r="EKK60" s="219"/>
      <c r="EKL60" s="220"/>
      <c r="EKM60" s="220"/>
      <c r="EKN60" s="220"/>
      <c r="EKO60" s="220"/>
      <c r="EKP60" s="217"/>
      <c r="EKQ60" s="221"/>
      <c r="EKR60" s="216"/>
      <c r="EKS60" s="217"/>
      <c r="EKT60" s="218"/>
      <c r="EKU60" s="219"/>
      <c r="EKV60" s="220"/>
      <c r="EKW60" s="220"/>
      <c r="EKX60" s="220"/>
      <c r="EKY60" s="220"/>
      <c r="EKZ60" s="217"/>
      <c r="ELA60" s="221"/>
      <c r="ELB60" s="216"/>
      <c r="ELC60" s="217"/>
      <c r="ELD60" s="218"/>
      <c r="ELE60" s="219"/>
      <c r="ELF60" s="220"/>
      <c r="ELG60" s="220"/>
      <c r="ELH60" s="220"/>
      <c r="ELI60" s="220"/>
      <c r="ELJ60" s="217"/>
      <c r="ELK60" s="221"/>
      <c r="ELL60" s="216"/>
      <c r="ELM60" s="217"/>
      <c r="ELN60" s="218"/>
      <c r="ELO60" s="219"/>
      <c r="ELP60" s="220"/>
      <c r="ELQ60" s="220"/>
      <c r="ELR60" s="220"/>
      <c r="ELS60" s="220"/>
      <c r="ELT60" s="217"/>
      <c r="ELU60" s="221"/>
      <c r="ELV60" s="216"/>
      <c r="ELW60" s="217"/>
      <c r="ELX60" s="218"/>
      <c r="ELY60" s="219"/>
      <c r="ELZ60" s="220"/>
      <c r="EMA60" s="220"/>
      <c r="EMB60" s="220"/>
      <c r="EMC60" s="220"/>
      <c r="EMD60" s="217"/>
      <c r="EME60" s="221"/>
      <c r="EMF60" s="216"/>
      <c r="EMG60" s="217"/>
      <c r="EMH60" s="218"/>
      <c r="EMI60" s="219"/>
      <c r="EMJ60" s="220"/>
      <c r="EMK60" s="220"/>
      <c r="EML60" s="220"/>
      <c r="EMM60" s="220"/>
      <c r="EMN60" s="217"/>
      <c r="EMO60" s="221"/>
      <c r="EMP60" s="216"/>
      <c r="EMQ60" s="217"/>
      <c r="EMR60" s="218"/>
      <c r="EMS60" s="219"/>
      <c r="EMT60" s="220"/>
      <c r="EMU60" s="220"/>
      <c r="EMV60" s="220"/>
      <c r="EMW60" s="220"/>
      <c r="EMX60" s="217"/>
      <c r="EMY60" s="221"/>
      <c r="EMZ60" s="216"/>
      <c r="ENA60" s="217"/>
      <c r="ENB60" s="218"/>
      <c r="ENC60" s="219"/>
      <c r="END60" s="220"/>
      <c r="ENE60" s="220"/>
      <c r="ENF60" s="220"/>
      <c r="ENG60" s="220"/>
      <c r="ENH60" s="217"/>
      <c r="ENI60" s="221"/>
      <c r="ENJ60" s="216"/>
      <c r="ENK60" s="217"/>
      <c r="ENL60" s="218"/>
      <c r="ENM60" s="219"/>
      <c r="ENN60" s="220"/>
      <c r="ENO60" s="220"/>
      <c r="ENP60" s="220"/>
      <c r="ENQ60" s="220"/>
      <c r="ENR60" s="217"/>
      <c r="ENS60" s="221"/>
      <c r="ENT60" s="216"/>
      <c r="ENU60" s="217"/>
      <c r="ENV60" s="218"/>
      <c r="ENW60" s="219"/>
      <c r="ENX60" s="220"/>
      <c r="ENY60" s="220"/>
      <c r="ENZ60" s="220"/>
      <c r="EOA60" s="220"/>
      <c r="EOB60" s="217"/>
      <c r="EOC60" s="221"/>
      <c r="EOD60" s="216"/>
      <c r="EOE60" s="217"/>
      <c r="EOF60" s="218"/>
      <c r="EOG60" s="219"/>
      <c r="EOH60" s="220"/>
      <c r="EOI60" s="220"/>
      <c r="EOJ60" s="220"/>
      <c r="EOK60" s="220"/>
      <c r="EOL60" s="217"/>
      <c r="EOM60" s="221"/>
      <c r="EON60" s="216"/>
      <c r="EOO60" s="217"/>
      <c r="EOP60" s="218"/>
      <c r="EOQ60" s="219"/>
      <c r="EOR60" s="220"/>
      <c r="EOS60" s="220"/>
      <c r="EOT60" s="220"/>
      <c r="EOU60" s="220"/>
      <c r="EOV60" s="217"/>
      <c r="EOW60" s="221"/>
      <c r="EOX60" s="216"/>
      <c r="EOY60" s="217"/>
      <c r="EOZ60" s="218"/>
      <c r="EPA60" s="219"/>
      <c r="EPB60" s="220"/>
      <c r="EPC60" s="220"/>
      <c r="EPD60" s="220"/>
      <c r="EPE60" s="220"/>
      <c r="EPF60" s="217"/>
      <c r="EPG60" s="221"/>
      <c r="EPH60" s="216"/>
      <c r="EPI60" s="217"/>
      <c r="EPJ60" s="218"/>
      <c r="EPK60" s="219"/>
      <c r="EPL60" s="220"/>
      <c r="EPM60" s="220"/>
      <c r="EPN60" s="220"/>
      <c r="EPO60" s="220"/>
      <c r="EPP60" s="217"/>
      <c r="EPQ60" s="221"/>
      <c r="EPR60" s="216"/>
      <c r="EPS60" s="217"/>
      <c r="EPT60" s="218"/>
      <c r="EPU60" s="219"/>
      <c r="EPV60" s="220"/>
      <c r="EPW60" s="220"/>
      <c r="EPX60" s="220"/>
      <c r="EPY60" s="220"/>
      <c r="EPZ60" s="217"/>
      <c r="EQA60" s="221"/>
      <c r="EQB60" s="216"/>
      <c r="EQC60" s="217"/>
      <c r="EQD60" s="218"/>
      <c r="EQE60" s="219"/>
      <c r="EQF60" s="220"/>
      <c r="EQG60" s="220"/>
      <c r="EQH60" s="220"/>
      <c r="EQI60" s="220"/>
      <c r="EQJ60" s="217"/>
      <c r="EQK60" s="221"/>
      <c r="EQL60" s="216"/>
      <c r="EQM60" s="217"/>
      <c r="EQN60" s="218"/>
      <c r="EQO60" s="219"/>
      <c r="EQP60" s="220"/>
      <c r="EQQ60" s="220"/>
      <c r="EQR60" s="220"/>
      <c r="EQS60" s="220"/>
      <c r="EQT60" s="217"/>
      <c r="EQU60" s="221"/>
      <c r="EQV60" s="216"/>
      <c r="EQW60" s="217"/>
      <c r="EQX60" s="218"/>
      <c r="EQY60" s="219"/>
      <c r="EQZ60" s="220"/>
      <c r="ERA60" s="220"/>
      <c r="ERB60" s="220"/>
      <c r="ERC60" s="220"/>
      <c r="ERD60" s="217"/>
      <c r="ERE60" s="221"/>
      <c r="ERF60" s="216"/>
      <c r="ERG60" s="217"/>
      <c r="ERH60" s="218"/>
      <c r="ERI60" s="219"/>
      <c r="ERJ60" s="220"/>
      <c r="ERK60" s="220"/>
      <c r="ERL60" s="220"/>
      <c r="ERM60" s="220"/>
      <c r="ERN60" s="217"/>
      <c r="ERO60" s="221"/>
      <c r="ERP60" s="216"/>
      <c r="ERQ60" s="217"/>
      <c r="ERR60" s="218"/>
      <c r="ERS60" s="219"/>
      <c r="ERT60" s="220"/>
      <c r="ERU60" s="220"/>
      <c r="ERV60" s="220"/>
      <c r="ERW60" s="220"/>
      <c r="ERX60" s="217"/>
      <c r="ERY60" s="221"/>
      <c r="ERZ60" s="216"/>
      <c r="ESA60" s="217"/>
      <c r="ESB60" s="218"/>
      <c r="ESC60" s="219"/>
      <c r="ESD60" s="220"/>
      <c r="ESE60" s="220"/>
      <c r="ESF60" s="220"/>
      <c r="ESG60" s="220"/>
      <c r="ESH60" s="217"/>
      <c r="ESI60" s="221"/>
      <c r="ESJ60" s="216"/>
      <c r="ESK60" s="217"/>
      <c r="ESL60" s="218"/>
      <c r="ESM60" s="219"/>
      <c r="ESN60" s="220"/>
      <c r="ESO60" s="220"/>
      <c r="ESP60" s="220"/>
      <c r="ESQ60" s="220"/>
      <c r="ESR60" s="217"/>
      <c r="ESS60" s="221"/>
      <c r="EST60" s="216"/>
      <c r="ESU60" s="217"/>
      <c r="ESV60" s="218"/>
      <c r="ESW60" s="219"/>
      <c r="ESX60" s="220"/>
      <c r="ESY60" s="220"/>
      <c r="ESZ60" s="220"/>
      <c r="ETA60" s="220"/>
      <c r="ETB60" s="217"/>
      <c r="ETC60" s="221"/>
      <c r="ETD60" s="216"/>
      <c r="ETE60" s="217"/>
      <c r="ETF60" s="218"/>
      <c r="ETG60" s="219"/>
      <c r="ETH60" s="220"/>
      <c r="ETI60" s="220"/>
      <c r="ETJ60" s="220"/>
      <c r="ETK60" s="220"/>
      <c r="ETL60" s="217"/>
      <c r="ETM60" s="221"/>
      <c r="ETN60" s="216"/>
      <c r="ETO60" s="217"/>
      <c r="ETP60" s="218"/>
      <c r="ETQ60" s="219"/>
      <c r="ETR60" s="220"/>
      <c r="ETS60" s="220"/>
      <c r="ETT60" s="220"/>
      <c r="ETU60" s="220"/>
      <c r="ETV60" s="217"/>
      <c r="ETW60" s="221"/>
      <c r="ETX60" s="216"/>
      <c r="ETY60" s="217"/>
      <c r="ETZ60" s="218"/>
      <c r="EUA60" s="219"/>
      <c r="EUB60" s="220"/>
      <c r="EUC60" s="220"/>
      <c r="EUD60" s="220"/>
      <c r="EUE60" s="220"/>
      <c r="EUF60" s="217"/>
      <c r="EUG60" s="221"/>
      <c r="EUH60" s="216"/>
      <c r="EUI60" s="217"/>
      <c r="EUJ60" s="218"/>
      <c r="EUK60" s="219"/>
      <c r="EUL60" s="220"/>
      <c r="EUM60" s="220"/>
      <c r="EUN60" s="220"/>
      <c r="EUO60" s="220"/>
      <c r="EUP60" s="217"/>
      <c r="EUQ60" s="221"/>
      <c r="EUR60" s="216"/>
      <c r="EUS60" s="217"/>
      <c r="EUT60" s="218"/>
      <c r="EUU60" s="219"/>
      <c r="EUV60" s="220"/>
      <c r="EUW60" s="220"/>
      <c r="EUX60" s="220"/>
      <c r="EUY60" s="220"/>
      <c r="EUZ60" s="217"/>
      <c r="EVA60" s="221"/>
      <c r="EVB60" s="216"/>
      <c r="EVC60" s="217"/>
      <c r="EVD60" s="218"/>
      <c r="EVE60" s="219"/>
      <c r="EVF60" s="220"/>
      <c r="EVG60" s="220"/>
      <c r="EVH60" s="220"/>
      <c r="EVI60" s="220"/>
      <c r="EVJ60" s="217"/>
      <c r="EVK60" s="221"/>
      <c r="EVL60" s="216"/>
      <c r="EVM60" s="217"/>
      <c r="EVN60" s="218"/>
      <c r="EVO60" s="219"/>
      <c r="EVP60" s="220"/>
      <c r="EVQ60" s="220"/>
      <c r="EVR60" s="220"/>
      <c r="EVS60" s="220"/>
      <c r="EVT60" s="217"/>
      <c r="EVU60" s="221"/>
      <c r="EVV60" s="216"/>
      <c r="EVW60" s="217"/>
      <c r="EVX60" s="218"/>
      <c r="EVY60" s="219"/>
      <c r="EVZ60" s="220"/>
      <c r="EWA60" s="220"/>
      <c r="EWB60" s="220"/>
      <c r="EWC60" s="220"/>
      <c r="EWD60" s="217"/>
      <c r="EWE60" s="221"/>
      <c r="EWF60" s="216"/>
      <c r="EWG60" s="217"/>
      <c r="EWH60" s="218"/>
      <c r="EWI60" s="219"/>
      <c r="EWJ60" s="220"/>
      <c r="EWK60" s="220"/>
      <c r="EWL60" s="220"/>
      <c r="EWM60" s="220"/>
      <c r="EWN60" s="217"/>
      <c r="EWO60" s="221"/>
      <c r="EWP60" s="216"/>
      <c r="EWQ60" s="217"/>
      <c r="EWR60" s="218"/>
      <c r="EWS60" s="219"/>
      <c r="EWT60" s="220"/>
      <c r="EWU60" s="220"/>
      <c r="EWV60" s="220"/>
      <c r="EWW60" s="220"/>
      <c r="EWX60" s="217"/>
      <c r="EWY60" s="221"/>
      <c r="EWZ60" s="216"/>
      <c r="EXA60" s="217"/>
      <c r="EXB60" s="218"/>
      <c r="EXC60" s="219"/>
      <c r="EXD60" s="220"/>
      <c r="EXE60" s="220"/>
      <c r="EXF60" s="220"/>
      <c r="EXG60" s="220"/>
      <c r="EXH60" s="217"/>
      <c r="EXI60" s="221"/>
      <c r="EXJ60" s="216"/>
      <c r="EXK60" s="217"/>
      <c r="EXL60" s="218"/>
      <c r="EXM60" s="219"/>
      <c r="EXN60" s="220"/>
      <c r="EXO60" s="220"/>
      <c r="EXP60" s="220"/>
      <c r="EXQ60" s="220"/>
      <c r="EXR60" s="217"/>
      <c r="EXS60" s="221"/>
      <c r="EXT60" s="216"/>
      <c r="EXU60" s="217"/>
      <c r="EXV60" s="218"/>
      <c r="EXW60" s="219"/>
      <c r="EXX60" s="220"/>
      <c r="EXY60" s="220"/>
      <c r="EXZ60" s="220"/>
      <c r="EYA60" s="220"/>
      <c r="EYB60" s="217"/>
      <c r="EYC60" s="221"/>
      <c r="EYD60" s="216"/>
      <c r="EYE60" s="217"/>
      <c r="EYF60" s="218"/>
      <c r="EYG60" s="219"/>
      <c r="EYH60" s="220"/>
      <c r="EYI60" s="220"/>
      <c r="EYJ60" s="220"/>
      <c r="EYK60" s="220"/>
      <c r="EYL60" s="217"/>
      <c r="EYM60" s="221"/>
      <c r="EYN60" s="216"/>
      <c r="EYO60" s="217"/>
      <c r="EYP60" s="218"/>
      <c r="EYQ60" s="219"/>
      <c r="EYR60" s="220"/>
      <c r="EYS60" s="220"/>
      <c r="EYT60" s="220"/>
      <c r="EYU60" s="220"/>
      <c r="EYV60" s="217"/>
      <c r="EYW60" s="221"/>
      <c r="EYX60" s="216"/>
      <c r="EYY60" s="217"/>
      <c r="EYZ60" s="218"/>
      <c r="EZA60" s="219"/>
      <c r="EZB60" s="220"/>
      <c r="EZC60" s="220"/>
      <c r="EZD60" s="220"/>
      <c r="EZE60" s="220"/>
      <c r="EZF60" s="217"/>
      <c r="EZG60" s="221"/>
      <c r="EZH60" s="216"/>
      <c r="EZI60" s="217"/>
      <c r="EZJ60" s="218"/>
      <c r="EZK60" s="219"/>
      <c r="EZL60" s="220"/>
      <c r="EZM60" s="220"/>
      <c r="EZN60" s="220"/>
      <c r="EZO60" s="220"/>
      <c r="EZP60" s="217"/>
      <c r="EZQ60" s="221"/>
      <c r="EZR60" s="216"/>
      <c r="EZS60" s="217"/>
      <c r="EZT60" s="218"/>
      <c r="EZU60" s="219"/>
      <c r="EZV60" s="220"/>
      <c r="EZW60" s="220"/>
      <c r="EZX60" s="220"/>
      <c r="EZY60" s="220"/>
      <c r="EZZ60" s="217"/>
      <c r="FAA60" s="221"/>
      <c r="FAB60" s="216"/>
      <c r="FAC60" s="217"/>
      <c r="FAD60" s="218"/>
      <c r="FAE60" s="219"/>
      <c r="FAF60" s="220"/>
      <c r="FAG60" s="220"/>
      <c r="FAH60" s="220"/>
      <c r="FAI60" s="220"/>
      <c r="FAJ60" s="217"/>
      <c r="FAK60" s="221"/>
      <c r="FAL60" s="216"/>
      <c r="FAM60" s="217"/>
      <c r="FAN60" s="218"/>
      <c r="FAO60" s="219"/>
      <c r="FAP60" s="220"/>
      <c r="FAQ60" s="220"/>
      <c r="FAR60" s="220"/>
      <c r="FAS60" s="220"/>
      <c r="FAT60" s="217"/>
      <c r="FAU60" s="221"/>
      <c r="FAV60" s="216"/>
      <c r="FAW60" s="217"/>
      <c r="FAX60" s="218"/>
      <c r="FAY60" s="219"/>
      <c r="FAZ60" s="220"/>
      <c r="FBA60" s="220"/>
      <c r="FBB60" s="220"/>
      <c r="FBC60" s="220"/>
      <c r="FBD60" s="217"/>
      <c r="FBE60" s="221"/>
      <c r="FBF60" s="216"/>
      <c r="FBG60" s="217"/>
      <c r="FBH60" s="218"/>
      <c r="FBI60" s="219"/>
      <c r="FBJ60" s="220"/>
      <c r="FBK60" s="220"/>
      <c r="FBL60" s="220"/>
      <c r="FBM60" s="220"/>
      <c r="FBN60" s="217"/>
      <c r="FBO60" s="221"/>
      <c r="FBP60" s="216"/>
      <c r="FBQ60" s="217"/>
      <c r="FBR60" s="218"/>
      <c r="FBS60" s="219"/>
      <c r="FBT60" s="220"/>
      <c r="FBU60" s="220"/>
      <c r="FBV60" s="220"/>
      <c r="FBW60" s="220"/>
      <c r="FBX60" s="217"/>
      <c r="FBY60" s="221"/>
      <c r="FBZ60" s="216"/>
      <c r="FCA60" s="217"/>
      <c r="FCB60" s="218"/>
      <c r="FCC60" s="219"/>
      <c r="FCD60" s="220"/>
      <c r="FCE60" s="220"/>
      <c r="FCF60" s="220"/>
      <c r="FCG60" s="220"/>
      <c r="FCH60" s="217"/>
      <c r="FCI60" s="221"/>
      <c r="FCJ60" s="216"/>
      <c r="FCK60" s="217"/>
      <c r="FCL60" s="218"/>
      <c r="FCM60" s="219"/>
      <c r="FCN60" s="220"/>
      <c r="FCO60" s="220"/>
      <c r="FCP60" s="220"/>
      <c r="FCQ60" s="220"/>
      <c r="FCR60" s="217"/>
      <c r="FCS60" s="221"/>
      <c r="FCT60" s="216"/>
      <c r="FCU60" s="217"/>
      <c r="FCV60" s="218"/>
      <c r="FCW60" s="219"/>
      <c r="FCX60" s="220"/>
      <c r="FCY60" s="220"/>
      <c r="FCZ60" s="220"/>
      <c r="FDA60" s="220"/>
      <c r="FDB60" s="217"/>
      <c r="FDC60" s="221"/>
      <c r="FDD60" s="216"/>
      <c r="FDE60" s="217"/>
      <c r="FDF60" s="218"/>
      <c r="FDG60" s="219"/>
      <c r="FDH60" s="220"/>
      <c r="FDI60" s="220"/>
      <c r="FDJ60" s="220"/>
      <c r="FDK60" s="220"/>
      <c r="FDL60" s="217"/>
      <c r="FDM60" s="221"/>
      <c r="FDN60" s="216"/>
      <c r="FDO60" s="217"/>
      <c r="FDP60" s="218"/>
      <c r="FDQ60" s="219"/>
      <c r="FDR60" s="220"/>
      <c r="FDS60" s="220"/>
      <c r="FDT60" s="220"/>
      <c r="FDU60" s="220"/>
      <c r="FDV60" s="217"/>
      <c r="FDW60" s="221"/>
      <c r="FDX60" s="216"/>
      <c r="FDY60" s="217"/>
      <c r="FDZ60" s="218"/>
      <c r="FEA60" s="219"/>
      <c r="FEB60" s="220"/>
      <c r="FEC60" s="220"/>
      <c r="FED60" s="220"/>
      <c r="FEE60" s="220"/>
      <c r="FEF60" s="217"/>
      <c r="FEG60" s="221"/>
      <c r="FEH60" s="216"/>
      <c r="FEI60" s="217"/>
      <c r="FEJ60" s="218"/>
      <c r="FEK60" s="219"/>
      <c r="FEL60" s="220"/>
      <c r="FEM60" s="220"/>
      <c r="FEN60" s="220"/>
      <c r="FEO60" s="220"/>
      <c r="FEP60" s="217"/>
      <c r="FEQ60" s="221"/>
      <c r="FER60" s="216"/>
      <c r="FES60" s="217"/>
      <c r="FET60" s="218"/>
      <c r="FEU60" s="219"/>
      <c r="FEV60" s="220"/>
      <c r="FEW60" s="220"/>
      <c r="FEX60" s="220"/>
      <c r="FEY60" s="220"/>
      <c r="FEZ60" s="217"/>
      <c r="FFA60" s="221"/>
      <c r="FFB60" s="216"/>
      <c r="FFC60" s="217"/>
      <c r="FFD60" s="218"/>
      <c r="FFE60" s="219"/>
      <c r="FFF60" s="220"/>
      <c r="FFG60" s="220"/>
      <c r="FFH60" s="220"/>
      <c r="FFI60" s="220"/>
      <c r="FFJ60" s="217"/>
      <c r="FFK60" s="221"/>
      <c r="FFL60" s="216"/>
      <c r="FFM60" s="217"/>
      <c r="FFN60" s="218"/>
      <c r="FFO60" s="219"/>
      <c r="FFP60" s="220"/>
      <c r="FFQ60" s="220"/>
      <c r="FFR60" s="220"/>
      <c r="FFS60" s="220"/>
      <c r="FFT60" s="217"/>
      <c r="FFU60" s="221"/>
      <c r="FFV60" s="216"/>
      <c r="FFW60" s="217"/>
      <c r="FFX60" s="218"/>
      <c r="FFY60" s="219"/>
      <c r="FFZ60" s="220"/>
      <c r="FGA60" s="220"/>
      <c r="FGB60" s="220"/>
      <c r="FGC60" s="220"/>
      <c r="FGD60" s="217"/>
      <c r="FGE60" s="221"/>
      <c r="FGF60" s="216"/>
      <c r="FGG60" s="217"/>
      <c r="FGH60" s="218"/>
      <c r="FGI60" s="219"/>
      <c r="FGJ60" s="220"/>
      <c r="FGK60" s="220"/>
      <c r="FGL60" s="220"/>
      <c r="FGM60" s="220"/>
      <c r="FGN60" s="217"/>
      <c r="FGO60" s="221"/>
      <c r="FGP60" s="216"/>
      <c r="FGQ60" s="217"/>
      <c r="FGR60" s="218"/>
      <c r="FGS60" s="219"/>
      <c r="FGT60" s="220"/>
      <c r="FGU60" s="220"/>
      <c r="FGV60" s="220"/>
      <c r="FGW60" s="220"/>
      <c r="FGX60" s="217"/>
      <c r="FGY60" s="221"/>
      <c r="FGZ60" s="216"/>
      <c r="FHA60" s="217"/>
      <c r="FHB60" s="218"/>
      <c r="FHC60" s="219"/>
      <c r="FHD60" s="220"/>
      <c r="FHE60" s="220"/>
      <c r="FHF60" s="220"/>
      <c r="FHG60" s="220"/>
      <c r="FHH60" s="217"/>
      <c r="FHI60" s="221"/>
      <c r="FHJ60" s="216"/>
      <c r="FHK60" s="217"/>
      <c r="FHL60" s="218"/>
      <c r="FHM60" s="219"/>
      <c r="FHN60" s="220"/>
      <c r="FHO60" s="220"/>
      <c r="FHP60" s="220"/>
      <c r="FHQ60" s="220"/>
      <c r="FHR60" s="217"/>
      <c r="FHS60" s="221"/>
      <c r="FHT60" s="216"/>
      <c r="FHU60" s="217"/>
      <c r="FHV60" s="218"/>
      <c r="FHW60" s="219"/>
      <c r="FHX60" s="220"/>
      <c r="FHY60" s="220"/>
      <c r="FHZ60" s="220"/>
      <c r="FIA60" s="220"/>
      <c r="FIB60" s="217"/>
      <c r="FIC60" s="221"/>
      <c r="FID60" s="216"/>
      <c r="FIE60" s="217"/>
      <c r="FIF60" s="218"/>
      <c r="FIG60" s="219"/>
      <c r="FIH60" s="220"/>
      <c r="FII60" s="220"/>
      <c r="FIJ60" s="220"/>
      <c r="FIK60" s="220"/>
      <c r="FIL60" s="217"/>
      <c r="FIM60" s="221"/>
      <c r="FIN60" s="216"/>
      <c r="FIO60" s="217"/>
      <c r="FIP60" s="218"/>
      <c r="FIQ60" s="219"/>
      <c r="FIR60" s="220"/>
      <c r="FIS60" s="220"/>
      <c r="FIT60" s="220"/>
      <c r="FIU60" s="220"/>
      <c r="FIV60" s="217"/>
      <c r="FIW60" s="221"/>
      <c r="FIX60" s="216"/>
      <c r="FIY60" s="217"/>
      <c r="FIZ60" s="218"/>
      <c r="FJA60" s="219"/>
      <c r="FJB60" s="220"/>
      <c r="FJC60" s="220"/>
      <c r="FJD60" s="220"/>
      <c r="FJE60" s="220"/>
      <c r="FJF60" s="217"/>
      <c r="FJG60" s="221"/>
      <c r="FJH60" s="216"/>
      <c r="FJI60" s="217"/>
      <c r="FJJ60" s="218"/>
      <c r="FJK60" s="219"/>
      <c r="FJL60" s="220"/>
      <c r="FJM60" s="220"/>
      <c r="FJN60" s="220"/>
      <c r="FJO60" s="220"/>
      <c r="FJP60" s="217"/>
      <c r="FJQ60" s="221"/>
      <c r="FJR60" s="216"/>
      <c r="FJS60" s="217"/>
      <c r="FJT60" s="218"/>
      <c r="FJU60" s="219"/>
      <c r="FJV60" s="220"/>
      <c r="FJW60" s="220"/>
      <c r="FJX60" s="220"/>
      <c r="FJY60" s="220"/>
      <c r="FJZ60" s="217"/>
      <c r="FKA60" s="221"/>
      <c r="FKB60" s="216"/>
      <c r="FKC60" s="217"/>
      <c r="FKD60" s="218"/>
      <c r="FKE60" s="219"/>
      <c r="FKF60" s="220"/>
      <c r="FKG60" s="220"/>
      <c r="FKH60" s="220"/>
      <c r="FKI60" s="220"/>
      <c r="FKJ60" s="217"/>
      <c r="FKK60" s="221"/>
      <c r="FKL60" s="216"/>
      <c r="FKM60" s="217"/>
      <c r="FKN60" s="218"/>
      <c r="FKO60" s="219"/>
      <c r="FKP60" s="220"/>
      <c r="FKQ60" s="220"/>
      <c r="FKR60" s="220"/>
      <c r="FKS60" s="220"/>
      <c r="FKT60" s="217"/>
      <c r="FKU60" s="221"/>
      <c r="FKV60" s="216"/>
      <c r="FKW60" s="217"/>
      <c r="FKX60" s="218"/>
      <c r="FKY60" s="219"/>
      <c r="FKZ60" s="220"/>
      <c r="FLA60" s="220"/>
      <c r="FLB60" s="220"/>
      <c r="FLC60" s="220"/>
      <c r="FLD60" s="217"/>
      <c r="FLE60" s="221"/>
      <c r="FLF60" s="216"/>
      <c r="FLG60" s="217"/>
      <c r="FLH60" s="218"/>
      <c r="FLI60" s="219"/>
      <c r="FLJ60" s="220"/>
      <c r="FLK60" s="220"/>
      <c r="FLL60" s="220"/>
      <c r="FLM60" s="220"/>
      <c r="FLN60" s="217"/>
      <c r="FLO60" s="221"/>
      <c r="FLP60" s="216"/>
      <c r="FLQ60" s="217"/>
      <c r="FLR60" s="218"/>
      <c r="FLS60" s="219"/>
      <c r="FLT60" s="220"/>
      <c r="FLU60" s="220"/>
      <c r="FLV60" s="220"/>
      <c r="FLW60" s="220"/>
      <c r="FLX60" s="217"/>
      <c r="FLY60" s="221"/>
      <c r="FLZ60" s="216"/>
      <c r="FMA60" s="217"/>
      <c r="FMB60" s="218"/>
      <c r="FMC60" s="219"/>
      <c r="FMD60" s="220"/>
      <c r="FME60" s="220"/>
      <c r="FMF60" s="220"/>
      <c r="FMG60" s="220"/>
      <c r="FMH60" s="217"/>
      <c r="FMI60" s="221"/>
      <c r="FMJ60" s="216"/>
      <c r="FMK60" s="217"/>
      <c r="FML60" s="218"/>
      <c r="FMM60" s="219"/>
      <c r="FMN60" s="220"/>
      <c r="FMO60" s="220"/>
      <c r="FMP60" s="220"/>
      <c r="FMQ60" s="220"/>
      <c r="FMR60" s="217"/>
      <c r="FMS60" s="221"/>
      <c r="FMT60" s="216"/>
      <c r="FMU60" s="217"/>
      <c r="FMV60" s="218"/>
      <c r="FMW60" s="219"/>
      <c r="FMX60" s="220"/>
      <c r="FMY60" s="220"/>
      <c r="FMZ60" s="220"/>
      <c r="FNA60" s="220"/>
      <c r="FNB60" s="217"/>
      <c r="FNC60" s="221"/>
      <c r="FND60" s="216"/>
      <c r="FNE60" s="217"/>
      <c r="FNF60" s="218"/>
      <c r="FNG60" s="219"/>
      <c r="FNH60" s="220"/>
      <c r="FNI60" s="220"/>
      <c r="FNJ60" s="220"/>
      <c r="FNK60" s="220"/>
      <c r="FNL60" s="217"/>
      <c r="FNM60" s="221"/>
      <c r="FNN60" s="216"/>
      <c r="FNO60" s="217"/>
      <c r="FNP60" s="218"/>
      <c r="FNQ60" s="219"/>
      <c r="FNR60" s="220"/>
      <c r="FNS60" s="220"/>
      <c r="FNT60" s="220"/>
      <c r="FNU60" s="220"/>
      <c r="FNV60" s="217"/>
      <c r="FNW60" s="221"/>
      <c r="FNX60" s="216"/>
      <c r="FNY60" s="217"/>
      <c r="FNZ60" s="218"/>
      <c r="FOA60" s="219"/>
      <c r="FOB60" s="220"/>
      <c r="FOC60" s="220"/>
      <c r="FOD60" s="220"/>
      <c r="FOE60" s="220"/>
      <c r="FOF60" s="217"/>
      <c r="FOG60" s="221"/>
      <c r="FOH60" s="216"/>
      <c r="FOI60" s="217"/>
      <c r="FOJ60" s="218"/>
      <c r="FOK60" s="219"/>
      <c r="FOL60" s="220"/>
      <c r="FOM60" s="220"/>
      <c r="FON60" s="220"/>
      <c r="FOO60" s="220"/>
      <c r="FOP60" s="217"/>
      <c r="FOQ60" s="221"/>
      <c r="FOR60" s="216"/>
      <c r="FOS60" s="217"/>
      <c r="FOT60" s="218"/>
      <c r="FOU60" s="219"/>
      <c r="FOV60" s="220"/>
      <c r="FOW60" s="220"/>
      <c r="FOX60" s="220"/>
      <c r="FOY60" s="220"/>
      <c r="FOZ60" s="217"/>
      <c r="FPA60" s="221"/>
      <c r="FPB60" s="216"/>
      <c r="FPC60" s="217"/>
      <c r="FPD60" s="218"/>
      <c r="FPE60" s="219"/>
      <c r="FPF60" s="220"/>
      <c r="FPG60" s="220"/>
      <c r="FPH60" s="220"/>
      <c r="FPI60" s="220"/>
      <c r="FPJ60" s="217"/>
      <c r="FPK60" s="221"/>
      <c r="FPL60" s="216"/>
      <c r="FPM60" s="217"/>
      <c r="FPN60" s="218"/>
      <c r="FPO60" s="219"/>
      <c r="FPP60" s="220"/>
      <c r="FPQ60" s="220"/>
      <c r="FPR60" s="220"/>
      <c r="FPS60" s="220"/>
      <c r="FPT60" s="217"/>
      <c r="FPU60" s="221"/>
      <c r="FPV60" s="216"/>
      <c r="FPW60" s="217"/>
      <c r="FPX60" s="218"/>
      <c r="FPY60" s="219"/>
      <c r="FPZ60" s="220"/>
      <c r="FQA60" s="220"/>
      <c r="FQB60" s="220"/>
      <c r="FQC60" s="220"/>
      <c r="FQD60" s="217"/>
      <c r="FQE60" s="221"/>
      <c r="FQF60" s="216"/>
      <c r="FQG60" s="217"/>
      <c r="FQH60" s="218"/>
      <c r="FQI60" s="219"/>
      <c r="FQJ60" s="220"/>
      <c r="FQK60" s="220"/>
      <c r="FQL60" s="220"/>
      <c r="FQM60" s="220"/>
      <c r="FQN60" s="217"/>
      <c r="FQO60" s="221"/>
      <c r="FQP60" s="216"/>
      <c r="FQQ60" s="217"/>
      <c r="FQR60" s="218"/>
      <c r="FQS60" s="219"/>
      <c r="FQT60" s="220"/>
      <c r="FQU60" s="220"/>
      <c r="FQV60" s="220"/>
      <c r="FQW60" s="220"/>
      <c r="FQX60" s="217"/>
      <c r="FQY60" s="221"/>
      <c r="FQZ60" s="216"/>
      <c r="FRA60" s="217"/>
      <c r="FRB60" s="218"/>
      <c r="FRC60" s="219"/>
      <c r="FRD60" s="220"/>
      <c r="FRE60" s="220"/>
      <c r="FRF60" s="220"/>
      <c r="FRG60" s="220"/>
      <c r="FRH60" s="217"/>
      <c r="FRI60" s="221"/>
      <c r="FRJ60" s="216"/>
      <c r="FRK60" s="217"/>
      <c r="FRL60" s="218"/>
      <c r="FRM60" s="219"/>
      <c r="FRN60" s="220"/>
      <c r="FRO60" s="220"/>
      <c r="FRP60" s="220"/>
      <c r="FRQ60" s="220"/>
      <c r="FRR60" s="217"/>
      <c r="FRS60" s="221"/>
      <c r="FRT60" s="216"/>
      <c r="FRU60" s="217"/>
      <c r="FRV60" s="218"/>
      <c r="FRW60" s="219"/>
      <c r="FRX60" s="220"/>
      <c r="FRY60" s="220"/>
      <c r="FRZ60" s="220"/>
      <c r="FSA60" s="220"/>
      <c r="FSB60" s="217"/>
      <c r="FSC60" s="221"/>
      <c r="FSD60" s="216"/>
      <c r="FSE60" s="217"/>
      <c r="FSF60" s="218"/>
      <c r="FSG60" s="219"/>
      <c r="FSH60" s="220"/>
      <c r="FSI60" s="220"/>
      <c r="FSJ60" s="220"/>
      <c r="FSK60" s="220"/>
      <c r="FSL60" s="217"/>
      <c r="FSM60" s="221"/>
      <c r="FSN60" s="216"/>
      <c r="FSO60" s="217"/>
      <c r="FSP60" s="218"/>
      <c r="FSQ60" s="219"/>
      <c r="FSR60" s="220"/>
      <c r="FSS60" s="220"/>
      <c r="FST60" s="220"/>
      <c r="FSU60" s="220"/>
      <c r="FSV60" s="217"/>
      <c r="FSW60" s="221"/>
      <c r="FSX60" s="216"/>
      <c r="FSY60" s="217"/>
      <c r="FSZ60" s="218"/>
      <c r="FTA60" s="219"/>
      <c r="FTB60" s="220"/>
      <c r="FTC60" s="220"/>
      <c r="FTD60" s="220"/>
      <c r="FTE60" s="220"/>
      <c r="FTF60" s="217"/>
      <c r="FTG60" s="221"/>
      <c r="FTH60" s="216"/>
      <c r="FTI60" s="217"/>
      <c r="FTJ60" s="218"/>
      <c r="FTK60" s="219"/>
      <c r="FTL60" s="220"/>
      <c r="FTM60" s="220"/>
      <c r="FTN60" s="220"/>
      <c r="FTO60" s="220"/>
      <c r="FTP60" s="217"/>
      <c r="FTQ60" s="221"/>
      <c r="FTR60" s="216"/>
      <c r="FTS60" s="217"/>
      <c r="FTT60" s="218"/>
      <c r="FTU60" s="219"/>
      <c r="FTV60" s="220"/>
      <c r="FTW60" s="220"/>
      <c r="FTX60" s="220"/>
      <c r="FTY60" s="220"/>
      <c r="FTZ60" s="217"/>
      <c r="FUA60" s="221"/>
      <c r="FUB60" s="216"/>
      <c r="FUC60" s="217"/>
      <c r="FUD60" s="218"/>
      <c r="FUE60" s="219"/>
      <c r="FUF60" s="220"/>
      <c r="FUG60" s="220"/>
      <c r="FUH60" s="220"/>
      <c r="FUI60" s="220"/>
      <c r="FUJ60" s="217"/>
      <c r="FUK60" s="221"/>
      <c r="FUL60" s="216"/>
      <c r="FUM60" s="217"/>
      <c r="FUN60" s="218"/>
      <c r="FUO60" s="219"/>
      <c r="FUP60" s="220"/>
      <c r="FUQ60" s="220"/>
      <c r="FUR60" s="220"/>
      <c r="FUS60" s="220"/>
      <c r="FUT60" s="217"/>
      <c r="FUU60" s="221"/>
      <c r="FUV60" s="216"/>
      <c r="FUW60" s="217"/>
      <c r="FUX60" s="218"/>
      <c r="FUY60" s="219"/>
      <c r="FUZ60" s="220"/>
      <c r="FVA60" s="220"/>
      <c r="FVB60" s="220"/>
      <c r="FVC60" s="220"/>
      <c r="FVD60" s="217"/>
      <c r="FVE60" s="221"/>
      <c r="FVF60" s="216"/>
      <c r="FVG60" s="217"/>
      <c r="FVH60" s="218"/>
      <c r="FVI60" s="219"/>
      <c r="FVJ60" s="220"/>
      <c r="FVK60" s="220"/>
      <c r="FVL60" s="220"/>
      <c r="FVM60" s="220"/>
      <c r="FVN60" s="217"/>
      <c r="FVO60" s="221"/>
      <c r="FVP60" s="216"/>
      <c r="FVQ60" s="217"/>
      <c r="FVR60" s="218"/>
      <c r="FVS60" s="219"/>
      <c r="FVT60" s="220"/>
      <c r="FVU60" s="220"/>
      <c r="FVV60" s="220"/>
      <c r="FVW60" s="220"/>
      <c r="FVX60" s="217"/>
      <c r="FVY60" s="221"/>
      <c r="FVZ60" s="216"/>
      <c r="FWA60" s="217"/>
      <c r="FWB60" s="218"/>
      <c r="FWC60" s="219"/>
      <c r="FWD60" s="220"/>
      <c r="FWE60" s="220"/>
      <c r="FWF60" s="220"/>
      <c r="FWG60" s="220"/>
      <c r="FWH60" s="217"/>
      <c r="FWI60" s="221"/>
      <c r="FWJ60" s="216"/>
      <c r="FWK60" s="217"/>
      <c r="FWL60" s="218"/>
      <c r="FWM60" s="219"/>
      <c r="FWN60" s="220"/>
      <c r="FWO60" s="220"/>
      <c r="FWP60" s="220"/>
      <c r="FWQ60" s="220"/>
      <c r="FWR60" s="217"/>
      <c r="FWS60" s="221"/>
      <c r="FWT60" s="216"/>
      <c r="FWU60" s="217"/>
      <c r="FWV60" s="218"/>
      <c r="FWW60" s="219"/>
      <c r="FWX60" s="220"/>
      <c r="FWY60" s="220"/>
      <c r="FWZ60" s="220"/>
      <c r="FXA60" s="220"/>
      <c r="FXB60" s="217"/>
      <c r="FXC60" s="221"/>
      <c r="FXD60" s="216"/>
      <c r="FXE60" s="217"/>
      <c r="FXF60" s="218"/>
      <c r="FXG60" s="219"/>
      <c r="FXH60" s="220"/>
      <c r="FXI60" s="220"/>
      <c r="FXJ60" s="220"/>
      <c r="FXK60" s="220"/>
      <c r="FXL60" s="217"/>
      <c r="FXM60" s="221"/>
      <c r="FXN60" s="216"/>
      <c r="FXO60" s="217"/>
      <c r="FXP60" s="218"/>
      <c r="FXQ60" s="219"/>
      <c r="FXR60" s="220"/>
      <c r="FXS60" s="220"/>
      <c r="FXT60" s="220"/>
      <c r="FXU60" s="220"/>
      <c r="FXV60" s="217"/>
      <c r="FXW60" s="221"/>
      <c r="FXX60" s="216"/>
      <c r="FXY60" s="217"/>
      <c r="FXZ60" s="218"/>
      <c r="FYA60" s="219"/>
      <c r="FYB60" s="220"/>
      <c r="FYC60" s="220"/>
      <c r="FYD60" s="220"/>
      <c r="FYE60" s="220"/>
      <c r="FYF60" s="217"/>
      <c r="FYG60" s="221"/>
      <c r="FYH60" s="216"/>
      <c r="FYI60" s="217"/>
      <c r="FYJ60" s="218"/>
      <c r="FYK60" s="219"/>
      <c r="FYL60" s="220"/>
      <c r="FYM60" s="220"/>
      <c r="FYN60" s="220"/>
      <c r="FYO60" s="220"/>
      <c r="FYP60" s="217"/>
      <c r="FYQ60" s="221"/>
      <c r="FYR60" s="216"/>
      <c r="FYS60" s="217"/>
      <c r="FYT60" s="218"/>
      <c r="FYU60" s="219"/>
      <c r="FYV60" s="220"/>
      <c r="FYW60" s="220"/>
      <c r="FYX60" s="220"/>
      <c r="FYY60" s="220"/>
      <c r="FYZ60" s="217"/>
      <c r="FZA60" s="221"/>
      <c r="FZB60" s="216"/>
      <c r="FZC60" s="217"/>
      <c r="FZD60" s="218"/>
      <c r="FZE60" s="219"/>
      <c r="FZF60" s="220"/>
      <c r="FZG60" s="220"/>
      <c r="FZH60" s="220"/>
      <c r="FZI60" s="220"/>
      <c r="FZJ60" s="217"/>
      <c r="FZK60" s="221"/>
      <c r="FZL60" s="216"/>
      <c r="FZM60" s="217"/>
      <c r="FZN60" s="218"/>
      <c r="FZO60" s="219"/>
      <c r="FZP60" s="220"/>
      <c r="FZQ60" s="220"/>
      <c r="FZR60" s="220"/>
      <c r="FZS60" s="220"/>
      <c r="FZT60" s="217"/>
      <c r="FZU60" s="221"/>
      <c r="FZV60" s="216"/>
      <c r="FZW60" s="217"/>
      <c r="FZX60" s="218"/>
      <c r="FZY60" s="219"/>
      <c r="FZZ60" s="220"/>
      <c r="GAA60" s="220"/>
      <c r="GAB60" s="220"/>
      <c r="GAC60" s="220"/>
      <c r="GAD60" s="217"/>
      <c r="GAE60" s="221"/>
      <c r="GAF60" s="216"/>
      <c r="GAG60" s="217"/>
      <c r="GAH60" s="218"/>
      <c r="GAI60" s="219"/>
      <c r="GAJ60" s="220"/>
      <c r="GAK60" s="220"/>
      <c r="GAL60" s="220"/>
      <c r="GAM60" s="220"/>
      <c r="GAN60" s="217"/>
      <c r="GAO60" s="221"/>
      <c r="GAP60" s="216"/>
      <c r="GAQ60" s="217"/>
      <c r="GAR60" s="218"/>
      <c r="GAS60" s="219"/>
      <c r="GAT60" s="220"/>
      <c r="GAU60" s="220"/>
      <c r="GAV60" s="220"/>
      <c r="GAW60" s="220"/>
      <c r="GAX60" s="217"/>
      <c r="GAY60" s="221"/>
      <c r="GAZ60" s="216"/>
      <c r="GBA60" s="217"/>
      <c r="GBB60" s="218"/>
      <c r="GBC60" s="219"/>
      <c r="GBD60" s="220"/>
      <c r="GBE60" s="220"/>
      <c r="GBF60" s="220"/>
      <c r="GBG60" s="220"/>
      <c r="GBH60" s="217"/>
      <c r="GBI60" s="221"/>
      <c r="GBJ60" s="216"/>
      <c r="GBK60" s="217"/>
      <c r="GBL60" s="218"/>
      <c r="GBM60" s="219"/>
      <c r="GBN60" s="220"/>
      <c r="GBO60" s="220"/>
      <c r="GBP60" s="220"/>
      <c r="GBQ60" s="220"/>
      <c r="GBR60" s="217"/>
      <c r="GBS60" s="221"/>
      <c r="GBT60" s="216"/>
      <c r="GBU60" s="217"/>
      <c r="GBV60" s="218"/>
      <c r="GBW60" s="219"/>
      <c r="GBX60" s="220"/>
      <c r="GBY60" s="220"/>
      <c r="GBZ60" s="220"/>
      <c r="GCA60" s="220"/>
      <c r="GCB60" s="217"/>
      <c r="GCC60" s="221"/>
      <c r="GCD60" s="216"/>
      <c r="GCE60" s="217"/>
      <c r="GCF60" s="218"/>
      <c r="GCG60" s="219"/>
      <c r="GCH60" s="220"/>
      <c r="GCI60" s="220"/>
      <c r="GCJ60" s="220"/>
      <c r="GCK60" s="220"/>
      <c r="GCL60" s="217"/>
      <c r="GCM60" s="221"/>
      <c r="GCN60" s="216"/>
      <c r="GCO60" s="217"/>
      <c r="GCP60" s="218"/>
      <c r="GCQ60" s="219"/>
      <c r="GCR60" s="220"/>
      <c r="GCS60" s="220"/>
      <c r="GCT60" s="220"/>
      <c r="GCU60" s="220"/>
      <c r="GCV60" s="217"/>
      <c r="GCW60" s="221"/>
      <c r="GCX60" s="216"/>
      <c r="GCY60" s="217"/>
      <c r="GCZ60" s="218"/>
      <c r="GDA60" s="219"/>
      <c r="GDB60" s="220"/>
      <c r="GDC60" s="220"/>
      <c r="GDD60" s="220"/>
      <c r="GDE60" s="220"/>
      <c r="GDF60" s="217"/>
      <c r="GDG60" s="221"/>
      <c r="GDH60" s="216"/>
      <c r="GDI60" s="217"/>
      <c r="GDJ60" s="218"/>
      <c r="GDK60" s="219"/>
      <c r="GDL60" s="220"/>
      <c r="GDM60" s="220"/>
      <c r="GDN60" s="220"/>
      <c r="GDO60" s="220"/>
      <c r="GDP60" s="217"/>
      <c r="GDQ60" s="221"/>
      <c r="GDR60" s="216"/>
      <c r="GDS60" s="217"/>
      <c r="GDT60" s="218"/>
      <c r="GDU60" s="219"/>
      <c r="GDV60" s="220"/>
      <c r="GDW60" s="220"/>
      <c r="GDX60" s="220"/>
      <c r="GDY60" s="220"/>
      <c r="GDZ60" s="217"/>
      <c r="GEA60" s="221"/>
      <c r="GEB60" s="216"/>
      <c r="GEC60" s="217"/>
      <c r="GED60" s="218"/>
      <c r="GEE60" s="219"/>
      <c r="GEF60" s="220"/>
      <c r="GEG60" s="220"/>
      <c r="GEH60" s="220"/>
      <c r="GEI60" s="220"/>
      <c r="GEJ60" s="217"/>
      <c r="GEK60" s="221"/>
      <c r="GEL60" s="216"/>
      <c r="GEM60" s="217"/>
      <c r="GEN60" s="218"/>
      <c r="GEO60" s="219"/>
      <c r="GEP60" s="220"/>
      <c r="GEQ60" s="220"/>
      <c r="GER60" s="220"/>
      <c r="GES60" s="220"/>
      <c r="GET60" s="217"/>
      <c r="GEU60" s="221"/>
      <c r="GEV60" s="216"/>
      <c r="GEW60" s="217"/>
      <c r="GEX60" s="218"/>
      <c r="GEY60" s="219"/>
      <c r="GEZ60" s="220"/>
      <c r="GFA60" s="220"/>
      <c r="GFB60" s="220"/>
      <c r="GFC60" s="220"/>
      <c r="GFD60" s="217"/>
      <c r="GFE60" s="221"/>
      <c r="GFF60" s="216"/>
      <c r="GFG60" s="217"/>
      <c r="GFH60" s="218"/>
      <c r="GFI60" s="219"/>
      <c r="GFJ60" s="220"/>
      <c r="GFK60" s="220"/>
      <c r="GFL60" s="220"/>
      <c r="GFM60" s="220"/>
      <c r="GFN60" s="217"/>
      <c r="GFO60" s="221"/>
      <c r="GFP60" s="216"/>
      <c r="GFQ60" s="217"/>
      <c r="GFR60" s="218"/>
      <c r="GFS60" s="219"/>
      <c r="GFT60" s="220"/>
      <c r="GFU60" s="220"/>
      <c r="GFV60" s="220"/>
      <c r="GFW60" s="220"/>
      <c r="GFX60" s="217"/>
      <c r="GFY60" s="221"/>
      <c r="GFZ60" s="216"/>
      <c r="GGA60" s="217"/>
      <c r="GGB60" s="218"/>
      <c r="GGC60" s="219"/>
      <c r="GGD60" s="220"/>
      <c r="GGE60" s="220"/>
      <c r="GGF60" s="220"/>
      <c r="GGG60" s="220"/>
      <c r="GGH60" s="217"/>
      <c r="GGI60" s="221"/>
      <c r="GGJ60" s="216"/>
      <c r="GGK60" s="217"/>
      <c r="GGL60" s="218"/>
      <c r="GGM60" s="219"/>
      <c r="GGN60" s="220"/>
      <c r="GGO60" s="220"/>
      <c r="GGP60" s="220"/>
      <c r="GGQ60" s="220"/>
      <c r="GGR60" s="217"/>
      <c r="GGS60" s="221"/>
      <c r="GGT60" s="216"/>
      <c r="GGU60" s="217"/>
      <c r="GGV60" s="218"/>
      <c r="GGW60" s="219"/>
      <c r="GGX60" s="220"/>
      <c r="GGY60" s="220"/>
      <c r="GGZ60" s="220"/>
      <c r="GHA60" s="220"/>
      <c r="GHB60" s="217"/>
      <c r="GHC60" s="221"/>
      <c r="GHD60" s="216"/>
      <c r="GHE60" s="217"/>
      <c r="GHF60" s="218"/>
      <c r="GHG60" s="219"/>
      <c r="GHH60" s="220"/>
      <c r="GHI60" s="220"/>
      <c r="GHJ60" s="220"/>
      <c r="GHK60" s="220"/>
      <c r="GHL60" s="217"/>
      <c r="GHM60" s="221"/>
      <c r="GHN60" s="216"/>
      <c r="GHO60" s="217"/>
      <c r="GHP60" s="218"/>
      <c r="GHQ60" s="219"/>
      <c r="GHR60" s="220"/>
      <c r="GHS60" s="220"/>
      <c r="GHT60" s="220"/>
      <c r="GHU60" s="220"/>
      <c r="GHV60" s="217"/>
      <c r="GHW60" s="221"/>
      <c r="GHX60" s="216"/>
      <c r="GHY60" s="217"/>
      <c r="GHZ60" s="218"/>
      <c r="GIA60" s="219"/>
      <c r="GIB60" s="220"/>
      <c r="GIC60" s="220"/>
      <c r="GID60" s="220"/>
      <c r="GIE60" s="220"/>
      <c r="GIF60" s="217"/>
      <c r="GIG60" s="221"/>
      <c r="GIH60" s="216"/>
      <c r="GII60" s="217"/>
      <c r="GIJ60" s="218"/>
      <c r="GIK60" s="219"/>
      <c r="GIL60" s="220"/>
      <c r="GIM60" s="220"/>
      <c r="GIN60" s="220"/>
      <c r="GIO60" s="220"/>
      <c r="GIP60" s="217"/>
      <c r="GIQ60" s="221"/>
      <c r="GIR60" s="216"/>
      <c r="GIS60" s="217"/>
      <c r="GIT60" s="218"/>
      <c r="GIU60" s="219"/>
      <c r="GIV60" s="220"/>
      <c r="GIW60" s="220"/>
      <c r="GIX60" s="220"/>
      <c r="GIY60" s="220"/>
      <c r="GIZ60" s="217"/>
      <c r="GJA60" s="221"/>
      <c r="GJB60" s="216"/>
      <c r="GJC60" s="217"/>
      <c r="GJD60" s="218"/>
      <c r="GJE60" s="219"/>
      <c r="GJF60" s="220"/>
      <c r="GJG60" s="220"/>
      <c r="GJH60" s="220"/>
      <c r="GJI60" s="220"/>
      <c r="GJJ60" s="217"/>
      <c r="GJK60" s="221"/>
      <c r="GJL60" s="216"/>
      <c r="GJM60" s="217"/>
      <c r="GJN60" s="218"/>
      <c r="GJO60" s="219"/>
      <c r="GJP60" s="220"/>
      <c r="GJQ60" s="220"/>
      <c r="GJR60" s="220"/>
      <c r="GJS60" s="220"/>
      <c r="GJT60" s="217"/>
      <c r="GJU60" s="221"/>
      <c r="GJV60" s="216"/>
      <c r="GJW60" s="217"/>
      <c r="GJX60" s="218"/>
      <c r="GJY60" s="219"/>
      <c r="GJZ60" s="220"/>
      <c r="GKA60" s="220"/>
      <c r="GKB60" s="220"/>
      <c r="GKC60" s="220"/>
      <c r="GKD60" s="217"/>
      <c r="GKE60" s="221"/>
      <c r="GKF60" s="216"/>
      <c r="GKG60" s="217"/>
      <c r="GKH60" s="218"/>
      <c r="GKI60" s="219"/>
      <c r="GKJ60" s="220"/>
      <c r="GKK60" s="220"/>
      <c r="GKL60" s="220"/>
      <c r="GKM60" s="220"/>
      <c r="GKN60" s="217"/>
      <c r="GKO60" s="221"/>
      <c r="GKP60" s="216"/>
      <c r="GKQ60" s="217"/>
      <c r="GKR60" s="218"/>
      <c r="GKS60" s="219"/>
      <c r="GKT60" s="220"/>
      <c r="GKU60" s="220"/>
      <c r="GKV60" s="220"/>
      <c r="GKW60" s="220"/>
      <c r="GKX60" s="217"/>
      <c r="GKY60" s="221"/>
      <c r="GKZ60" s="216"/>
      <c r="GLA60" s="217"/>
      <c r="GLB60" s="218"/>
      <c r="GLC60" s="219"/>
      <c r="GLD60" s="220"/>
      <c r="GLE60" s="220"/>
      <c r="GLF60" s="220"/>
      <c r="GLG60" s="220"/>
      <c r="GLH60" s="217"/>
      <c r="GLI60" s="221"/>
      <c r="GLJ60" s="216"/>
      <c r="GLK60" s="217"/>
      <c r="GLL60" s="218"/>
      <c r="GLM60" s="219"/>
      <c r="GLN60" s="220"/>
      <c r="GLO60" s="220"/>
      <c r="GLP60" s="220"/>
      <c r="GLQ60" s="220"/>
      <c r="GLR60" s="217"/>
      <c r="GLS60" s="221"/>
      <c r="GLT60" s="216"/>
      <c r="GLU60" s="217"/>
      <c r="GLV60" s="218"/>
      <c r="GLW60" s="219"/>
      <c r="GLX60" s="220"/>
      <c r="GLY60" s="220"/>
      <c r="GLZ60" s="220"/>
      <c r="GMA60" s="220"/>
      <c r="GMB60" s="217"/>
      <c r="GMC60" s="221"/>
      <c r="GMD60" s="216"/>
      <c r="GME60" s="217"/>
      <c r="GMF60" s="218"/>
      <c r="GMG60" s="219"/>
      <c r="GMH60" s="220"/>
      <c r="GMI60" s="220"/>
      <c r="GMJ60" s="220"/>
      <c r="GMK60" s="220"/>
      <c r="GML60" s="217"/>
      <c r="GMM60" s="221"/>
      <c r="GMN60" s="216"/>
      <c r="GMO60" s="217"/>
      <c r="GMP60" s="218"/>
      <c r="GMQ60" s="219"/>
      <c r="GMR60" s="220"/>
      <c r="GMS60" s="220"/>
      <c r="GMT60" s="220"/>
      <c r="GMU60" s="220"/>
      <c r="GMV60" s="217"/>
      <c r="GMW60" s="221"/>
      <c r="GMX60" s="216"/>
      <c r="GMY60" s="217"/>
      <c r="GMZ60" s="218"/>
      <c r="GNA60" s="219"/>
      <c r="GNB60" s="220"/>
      <c r="GNC60" s="220"/>
      <c r="GND60" s="220"/>
      <c r="GNE60" s="220"/>
      <c r="GNF60" s="217"/>
      <c r="GNG60" s="221"/>
      <c r="GNH60" s="216"/>
      <c r="GNI60" s="217"/>
      <c r="GNJ60" s="218"/>
      <c r="GNK60" s="219"/>
      <c r="GNL60" s="220"/>
      <c r="GNM60" s="220"/>
      <c r="GNN60" s="220"/>
      <c r="GNO60" s="220"/>
      <c r="GNP60" s="217"/>
      <c r="GNQ60" s="221"/>
      <c r="GNR60" s="216"/>
      <c r="GNS60" s="217"/>
      <c r="GNT60" s="218"/>
      <c r="GNU60" s="219"/>
      <c r="GNV60" s="220"/>
      <c r="GNW60" s="220"/>
      <c r="GNX60" s="220"/>
      <c r="GNY60" s="220"/>
      <c r="GNZ60" s="217"/>
      <c r="GOA60" s="221"/>
      <c r="GOB60" s="216"/>
      <c r="GOC60" s="217"/>
      <c r="GOD60" s="218"/>
      <c r="GOE60" s="219"/>
      <c r="GOF60" s="220"/>
      <c r="GOG60" s="220"/>
      <c r="GOH60" s="220"/>
      <c r="GOI60" s="220"/>
      <c r="GOJ60" s="217"/>
      <c r="GOK60" s="221"/>
      <c r="GOL60" s="216"/>
      <c r="GOM60" s="217"/>
      <c r="GON60" s="218"/>
      <c r="GOO60" s="219"/>
      <c r="GOP60" s="220"/>
      <c r="GOQ60" s="220"/>
      <c r="GOR60" s="220"/>
      <c r="GOS60" s="220"/>
      <c r="GOT60" s="217"/>
      <c r="GOU60" s="221"/>
      <c r="GOV60" s="216"/>
      <c r="GOW60" s="217"/>
      <c r="GOX60" s="218"/>
      <c r="GOY60" s="219"/>
      <c r="GOZ60" s="220"/>
      <c r="GPA60" s="220"/>
      <c r="GPB60" s="220"/>
      <c r="GPC60" s="220"/>
      <c r="GPD60" s="217"/>
      <c r="GPE60" s="221"/>
      <c r="GPF60" s="216"/>
      <c r="GPG60" s="217"/>
      <c r="GPH60" s="218"/>
      <c r="GPI60" s="219"/>
      <c r="GPJ60" s="220"/>
      <c r="GPK60" s="220"/>
      <c r="GPL60" s="220"/>
      <c r="GPM60" s="220"/>
      <c r="GPN60" s="217"/>
      <c r="GPO60" s="221"/>
      <c r="GPP60" s="216"/>
      <c r="GPQ60" s="217"/>
      <c r="GPR60" s="218"/>
      <c r="GPS60" s="219"/>
      <c r="GPT60" s="220"/>
      <c r="GPU60" s="220"/>
      <c r="GPV60" s="220"/>
      <c r="GPW60" s="220"/>
      <c r="GPX60" s="217"/>
      <c r="GPY60" s="221"/>
      <c r="GPZ60" s="216"/>
      <c r="GQA60" s="217"/>
      <c r="GQB60" s="218"/>
      <c r="GQC60" s="219"/>
      <c r="GQD60" s="220"/>
      <c r="GQE60" s="220"/>
      <c r="GQF60" s="220"/>
      <c r="GQG60" s="220"/>
      <c r="GQH60" s="217"/>
      <c r="GQI60" s="221"/>
      <c r="GQJ60" s="216"/>
      <c r="GQK60" s="217"/>
      <c r="GQL60" s="218"/>
      <c r="GQM60" s="219"/>
      <c r="GQN60" s="220"/>
      <c r="GQO60" s="220"/>
      <c r="GQP60" s="220"/>
      <c r="GQQ60" s="220"/>
      <c r="GQR60" s="217"/>
      <c r="GQS60" s="221"/>
      <c r="GQT60" s="216"/>
      <c r="GQU60" s="217"/>
      <c r="GQV60" s="218"/>
      <c r="GQW60" s="219"/>
      <c r="GQX60" s="220"/>
      <c r="GQY60" s="220"/>
      <c r="GQZ60" s="220"/>
      <c r="GRA60" s="220"/>
      <c r="GRB60" s="217"/>
      <c r="GRC60" s="221"/>
      <c r="GRD60" s="216"/>
      <c r="GRE60" s="217"/>
      <c r="GRF60" s="218"/>
      <c r="GRG60" s="219"/>
      <c r="GRH60" s="220"/>
      <c r="GRI60" s="220"/>
      <c r="GRJ60" s="220"/>
      <c r="GRK60" s="220"/>
      <c r="GRL60" s="217"/>
      <c r="GRM60" s="221"/>
      <c r="GRN60" s="216"/>
      <c r="GRO60" s="217"/>
      <c r="GRP60" s="218"/>
      <c r="GRQ60" s="219"/>
      <c r="GRR60" s="220"/>
      <c r="GRS60" s="220"/>
      <c r="GRT60" s="220"/>
      <c r="GRU60" s="220"/>
      <c r="GRV60" s="217"/>
      <c r="GRW60" s="221"/>
      <c r="GRX60" s="216"/>
      <c r="GRY60" s="217"/>
      <c r="GRZ60" s="218"/>
      <c r="GSA60" s="219"/>
      <c r="GSB60" s="220"/>
      <c r="GSC60" s="220"/>
      <c r="GSD60" s="220"/>
      <c r="GSE60" s="220"/>
      <c r="GSF60" s="217"/>
      <c r="GSG60" s="221"/>
      <c r="GSH60" s="216"/>
      <c r="GSI60" s="217"/>
      <c r="GSJ60" s="218"/>
      <c r="GSK60" s="219"/>
      <c r="GSL60" s="220"/>
      <c r="GSM60" s="220"/>
      <c r="GSN60" s="220"/>
      <c r="GSO60" s="220"/>
      <c r="GSP60" s="217"/>
      <c r="GSQ60" s="221"/>
      <c r="GSR60" s="216"/>
      <c r="GSS60" s="217"/>
      <c r="GST60" s="218"/>
      <c r="GSU60" s="219"/>
      <c r="GSV60" s="220"/>
      <c r="GSW60" s="220"/>
      <c r="GSX60" s="220"/>
      <c r="GSY60" s="220"/>
      <c r="GSZ60" s="217"/>
      <c r="GTA60" s="221"/>
      <c r="GTB60" s="216"/>
      <c r="GTC60" s="217"/>
      <c r="GTD60" s="218"/>
      <c r="GTE60" s="219"/>
      <c r="GTF60" s="220"/>
      <c r="GTG60" s="220"/>
      <c r="GTH60" s="220"/>
      <c r="GTI60" s="220"/>
      <c r="GTJ60" s="217"/>
      <c r="GTK60" s="221"/>
      <c r="GTL60" s="216"/>
      <c r="GTM60" s="217"/>
      <c r="GTN60" s="218"/>
      <c r="GTO60" s="219"/>
      <c r="GTP60" s="220"/>
      <c r="GTQ60" s="220"/>
      <c r="GTR60" s="220"/>
      <c r="GTS60" s="220"/>
      <c r="GTT60" s="217"/>
      <c r="GTU60" s="221"/>
      <c r="GTV60" s="216"/>
      <c r="GTW60" s="217"/>
      <c r="GTX60" s="218"/>
      <c r="GTY60" s="219"/>
      <c r="GTZ60" s="220"/>
      <c r="GUA60" s="220"/>
      <c r="GUB60" s="220"/>
      <c r="GUC60" s="220"/>
      <c r="GUD60" s="217"/>
      <c r="GUE60" s="221"/>
      <c r="GUF60" s="216"/>
      <c r="GUG60" s="217"/>
      <c r="GUH60" s="218"/>
      <c r="GUI60" s="219"/>
      <c r="GUJ60" s="220"/>
      <c r="GUK60" s="220"/>
      <c r="GUL60" s="220"/>
      <c r="GUM60" s="220"/>
      <c r="GUN60" s="217"/>
      <c r="GUO60" s="221"/>
      <c r="GUP60" s="216"/>
      <c r="GUQ60" s="217"/>
      <c r="GUR60" s="218"/>
      <c r="GUS60" s="219"/>
      <c r="GUT60" s="220"/>
      <c r="GUU60" s="220"/>
      <c r="GUV60" s="220"/>
      <c r="GUW60" s="220"/>
      <c r="GUX60" s="217"/>
      <c r="GUY60" s="221"/>
      <c r="GUZ60" s="216"/>
      <c r="GVA60" s="217"/>
      <c r="GVB60" s="218"/>
      <c r="GVC60" s="219"/>
      <c r="GVD60" s="220"/>
      <c r="GVE60" s="220"/>
      <c r="GVF60" s="220"/>
      <c r="GVG60" s="220"/>
      <c r="GVH60" s="217"/>
      <c r="GVI60" s="221"/>
      <c r="GVJ60" s="216"/>
      <c r="GVK60" s="217"/>
      <c r="GVL60" s="218"/>
      <c r="GVM60" s="219"/>
      <c r="GVN60" s="220"/>
      <c r="GVO60" s="220"/>
      <c r="GVP60" s="220"/>
      <c r="GVQ60" s="220"/>
      <c r="GVR60" s="217"/>
      <c r="GVS60" s="221"/>
      <c r="GVT60" s="216"/>
      <c r="GVU60" s="217"/>
      <c r="GVV60" s="218"/>
      <c r="GVW60" s="219"/>
      <c r="GVX60" s="220"/>
      <c r="GVY60" s="220"/>
      <c r="GVZ60" s="220"/>
      <c r="GWA60" s="220"/>
      <c r="GWB60" s="217"/>
      <c r="GWC60" s="221"/>
      <c r="GWD60" s="216"/>
      <c r="GWE60" s="217"/>
      <c r="GWF60" s="218"/>
      <c r="GWG60" s="219"/>
      <c r="GWH60" s="220"/>
      <c r="GWI60" s="220"/>
      <c r="GWJ60" s="220"/>
      <c r="GWK60" s="220"/>
      <c r="GWL60" s="217"/>
      <c r="GWM60" s="221"/>
      <c r="GWN60" s="216"/>
      <c r="GWO60" s="217"/>
      <c r="GWP60" s="218"/>
      <c r="GWQ60" s="219"/>
      <c r="GWR60" s="220"/>
      <c r="GWS60" s="220"/>
      <c r="GWT60" s="220"/>
      <c r="GWU60" s="220"/>
      <c r="GWV60" s="217"/>
      <c r="GWW60" s="221"/>
      <c r="GWX60" s="216"/>
      <c r="GWY60" s="217"/>
      <c r="GWZ60" s="218"/>
      <c r="GXA60" s="219"/>
      <c r="GXB60" s="220"/>
      <c r="GXC60" s="220"/>
      <c r="GXD60" s="220"/>
      <c r="GXE60" s="220"/>
      <c r="GXF60" s="217"/>
      <c r="GXG60" s="221"/>
      <c r="GXH60" s="216"/>
      <c r="GXI60" s="217"/>
      <c r="GXJ60" s="218"/>
      <c r="GXK60" s="219"/>
      <c r="GXL60" s="220"/>
      <c r="GXM60" s="220"/>
      <c r="GXN60" s="220"/>
      <c r="GXO60" s="220"/>
      <c r="GXP60" s="217"/>
      <c r="GXQ60" s="221"/>
      <c r="GXR60" s="216"/>
      <c r="GXS60" s="217"/>
      <c r="GXT60" s="218"/>
      <c r="GXU60" s="219"/>
      <c r="GXV60" s="220"/>
      <c r="GXW60" s="220"/>
      <c r="GXX60" s="220"/>
      <c r="GXY60" s="220"/>
      <c r="GXZ60" s="217"/>
      <c r="GYA60" s="221"/>
      <c r="GYB60" s="216"/>
      <c r="GYC60" s="217"/>
      <c r="GYD60" s="218"/>
      <c r="GYE60" s="219"/>
      <c r="GYF60" s="220"/>
      <c r="GYG60" s="220"/>
      <c r="GYH60" s="220"/>
      <c r="GYI60" s="220"/>
      <c r="GYJ60" s="217"/>
      <c r="GYK60" s="221"/>
      <c r="GYL60" s="216"/>
      <c r="GYM60" s="217"/>
      <c r="GYN60" s="218"/>
      <c r="GYO60" s="219"/>
      <c r="GYP60" s="220"/>
      <c r="GYQ60" s="220"/>
      <c r="GYR60" s="220"/>
      <c r="GYS60" s="220"/>
      <c r="GYT60" s="217"/>
      <c r="GYU60" s="221"/>
      <c r="GYV60" s="216"/>
      <c r="GYW60" s="217"/>
      <c r="GYX60" s="218"/>
      <c r="GYY60" s="219"/>
      <c r="GYZ60" s="220"/>
      <c r="GZA60" s="220"/>
      <c r="GZB60" s="220"/>
      <c r="GZC60" s="220"/>
      <c r="GZD60" s="217"/>
      <c r="GZE60" s="221"/>
      <c r="GZF60" s="216"/>
      <c r="GZG60" s="217"/>
      <c r="GZH60" s="218"/>
      <c r="GZI60" s="219"/>
      <c r="GZJ60" s="220"/>
      <c r="GZK60" s="220"/>
      <c r="GZL60" s="220"/>
      <c r="GZM60" s="220"/>
      <c r="GZN60" s="217"/>
      <c r="GZO60" s="221"/>
      <c r="GZP60" s="216"/>
      <c r="GZQ60" s="217"/>
      <c r="GZR60" s="218"/>
      <c r="GZS60" s="219"/>
      <c r="GZT60" s="220"/>
      <c r="GZU60" s="220"/>
      <c r="GZV60" s="220"/>
      <c r="GZW60" s="220"/>
      <c r="GZX60" s="217"/>
      <c r="GZY60" s="221"/>
      <c r="GZZ60" s="216"/>
      <c r="HAA60" s="217"/>
      <c r="HAB60" s="218"/>
      <c r="HAC60" s="219"/>
      <c r="HAD60" s="220"/>
      <c r="HAE60" s="220"/>
      <c r="HAF60" s="220"/>
      <c r="HAG60" s="220"/>
      <c r="HAH60" s="217"/>
      <c r="HAI60" s="221"/>
      <c r="HAJ60" s="216"/>
      <c r="HAK60" s="217"/>
      <c r="HAL60" s="218"/>
      <c r="HAM60" s="219"/>
      <c r="HAN60" s="220"/>
      <c r="HAO60" s="220"/>
      <c r="HAP60" s="220"/>
      <c r="HAQ60" s="220"/>
      <c r="HAR60" s="217"/>
      <c r="HAS60" s="221"/>
      <c r="HAT60" s="216"/>
      <c r="HAU60" s="217"/>
      <c r="HAV60" s="218"/>
      <c r="HAW60" s="219"/>
      <c r="HAX60" s="220"/>
      <c r="HAY60" s="220"/>
      <c r="HAZ60" s="220"/>
      <c r="HBA60" s="220"/>
      <c r="HBB60" s="217"/>
      <c r="HBC60" s="221"/>
      <c r="HBD60" s="216"/>
      <c r="HBE60" s="217"/>
      <c r="HBF60" s="218"/>
      <c r="HBG60" s="219"/>
      <c r="HBH60" s="220"/>
      <c r="HBI60" s="220"/>
      <c r="HBJ60" s="220"/>
      <c r="HBK60" s="220"/>
      <c r="HBL60" s="217"/>
      <c r="HBM60" s="221"/>
      <c r="HBN60" s="216"/>
      <c r="HBO60" s="217"/>
      <c r="HBP60" s="218"/>
      <c r="HBQ60" s="219"/>
      <c r="HBR60" s="220"/>
      <c r="HBS60" s="220"/>
      <c r="HBT60" s="220"/>
      <c r="HBU60" s="220"/>
      <c r="HBV60" s="217"/>
      <c r="HBW60" s="221"/>
      <c r="HBX60" s="216"/>
      <c r="HBY60" s="217"/>
      <c r="HBZ60" s="218"/>
      <c r="HCA60" s="219"/>
      <c r="HCB60" s="220"/>
      <c r="HCC60" s="220"/>
      <c r="HCD60" s="220"/>
      <c r="HCE60" s="220"/>
      <c r="HCF60" s="217"/>
      <c r="HCG60" s="221"/>
      <c r="HCH60" s="216"/>
      <c r="HCI60" s="217"/>
      <c r="HCJ60" s="218"/>
      <c r="HCK60" s="219"/>
      <c r="HCL60" s="220"/>
      <c r="HCM60" s="220"/>
      <c r="HCN60" s="220"/>
      <c r="HCO60" s="220"/>
      <c r="HCP60" s="217"/>
      <c r="HCQ60" s="221"/>
      <c r="HCR60" s="216"/>
      <c r="HCS60" s="217"/>
      <c r="HCT60" s="218"/>
      <c r="HCU60" s="219"/>
      <c r="HCV60" s="220"/>
      <c r="HCW60" s="220"/>
      <c r="HCX60" s="220"/>
      <c r="HCY60" s="220"/>
      <c r="HCZ60" s="217"/>
      <c r="HDA60" s="221"/>
      <c r="HDB60" s="216"/>
      <c r="HDC60" s="217"/>
      <c r="HDD60" s="218"/>
      <c r="HDE60" s="219"/>
      <c r="HDF60" s="220"/>
      <c r="HDG60" s="220"/>
      <c r="HDH60" s="220"/>
      <c r="HDI60" s="220"/>
      <c r="HDJ60" s="217"/>
      <c r="HDK60" s="221"/>
      <c r="HDL60" s="216"/>
      <c r="HDM60" s="217"/>
      <c r="HDN60" s="218"/>
      <c r="HDO60" s="219"/>
      <c r="HDP60" s="220"/>
      <c r="HDQ60" s="220"/>
      <c r="HDR60" s="220"/>
      <c r="HDS60" s="220"/>
      <c r="HDT60" s="217"/>
      <c r="HDU60" s="221"/>
      <c r="HDV60" s="216"/>
      <c r="HDW60" s="217"/>
      <c r="HDX60" s="218"/>
      <c r="HDY60" s="219"/>
      <c r="HDZ60" s="220"/>
      <c r="HEA60" s="220"/>
      <c r="HEB60" s="220"/>
      <c r="HEC60" s="220"/>
      <c r="HED60" s="217"/>
      <c r="HEE60" s="221"/>
      <c r="HEF60" s="216"/>
      <c r="HEG60" s="217"/>
      <c r="HEH60" s="218"/>
      <c r="HEI60" s="219"/>
      <c r="HEJ60" s="220"/>
      <c r="HEK60" s="220"/>
      <c r="HEL60" s="220"/>
      <c r="HEM60" s="220"/>
      <c r="HEN60" s="217"/>
      <c r="HEO60" s="221"/>
      <c r="HEP60" s="216"/>
      <c r="HEQ60" s="217"/>
      <c r="HER60" s="218"/>
      <c r="HES60" s="219"/>
      <c r="HET60" s="220"/>
      <c r="HEU60" s="220"/>
      <c r="HEV60" s="220"/>
      <c r="HEW60" s="220"/>
      <c r="HEX60" s="217"/>
      <c r="HEY60" s="221"/>
      <c r="HEZ60" s="216"/>
      <c r="HFA60" s="217"/>
      <c r="HFB60" s="218"/>
      <c r="HFC60" s="219"/>
      <c r="HFD60" s="220"/>
      <c r="HFE60" s="220"/>
      <c r="HFF60" s="220"/>
      <c r="HFG60" s="220"/>
      <c r="HFH60" s="217"/>
      <c r="HFI60" s="221"/>
      <c r="HFJ60" s="216"/>
      <c r="HFK60" s="217"/>
      <c r="HFL60" s="218"/>
      <c r="HFM60" s="219"/>
      <c r="HFN60" s="220"/>
      <c r="HFO60" s="220"/>
      <c r="HFP60" s="220"/>
      <c r="HFQ60" s="220"/>
      <c r="HFR60" s="217"/>
      <c r="HFS60" s="221"/>
      <c r="HFT60" s="216"/>
      <c r="HFU60" s="217"/>
      <c r="HFV60" s="218"/>
      <c r="HFW60" s="219"/>
      <c r="HFX60" s="220"/>
      <c r="HFY60" s="220"/>
      <c r="HFZ60" s="220"/>
      <c r="HGA60" s="220"/>
      <c r="HGB60" s="217"/>
      <c r="HGC60" s="221"/>
      <c r="HGD60" s="216"/>
      <c r="HGE60" s="217"/>
      <c r="HGF60" s="218"/>
      <c r="HGG60" s="219"/>
      <c r="HGH60" s="220"/>
      <c r="HGI60" s="220"/>
      <c r="HGJ60" s="220"/>
      <c r="HGK60" s="220"/>
      <c r="HGL60" s="217"/>
      <c r="HGM60" s="221"/>
      <c r="HGN60" s="216"/>
      <c r="HGO60" s="217"/>
      <c r="HGP60" s="218"/>
      <c r="HGQ60" s="219"/>
      <c r="HGR60" s="220"/>
      <c r="HGS60" s="220"/>
      <c r="HGT60" s="220"/>
      <c r="HGU60" s="220"/>
      <c r="HGV60" s="217"/>
      <c r="HGW60" s="221"/>
      <c r="HGX60" s="216"/>
      <c r="HGY60" s="217"/>
      <c r="HGZ60" s="218"/>
      <c r="HHA60" s="219"/>
      <c r="HHB60" s="220"/>
      <c r="HHC60" s="220"/>
      <c r="HHD60" s="220"/>
      <c r="HHE60" s="220"/>
      <c r="HHF60" s="217"/>
      <c r="HHG60" s="221"/>
      <c r="HHH60" s="216"/>
      <c r="HHI60" s="217"/>
      <c r="HHJ60" s="218"/>
      <c r="HHK60" s="219"/>
      <c r="HHL60" s="220"/>
      <c r="HHM60" s="220"/>
      <c r="HHN60" s="220"/>
      <c r="HHO60" s="220"/>
      <c r="HHP60" s="217"/>
      <c r="HHQ60" s="221"/>
      <c r="HHR60" s="216"/>
      <c r="HHS60" s="217"/>
      <c r="HHT60" s="218"/>
      <c r="HHU60" s="219"/>
      <c r="HHV60" s="220"/>
      <c r="HHW60" s="220"/>
      <c r="HHX60" s="220"/>
      <c r="HHY60" s="220"/>
      <c r="HHZ60" s="217"/>
      <c r="HIA60" s="221"/>
      <c r="HIB60" s="216"/>
      <c r="HIC60" s="217"/>
      <c r="HID60" s="218"/>
      <c r="HIE60" s="219"/>
      <c r="HIF60" s="220"/>
      <c r="HIG60" s="220"/>
      <c r="HIH60" s="220"/>
      <c r="HII60" s="220"/>
      <c r="HIJ60" s="217"/>
      <c r="HIK60" s="221"/>
      <c r="HIL60" s="216"/>
      <c r="HIM60" s="217"/>
      <c r="HIN60" s="218"/>
      <c r="HIO60" s="219"/>
      <c r="HIP60" s="220"/>
      <c r="HIQ60" s="220"/>
      <c r="HIR60" s="220"/>
      <c r="HIS60" s="220"/>
      <c r="HIT60" s="217"/>
      <c r="HIU60" s="221"/>
      <c r="HIV60" s="216"/>
      <c r="HIW60" s="217"/>
      <c r="HIX60" s="218"/>
      <c r="HIY60" s="219"/>
      <c r="HIZ60" s="220"/>
      <c r="HJA60" s="220"/>
      <c r="HJB60" s="220"/>
      <c r="HJC60" s="220"/>
      <c r="HJD60" s="217"/>
      <c r="HJE60" s="221"/>
      <c r="HJF60" s="216"/>
      <c r="HJG60" s="217"/>
      <c r="HJH60" s="218"/>
      <c r="HJI60" s="219"/>
      <c r="HJJ60" s="220"/>
      <c r="HJK60" s="220"/>
      <c r="HJL60" s="220"/>
      <c r="HJM60" s="220"/>
      <c r="HJN60" s="217"/>
      <c r="HJO60" s="221"/>
      <c r="HJP60" s="216"/>
      <c r="HJQ60" s="217"/>
      <c r="HJR60" s="218"/>
      <c r="HJS60" s="219"/>
      <c r="HJT60" s="220"/>
      <c r="HJU60" s="220"/>
      <c r="HJV60" s="220"/>
      <c r="HJW60" s="220"/>
      <c r="HJX60" s="217"/>
      <c r="HJY60" s="221"/>
      <c r="HJZ60" s="216"/>
      <c r="HKA60" s="217"/>
      <c r="HKB60" s="218"/>
      <c r="HKC60" s="219"/>
      <c r="HKD60" s="220"/>
      <c r="HKE60" s="220"/>
      <c r="HKF60" s="220"/>
      <c r="HKG60" s="220"/>
      <c r="HKH60" s="217"/>
      <c r="HKI60" s="221"/>
      <c r="HKJ60" s="216"/>
      <c r="HKK60" s="217"/>
      <c r="HKL60" s="218"/>
      <c r="HKM60" s="219"/>
      <c r="HKN60" s="220"/>
      <c r="HKO60" s="220"/>
      <c r="HKP60" s="220"/>
      <c r="HKQ60" s="220"/>
      <c r="HKR60" s="217"/>
      <c r="HKS60" s="221"/>
      <c r="HKT60" s="216"/>
      <c r="HKU60" s="217"/>
      <c r="HKV60" s="218"/>
      <c r="HKW60" s="219"/>
      <c r="HKX60" s="220"/>
      <c r="HKY60" s="220"/>
      <c r="HKZ60" s="220"/>
      <c r="HLA60" s="220"/>
      <c r="HLB60" s="217"/>
      <c r="HLC60" s="221"/>
      <c r="HLD60" s="216"/>
      <c r="HLE60" s="217"/>
      <c r="HLF60" s="218"/>
      <c r="HLG60" s="219"/>
      <c r="HLH60" s="220"/>
      <c r="HLI60" s="220"/>
      <c r="HLJ60" s="220"/>
      <c r="HLK60" s="220"/>
      <c r="HLL60" s="217"/>
      <c r="HLM60" s="221"/>
      <c r="HLN60" s="216"/>
      <c r="HLO60" s="217"/>
      <c r="HLP60" s="218"/>
      <c r="HLQ60" s="219"/>
      <c r="HLR60" s="220"/>
      <c r="HLS60" s="220"/>
      <c r="HLT60" s="220"/>
      <c r="HLU60" s="220"/>
      <c r="HLV60" s="217"/>
      <c r="HLW60" s="221"/>
      <c r="HLX60" s="216"/>
      <c r="HLY60" s="217"/>
      <c r="HLZ60" s="218"/>
      <c r="HMA60" s="219"/>
      <c r="HMB60" s="220"/>
      <c r="HMC60" s="220"/>
      <c r="HMD60" s="220"/>
      <c r="HME60" s="220"/>
      <c r="HMF60" s="217"/>
      <c r="HMG60" s="221"/>
      <c r="HMH60" s="216"/>
      <c r="HMI60" s="217"/>
      <c r="HMJ60" s="218"/>
      <c r="HMK60" s="219"/>
      <c r="HML60" s="220"/>
      <c r="HMM60" s="220"/>
      <c r="HMN60" s="220"/>
      <c r="HMO60" s="220"/>
      <c r="HMP60" s="217"/>
      <c r="HMQ60" s="221"/>
      <c r="HMR60" s="216"/>
      <c r="HMS60" s="217"/>
      <c r="HMT60" s="218"/>
      <c r="HMU60" s="219"/>
      <c r="HMV60" s="220"/>
      <c r="HMW60" s="220"/>
      <c r="HMX60" s="220"/>
      <c r="HMY60" s="220"/>
      <c r="HMZ60" s="217"/>
      <c r="HNA60" s="221"/>
      <c r="HNB60" s="216"/>
      <c r="HNC60" s="217"/>
      <c r="HND60" s="218"/>
      <c r="HNE60" s="219"/>
      <c r="HNF60" s="220"/>
      <c r="HNG60" s="220"/>
      <c r="HNH60" s="220"/>
      <c r="HNI60" s="220"/>
      <c r="HNJ60" s="217"/>
      <c r="HNK60" s="221"/>
      <c r="HNL60" s="216"/>
      <c r="HNM60" s="217"/>
      <c r="HNN60" s="218"/>
      <c r="HNO60" s="219"/>
      <c r="HNP60" s="220"/>
      <c r="HNQ60" s="220"/>
      <c r="HNR60" s="220"/>
      <c r="HNS60" s="220"/>
      <c r="HNT60" s="217"/>
      <c r="HNU60" s="221"/>
      <c r="HNV60" s="216"/>
      <c r="HNW60" s="217"/>
      <c r="HNX60" s="218"/>
      <c r="HNY60" s="219"/>
      <c r="HNZ60" s="220"/>
      <c r="HOA60" s="220"/>
      <c r="HOB60" s="220"/>
      <c r="HOC60" s="220"/>
      <c r="HOD60" s="217"/>
      <c r="HOE60" s="221"/>
      <c r="HOF60" s="216"/>
      <c r="HOG60" s="217"/>
      <c r="HOH60" s="218"/>
      <c r="HOI60" s="219"/>
      <c r="HOJ60" s="220"/>
      <c r="HOK60" s="220"/>
      <c r="HOL60" s="220"/>
      <c r="HOM60" s="220"/>
      <c r="HON60" s="217"/>
      <c r="HOO60" s="221"/>
      <c r="HOP60" s="216"/>
      <c r="HOQ60" s="217"/>
      <c r="HOR60" s="218"/>
      <c r="HOS60" s="219"/>
      <c r="HOT60" s="220"/>
      <c r="HOU60" s="220"/>
      <c r="HOV60" s="220"/>
      <c r="HOW60" s="220"/>
      <c r="HOX60" s="217"/>
      <c r="HOY60" s="221"/>
      <c r="HOZ60" s="216"/>
      <c r="HPA60" s="217"/>
      <c r="HPB60" s="218"/>
      <c r="HPC60" s="219"/>
      <c r="HPD60" s="220"/>
      <c r="HPE60" s="220"/>
      <c r="HPF60" s="220"/>
      <c r="HPG60" s="220"/>
      <c r="HPH60" s="217"/>
      <c r="HPI60" s="221"/>
      <c r="HPJ60" s="216"/>
      <c r="HPK60" s="217"/>
      <c r="HPL60" s="218"/>
      <c r="HPM60" s="219"/>
      <c r="HPN60" s="220"/>
      <c r="HPO60" s="220"/>
      <c r="HPP60" s="220"/>
      <c r="HPQ60" s="220"/>
      <c r="HPR60" s="217"/>
      <c r="HPS60" s="221"/>
      <c r="HPT60" s="216"/>
      <c r="HPU60" s="217"/>
      <c r="HPV60" s="218"/>
      <c r="HPW60" s="219"/>
      <c r="HPX60" s="220"/>
      <c r="HPY60" s="220"/>
      <c r="HPZ60" s="220"/>
      <c r="HQA60" s="220"/>
      <c r="HQB60" s="217"/>
      <c r="HQC60" s="221"/>
      <c r="HQD60" s="216"/>
      <c r="HQE60" s="217"/>
      <c r="HQF60" s="218"/>
      <c r="HQG60" s="219"/>
      <c r="HQH60" s="220"/>
      <c r="HQI60" s="220"/>
      <c r="HQJ60" s="220"/>
      <c r="HQK60" s="220"/>
      <c r="HQL60" s="217"/>
      <c r="HQM60" s="221"/>
      <c r="HQN60" s="216"/>
      <c r="HQO60" s="217"/>
      <c r="HQP60" s="218"/>
      <c r="HQQ60" s="219"/>
      <c r="HQR60" s="220"/>
      <c r="HQS60" s="220"/>
      <c r="HQT60" s="220"/>
      <c r="HQU60" s="220"/>
      <c r="HQV60" s="217"/>
      <c r="HQW60" s="221"/>
      <c r="HQX60" s="216"/>
      <c r="HQY60" s="217"/>
      <c r="HQZ60" s="218"/>
      <c r="HRA60" s="219"/>
      <c r="HRB60" s="220"/>
      <c r="HRC60" s="220"/>
      <c r="HRD60" s="220"/>
      <c r="HRE60" s="220"/>
      <c r="HRF60" s="217"/>
      <c r="HRG60" s="221"/>
      <c r="HRH60" s="216"/>
      <c r="HRI60" s="217"/>
      <c r="HRJ60" s="218"/>
      <c r="HRK60" s="219"/>
      <c r="HRL60" s="220"/>
      <c r="HRM60" s="220"/>
      <c r="HRN60" s="220"/>
      <c r="HRO60" s="220"/>
      <c r="HRP60" s="217"/>
      <c r="HRQ60" s="221"/>
      <c r="HRR60" s="216"/>
      <c r="HRS60" s="217"/>
      <c r="HRT60" s="218"/>
      <c r="HRU60" s="219"/>
      <c r="HRV60" s="220"/>
      <c r="HRW60" s="220"/>
      <c r="HRX60" s="220"/>
      <c r="HRY60" s="220"/>
      <c r="HRZ60" s="217"/>
      <c r="HSA60" s="221"/>
      <c r="HSB60" s="216"/>
      <c r="HSC60" s="217"/>
      <c r="HSD60" s="218"/>
      <c r="HSE60" s="219"/>
      <c r="HSF60" s="220"/>
      <c r="HSG60" s="220"/>
      <c r="HSH60" s="220"/>
      <c r="HSI60" s="220"/>
      <c r="HSJ60" s="217"/>
      <c r="HSK60" s="221"/>
      <c r="HSL60" s="216"/>
      <c r="HSM60" s="217"/>
      <c r="HSN60" s="218"/>
      <c r="HSO60" s="219"/>
      <c r="HSP60" s="220"/>
      <c r="HSQ60" s="220"/>
      <c r="HSR60" s="220"/>
      <c r="HSS60" s="220"/>
      <c r="HST60" s="217"/>
      <c r="HSU60" s="221"/>
      <c r="HSV60" s="216"/>
      <c r="HSW60" s="217"/>
      <c r="HSX60" s="218"/>
      <c r="HSY60" s="219"/>
      <c r="HSZ60" s="220"/>
      <c r="HTA60" s="220"/>
      <c r="HTB60" s="220"/>
      <c r="HTC60" s="220"/>
      <c r="HTD60" s="217"/>
      <c r="HTE60" s="221"/>
      <c r="HTF60" s="216"/>
      <c r="HTG60" s="217"/>
      <c r="HTH60" s="218"/>
      <c r="HTI60" s="219"/>
      <c r="HTJ60" s="220"/>
      <c r="HTK60" s="220"/>
      <c r="HTL60" s="220"/>
      <c r="HTM60" s="220"/>
      <c r="HTN60" s="217"/>
      <c r="HTO60" s="221"/>
      <c r="HTP60" s="216"/>
      <c r="HTQ60" s="217"/>
      <c r="HTR60" s="218"/>
      <c r="HTS60" s="219"/>
      <c r="HTT60" s="220"/>
      <c r="HTU60" s="220"/>
      <c r="HTV60" s="220"/>
      <c r="HTW60" s="220"/>
      <c r="HTX60" s="217"/>
      <c r="HTY60" s="221"/>
      <c r="HTZ60" s="216"/>
      <c r="HUA60" s="217"/>
      <c r="HUB60" s="218"/>
      <c r="HUC60" s="219"/>
      <c r="HUD60" s="220"/>
      <c r="HUE60" s="220"/>
      <c r="HUF60" s="220"/>
      <c r="HUG60" s="220"/>
      <c r="HUH60" s="217"/>
      <c r="HUI60" s="221"/>
      <c r="HUJ60" s="216"/>
      <c r="HUK60" s="217"/>
      <c r="HUL60" s="218"/>
      <c r="HUM60" s="219"/>
      <c r="HUN60" s="220"/>
      <c r="HUO60" s="220"/>
      <c r="HUP60" s="220"/>
      <c r="HUQ60" s="220"/>
      <c r="HUR60" s="217"/>
      <c r="HUS60" s="221"/>
      <c r="HUT60" s="216"/>
      <c r="HUU60" s="217"/>
      <c r="HUV60" s="218"/>
      <c r="HUW60" s="219"/>
      <c r="HUX60" s="220"/>
      <c r="HUY60" s="220"/>
      <c r="HUZ60" s="220"/>
      <c r="HVA60" s="220"/>
      <c r="HVB60" s="217"/>
      <c r="HVC60" s="221"/>
      <c r="HVD60" s="216"/>
      <c r="HVE60" s="217"/>
      <c r="HVF60" s="218"/>
      <c r="HVG60" s="219"/>
      <c r="HVH60" s="220"/>
      <c r="HVI60" s="220"/>
      <c r="HVJ60" s="220"/>
      <c r="HVK60" s="220"/>
      <c r="HVL60" s="217"/>
      <c r="HVM60" s="221"/>
      <c r="HVN60" s="216"/>
      <c r="HVO60" s="217"/>
      <c r="HVP60" s="218"/>
      <c r="HVQ60" s="219"/>
      <c r="HVR60" s="220"/>
      <c r="HVS60" s="220"/>
      <c r="HVT60" s="220"/>
      <c r="HVU60" s="220"/>
      <c r="HVV60" s="217"/>
      <c r="HVW60" s="221"/>
      <c r="HVX60" s="216"/>
      <c r="HVY60" s="217"/>
      <c r="HVZ60" s="218"/>
      <c r="HWA60" s="219"/>
      <c r="HWB60" s="220"/>
      <c r="HWC60" s="220"/>
      <c r="HWD60" s="220"/>
      <c r="HWE60" s="220"/>
      <c r="HWF60" s="217"/>
      <c r="HWG60" s="221"/>
      <c r="HWH60" s="216"/>
      <c r="HWI60" s="217"/>
      <c r="HWJ60" s="218"/>
      <c r="HWK60" s="219"/>
      <c r="HWL60" s="220"/>
      <c r="HWM60" s="220"/>
      <c r="HWN60" s="220"/>
      <c r="HWO60" s="220"/>
      <c r="HWP60" s="217"/>
      <c r="HWQ60" s="221"/>
      <c r="HWR60" s="216"/>
      <c r="HWS60" s="217"/>
      <c r="HWT60" s="218"/>
      <c r="HWU60" s="219"/>
      <c r="HWV60" s="220"/>
      <c r="HWW60" s="220"/>
      <c r="HWX60" s="220"/>
      <c r="HWY60" s="220"/>
      <c r="HWZ60" s="217"/>
      <c r="HXA60" s="221"/>
      <c r="HXB60" s="216"/>
      <c r="HXC60" s="217"/>
      <c r="HXD60" s="218"/>
      <c r="HXE60" s="219"/>
      <c r="HXF60" s="220"/>
      <c r="HXG60" s="220"/>
      <c r="HXH60" s="220"/>
      <c r="HXI60" s="220"/>
      <c r="HXJ60" s="217"/>
      <c r="HXK60" s="221"/>
      <c r="HXL60" s="216"/>
      <c r="HXM60" s="217"/>
      <c r="HXN60" s="218"/>
      <c r="HXO60" s="219"/>
      <c r="HXP60" s="220"/>
      <c r="HXQ60" s="220"/>
      <c r="HXR60" s="220"/>
      <c r="HXS60" s="220"/>
      <c r="HXT60" s="217"/>
      <c r="HXU60" s="221"/>
      <c r="HXV60" s="216"/>
      <c r="HXW60" s="217"/>
      <c r="HXX60" s="218"/>
      <c r="HXY60" s="219"/>
      <c r="HXZ60" s="220"/>
      <c r="HYA60" s="220"/>
      <c r="HYB60" s="220"/>
      <c r="HYC60" s="220"/>
      <c r="HYD60" s="217"/>
      <c r="HYE60" s="221"/>
      <c r="HYF60" s="216"/>
      <c r="HYG60" s="217"/>
      <c r="HYH60" s="218"/>
      <c r="HYI60" s="219"/>
      <c r="HYJ60" s="220"/>
      <c r="HYK60" s="220"/>
      <c r="HYL60" s="220"/>
      <c r="HYM60" s="220"/>
      <c r="HYN60" s="217"/>
      <c r="HYO60" s="221"/>
      <c r="HYP60" s="216"/>
      <c r="HYQ60" s="217"/>
      <c r="HYR60" s="218"/>
      <c r="HYS60" s="219"/>
      <c r="HYT60" s="220"/>
      <c r="HYU60" s="220"/>
      <c r="HYV60" s="220"/>
      <c r="HYW60" s="220"/>
      <c r="HYX60" s="217"/>
      <c r="HYY60" s="221"/>
      <c r="HYZ60" s="216"/>
      <c r="HZA60" s="217"/>
      <c r="HZB60" s="218"/>
      <c r="HZC60" s="219"/>
      <c r="HZD60" s="220"/>
      <c r="HZE60" s="220"/>
      <c r="HZF60" s="220"/>
      <c r="HZG60" s="220"/>
      <c r="HZH60" s="217"/>
      <c r="HZI60" s="221"/>
      <c r="HZJ60" s="216"/>
      <c r="HZK60" s="217"/>
      <c r="HZL60" s="218"/>
      <c r="HZM60" s="219"/>
      <c r="HZN60" s="220"/>
      <c r="HZO60" s="220"/>
      <c r="HZP60" s="220"/>
      <c r="HZQ60" s="220"/>
      <c r="HZR60" s="217"/>
      <c r="HZS60" s="221"/>
      <c r="HZT60" s="216"/>
      <c r="HZU60" s="217"/>
      <c r="HZV60" s="218"/>
      <c r="HZW60" s="219"/>
      <c r="HZX60" s="220"/>
      <c r="HZY60" s="220"/>
      <c r="HZZ60" s="220"/>
      <c r="IAA60" s="220"/>
      <c r="IAB60" s="217"/>
      <c r="IAC60" s="221"/>
      <c r="IAD60" s="216"/>
      <c r="IAE60" s="217"/>
      <c r="IAF60" s="218"/>
      <c r="IAG60" s="219"/>
      <c r="IAH60" s="220"/>
      <c r="IAI60" s="220"/>
      <c r="IAJ60" s="220"/>
      <c r="IAK60" s="220"/>
      <c r="IAL60" s="217"/>
      <c r="IAM60" s="221"/>
      <c r="IAN60" s="216"/>
      <c r="IAO60" s="217"/>
      <c r="IAP60" s="218"/>
      <c r="IAQ60" s="219"/>
      <c r="IAR60" s="220"/>
      <c r="IAS60" s="220"/>
      <c r="IAT60" s="220"/>
      <c r="IAU60" s="220"/>
      <c r="IAV60" s="217"/>
      <c r="IAW60" s="221"/>
      <c r="IAX60" s="216"/>
      <c r="IAY60" s="217"/>
      <c r="IAZ60" s="218"/>
      <c r="IBA60" s="219"/>
      <c r="IBB60" s="220"/>
      <c r="IBC60" s="220"/>
      <c r="IBD60" s="220"/>
      <c r="IBE60" s="220"/>
      <c r="IBF60" s="217"/>
      <c r="IBG60" s="221"/>
      <c r="IBH60" s="216"/>
      <c r="IBI60" s="217"/>
      <c r="IBJ60" s="218"/>
      <c r="IBK60" s="219"/>
      <c r="IBL60" s="220"/>
      <c r="IBM60" s="220"/>
      <c r="IBN60" s="220"/>
      <c r="IBO60" s="220"/>
      <c r="IBP60" s="217"/>
      <c r="IBQ60" s="221"/>
      <c r="IBR60" s="216"/>
      <c r="IBS60" s="217"/>
      <c r="IBT60" s="218"/>
      <c r="IBU60" s="219"/>
      <c r="IBV60" s="220"/>
      <c r="IBW60" s="220"/>
      <c r="IBX60" s="220"/>
      <c r="IBY60" s="220"/>
      <c r="IBZ60" s="217"/>
      <c r="ICA60" s="221"/>
      <c r="ICB60" s="216"/>
      <c r="ICC60" s="217"/>
      <c r="ICD60" s="218"/>
      <c r="ICE60" s="219"/>
      <c r="ICF60" s="220"/>
      <c r="ICG60" s="220"/>
      <c r="ICH60" s="220"/>
      <c r="ICI60" s="220"/>
      <c r="ICJ60" s="217"/>
      <c r="ICK60" s="221"/>
      <c r="ICL60" s="216"/>
      <c r="ICM60" s="217"/>
      <c r="ICN60" s="218"/>
      <c r="ICO60" s="219"/>
      <c r="ICP60" s="220"/>
      <c r="ICQ60" s="220"/>
      <c r="ICR60" s="220"/>
      <c r="ICS60" s="220"/>
      <c r="ICT60" s="217"/>
      <c r="ICU60" s="221"/>
      <c r="ICV60" s="216"/>
      <c r="ICW60" s="217"/>
      <c r="ICX60" s="218"/>
      <c r="ICY60" s="219"/>
      <c r="ICZ60" s="220"/>
      <c r="IDA60" s="220"/>
      <c r="IDB60" s="220"/>
      <c r="IDC60" s="220"/>
      <c r="IDD60" s="217"/>
      <c r="IDE60" s="221"/>
      <c r="IDF60" s="216"/>
      <c r="IDG60" s="217"/>
      <c r="IDH60" s="218"/>
      <c r="IDI60" s="219"/>
      <c r="IDJ60" s="220"/>
      <c r="IDK60" s="220"/>
      <c r="IDL60" s="220"/>
      <c r="IDM60" s="220"/>
      <c r="IDN60" s="217"/>
      <c r="IDO60" s="221"/>
      <c r="IDP60" s="216"/>
      <c r="IDQ60" s="217"/>
      <c r="IDR60" s="218"/>
      <c r="IDS60" s="219"/>
      <c r="IDT60" s="220"/>
      <c r="IDU60" s="220"/>
      <c r="IDV60" s="220"/>
      <c r="IDW60" s="220"/>
      <c r="IDX60" s="217"/>
      <c r="IDY60" s="221"/>
      <c r="IDZ60" s="216"/>
      <c r="IEA60" s="217"/>
      <c r="IEB60" s="218"/>
      <c r="IEC60" s="219"/>
      <c r="IED60" s="220"/>
      <c r="IEE60" s="220"/>
      <c r="IEF60" s="220"/>
      <c r="IEG60" s="220"/>
      <c r="IEH60" s="217"/>
      <c r="IEI60" s="221"/>
      <c r="IEJ60" s="216"/>
      <c r="IEK60" s="217"/>
      <c r="IEL60" s="218"/>
      <c r="IEM60" s="219"/>
      <c r="IEN60" s="220"/>
      <c r="IEO60" s="220"/>
      <c r="IEP60" s="220"/>
      <c r="IEQ60" s="220"/>
      <c r="IER60" s="217"/>
      <c r="IES60" s="221"/>
      <c r="IET60" s="216"/>
      <c r="IEU60" s="217"/>
      <c r="IEV60" s="218"/>
      <c r="IEW60" s="219"/>
      <c r="IEX60" s="220"/>
      <c r="IEY60" s="220"/>
      <c r="IEZ60" s="220"/>
      <c r="IFA60" s="220"/>
      <c r="IFB60" s="217"/>
      <c r="IFC60" s="221"/>
      <c r="IFD60" s="216"/>
      <c r="IFE60" s="217"/>
      <c r="IFF60" s="218"/>
      <c r="IFG60" s="219"/>
      <c r="IFH60" s="220"/>
      <c r="IFI60" s="220"/>
      <c r="IFJ60" s="220"/>
      <c r="IFK60" s="220"/>
      <c r="IFL60" s="217"/>
      <c r="IFM60" s="221"/>
      <c r="IFN60" s="216"/>
      <c r="IFO60" s="217"/>
      <c r="IFP60" s="218"/>
      <c r="IFQ60" s="219"/>
      <c r="IFR60" s="220"/>
      <c r="IFS60" s="220"/>
      <c r="IFT60" s="220"/>
      <c r="IFU60" s="220"/>
      <c r="IFV60" s="217"/>
      <c r="IFW60" s="221"/>
      <c r="IFX60" s="216"/>
      <c r="IFY60" s="217"/>
      <c r="IFZ60" s="218"/>
      <c r="IGA60" s="219"/>
      <c r="IGB60" s="220"/>
      <c r="IGC60" s="220"/>
      <c r="IGD60" s="220"/>
      <c r="IGE60" s="220"/>
      <c r="IGF60" s="217"/>
      <c r="IGG60" s="221"/>
      <c r="IGH60" s="216"/>
      <c r="IGI60" s="217"/>
      <c r="IGJ60" s="218"/>
      <c r="IGK60" s="219"/>
      <c r="IGL60" s="220"/>
      <c r="IGM60" s="220"/>
      <c r="IGN60" s="220"/>
      <c r="IGO60" s="220"/>
      <c r="IGP60" s="217"/>
      <c r="IGQ60" s="221"/>
      <c r="IGR60" s="216"/>
      <c r="IGS60" s="217"/>
      <c r="IGT60" s="218"/>
      <c r="IGU60" s="219"/>
      <c r="IGV60" s="220"/>
      <c r="IGW60" s="220"/>
      <c r="IGX60" s="220"/>
      <c r="IGY60" s="220"/>
      <c r="IGZ60" s="217"/>
      <c r="IHA60" s="221"/>
      <c r="IHB60" s="216"/>
      <c r="IHC60" s="217"/>
      <c r="IHD60" s="218"/>
      <c r="IHE60" s="219"/>
      <c r="IHF60" s="220"/>
      <c r="IHG60" s="220"/>
      <c r="IHH60" s="220"/>
      <c r="IHI60" s="220"/>
      <c r="IHJ60" s="217"/>
      <c r="IHK60" s="221"/>
      <c r="IHL60" s="216"/>
      <c r="IHM60" s="217"/>
      <c r="IHN60" s="218"/>
      <c r="IHO60" s="219"/>
      <c r="IHP60" s="220"/>
      <c r="IHQ60" s="220"/>
      <c r="IHR60" s="220"/>
      <c r="IHS60" s="220"/>
      <c r="IHT60" s="217"/>
      <c r="IHU60" s="221"/>
      <c r="IHV60" s="216"/>
      <c r="IHW60" s="217"/>
      <c r="IHX60" s="218"/>
      <c r="IHY60" s="219"/>
      <c r="IHZ60" s="220"/>
      <c r="IIA60" s="220"/>
      <c r="IIB60" s="220"/>
      <c r="IIC60" s="220"/>
      <c r="IID60" s="217"/>
      <c r="IIE60" s="221"/>
      <c r="IIF60" s="216"/>
      <c r="IIG60" s="217"/>
      <c r="IIH60" s="218"/>
      <c r="III60" s="219"/>
      <c r="IIJ60" s="220"/>
      <c r="IIK60" s="220"/>
      <c r="IIL60" s="220"/>
      <c r="IIM60" s="220"/>
      <c r="IIN60" s="217"/>
      <c r="IIO60" s="221"/>
      <c r="IIP60" s="216"/>
      <c r="IIQ60" s="217"/>
      <c r="IIR60" s="218"/>
      <c r="IIS60" s="219"/>
      <c r="IIT60" s="220"/>
      <c r="IIU60" s="220"/>
      <c r="IIV60" s="220"/>
      <c r="IIW60" s="220"/>
      <c r="IIX60" s="217"/>
      <c r="IIY60" s="221"/>
      <c r="IIZ60" s="216"/>
      <c r="IJA60" s="217"/>
      <c r="IJB60" s="218"/>
      <c r="IJC60" s="219"/>
      <c r="IJD60" s="220"/>
      <c r="IJE60" s="220"/>
      <c r="IJF60" s="220"/>
      <c r="IJG60" s="220"/>
      <c r="IJH60" s="217"/>
      <c r="IJI60" s="221"/>
      <c r="IJJ60" s="216"/>
      <c r="IJK60" s="217"/>
      <c r="IJL60" s="218"/>
      <c r="IJM60" s="219"/>
      <c r="IJN60" s="220"/>
      <c r="IJO60" s="220"/>
      <c r="IJP60" s="220"/>
      <c r="IJQ60" s="220"/>
      <c r="IJR60" s="217"/>
      <c r="IJS60" s="221"/>
      <c r="IJT60" s="216"/>
      <c r="IJU60" s="217"/>
      <c r="IJV60" s="218"/>
      <c r="IJW60" s="219"/>
      <c r="IJX60" s="220"/>
      <c r="IJY60" s="220"/>
      <c r="IJZ60" s="220"/>
      <c r="IKA60" s="220"/>
      <c r="IKB60" s="217"/>
      <c r="IKC60" s="221"/>
      <c r="IKD60" s="216"/>
      <c r="IKE60" s="217"/>
      <c r="IKF60" s="218"/>
      <c r="IKG60" s="219"/>
      <c r="IKH60" s="220"/>
      <c r="IKI60" s="220"/>
      <c r="IKJ60" s="220"/>
      <c r="IKK60" s="220"/>
      <c r="IKL60" s="217"/>
      <c r="IKM60" s="221"/>
      <c r="IKN60" s="216"/>
      <c r="IKO60" s="217"/>
      <c r="IKP60" s="218"/>
      <c r="IKQ60" s="219"/>
      <c r="IKR60" s="220"/>
      <c r="IKS60" s="220"/>
      <c r="IKT60" s="220"/>
      <c r="IKU60" s="220"/>
      <c r="IKV60" s="217"/>
      <c r="IKW60" s="221"/>
      <c r="IKX60" s="216"/>
      <c r="IKY60" s="217"/>
      <c r="IKZ60" s="218"/>
      <c r="ILA60" s="219"/>
      <c r="ILB60" s="220"/>
      <c r="ILC60" s="220"/>
      <c r="ILD60" s="220"/>
      <c r="ILE60" s="220"/>
      <c r="ILF60" s="217"/>
      <c r="ILG60" s="221"/>
      <c r="ILH60" s="216"/>
      <c r="ILI60" s="217"/>
      <c r="ILJ60" s="218"/>
      <c r="ILK60" s="219"/>
      <c r="ILL60" s="220"/>
      <c r="ILM60" s="220"/>
      <c r="ILN60" s="220"/>
      <c r="ILO60" s="220"/>
      <c r="ILP60" s="217"/>
      <c r="ILQ60" s="221"/>
      <c r="ILR60" s="216"/>
      <c r="ILS60" s="217"/>
      <c r="ILT60" s="218"/>
      <c r="ILU60" s="219"/>
      <c r="ILV60" s="220"/>
      <c r="ILW60" s="220"/>
      <c r="ILX60" s="220"/>
      <c r="ILY60" s="220"/>
      <c r="ILZ60" s="217"/>
      <c r="IMA60" s="221"/>
      <c r="IMB60" s="216"/>
      <c r="IMC60" s="217"/>
      <c r="IMD60" s="218"/>
      <c r="IME60" s="219"/>
      <c r="IMF60" s="220"/>
      <c r="IMG60" s="220"/>
      <c r="IMH60" s="220"/>
      <c r="IMI60" s="220"/>
      <c r="IMJ60" s="217"/>
      <c r="IMK60" s="221"/>
      <c r="IML60" s="216"/>
      <c r="IMM60" s="217"/>
      <c r="IMN60" s="218"/>
      <c r="IMO60" s="219"/>
      <c r="IMP60" s="220"/>
      <c r="IMQ60" s="220"/>
      <c r="IMR60" s="220"/>
      <c r="IMS60" s="220"/>
      <c r="IMT60" s="217"/>
      <c r="IMU60" s="221"/>
      <c r="IMV60" s="216"/>
      <c r="IMW60" s="217"/>
      <c r="IMX60" s="218"/>
      <c r="IMY60" s="219"/>
      <c r="IMZ60" s="220"/>
      <c r="INA60" s="220"/>
      <c r="INB60" s="220"/>
      <c r="INC60" s="220"/>
      <c r="IND60" s="217"/>
      <c r="INE60" s="221"/>
      <c r="INF60" s="216"/>
      <c r="ING60" s="217"/>
      <c r="INH60" s="218"/>
      <c r="INI60" s="219"/>
      <c r="INJ60" s="220"/>
      <c r="INK60" s="220"/>
      <c r="INL60" s="220"/>
      <c r="INM60" s="220"/>
      <c r="INN60" s="217"/>
      <c r="INO60" s="221"/>
      <c r="INP60" s="216"/>
      <c r="INQ60" s="217"/>
      <c r="INR60" s="218"/>
      <c r="INS60" s="219"/>
      <c r="INT60" s="220"/>
      <c r="INU60" s="220"/>
      <c r="INV60" s="220"/>
      <c r="INW60" s="220"/>
      <c r="INX60" s="217"/>
      <c r="INY60" s="221"/>
      <c r="INZ60" s="216"/>
      <c r="IOA60" s="217"/>
      <c r="IOB60" s="218"/>
      <c r="IOC60" s="219"/>
      <c r="IOD60" s="220"/>
      <c r="IOE60" s="220"/>
      <c r="IOF60" s="220"/>
      <c r="IOG60" s="220"/>
      <c r="IOH60" s="217"/>
      <c r="IOI60" s="221"/>
      <c r="IOJ60" s="216"/>
      <c r="IOK60" s="217"/>
      <c r="IOL60" s="218"/>
      <c r="IOM60" s="219"/>
      <c r="ION60" s="220"/>
      <c r="IOO60" s="220"/>
      <c r="IOP60" s="220"/>
      <c r="IOQ60" s="220"/>
      <c r="IOR60" s="217"/>
      <c r="IOS60" s="221"/>
      <c r="IOT60" s="216"/>
      <c r="IOU60" s="217"/>
      <c r="IOV60" s="218"/>
      <c r="IOW60" s="219"/>
      <c r="IOX60" s="220"/>
      <c r="IOY60" s="220"/>
      <c r="IOZ60" s="220"/>
      <c r="IPA60" s="220"/>
      <c r="IPB60" s="217"/>
      <c r="IPC60" s="221"/>
      <c r="IPD60" s="216"/>
      <c r="IPE60" s="217"/>
      <c r="IPF60" s="218"/>
      <c r="IPG60" s="219"/>
      <c r="IPH60" s="220"/>
      <c r="IPI60" s="220"/>
      <c r="IPJ60" s="220"/>
      <c r="IPK60" s="220"/>
      <c r="IPL60" s="217"/>
      <c r="IPM60" s="221"/>
      <c r="IPN60" s="216"/>
      <c r="IPO60" s="217"/>
      <c r="IPP60" s="218"/>
      <c r="IPQ60" s="219"/>
      <c r="IPR60" s="220"/>
      <c r="IPS60" s="220"/>
      <c r="IPT60" s="220"/>
      <c r="IPU60" s="220"/>
      <c r="IPV60" s="217"/>
      <c r="IPW60" s="221"/>
      <c r="IPX60" s="216"/>
      <c r="IPY60" s="217"/>
      <c r="IPZ60" s="218"/>
      <c r="IQA60" s="219"/>
      <c r="IQB60" s="220"/>
      <c r="IQC60" s="220"/>
      <c r="IQD60" s="220"/>
      <c r="IQE60" s="220"/>
      <c r="IQF60" s="217"/>
      <c r="IQG60" s="221"/>
      <c r="IQH60" s="216"/>
      <c r="IQI60" s="217"/>
      <c r="IQJ60" s="218"/>
      <c r="IQK60" s="219"/>
      <c r="IQL60" s="220"/>
      <c r="IQM60" s="220"/>
      <c r="IQN60" s="220"/>
      <c r="IQO60" s="220"/>
      <c r="IQP60" s="217"/>
      <c r="IQQ60" s="221"/>
      <c r="IQR60" s="216"/>
      <c r="IQS60" s="217"/>
      <c r="IQT60" s="218"/>
      <c r="IQU60" s="219"/>
      <c r="IQV60" s="220"/>
      <c r="IQW60" s="220"/>
      <c r="IQX60" s="220"/>
      <c r="IQY60" s="220"/>
      <c r="IQZ60" s="217"/>
      <c r="IRA60" s="221"/>
      <c r="IRB60" s="216"/>
      <c r="IRC60" s="217"/>
      <c r="IRD60" s="218"/>
      <c r="IRE60" s="219"/>
      <c r="IRF60" s="220"/>
      <c r="IRG60" s="220"/>
      <c r="IRH60" s="220"/>
      <c r="IRI60" s="220"/>
      <c r="IRJ60" s="217"/>
      <c r="IRK60" s="221"/>
      <c r="IRL60" s="216"/>
      <c r="IRM60" s="217"/>
      <c r="IRN60" s="218"/>
      <c r="IRO60" s="219"/>
      <c r="IRP60" s="220"/>
      <c r="IRQ60" s="220"/>
      <c r="IRR60" s="220"/>
      <c r="IRS60" s="220"/>
      <c r="IRT60" s="217"/>
      <c r="IRU60" s="221"/>
      <c r="IRV60" s="216"/>
      <c r="IRW60" s="217"/>
      <c r="IRX60" s="218"/>
      <c r="IRY60" s="219"/>
      <c r="IRZ60" s="220"/>
      <c r="ISA60" s="220"/>
      <c r="ISB60" s="220"/>
      <c r="ISC60" s="220"/>
      <c r="ISD60" s="217"/>
      <c r="ISE60" s="221"/>
      <c r="ISF60" s="216"/>
      <c r="ISG60" s="217"/>
      <c r="ISH60" s="218"/>
      <c r="ISI60" s="219"/>
      <c r="ISJ60" s="220"/>
      <c r="ISK60" s="220"/>
      <c r="ISL60" s="220"/>
      <c r="ISM60" s="220"/>
      <c r="ISN60" s="217"/>
      <c r="ISO60" s="221"/>
      <c r="ISP60" s="216"/>
      <c r="ISQ60" s="217"/>
      <c r="ISR60" s="218"/>
      <c r="ISS60" s="219"/>
      <c r="IST60" s="220"/>
      <c r="ISU60" s="220"/>
      <c r="ISV60" s="220"/>
      <c r="ISW60" s="220"/>
      <c r="ISX60" s="217"/>
      <c r="ISY60" s="221"/>
      <c r="ISZ60" s="216"/>
      <c r="ITA60" s="217"/>
      <c r="ITB60" s="218"/>
      <c r="ITC60" s="219"/>
      <c r="ITD60" s="220"/>
      <c r="ITE60" s="220"/>
      <c r="ITF60" s="220"/>
      <c r="ITG60" s="220"/>
      <c r="ITH60" s="217"/>
      <c r="ITI60" s="221"/>
      <c r="ITJ60" s="216"/>
      <c r="ITK60" s="217"/>
      <c r="ITL60" s="218"/>
      <c r="ITM60" s="219"/>
      <c r="ITN60" s="220"/>
      <c r="ITO60" s="220"/>
      <c r="ITP60" s="220"/>
      <c r="ITQ60" s="220"/>
      <c r="ITR60" s="217"/>
      <c r="ITS60" s="221"/>
      <c r="ITT60" s="216"/>
      <c r="ITU60" s="217"/>
      <c r="ITV60" s="218"/>
      <c r="ITW60" s="219"/>
      <c r="ITX60" s="220"/>
      <c r="ITY60" s="220"/>
      <c r="ITZ60" s="220"/>
      <c r="IUA60" s="220"/>
      <c r="IUB60" s="217"/>
      <c r="IUC60" s="221"/>
      <c r="IUD60" s="216"/>
      <c r="IUE60" s="217"/>
      <c r="IUF60" s="218"/>
      <c r="IUG60" s="219"/>
      <c r="IUH60" s="220"/>
      <c r="IUI60" s="220"/>
      <c r="IUJ60" s="220"/>
      <c r="IUK60" s="220"/>
      <c r="IUL60" s="217"/>
      <c r="IUM60" s="221"/>
      <c r="IUN60" s="216"/>
      <c r="IUO60" s="217"/>
      <c r="IUP60" s="218"/>
      <c r="IUQ60" s="219"/>
      <c r="IUR60" s="220"/>
      <c r="IUS60" s="220"/>
      <c r="IUT60" s="220"/>
      <c r="IUU60" s="220"/>
      <c r="IUV60" s="217"/>
      <c r="IUW60" s="221"/>
      <c r="IUX60" s="216"/>
      <c r="IUY60" s="217"/>
      <c r="IUZ60" s="218"/>
      <c r="IVA60" s="219"/>
      <c r="IVB60" s="220"/>
      <c r="IVC60" s="220"/>
      <c r="IVD60" s="220"/>
      <c r="IVE60" s="220"/>
      <c r="IVF60" s="217"/>
      <c r="IVG60" s="221"/>
      <c r="IVH60" s="216"/>
      <c r="IVI60" s="217"/>
      <c r="IVJ60" s="218"/>
      <c r="IVK60" s="219"/>
      <c r="IVL60" s="220"/>
      <c r="IVM60" s="220"/>
      <c r="IVN60" s="220"/>
      <c r="IVO60" s="220"/>
      <c r="IVP60" s="217"/>
      <c r="IVQ60" s="221"/>
      <c r="IVR60" s="216"/>
      <c r="IVS60" s="217"/>
      <c r="IVT60" s="218"/>
      <c r="IVU60" s="219"/>
      <c r="IVV60" s="220"/>
      <c r="IVW60" s="220"/>
      <c r="IVX60" s="220"/>
      <c r="IVY60" s="220"/>
      <c r="IVZ60" s="217"/>
      <c r="IWA60" s="221"/>
      <c r="IWB60" s="216"/>
      <c r="IWC60" s="217"/>
      <c r="IWD60" s="218"/>
      <c r="IWE60" s="219"/>
      <c r="IWF60" s="220"/>
      <c r="IWG60" s="220"/>
      <c r="IWH60" s="220"/>
      <c r="IWI60" s="220"/>
      <c r="IWJ60" s="217"/>
      <c r="IWK60" s="221"/>
      <c r="IWL60" s="216"/>
      <c r="IWM60" s="217"/>
      <c r="IWN60" s="218"/>
      <c r="IWO60" s="219"/>
      <c r="IWP60" s="220"/>
      <c r="IWQ60" s="220"/>
      <c r="IWR60" s="220"/>
      <c r="IWS60" s="220"/>
      <c r="IWT60" s="217"/>
      <c r="IWU60" s="221"/>
      <c r="IWV60" s="216"/>
      <c r="IWW60" s="217"/>
      <c r="IWX60" s="218"/>
      <c r="IWY60" s="219"/>
      <c r="IWZ60" s="220"/>
      <c r="IXA60" s="220"/>
      <c r="IXB60" s="220"/>
      <c r="IXC60" s="220"/>
      <c r="IXD60" s="217"/>
      <c r="IXE60" s="221"/>
      <c r="IXF60" s="216"/>
      <c r="IXG60" s="217"/>
      <c r="IXH60" s="218"/>
      <c r="IXI60" s="219"/>
      <c r="IXJ60" s="220"/>
      <c r="IXK60" s="220"/>
      <c r="IXL60" s="220"/>
      <c r="IXM60" s="220"/>
      <c r="IXN60" s="217"/>
      <c r="IXO60" s="221"/>
      <c r="IXP60" s="216"/>
      <c r="IXQ60" s="217"/>
      <c r="IXR60" s="218"/>
      <c r="IXS60" s="219"/>
      <c r="IXT60" s="220"/>
      <c r="IXU60" s="220"/>
      <c r="IXV60" s="220"/>
      <c r="IXW60" s="220"/>
      <c r="IXX60" s="217"/>
      <c r="IXY60" s="221"/>
      <c r="IXZ60" s="216"/>
      <c r="IYA60" s="217"/>
      <c r="IYB60" s="218"/>
      <c r="IYC60" s="219"/>
      <c r="IYD60" s="220"/>
      <c r="IYE60" s="220"/>
      <c r="IYF60" s="220"/>
      <c r="IYG60" s="220"/>
      <c r="IYH60" s="217"/>
      <c r="IYI60" s="221"/>
      <c r="IYJ60" s="216"/>
      <c r="IYK60" s="217"/>
      <c r="IYL60" s="218"/>
      <c r="IYM60" s="219"/>
      <c r="IYN60" s="220"/>
      <c r="IYO60" s="220"/>
      <c r="IYP60" s="220"/>
      <c r="IYQ60" s="220"/>
      <c r="IYR60" s="217"/>
      <c r="IYS60" s="221"/>
      <c r="IYT60" s="216"/>
      <c r="IYU60" s="217"/>
      <c r="IYV60" s="218"/>
      <c r="IYW60" s="219"/>
      <c r="IYX60" s="220"/>
      <c r="IYY60" s="220"/>
      <c r="IYZ60" s="220"/>
      <c r="IZA60" s="220"/>
      <c r="IZB60" s="217"/>
      <c r="IZC60" s="221"/>
      <c r="IZD60" s="216"/>
      <c r="IZE60" s="217"/>
      <c r="IZF60" s="218"/>
      <c r="IZG60" s="219"/>
      <c r="IZH60" s="220"/>
      <c r="IZI60" s="220"/>
      <c r="IZJ60" s="220"/>
      <c r="IZK60" s="220"/>
      <c r="IZL60" s="217"/>
      <c r="IZM60" s="221"/>
      <c r="IZN60" s="216"/>
      <c r="IZO60" s="217"/>
      <c r="IZP60" s="218"/>
      <c r="IZQ60" s="219"/>
      <c r="IZR60" s="220"/>
      <c r="IZS60" s="220"/>
      <c r="IZT60" s="220"/>
      <c r="IZU60" s="220"/>
      <c r="IZV60" s="217"/>
      <c r="IZW60" s="221"/>
      <c r="IZX60" s="216"/>
      <c r="IZY60" s="217"/>
      <c r="IZZ60" s="218"/>
      <c r="JAA60" s="219"/>
      <c r="JAB60" s="220"/>
      <c r="JAC60" s="220"/>
      <c r="JAD60" s="220"/>
      <c r="JAE60" s="220"/>
      <c r="JAF60" s="217"/>
      <c r="JAG60" s="221"/>
      <c r="JAH60" s="216"/>
      <c r="JAI60" s="217"/>
      <c r="JAJ60" s="218"/>
      <c r="JAK60" s="219"/>
      <c r="JAL60" s="220"/>
      <c r="JAM60" s="220"/>
      <c r="JAN60" s="220"/>
      <c r="JAO60" s="220"/>
      <c r="JAP60" s="217"/>
      <c r="JAQ60" s="221"/>
      <c r="JAR60" s="216"/>
      <c r="JAS60" s="217"/>
      <c r="JAT60" s="218"/>
      <c r="JAU60" s="219"/>
      <c r="JAV60" s="220"/>
      <c r="JAW60" s="220"/>
      <c r="JAX60" s="220"/>
      <c r="JAY60" s="220"/>
      <c r="JAZ60" s="217"/>
      <c r="JBA60" s="221"/>
      <c r="JBB60" s="216"/>
      <c r="JBC60" s="217"/>
      <c r="JBD60" s="218"/>
      <c r="JBE60" s="219"/>
      <c r="JBF60" s="220"/>
      <c r="JBG60" s="220"/>
      <c r="JBH60" s="220"/>
      <c r="JBI60" s="220"/>
      <c r="JBJ60" s="217"/>
      <c r="JBK60" s="221"/>
      <c r="JBL60" s="216"/>
      <c r="JBM60" s="217"/>
      <c r="JBN60" s="218"/>
      <c r="JBO60" s="219"/>
      <c r="JBP60" s="220"/>
      <c r="JBQ60" s="220"/>
      <c r="JBR60" s="220"/>
      <c r="JBS60" s="220"/>
      <c r="JBT60" s="217"/>
      <c r="JBU60" s="221"/>
      <c r="JBV60" s="216"/>
      <c r="JBW60" s="217"/>
      <c r="JBX60" s="218"/>
      <c r="JBY60" s="219"/>
      <c r="JBZ60" s="220"/>
      <c r="JCA60" s="220"/>
      <c r="JCB60" s="220"/>
      <c r="JCC60" s="220"/>
      <c r="JCD60" s="217"/>
      <c r="JCE60" s="221"/>
      <c r="JCF60" s="216"/>
      <c r="JCG60" s="217"/>
      <c r="JCH60" s="218"/>
      <c r="JCI60" s="219"/>
      <c r="JCJ60" s="220"/>
      <c r="JCK60" s="220"/>
      <c r="JCL60" s="220"/>
      <c r="JCM60" s="220"/>
      <c r="JCN60" s="217"/>
      <c r="JCO60" s="221"/>
      <c r="JCP60" s="216"/>
      <c r="JCQ60" s="217"/>
      <c r="JCR60" s="218"/>
      <c r="JCS60" s="219"/>
      <c r="JCT60" s="220"/>
      <c r="JCU60" s="220"/>
      <c r="JCV60" s="220"/>
      <c r="JCW60" s="220"/>
      <c r="JCX60" s="217"/>
      <c r="JCY60" s="221"/>
      <c r="JCZ60" s="216"/>
      <c r="JDA60" s="217"/>
      <c r="JDB60" s="218"/>
      <c r="JDC60" s="219"/>
      <c r="JDD60" s="220"/>
      <c r="JDE60" s="220"/>
      <c r="JDF60" s="220"/>
      <c r="JDG60" s="220"/>
      <c r="JDH60" s="217"/>
      <c r="JDI60" s="221"/>
      <c r="JDJ60" s="216"/>
      <c r="JDK60" s="217"/>
      <c r="JDL60" s="218"/>
      <c r="JDM60" s="219"/>
      <c r="JDN60" s="220"/>
      <c r="JDO60" s="220"/>
      <c r="JDP60" s="220"/>
      <c r="JDQ60" s="220"/>
      <c r="JDR60" s="217"/>
      <c r="JDS60" s="221"/>
      <c r="JDT60" s="216"/>
      <c r="JDU60" s="217"/>
      <c r="JDV60" s="218"/>
      <c r="JDW60" s="219"/>
      <c r="JDX60" s="220"/>
      <c r="JDY60" s="220"/>
      <c r="JDZ60" s="220"/>
      <c r="JEA60" s="220"/>
      <c r="JEB60" s="217"/>
      <c r="JEC60" s="221"/>
      <c r="JED60" s="216"/>
      <c r="JEE60" s="217"/>
      <c r="JEF60" s="218"/>
      <c r="JEG60" s="219"/>
      <c r="JEH60" s="220"/>
      <c r="JEI60" s="220"/>
      <c r="JEJ60" s="220"/>
      <c r="JEK60" s="220"/>
      <c r="JEL60" s="217"/>
      <c r="JEM60" s="221"/>
      <c r="JEN60" s="216"/>
      <c r="JEO60" s="217"/>
      <c r="JEP60" s="218"/>
      <c r="JEQ60" s="219"/>
      <c r="JER60" s="220"/>
      <c r="JES60" s="220"/>
      <c r="JET60" s="220"/>
      <c r="JEU60" s="220"/>
      <c r="JEV60" s="217"/>
      <c r="JEW60" s="221"/>
      <c r="JEX60" s="216"/>
      <c r="JEY60" s="217"/>
      <c r="JEZ60" s="218"/>
      <c r="JFA60" s="219"/>
      <c r="JFB60" s="220"/>
      <c r="JFC60" s="220"/>
      <c r="JFD60" s="220"/>
      <c r="JFE60" s="220"/>
      <c r="JFF60" s="217"/>
      <c r="JFG60" s="221"/>
      <c r="JFH60" s="216"/>
      <c r="JFI60" s="217"/>
      <c r="JFJ60" s="218"/>
      <c r="JFK60" s="219"/>
      <c r="JFL60" s="220"/>
      <c r="JFM60" s="220"/>
      <c r="JFN60" s="220"/>
      <c r="JFO60" s="220"/>
      <c r="JFP60" s="217"/>
      <c r="JFQ60" s="221"/>
      <c r="JFR60" s="216"/>
      <c r="JFS60" s="217"/>
      <c r="JFT60" s="218"/>
      <c r="JFU60" s="219"/>
      <c r="JFV60" s="220"/>
      <c r="JFW60" s="220"/>
      <c r="JFX60" s="220"/>
      <c r="JFY60" s="220"/>
      <c r="JFZ60" s="217"/>
      <c r="JGA60" s="221"/>
      <c r="JGB60" s="216"/>
      <c r="JGC60" s="217"/>
      <c r="JGD60" s="218"/>
      <c r="JGE60" s="219"/>
      <c r="JGF60" s="220"/>
      <c r="JGG60" s="220"/>
      <c r="JGH60" s="220"/>
      <c r="JGI60" s="220"/>
      <c r="JGJ60" s="217"/>
      <c r="JGK60" s="221"/>
      <c r="JGL60" s="216"/>
      <c r="JGM60" s="217"/>
      <c r="JGN60" s="218"/>
      <c r="JGO60" s="219"/>
      <c r="JGP60" s="220"/>
      <c r="JGQ60" s="220"/>
      <c r="JGR60" s="220"/>
      <c r="JGS60" s="220"/>
      <c r="JGT60" s="217"/>
      <c r="JGU60" s="221"/>
      <c r="JGV60" s="216"/>
      <c r="JGW60" s="217"/>
      <c r="JGX60" s="218"/>
      <c r="JGY60" s="219"/>
      <c r="JGZ60" s="220"/>
      <c r="JHA60" s="220"/>
      <c r="JHB60" s="220"/>
      <c r="JHC60" s="220"/>
      <c r="JHD60" s="217"/>
      <c r="JHE60" s="221"/>
      <c r="JHF60" s="216"/>
      <c r="JHG60" s="217"/>
      <c r="JHH60" s="218"/>
      <c r="JHI60" s="219"/>
      <c r="JHJ60" s="220"/>
      <c r="JHK60" s="220"/>
      <c r="JHL60" s="220"/>
      <c r="JHM60" s="220"/>
      <c r="JHN60" s="217"/>
      <c r="JHO60" s="221"/>
      <c r="JHP60" s="216"/>
      <c r="JHQ60" s="217"/>
      <c r="JHR60" s="218"/>
      <c r="JHS60" s="219"/>
      <c r="JHT60" s="220"/>
      <c r="JHU60" s="220"/>
      <c r="JHV60" s="220"/>
      <c r="JHW60" s="220"/>
      <c r="JHX60" s="217"/>
      <c r="JHY60" s="221"/>
      <c r="JHZ60" s="216"/>
      <c r="JIA60" s="217"/>
      <c r="JIB60" s="218"/>
      <c r="JIC60" s="219"/>
      <c r="JID60" s="220"/>
      <c r="JIE60" s="220"/>
      <c r="JIF60" s="220"/>
      <c r="JIG60" s="220"/>
      <c r="JIH60" s="217"/>
      <c r="JII60" s="221"/>
      <c r="JIJ60" s="216"/>
      <c r="JIK60" s="217"/>
      <c r="JIL60" s="218"/>
      <c r="JIM60" s="219"/>
      <c r="JIN60" s="220"/>
      <c r="JIO60" s="220"/>
      <c r="JIP60" s="220"/>
      <c r="JIQ60" s="220"/>
      <c r="JIR60" s="217"/>
      <c r="JIS60" s="221"/>
      <c r="JIT60" s="216"/>
      <c r="JIU60" s="217"/>
      <c r="JIV60" s="218"/>
      <c r="JIW60" s="219"/>
      <c r="JIX60" s="220"/>
      <c r="JIY60" s="220"/>
      <c r="JIZ60" s="220"/>
      <c r="JJA60" s="220"/>
      <c r="JJB60" s="217"/>
      <c r="JJC60" s="221"/>
      <c r="JJD60" s="216"/>
      <c r="JJE60" s="217"/>
      <c r="JJF60" s="218"/>
      <c r="JJG60" s="219"/>
      <c r="JJH60" s="220"/>
      <c r="JJI60" s="220"/>
      <c r="JJJ60" s="220"/>
      <c r="JJK60" s="220"/>
      <c r="JJL60" s="217"/>
      <c r="JJM60" s="221"/>
      <c r="JJN60" s="216"/>
      <c r="JJO60" s="217"/>
      <c r="JJP60" s="218"/>
      <c r="JJQ60" s="219"/>
      <c r="JJR60" s="220"/>
      <c r="JJS60" s="220"/>
      <c r="JJT60" s="220"/>
      <c r="JJU60" s="220"/>
      <c r="JJV60" s="217"/>
      <c r="JJW60" s="221"/>
      <c r="JJX60" s="216"/>
      <c r="JJY60" s="217"/>
      <c r="JJZ60" s="218"/>
      <c r="JKA60" s="219"/>
      <c r="JKB60" s="220"/>
      <c r="JKC60" s="220"/>
      <c r="JKD60" s="220"/>
      <c r="JKE60" s="220"/>
      <c r="JKF60" s="217"/>
      <c r="JKG60" s="221"/>
      <c r="JKH60" s="216"/>
      <c r="JKI60" s="217"/>
      <c r="JKJ60" s="218"/>
      <c r="JKK60" s="219"/>
      <c r="JKL60" s="220"/>
      <c r="JKM60" s="220"/>
      <c r="JKN60" s="220"/>
      <c r="JKO60" s="220"/>
      <c r="JKP60" s="217"/>
      <c r="JKQ60" s="221"/>
      <c r="JKR60" s="216"/>
      <c r="JKS60" s="217"/>
      <c r="JKT60" s="218"/>
      <c r="JKU60" s="219"/>
      <c r="JKV60" s="220"/>
      <c r="JKW60" s="220"/>
      <c r="JKX60" s="220"/>
      <c r="JKY60" s="220"/>
      <c r="JKZ60" s="217"/>
      <c r="JLA60" s="221"/>
      <c r="JLB60" s="216"/>
      <c r="JLC60" s="217"/>
      <c r="JLD60" s="218"/>
      <c r="JLE60" s="219"/>
      <c r="JLF60" s="220"/>
      <c r="JLG60" s="220"/>
      <c r="JLH60" s="220"/>
      <c r="JLI60" s="220"/>
      <c r="JLJ60" s="217"/>
      <c r="JLK60" s="221"/>
      <c r="JLL60" s="216"/>
      <c r="JLM60" s="217"/>
      <c r="JLN60" s="218"/>
      <c r="JLO60" s="219"/>
      <c r="JLP60" s="220"/>
      <c r="JLQ60" s="220"/>
      <c r="JLR60" s="220"/>
      <c r="JLS60" s="220"/>
      <c r="JLT60" s="217"/>
      <c r="JLU60" s="221"/>
      <c r="JLV60" s="216"/>
      <c r="JLW60" s="217"/>
      <c r="JLX60" s="218"/>
      <c r="JLY60" s="219"/>
      <c r="JLZ60" s="220"/>
      <c r="JMA60" s="220"/>
      <c r="JMB60" s="220"/>
      <c r="JMC60" s="220"/>
      <c r="JMD60" s="217"/>
      <c r="JME60" s="221"/>
      <c r="JMF60" s="216"/>
      <c r="JMG60" s="217"/>
      <c r="JMH60" s="218"/>
      <c r="JMI60" s="219"/>
      <c r="JMJ60" s="220"/>
      <c r="JMK60" s="220"/>
      <c r="JML60" s="220"/>
      <c r="JMM60" s="220"/>
      <c r="JMN60" s="217"/>
      <c r="JMO60" s="221"/>
      <c r="JMP60" s="216"/>
      <c r="JMQ60" s="217"/>
      <c r="JMR60" s="218"/>
      <c r="JMS60" s="219"/>
      <c r="JMT60" s="220"/>
      <c r="JMU60" s="220"/>
      <c r="JMV60" s="220"/>
      <c r="JMW60" s="220"/>
      <c r="JMX60" s="217"/>
      <c r="JMY60" s="221"/>
      <c r="JMZ60" s="216"/>
      <c r="JNA60" s="217"/>
      <c r="JNB60" s="218"/>
      <c r="JNC60" s="219"/>
      <c r="JND60" s="220"/>
      <c r="JNE60" s="220"/>
      <c r="JNF60" s="220"/>
      <c r="JNG60" s="220"/>
      <c r="JNH60" s="217"/>
      <c r="JNI60" s="221"/>
      <c r="JNJ60" s="216"/>
      <c r="JNK60" s="217"/>
      <c r="JNL60" s="218"/>
      <c r="JNM60" s="219"/>
      <c r="JNN60" s="220"/>
      <c r="JNO60" s="220"/>
      <c r="JNP60" s="220"/>
      <c r="JNQ60" s="220"/>
      <c r="JNR60" s="217"/>
      <c r="JNS60" s="221"/>
      <c r="JNT60" s="216"/>
      <c r="JNU60" s="217"/>
      <c r="JNV60" s="218"/>
      <c r="JNW60" s="219"/>
      <c r="JNX60" s="220"/>
      <c r="JNY60" s="220"/>
      <c r="JNZ60" s="220"/>
      <c r="JOA60" s="220"/>
      <c r="JOB60" s="217"/>
      <c r="JOC60" s="221"/>
      <c r="JOD60" s="216"/>
      <c r="JOE60" s="217"/>
      <c r="JOF60" s="218"/>
      <c r="JOG60" s="219"/>
      <c r="JOH60" s="220"/>
      <c r="JOI60" s="220"/>
      <c r="JOJ60" s="220"/>
      <c r="JOK60" s="220"/>
      <c r="JOL60" s="217"/>
      <c r="JOM60" s="221"/>
      <c r="JON60" s="216"/>
      <c r="JOO60" s="217"/>
      <c r="JOP60" s="218"/>
      <c r="JOQ60" s="219"/>
      <c r="JOR60" s="220"/>
      <c r="JOS60" s="220"/>
      <c r="JOT60" s="220"/>
      <c r="JOU60" s="220"/>
      <c r="JOV60" s="217"/>
      <c r="JOW60" s="221"/>
      <c r="JOX60" s="216"/>
      <c r="JOY60" s="217"/>
      <c r="JOZ60" s="218"/>
      <c r="JPA60" s="219"/>
      <c r="JPB60" s="220"/>
      <c r="JPC60" s="220"/>
      <c r="JPD60" s="220"/>
      <c r="JPE60" s="220"/>
      <c r="JPF60" s="217"/>
      <c r="JPG60" s="221"/>
      <c r="JPH60" s="216"/>
      <c r="JPI60" s="217"/>
      <c r="JPJ60" s="218"/>
      <c r="JPK60" s="219"/>
      <c r="JPL60" s="220"/>
      <c r="JPM60" s="220"/>
      <c r="JPN60" s="220"/>
      <c r="JPO60" s="220"/>
      <c r="JPP60" s="217"/>
      <c r="JPQ60" s="221"/>
      <c r="JPR60" s="216"/>
      <c r="JPS60" s="217"/>
      <c r="JPT60" s="218"/>
      <c r="JPU60" s="219"/>
      <c r="JPV60" s="220"/>
      <c r="JPW60" s="220"/>
      <c r="JPX60" s="220"/>
      <c r="JPY60" s="220"/>
      <c r="JPZ60" s="217"/>
      <c r="JQA60" s="221"/>
      <c r="JQB60" s="216"/>
      <c r="JQC60" s="217"/>
      <c r="JQD60" s="218"/>
      <c r="JQE60" s="219"/>
      <c r="JQF60" s="220"/>
      <c r="JQG60" s="220"/>
      <c r="JQH60" s="220"/>
      <c r="JQI60" s="220"/>
      <c r="JQJ60" s="217"/>
      <c r="JQK60" s="221"/>
      <c r="JQL60" s="216"/>
      <c r="JQM60" s="217"/>
      <c r="JQN60" s="218"/>
      <c r="JQO60" s="219"/>
      <c r="JQP60" s="220"/>
      <c r="JQQ60" s="220"/>
      <c r="JQR60" s="220"/>
      <c r="JQS60" s="220"/>
      <c r="JQT60" s="217"/>
      <c r="JQU60" s="221"/>
      <c r="JQV60" s="216"/>
      <c r="JQW60" s="217"/>
      <c r="JQX60" s="218"/>
      <c r="JQY60" s="219"/>
      <c r="JQZ60" s="220"/>
      <c r="JRA60" s="220"/>
      <c r="JRB60" s="220"/>
      <c r="JRC60" s="220"/>
      <c r="JRD60" s="217"/>
      <c r="JRE60" s="221"/>
      <c r="JRF60" s="216"/>
      <c r="JRG60" s="217"/>
      <c r="JRH60" s="218"/>
      <c r="JRI60" s="219"/>
      <c r="JRJ60" s="220"/>
      <c r="JRK60" s="220"/>
      <c r="JRL60" s="220"/>
      <c r="JRM60" s="220"/>
      <c r="JRN60" s="217"/>
      <c r="JRO60" s="221"/>
      <c r="JRP60" s="216"/>
      <c r="JRQ60" s="217"/>
      <c r="JRR60" s="218"/>
      <c r="JRS60" s="219"/>
      <c r="JRT60" s="220"/>
      <c r="JRU60" s="220"/>
      <c r="JRV60" s="220"/>
      <c r="JRW60" s="220"/>
      <c r="JRX60" s="217"/>
      <c r="JRY60" s="221"/>
      <c r="JRZ60" s="216"/>
      <c r="JSA60" s="217"/>
      <c r="JSB60" s="218"/>
      <c r="JSC60" s="219"/>
      <c r="JSD60" s="220"/>
      <c r="JSE60" s="220"/>
      <c r="JSF60" s="220"/>
      <c r="JSG60" s="220"/>
      <c r="JSH60" s="217"/>
      <c r="JSI60" s="221"/>
      <c r="JSJ60" s="216"/>
      <c r="JSK60" s="217"/>
      <c r="JSL60" s="218"/>
      <c r="JSM60" s="219"/>
      <c r="JSN60" s="220"/>
      <c r="JSO60" s="220"/>
      <c r="JSP60" s="220"/>
      <c r="JSQ60" s="220"/>
      <c r="JSR60" s="217"/>
      <c r="JSS60" s="221"/>
      <c r="JST60" s="216"/>
      <c r="JSU60" s="217"/>
      <c r="JSV60" s="218"/>
      <c r="JSW60" s="219"/>
      <c r="JSX60" s="220"/>
      <c r="JSY60" s="220"/>
      <c r="JSZ60" s="220"/>
      <c r="JTA60" s="220"/>
      <c r="JTB60" s="217"/>
      <c r="JTC60" s="221"/>
      <c r="JTD60" s="216"/>
      <c r="JTE60" s="217"/>
      <c r="JTF60" s="218"/>
      <c r="JTG60" s="219"/>
      <c r="JTH60" s="220"/>
      <c r="JTI60" s="220"/>
      <c r="JTJ60" s="220"/>
      <c r="JTK60" s="220"/>
      <c r="JTL60" s="217"/>
      <c r="JTM60" s="221"/>
      <c r="JTN60" s="216"/>
      <c r="JTO60" s="217"/>
      <c r="JTP60" s="218"/>
      <c r="JTQ60" s="219"/>
      <c r="JTR60" s="220"/>
      <c r="JTS60" s="220"/>
      <c r="JTT60" s="220"/>
      <c r="JTU60" s="220"/>
      <c r="JTV60" s="217"/>
      <c r="JTW60" s="221"/>
      <c r="JTX60" s="216"/>
      <c r="JTY60" s="217"/>
      <c r="JTZ60" s="218"/>
      <c r="JUA60" s="219"/>
      <c r="JUB60" s="220"/>
      <c r="JUC60" s="220"/>
      <c r="JUD60" s="220"/>
      <c r="JUE60" s="220"/>
      <c r="JUF60" s="217"/>
      <c r="JUG60" s="221"/>
      <c r="JUH60" s="216"/>
      <c r="JUI60" s="217"/>
      <c r="JUJ60" s="218"/>
      <c r="JUK60" s="219"/>
      <c r="JUL60" s="220"/>
      <c r="JUM60" s="220"/>
      <c r="JUN60" s="220"/>
      <c r="JUO60" s="220"/>
      <c r="JUP60" s="217"/>
      <c r="JUQ60" s="221"/>
      <c r="JUR60" s="216"/>
      <c r="JUS60" s="217"/>
      <c r="JUT60" s="218"/>
      <c r="JUU60" s="219"/>
      <c r="JUV60" s="220"/>
      <c r="JUW60" s="220"/>
      <c r="JUX60" s="220"/>
      <c r="JUY60" s="220"/>
      <c r="JUZ60" s="217"/>
      <c r="JVA60" s="221"/>
      <c r="JVB60" s="216"/>
      <c r="JVC60" s="217"/>
      <c r="JVD60" s="218"/>
      <c r="JVE60" s="219"/>
      <c r="JVF60" s="220"/>
      <c r="JVG60" s="220"/>
      <c r="JVH60" s="220"/>
      <c r="JVI60" s="220"/>
      <c r="JVJ60" s="217"/>
      <c r="JVK60" s="221"/>
      <c r="JVL60" s="216"/>
      <c r="JVM60" s="217"/>
      <c r="JVN60" s="218"/>
      <c r="JVO60" s="219"/>
      <c r="JVP60" s="220"/>
      <c r="JVQ60" s="220"/>
      <c r="JVR60" s="220"/>
      <c r="JVS60" s="220"/>
      <c r="JVT60" s="217"/>
      <c r="JVU60" s="221"/>
      <c r="JVV60" s="216"/>
      <c r="JVW60" s="217"/>
      <c r="JVX60" s="218"/>
      <c r="JVY60" s="219"/>
      <c r="JVZ60" s="220"/>
      <c r="JWA60" s="220"/>
      <c r="JWB60" s="220"/>
      <c r="JWC60" s="220"/>
      <c r="JWD60" s="217"/>
      <c r="JWE60" s="221"/>
      <c r="JWF60" s="216"/>
      <c r="JWG60" s="217"/>
      <c r="JWH60" s="218"/>
      <c r="JWI60" s="219"/>
      <c r="JWJ60" s="220"/>
      <c r="JWK60" s="220"/>
      <c r="JWL60" s="220"/>
      <c r="JWM60" s="220"/>
      <c r="JWN60" s="217"/>
      <c r="JWO60" s="221"/>
      <c r="JWP60" s="216"/>
      <c r="JWQ60" s="217"/>
      <c r="JWR60" s="218"/>
      <c r="JWS60" s="219"/>
      <c r="JWT60" s="220"/>
      <c r="JWU60" s="220"/>
      <c r="JWV60" s="220"/>
      <c r="JWW60" s="220"/>
      <c r="JWX60" s="217"/>
      <c r="JWY60" s="221"/>
      <c r="JWZ60" s="216"/>
      <c r="JXA60" s="217"/>
      <c r="JXB60" s="218"/>
      <c r="JXC60" s="219"/>
      <c r="JXD60" s="220"/>
      <c r="JXE60" s="220"/>
      <c r="JXF60" s="220"/>
      <c r="JXG60" s="220"/>
      <c r="JXH60" s="217"/>
      <c r="JXI60" s="221"/>
      <c r="JXJ60" s="216"/>
      <c r="JXK60" s="217"/>
      <c r="JXL60" s="218"/>
      <c r="JXM60" s="219"/>
      <c r="JXN60" s="220"/>
      <c r="JXO60" s="220"/>
      <c r="JXP60" s="220"/>
      <c r="JXQ60" s="220"/>
      <c r="JXR60" s="217"/>
      <c r="JXS60" s="221"/>
      <c r="JXT60" s="216"/>
      <c r="JXU60" s="217"/>
      <c r="JXV60" s="218"/>
      <c r="JXW60" s="219"/>
      <c r="JXX60" s="220"/>
      <c r="JXY60" s="220"/>
      <c r="JXZ60" s="220"/>
      <c r="JYA60" s="220"/>
      <c r="JYB60" s="217"/>
      <c r="JYC60" s="221"/>
      <c r="JYD60" s="216"/>
      <c r="JYE60" s="217"/>
      <c r="JYF60" s="218"/>
      <c r="JYG60" s="219"/>
      <c r="JYH60" s="220"/>
      <c r="JYI60" s="220"/>
      <c r="JYJ60" s="220"/>
      <c r="JYK60" s="220"/>
      <c r="JYL60" s="217"/>
      <c r="JYM60" s="221"/>
      <c r="JYN60" s="216"/>
      <c r="JYO60" s="217"/>
      <c r="JYP60" s="218"/>
      <c r="JYQ60" s="219"/>
      <c r="JYR60" s="220"/>
      <c r="JYS60" s="220"/>
      <c r="JYT60" s="220"/>
      <c r="JYU60" s="220"/>
      <c r="JYV60" s="217"/>
      <c r="JYW60" s="221"/>
      <c r="JYX60" s="216"/>
      <c r="JYY60" s="217"/>
      <c r="JYZ60" s="218"/>
      <c r="JZA60" s="219"/>
      <c r="JZB60" s="220"/>
      <c r="JZC60" s="220"/>
      <c r="JZD60" s="220"/>
      <c r="JZE60" s="220"/>
      <c r="JZF60" s="217"/>
      <c r="JZG60" s="221"/>
      <c r="JZH60" s="216"/>
      <c r="JZI60" s="217"/>
      <c r="JZJ60" s="218"/>
      <c r="JZK60" s="219"/>
      <c r="JZL60" s="220"/>
      <c r="JZM60" s="220"/>
      <c r="JZN60" s="220"/>
      <c r="JZO60" s="220"/>
      <c r="JZP60" s="217"/>
      <c r="JZQ60" s="221"/>
      <c r="JZR60" s="216"/>
      <c r="JZS60" s="217"/>
      <c r="JZT60" s="218"/>
      <c r="JZU60" s="219"/>
      <c r="JZV60" s="220"/>
      <c r="JZW60" s="220"/>
      <c r="JZX60" s="220"/>
      <c r="JZY60" s="220"/>
      <c r="JZZ60" s="217"/>
      <c r="KAA60" s="221"/>
      <c r="KAB60" s="216"/>
      <c r="KAC60" s="217"/>
      <c r="KAD60" s="218"/>
      <c r="KAE60" s="219"/>
      <c r="KAF60" s="220"/>
      <c r="KAG60" s="220"/>
      <c r="KAH60" s="220"/>
      <c r="KAI60" s="220"/>
      <c r="KAJ60" s="217"/>
      <c r="KAK60" s="221"/>
      <c r="KAL60" s="216"/>
      <c r="KAM60" s="217"/>
      <c r="KAN60" s="218"/>
      <c r="KAO60" s="219"/>
      <c r="KAP60" s="220"/>
      <c r="KAQ60" s="220"/>
      <c r="KAR60" s="220"/>
      <c r="KAS60" s="220"/>
      <c r="KAT60" s="217"/>
      <c r="KAU60" s="221"/>
      <c r="KAV60" s="216"/>
      <c r="KAW60" s="217"/>
      <c r="KAX60" s="218"/>
      <c r="KAY60" s="219"/>
      <c r="KAZ60" s="220"/>
      <c r="KBA60" s="220"/>
      <c r="KBB60" s="220"/>
      <c r="KBC60" s="220"/>
      <c r="KBD60" s="217"/>
      <c r="KBE60" s="221"/>
      <c r="KBF60" s="216"/>
      <c r="KBG60" s="217"/>
      <c r="KBH60" s="218"/>
      <c r="KBI60" s="219"/>
      <c r="KBJ60" s="220"/>
      <c r="KBK60" s="220"/>
      <c r="KBL60" s="220"/>
      <c r="KBM60" s="220"/>
      <c r="KBN60" s="217"/>
      <c r="KBO60" s="221"/>
      <c r="KBP60" s="216"/>
      <c r="KBQ60" s="217"/>
      <c r="KBR60" s="218"/>
      <c r="KBS60" s="219"/>
      <c r="KBT60" s="220"/>
      <c r="KBU60" s="220"/>
      <c r="KBV60" s="220"/>
      <c r="KBW60" s="220"/>
      <c r="KBX60" s="217"/>
      <c r="KBY60" s="221"/>
      <c r="KBZ60" s="216"/>
      <c r="KCA60" s="217"/>
      <c r="KCB60" s="218"/>
      <c r="KCC60" s="219"/>
      <c r="KCD60" s="220"/>
      <c r="KCE60" s="220"/>
      <c r="KCF60" s="220"/>
      <c r="KCG60" s="220"/>
      <c r="KCH60" s="217"/>
      <c r="KCI60" s="221"/>
      <c r="KCJ60" s="216"/>
      <c r="KCK60" s="217"/>
      <c r="KCL60" s="218"/>
      <c r="KCM60" s="219"/>
      <c r="KCN60" s="220"/>
      <c r="KCO60" s="220"/>
      <c r="KCP60" s="220"/>
      <c r="KCQ60" s="220"/>
      <c r="KCR60" s="217"/>
      <c r="KCS60" s="221"/>
      <c r="KCT60" s="216"/>
      <c r="KCU60" s="217"/>
      <c r="KCV60" s="218"/>
      <c r="KCW60" s="219"/>
      <c r="KCX60" s="220"/>
      <c r="KCY60" s="220"/>
      <c r="KCZ60" s="220"/>
      <c r="KDA60" s="220"/>
      <c r="KDB60" s="217"/>
      <c r="KDC60" s="221"/>
      <c r="KDD60" s="216"/>
      <c r="KDE60" s="217"/>
      <c r="KDF60" s="218"/>
      <c r="KDG60" s="219"/>
      <c r="KDH60" s="220"/>
      <c r="KDI60" s="220"/>
      <c r="KDJ60" s="220"/>
      <c r="KDK60" s="220"/>
      <c r="KDL60" s="217"/>
      <c r="KDM60" s="221"/>
      <c r="KDN60" s="216"/>
      <c r="KDO60" s="217"/>
      <c r="KDP60" s="218"/>
      <c r="KDQ60" s="219"/>
      <c r="KDR60" s="220"/>
      <c r="KDS60" s="220"/>
      <c r="KDT60" s="220"/>
      <c r="KDU60" s="220"/>
      <c r="KDV60" s="217"/>
      <c r="KDW60" s="221"/>
      <c r="KDX60" s="216"/>
      <c r="KDY60" s="217"/>
      <c r="KDZ60" s="218"/>
      <c r="KEA60" s="219"/>
      <c r="KEB60" s="220"/>
      <c r="KEC60" s="220"/>
      <c r="KED60" s="220"/>
      <c r="KEE60" s="220"/>
      <c r="KEF60" s="217"/>
      <c r="KEG60" s="221"/>
      <c r="KEH60" s="216"/>
      <c r="KEI60" s="217"/>
      <c r="KEJ60" s="218"/>
      <c r="KEK60" s="219"/>
      <c r="KEL60" s="220"/>
      <c r="KEM60" s="220"/>
      <c r="KEN60" s="220"/>
      <c r="KEO60" s="220"/>
      <c r="KEP60" s="217"/>
      <c r="KEQ60" s="221"/>
      <c r="KER60" s="216"/>
      <c r="KES60" s="217"/>
      <c r="KET60" s="218"/>
      <c r="KEU60" s="219"/>
      <c r="KEV60" s="220"/>
      <c r="KEW60" s="220"/>
      <c r="KEX60" s="220"/>
      <c r="KEY60" s="220"/>
      <c r="KEZ60" s="217"/>
      <c r="KFA60" s="221"/>
      <c r="KFB60" s="216"/>
      <c r="KFC60" s="217"/>
      <c r="KFD60" s="218"/>
      <c r="KFE60" s="219"/>
      <c r="KFF60" s="220"/>
      <c r="KFG60" s="220"/>
      <c r="KFH60" s="220"/>
      <c r="KFI60" s="220"/>
      <c r="KFJ60" s="217"/>
      <c r="KFK60" s="221"/>
      <c r="KFL60" s="216"/>
      <c r="KFM60" s="217"/>
      <c r="KFN60" s="218"/>
      <c r="KFO60" s="219"/>
      <c r="KFP60" s="220"/>
      <c r="KFQ60" s="220"/>
      <c r="KFR60" s="220"/>
      <c r="KFS60" s="220"/>
      <c r="KFT60" s="217"/>
      <c r="KFU60" s="221"/>
      <c r="KFV60" s="216"/>
      <c r="KFW60" s="217"/>
      <c r="KFX60" s="218"/>
      <c r="KFY60" s="219"/>
      <c r="KFZ60" s="220"/>
      <c r="KGA60" s="220"/>
      <c r="KGB60" s="220"/>
      <c r="KGC60" s="220"/>
      <c r="KGD60" s="217"/>
      <c r="KGE60" s="221"/>
      <c r="KGF60" s="216"/>
      <c r="KGG60" s="217"/>
      <c r="KGH60" s="218"/>
      <c r="KGI60" s="219"/>
      <c r="KGJ60" s="220"/>
      <c r="KGK60" s="220"/>
      <c r="KGL60" s="220"/>
      <c r="KGM60" s="220"/>
      <c r="KGN60" s="217"/>
      <c r="KGO60" s="221"/>
      <c r="KGP60" s="216"/>
      <c r="KGQ60" s="217"/>
      <c r="KGR60" s="218"/>
      <c r="KGS60" s="219"/>
      <c r="KGT60" s="220"/>
      <c r="KGU60" s="220"/>
      <c r="KGV60" s="220"/>
      <c r="KGW60" s="220"/>
      <c r="KGX60" s="217"/>
      <c r="KGY60" s="221"/>
      <c r="KGZ60" s="216"/>
      <c r="KHA60" s="217"/>
      <c r="KHB60" s="218"/>
      <c r="KHC60" s="219"/>
      <c r="KHD60" s="220"/>
      <c r="KHE60" s="220"/>
      <c r="KHF60" s="220"/>
      <c r="KHG60" s="220"/>
      <c r="KHH60" s="217"/>
      <c r="KHI60" s="221"/>
      <c r="KHJ60" s="216"/>
      <c r="KHK60" s="217"/>
      <c r="KHL60" s="218"/>
      <c r="KHM60" s="219"/>
      <c r="KHN60" s="220"/>
      <c r="KHO60" s="220"/>
      <c r="KHP60" s="220"/>
      <c r="KHQ60" s="220"/>
      <c r="KHR60" s="217"/>
      <c r="KHS60" s="221"/>
      <c r="KHT60" s="216"/>
      <c r="KHU60" s="217"/>
      <c r="KHV60" s="218"/>
      <c r="KHW60" s="219"/>
      <c r="KHX60" s="220"/>
      <c r="KHY60" s="220"/>
      <c r="KHZ60" s="220"/>
      <c r="KIA60" s="220"/>
      <c r="KIB60" s="217"/>
      <c r="KIC60" s="221"/>
      <c r="KID60" s="216"/>
      <c r="KIE60" s="217"/>
      <c r="KIF60" s="218"/>
      <c r="KIG60" s="219"/>
      <c r="KIH60" s="220"/>
      <c r="KII60" s="220"/>
      <c r="KIJ60" s="220"/>
      <c r="KIK60" s="220"/>
      <c r="KIL60" s="217"/>
      <c r="KIM60" s="221"/>
      <c r="KIN60" s="216"/>
      <c r="KIO60" s="217"/>
      <c r="KIP60" s="218"/>
      <c r="KIQ60" s="219"/>
      <c r="KIR60" s="220"/>
      <c r="KIS60" s="220"/>
      <c r="KIT60" s="220"/>
      <c r="KIU60" s="220"/>
      <c r="KIV60" s="217"/>
      <c r="KIW60" s="221"/>
      <c r="KIX60" s="216"/>
      <c r="KIY60" s="217"/>
      <c r="KIZ60" s="218"/>
      <c r="KJA60" s="219"/>
      <c r="KJB60" s="220"/>
      <c r="KJC60" s="220"/>
      <c r="KJD60" s="220"/>
      <c r="KJE60" s="220"/>
      <c r="KJF60" s="217"/>
      <c r="KJG60" s="221"/>
      <c r="KJH60" s="216"/>
      <c r="KJI60" s="217"/>
      <c r="KJJ60" s="218"/>
      <c r="KJK60" s="219"/>
      <c r="KJL60" s="220"/>
      <c r="KJM60" s="220"/>
      <c r="KJN60" s="220"/>
      <c r="KJO60" s="220"/>
      <c r="KJP60" s="217"/>
      <c r="KJQ60" s="221"/>
      <c r="KJR60" s="216"/>
      <c r="KJS60" s="217"/>
      <c r="KJT60" s="218"/>
      <c r="KJU60" s="219"/>
      <c r="KJV60" s="220"/>
      <c r="KJW60" s="220"/>
      <c r="KJX60" s="220"/>
      <c r="KJY60" s="220"/>
      <c r="KJZ60" s="217"/>
      <c r="KKA60" s="221"/>
      <c r="KKB60" s="216"/>
      <c r="KKC60" s="217"/>
      <c r="KKD60" s="218"/>
      <c r="KKE60" s="219"/>
      <c r="KKF60" s="220"/>
      <c r="KKG60" s="220"/>
      <c r="KKH60" s="220"/>
      <c r="KKI60" s="220"/>
      <c r="KKJ60" s="217"/>
      <c r="KKK60" s="221"/>
      <c r="KKL60" s="216"/>
      <c r="KKM60" s="217"/>
      <c r="KKN60" s="218"/>
      <c r="KKO60" s="219"/>
      <c r="KKP60" s="220"/>
      <c r="KKQ60" s="220"/>
      <c r="KKR60" s="220"/>
      <c r="KKS60" s="220"/>
      <c r="KKT60" s="217"/>
      <c r="KKU60" s="221"/>
      <c r="KKV60" s="216"/>
      <c r="KKW60" s="217"/>
      <c r="KKX60" s="218"/>
      <c r="KKY60" s="219"/>
      <c r="KKZ60" s="220"/>
      <c r="KLA60" s="220"/>
      <c r="KLB60" s="220"/>
      <c r="KLC60" s="220"/>
      <c r="KLD60" s="217"/>
      <c r="KLE60" s="221"/>
      <c r="KLF60" s="216"/>
      <c r="KLG60" s="217"/>
      <c r="KLH60" s="218"/>
      <c r="KLI60" s="219"/>
      <c r="KLJ60" s="220"/>
      <c r="KLK60" s="220"/>
      <c r="KLL60" s="220"/>
      <c r="KLM60" s="220"/>
      <c r="KLN60" s="217"/>
      <c r="KLO60" s="221"/>
      <c r="KLP60" s="216"/>
      <c r="KLQ60" s="217"/>
      <c r="KLR60" s="218"/>
      <c r="KLS60" s="219"/>
      <c r="KLT60" s="220"/>
      <c r="KLU60" s="220"/>
      <c r="KLV60" s="220"/>
      <c r="KLW60" s="220"/>
      <c r="KLX60" s="217"/>
      <c r="KLY60" s="221"/>
      <c r="KLZ60" s="216"/>
      <c r="KMA60" s="217"/>
      <c r="KMB60" s="218"/>
      <c r="KMC60" s="219"/>
      <c r="KMD60" s="220"/>
      <c r="KME60" s="220"/>
      <c r="KMF60" s="220"/>
      <c r="KMG60" s="220"/>
      <c r="KMH60" s="217"/>
      <c r="KMI60" s="221"/>
      <c r="KMJ60" s="216"/>
      <c r="KMK60" s="217"/>
      <c r="KML60" s="218"/>
      <c r="KMM60" s="219"/>
      <c r="KMN60" s="220"/>
      <c r="KMO60" s="220"/>
      <c r="KMP60" s="220"/>
      <c r="KMQ60" s="220"/>
      <c r="KMR60" s="217"/>
      <c r="KMS60" s="221"/>
      <c r="KMT60" s="216"/>
      <c r="KMU60" s="217"/>
      <c r="KMV60" s="218"/>
      <c r="KMW60" s="219"/>
      <c r="KMX60" s="220"/>
      <c r="KMY60" s="220"/>
      <c r="KMZ60" s="220"/>
      <c r="KNA60" s="220"/>
      <c r="KNB60" s="217"/>
      <c r="KNC60" s="221"/>
      <c r="KND60" s="216"/>
      <c r="KNE60" s="217"/>
      <c r="KNF60" s="218"/>
      <c r="KNG60" s="219"/>
      <c r="KNH60" s="220"/>
      <c r="KNI60" s="220"/>
      <c r="KNJ60" s="220"/>
      <c r="KNK60" s="220"/>
      <c r="KNL60" s="217"/>
      <c r="KNM60" s="221"/>
      <c r="KNN60" s="216"/>
      <c r="KNO60" s="217"/>
      <c r="KNP60" s="218"/>
      <c r="KNQ60" s="219"/>
      <c r="KNR60" s="220"/>
      <c r="KNS60" s="220"/>
      <c r="KNT60" s="220"/>
      <c r="KNU60" s="220"/>
      <c r="KNV60" s="217"/>
      <c r="KNW60" s="221"/>
      <c r="KNX60" s="216"/>
      <c r="KNY60" s="217"/>
      <c r="KNZ60" s="218"/>
      <c r="KOA60" s="219"/>
      <c r="KOB60" s="220"/>
      <c r="KOC60" s="220"/>
      <c r="KOD60" s="220"/>
      <c r="KOE60" s="220"/>
      <c r="KOF60" s="217"/>
      <c r="KOG60" s="221"/>
      <c r="KOH60" s="216"/>
      <c r="KOI60" s="217"/>
      <c r="KOJ60" s="218"/>
      <c r="KOK60" s="219"/>
      <c r="KOL60" s="220"/>
      <c r="KOM60" s="220"/>
      <c r="KON60" s="220"/>
      <c r="KOO60" s="220"/>
      <c r="KOP60" s="217"/>
      <c r="KOQ60" s="221"/>
      <c r="KOR60" s="216"/>
      <c r="KOS60" s="217"/>
      <c r="KOT60" s="218"/>
      <c r="KOU60" s="219"/>
      <c r="KOV60" s="220"/>
      <c r="KOW60" s="220"/>
      <c r="KOX60" s="220"/>
      <c r="KOY60" s="220"/>
      <c r="KOZ60" s="217"/>
      <c r="KPA60" s="221"/>
      <c r="KPB60" s="216"/>
      <c r="KPC60" s="217"/>
      <c r="KPD60" s="218"/>
      <c r="KPE60" s="219"/>
      <c r="KPF60" s="220"/>
      <c r="KPG60" s="220"/>
      <c r="KPH60" s="220"/>
      <c r="KPI60" s="220"/>
      <c r="KPJ60" s="217"/>
      <c r="KPK60" s="221"/>
      <c r="KPL60" s="216"/>
      <c r="KPM60" s="217"/>
      <c r="KPN60" s="218"/>
      <c r="KPO60" s="219"/>
      <c r="KPP60" s="220"/>
      <c r="KPQ60" s="220"/>
      <c r="KPR60" s="220"/>
      <c r="KPS60" s="220"/>
      <c r="KPT60" s="217"/>
      <c r="KPU60" s="221"/>
      <c r="KPV60" s="216"/>
      <c r="KPW60" s="217"/>
      <c r="KPX60" s="218"/>
      <c r="KPY60" s="219"/>
      <c r="KPZ60" s="220"/>
      <c r="KQA60" s="220"/>
      <c r="KQB60" s="220"/>
      <c r="KQC60" s="220"/>
      <c r="KQD60" s="217"/>
      <c r="KQE60" s="221"/>
      <c r="KQF60" s="216"/>
      <c r="KQG60" s="217"/>
      <c r="KQH60" s="218"/>
      <c r="KQI60" s="219"/>
      <c r="KQJ60" s="220"/>
      <c r="KQK60" s="220"/>
      <c r="KQL60" s="220"/>
      <c r="KQM60" s="220"/>
      <c r="KQN60" s="217"/>
      <c r="KQO60" s="221"/>
      <c r="KQP60" s="216"/>
      <c r="KQQ60" s="217"/>
      <c r="KQR60" s="218"/>
      <c r="KQS60" s="219"/>
      <c r="KQT60" s="220"/>
      <c r="KQU60" s="220"/>
      <c r="KQV60" s="220"/>
      <c r="KQW60" s="220"/>
      <c r="KQX60" s="217"/>
      <c r="KQY60" s="221"/>
      <c r="KQZ60" s="216"/>
      <c r="KRA60" s="217"/>
      <c r="KRB60" s="218"/>
      <c r="KRC60" s="219"/>
      <c r="KRD60" s="220"/>
      <c r="KRE60" s="220"/>
      <c r="KRF60" s="220"/>
      <c r="KRG60" s="220"/>
      <c r="KRH60" s="217"/>
      <c r="KRI60" s="221"/>
      <c r="KRJ60" s="216"/>
      <c r="KRK60" s="217"/>
      <c r="KRL60" s="218"/>
      <c r="KRM60" s="219"/>
      <c r="KRN60" s="220"/>
      <c r="KRO60" s="220"/>
      <c r="KRP60" s="220"/>
      <c r="KRQ60" s="220"/>
      <c r="KRR60" s="217"/>
      <c r="KRS60" s="221"/>
      <c r="KRT60" s="216"/>
      <c r="KRU60" s="217"/>
      <c r="KRV60" s="218"/>
      <c r="KRW60" s="219"/>
      <c r="KRX60" s="220"/>
      <c r="KRY60" s="220"/>
      <c r="KRZ60" s="220"/>
      <c r="KSA60" s="220"/>
      <c r="KSB60" s="217"/>
      <c r="KSC60" s="221"/>
      <c r="KSD60" s="216"/>
      <c r="KSE60" s="217"/>
      <c r="KSF60" s="218"/>
      <c r="KSG60" s="219"/>
      <c r="KSH60" s="220"/>
      <c r="KSI60" s="220"/>
      <c r="KSJ60" s="220"/>
      <c r="KSK60" s="220"/>
      <c r="KSL60" s="217"/>
      <c r="KSM60" s="221"/>
      <c r="KSN60" s="216"/>
      <c r="KSO60" s="217"/>
      <c r="KSP60" s="218"/>
      <c r="KSQ60" s="219"/>
      <c r="KSR60" s="220"/>
      <c r="KSS60" s="220"/>
      <c r="KST60" s="220"/>
      <c r="KSU60" s="220"/>
      <c r="KSV60" s="217"/>
      <c r="KSW60" s="221"/>
      <c r="KSX60" s="216"/>
      <c r="KSY60" s="217"/>
      <c r="KSZ60" s="218"/>
      <c r="KTA60" s="219"/>
      <c r="KTB60" s="220"/>
      <c r="KTC60" s="220"/>
      <c r="KTD60" s="220"/>
      <c r="KTE60" s="220"/>
      <c r="KTF60" s="217"/>
      <c r="KTG60" s="221"/>
      <c r="KTH60" s="216"/>
      <c r="KTI60" s="217"/>
      <c r="KTJ60" s="218"/>
      <c r="KTK60" s="219"/>
      <c r="KTL60" s="220"/>
      <c r="KTM60" s="220"/>
      <c r="KTN60" s="220"/>
      <c r="KTO60" s="220"/>
      <c r="KTP60" s="217"/>
      <c r="KTQ60" s="221"/>
      <c r="KTR60" s="216"/>
      <c r="KTS60" s="217"/>
      <c r="KTT60" s="218"/>
      <c r="KTU60" s="219"/>
      <c r="KTV60" s="220"/>
      <c r="KTW60" s="220"/>
      <c r="KTX60" s="220"/>
      <c r="KTY60" s="220"/>
      <c r="KTZ60" s="217"/>
      <c r="KUA60" s="221"/>
      <c r="KUB60" s="216"/>
      <c r="KUC60" s="217"/>
      <c r="KUD60" s="218"/>
      <c r="KUE60" s="219"/>
      <c r="KUF60" s="220"/>
      <c r="KUG60" s="220"/>
      <c r="KUH60" s="220"/>
      <c r="KUI60" s="220"/>
      <c r="KUJ60" s="217"/>
      <c r="KUK60" s="221"/>
      <c r="KUL60" s="216"/>
      <c r="KUM60" s="217"/>
      <c r="KUN60" s="218"/>
      <c r="KUO60" s="219"/>
      <c r="KUP60" s="220"/>
      <c r="KUQ60" s="220"/>
      <c r="KUR60" s="220"/>
      <c r="KUS60" s="220"/>
      <c r="KUT60" s="217"/>
      <c r="KUU60" s="221"/>
      <c r="KUV60" s="216"/>
      <c r="KUW60" s="217"/>
      <c r="KUX60" s="218"/>
      <c r="KUY60" s="219"/>
      <c r="KUZ60" s="220"/>
      <c r="KVA60" s="220"/>
      <c r="KVB60" s="220"/>
      <c r="KVC60" s="220"/>
      <c r="KVD60" s="217"/>
      <c r="KVE60" s="221"/>
      <c r="KVF60" s="216"/>
      <c r="KVG60" s="217"/>
      <c r="KVH60" s="218"/>
      <c r="KVI60" s="219"/>
      <c r="KVJ60" s="220"/>
      <c r="KVK60" s="220"/>
      <c r="KVL60" s="220"/>
      <c r="KVM60" s="220"/>
      <c r="KVN60" s="217"/>
      <c r="KVO60" s="221"/>
      <c r="KVP60" s="216"/>
      <c r="KVQ60" s="217"/>
      <c r="KVR60" s="218"/>
      <c r="KVS60" s="219"/>
      <c r="KVT60" s="220"/>
      <c r="KVU60" s="220"/>
      <c r="KVV60" s="220"/>
      <c r="KVW60" s="220"/>
      <c r="KVX60" s="217"/>
      <c r="KVY60" s="221"/>
      <c r="KVZ60" s="216"/>
      <c r="KWA60" s="217"/>
      <c r="KWB60" s="218"/>
      <c r="KWC60" s="219"/>
      <c r="KWD60" s="220"/>
      <c r="KWE60" s="220"/>
      <c r="KWF60" s="220"/>
      <c r="KWG60" s="220"/>
      <c r="KWH60" s="217"/>
      <c r="KWI60" s="221"/>
      <c r="KWJ60" s="216"/>
      <c r="KWK60" s="217"/>
      <c r="KWL60" s="218"/>
      <c r="KWM60" s="219"/>
      <c r="KWN60" s="220"/>
      <c r="KWO60" s="220"/>
      <c r="KWP60" s="220"/>
      <c r="KWQ60" s="220"/>
      <c r="KWR60" s="217"/>
      <c r="KWS60" s="221"/>
      <c r="KWT60" s="216"/>
      <c r="KWU60" s="217"/>
      <c r="KWV60" s="218"/>
      <c r="KWW60" s="219"/>
      <c r="KWX60" s="220"/>
      <c r="KWY60" s="220"/>
      <c r="KWZ60" s="220"/>
      <c r="KXA60" s="220"/>
      <c r="KXB60" s="217"/>
      <c r="KXC60" s="221"/>
      <c r="KXD60" s="216"/>
      <c r="KXE60" s="217"/>
      <c r="KXF60" s="218"/>
      <c r="KXG60" s="219"/>
      <c r="KXH60" s="220"/>
      <c r="KXI60" s="220"/>
      <c r="KXJ60" s="220"/>
      <c r="KXK60" s="220"/>
      <c r="KXL60" s="217"/>
      <c r="KXM60" s="221"/>
      <c r="KXN60" s="216"/>
      <c r="KXO60" s="217"/>
      <c r="KXP60" s="218"/>
      <c r="KXQ60" s="219"/>
      <c r="KXR60" s="220"/>
      <c r="KXS60" s="220"/>
      <c r="KXT60" s="220"/>
      <c r="KXU60" s="220"/>
      <c r="KXV60" s="217"/>
      <c r="KXW60" s="221"/>
      <c r="KXX60" s="216"/>
      <c r="KXY60" s="217"/>
      <c r="KXZ60" s="218"/>
      <c r="KYA60" s="219"/>
      <c r="KYB60" s="220"/>
      <c r="KYC60" s="220"/>
      <c r="KYD60" s="220"/>
      <c r="KYE60" s="220"/>
      <c r="KYF60" s="217"/>
      <c r="KYG60" s="221"/>
      <c r="KYH60" s="216"/>
      <c r="KYI60" s="217"/>
      <c r="KYJ60" s="218"/>
      <c r="KYK60" s="219"/>
      <c r="KYL60" s="220"/>
      <c r="KYM60" s="220"/>
      <c r="KYN60" s="220"/>
      <c r="KYO60" s="220"/>
      <c r="KYP60" s="217"/>
      <c r="KYQ60" s="221"/>
      <c r="KYR60" s="216"/>
      <c r="KYS60" s="217"/>
      <c r="KYT60" s="218"/>
      <c r="KYU60" s="219"/>
      <c r="KYV60" s="220"/>
      <c r="KYW60" s="220"/>
      <c r="KYX60" s="220"/>
      <c r="KYY60" s="220"/>
      <c r="KYZ60" s="217"/>
      <c r="KZA60" s="221"/>
      <c r="KZB60" s="216"/>
      <c r="KZC60" s="217"/>
      <c r="KZD60" s="218"/>
      <c r="KZE60" s="219"/>
      <c r="KZF60" s="220"/>
      <c r="KZG60" s="220"/>
      <c r="KZH60" s="220"/>
      <c r="KZI60" s="220"/>
      <c r="KZJ60" s="217"/>
      <c r="KZK60" s="221"/>
      <c r="KZL60" s="216"/>
      <c r="KZM60" s="217"/>
      <c r="KZN60" s="218"/>
      <c r="KZO60" s="219"/>
      <c r="KZP60" s="220"/>
      <c r="KZQ60" s="220"/>
      <c r="KZR60" s="220"/>
      <c r="KZS60" s="220"/>
      <c r="KZT60" s="217"/>
      <c r="KZU60" s="221"/>
      <c r="KZV60" s="216"/>
      <c r="KZW60" s="217"/>
      <c r="KZX60" s="218"/>
      <c r="KZY60" s="219"/>
      <c r="KZZ60" s="220"/>
      <c r="LAA60" s="220"/>
      <c r="LAB60" s="220"/>
      <c r="LAC60" s="220"/>
      <c r="LAD60" s="217"/>
      <c r="LAE60" s="221"/>
      <c r="LAF60" s="216"/>
      <c r="LAG60" s="217"/>
      <c r="LAH60" s="218"/>
      <c r="LAI60" s="219"/>
      <c r="LAJ60" s="220"/>
      <c r="LAK60" s="220"/>
      <c r="LAL60" s="220"/>
      <c r="LAM60" s="220"/>
      <c r="LAN60" s="217"/>
      <c r="LAO60" s="221"/>
      <c r="LAP60" s="216"/>
      <c r="LAQ60" s="217"/>
      <c r="LAR60" s="218"/>
      <c r="LAS60" s="219"/>
      <c r="LAT60" s="220"/>
      <c r="LAU60" s="220"/>
      <c r="LAV60" s="220"/>
      <c r="LAW60" s="220"/>
      <c r="LAX60" s="217"/>
      <c r="LAY60" s="221"/>
      <c r="LAZ60" s="216"/>
      <c r="LBA60" s="217"/>
      <c r="LBB60" s="218"/>
      <c r="LBC60" s="219"/>
      <c r="LBD60" s="220"/>
      <c r="LBE60" s="220"/>
      <c r="LBF60" s="220"/>
      <c r="LBG60" s="220"/>
      <c r="LBH60" s="217"/>
      <c r="LBI60" s="221"/>
      <c r="LBJ60" s="216"/>
      <c r="LBK60" s="217"/>
      <c r="LBL60" s="218"/>
      <c r="LBM60" s="219"/>
      <c r="LBN60" s="220"/>
      <c r="LBO60" s="220"/>
      <c r="LBP60" s="220"/>
      <c r="LBQ60" s="220"/>
      <c r="LBR60" s="217"/>
      <c r="LBS60" s="221"/>
      <c r="LBT60" s="216"/>
      <c r="LBU60" s="217"/>
      <c r="LBV60" s="218"/>
      <c r="LBW60" s="219"/>
      <c r="LBX60" s="220"/>
      <c r="LBY60" s="220"/>
      <c r="LBZ60" s="220"/>
      <c r="LCA60" s="220"/>
      <c r="LCB60" s="217"/>
      <c r="LCC60" s="221"/>
      <c r="LCD60" s="216"/>
      <c r="LCE60" s="217"/>
      <c r="LCF60" s="218"/>
      <c r="LCG60" s="219"/>
      <c r="LCH60" s="220"/>
      <c r="LCI60" s="220"/>
      <c r="LCJ60" s="220"/>
      <c r="LCK60" s="220"/>
      <c r="LCL60" s="217"/>
      <c r="LCM60" s="221"/>
      <c r="LCN60" s="216"/>
      <c r="LCO60" s="217"/>
      <c r="LCP60" s="218"/>
      <c r="LCQ60" s="219"/>
      <c r="LCR60" s="220"/>
      <c r="LCS60" s="220"/>
      <c r="LCT60" s="220"/>
      <c r="LCU60" s="220"/>
      <c r="LCV60" s="217"/>
      <c r="LCW60" s="221"/>
      <c r="LCX60" s="216"/>
      <c r="LCY60" s="217"/>
      <c r="LCZ60" s="218"/>
      <c r="LDA60" s="219"/>
      <c r="LDB60" s="220"/>
      <c r="LDC60" s="220"/>
      <c r="LDD60" s="220"/>
      <c r="LDE60" s="220"/>
      <c r="LDF60" s="217"/>
      <c r="LDG60" s="221"/>
      <c r="LDH60" s="216"/>
      <c r="LDI60" s="217"/>
      <c r="LDJ60" s="218"/>
      <c r="LDK60" s="219"/>
      <c r="LDL60" s="220"/>
      <c r="LDM60" s="220"/>
      <c r="LDN60" s="220"/>
      <c r="LDO60" s="220"/>
      <c r="LDP60" s="217"/>
      <c r="LDQ60" s="221"/>
      <c r="LDR60" s="216"/>
      <c r="LDS60" s="217"/>
      <c r="LDT60" s="218"/>
      <c r="LDU60" s="219"/>
      <c r="LDV60" s="220"/>
      <c r="LDW60" s="220"/>
      <c r="LDX60" s="220"/>
      <c r="LDY60" s="220"/>
      <c r="LDZ60" s="217"/>
      <c r="LEA60" s="221"/>
      <c r="LEB60" s="216"/>
      <c r="LEC60" s="217"/>
      <c r="LED60" s="218"/>
      <c r="LEE60" s="219"/>
      <c r="LEF60" s="220"/>
      <c r="LEG60" s="220"/>
      <c r="LEH60" s="220"/>
      <c r="LEI60" s="220"/>
      <c r="LEJ60" s="217"/>
      <c r="LEK60" s="221"/>
      <c r="LEL60" s="216"/>
      <c r="LEM60" s="217"/>
      <c r="LEN60" s="218"/>
      <c r="LEO60" s="219"/>
      <c r="LEP60" s="220"/>
      <c r="LEQ60" s="220"/>
      <c r="LER60" s="220"/>
      <c r="LES60" s="220"/>
      <c r="LET60" s="217"/>
      <c r="LEU60" s="221"/>
      <c r="LEV60" s="216"/>
      <c r="LEW60" s="217"/>
      <c r="LEX60" s="218"/>
      <c r="LEY60" s="219"/>
      <c r="LEZ60" s="220"/>
      <c r="LFA60" s="220"/>
      <c r="LFB60" s="220"/>
      <c r="LFC60" s="220"/>
      <c r="LFD60" s="217"/>
      <c r="LFE60" s="221"/>
      <c r="LFF60" s="216"/>
      <c r="LFG60" s="217"/>
      <c r="LFH60" s="218"/>
      <c r="LFI60" s="219"/>
      <c r="LFJ60" s="220"/>
      <c r="LFK60" s="220"/>
      <c r="LFL60" s="220"/>
      <c r="LFM60" s="220"/>
      <c r="LFN60" s="217"/>
      <c r="LFO60" s="221"/>
      <c r="LFP60" s="216"/>
      <c r="LFQ60" s="217"/>
      <c r="LFR60" s="218"/>
      <c r="LFS60" s="219"/>
      <c r="LFT60" s="220"/>
      <c r="LFU60" s="220"/>
      <c r="LFV60" s="220"/>
      <c r="LFW60" s="220"/>
      <c r="LFX60" s="217"/>
      <c r="LFY60" s="221"/>
      <c r="LFZ60" s="216"/>
      <c r="LGA60" s="217"/>
      <c r="LGB60" s="218"/>
      <c r="LGC60" s="219"/>
      <c r="LGD60" s="220"/>
      <c r="LGE60" s="220"/>
      <c r="LGF60" s="220"/>
      <c r="LGG60" s="220"/>
      <c r="LGH60" s="217"/>
      <c r="LGI60" s="221"/>
      <c r="LGJ60" s="216"/>
      <c r="LGK60" s="217"/>
      <c r="LGL60" s="218"/>
      <c r="LGM60" s="219"/>
      <c r="LGN60" s="220"/>
      <c r="LGO60" s="220"/>
      <c r="LGP60" s="220"/>
      <c r="LGQ60" s="220"/>
      <c r="LGR60" s="217"/>
      <c r="LGS60" s="221"/>
      <c r="LGT60" s="216"/>
      <c r="LGU60" s="217"/>
      <c r="LGV60" s="218"/>
      <c r="LGW60" s="219"/>
      <c r="LGX60" s="220"/>
      <c r="LGY60" s="220"/>
      <c r="LGZ60" s="220"/>
      <c r="LHA60" s="220"/>
      <c r="LHB60" s="217"/>
      <c r="LHC60" s="221"/>
      <c r="LHD60" s="216"/>
      <c r="LHE60" s="217"/>
      <c r="LHF60" s="218"/>
      <c r="LHG60" s="219"/>
      <c r="LHH60" s="220"/>
      <c r="LHI60" s="220"/>
      <c r="LHJ60" s="220"/>
      <c r="LHK60" s="220"/>
      <c r="LHL60" s="217"/>
      <c r="LHM60" s="221"/>
      <c r="LHN60" s="216"/>
      <c r="LHO60" s="217"/>
      <c r="LHP60" s="218"/>
      <c r="LHQ60" s="219"/>
      <c r="LHR60" s="220"/>
      <c r="LHS60" s="220"/>
      <c r="LHT60" s="220"/>
      <c r="LHU60" s="220"/>
      <c r="LHV60" s="217"/>
      <c r="LHW60" s="221"/>
      <c r="LHX60" s="216"/>
      <c r="LHY60" s="217"/>
      <c r="LHZ60" s="218"/>
      <c r="LIA60" s="219"/>
      <c r="LIB60" s="220"/>
      <c r="LIC60" s="220"/>
      <c r="LID60" s="220"/>
      <c r="LIE60" s="220"/>
      <c r="LIF60" s="217"/>
      <c r="LIG60" s="221"/>
      <c r="LIH60" s="216"/>
      <c r="LII60" s="217"/>
      <c r="LIJ60" s="218"/>
      <c r="LIK60" s="219"/>
      <c r="LIL60" s="220"/>
      <c r="LIM60" s="220"/>
      <c r="LIN60" s="220"/>
      <c r="LIO60" s="220"/>
      <c r="LIP60" s="217"/>
      <c r="LIQ60" s="221"/>
      <c r="LIR60" s="216"/>
      <c r="LIS60" s="217"/>
      <c r="LIT60" s="218"/>
      <c r="LIU60" s="219"/>
      <c r="LIV60" s="220"/>
      <c r="LIW60" s="220"/>
      <c r="LIX60" s="220"/>
      <c r="LIY60" s="220"/>
      <c r="LIZ60" s="217"/>
      <c r="LJA60" s="221"/>
      <c r="LJB60" s="216"/>
      <c r="LJC60" s="217"/>
      <c r="LJD60" s="218"/>
      <c r="LJE60" s="219"/>
      <c r="LJF60" s="220"/>
      <c r="LJG60" s="220"/>
      <c r="LJH60" s="220"/>
      <c r="LJI60" s="220"/>
      <c r="LJJ60" s="217"/>
      <c r="LJK60" s="221"/>
      <c r="LJL60" s="216"/>
      <c r="LJM60" s="217"/>
      <c r="LJN60" s="218"/>
      <c r="LJO60" s="219"/>
      <c r="LJP60" s="220"/>
      <c r="LJQ60" s="220"/>
      <c r="LJR60" s="220"/>
      <c r="LJS60" s="220"/>
      <c r="LJT60" s="217"/>
      <c r="LJU60" s="221"/>
      <c r="LJV60" s="216"/>
      <c r="LJW60" s="217"/>
      <c r="LJX60" s="218"/>
      <c r="LJY60" s="219"/>
      <c r="LJZ60" s="220"/>
      <c r="LKA60" s="220"/>
      <c r="LKB60" s="220"/>
      <c r="LKC60" s="220"/>
      <c r="LKD60" s="217"/>
      <c r="LKE60" s="221"/>
      <c r="LKF60" s="216"/>
      <c r="LKG60" s="217"/>
      <c r="LKH60" s="218"/>
      <c r="LKI60" s="219"/>
      <c r="LKJ60" s="220"/>
      <c r="LKK60" s="220"/>
      <c r="LKL60" s="220"/>
      <c r="LKM60" s="220"/>
      <c r="LKN60" s="217"/>
      <c r="LKO60" s="221"/>
      <c r="LKP60" s="216"/>
      <c r="LKQ60" s="217"/>
      <c r="LKR60" s="218"/>
      <c r="LKS60" s="219"/>
      <c r="LKT60" s="220"/>
      <c r="LKU60" s="220"/>
      <c r="LKV60" s="220"/>
      <c r="LKW60" s="220"/>
      <c r="LKX60" s="217"/>
      <c r="LKY60" s="221"/>
      <c r="LKZ60" s="216"/>
      <c r="LLA60" s="217"/>
      <c r="LLB60" s="218"/>
      <c r="LLC60" s="219"/>
      <c r="LLD60" s="220"/>
      <c r="LLE60" s="220"/>
      <c r="LLF60" s="220"/>
      <c r="LLG60" s="220"/>
      <c r="LLH60" s="217"/>
      <c r="LLI60" s="221"/>
      <c r="LLJ60" s="216"/>
      <c r="LLK60" s="217"/>
      <c r="LLL60" s="218"/>
      <c r="LLM60" s="219"/>
      <c r="LLN60" s="220"/>
      <c r="LLO60" s="220"/>
      <c r="LLP60" s="220"/>
      <c r="LLQ60" s="220"/>
      <c r="LLR60" s="217"/>
      <c r="LLS60" s="221"/>
      <c r="LLT60" s="216"/>
      <c r="LLU60" s="217"/>
      <c r="LLV60" s="218"/>
      <c r="LLW60" s="219"/>
      <c r="LLX60" s="220"/>
      <c r="LLY60" s="220"/>
      <c r="LLZ60" s="220"/>
      <c r="LMA60" s="220"/>
      <c r="LMB60" s="217"/>
      <c r="LMC60" s="221"/>
      <c r="LMD60" s="216"/>
      <c r="LME60" s="217"/>
      <c r="LMF60" s="218"/>
      <c r="LMG60" s="219"/>
      <c r="LMH60" s="220"/>
      <c r="LMI60" s="220"/>
      <c r="LMJ60" s="220"/>
      <c r="LMK60" s="220"/>
      <c r="LML60" s="217"/>
      <c r="LMM60" s="221"/>
      <c r="LMN60" s="216"/>
      <c r="LMO60" s="217"/>
      <c r="LMP60" s="218"/>
      <c r="LMQ60" s="219"/>
      <c r="LMR60" s="220"/>
      <c r="LMS60" s="220"/>
      <c r="LMT60" s="220"/>
      <c r="LMU60" s="220"/>
      <c r="LMV60" s="217"/>
      <c r="LMW60" s="221"/>
      <c r="LMX60" s="216"/>
      <c r="LMY60" s="217"/>
      <c r="LMZ60" s="218"/>
      <c r="LNA60" s="219"/>
      <c r="LNB60" s="220"/>
      <c r="LNC60" s="220"/>
      <c r="LND60" s="220"/>
      <c r="LNE60" s="220"/>
      <c r="LNF60" s="217"/>
      <c r="LNG60" s="221"/>
      <c r="LNH60" s="216"/>
      <c r="LNI60" s="217"/>
      <c r="LNJ60" s="218"/>
      <c r="LNK60" s="219"/>
      <c r="LNL60" s="220"/>
      <c r="LNM60" s="220"/>
      <c r="LNN60" s="220"/>
      <c r="LNO60" s="220"/>
      <c r="LNP60" s="217"/>
      <c r="LNQ60" s="221"/>
      <c r="LNR60" s="216"/>
      <c r="LNS60" s="217"/>
      <c r="LNT60" s="218"/>
      <c r="LNU60" s="219"/>
      <c r="LNV60" s="220"/>
      <c r="LNW60" s="220"/>
      <c r="LNX60" s="220"/>
      <c r="LNY60" s="220"/>
      <c r="LNZ60" s="217"/>
      <c r="LOA60" s="221"/>
      <c r="LOB60" s="216"/>
      <c r="LOC60" s="217"/>
      <c r="LOD60" s="218"/>
      <c r="LOE60" s="219"/>
      <c r="LOF60" s="220"/>
      <c r="LOG60" s="220"/>
      <c r="LOH60" s="220"/>
      <c r="LOI60" s="220"/>
      <c r="LOJ60" s="217"/>
      <c r="LOK60" s="221"/>
      <c r="LOL60" s="216"/>
      <c r="LOM60" s="217"/>
      <c r="LON60" s="218"/>
      <c r="LOO60" s="219"/>
      <c r="LOP60" s="220"/>
      <c r="LOQ60" s="220"/>
      <c r="LOR60" s="220"/>
      <c r="LOS60" s="220"/>
      <c r="LOT60" s="217"/>
      <c r="LOU60" s="221"/>
      <c r="LOV60" s="216"/>
      <c r="LOW60" s="217"/>
      <c r="LOX60" s="218"/>
      <c r="LOY60" s="219"/>
      <c r="LOZ60" s="220"/>
      <c r="LPA60" s="220"/>
      <c r="LPB60" s="220"/>
      <c r="LPC60" s="220"/>
      <c r="LPD60" s="217"/>
      <c r="LPE60" s="221"/>
      <c r="LPF60" s="216"/>
      <c r="LPG60" s="217"/>
      <c r="LPH60" s="218"/>
      <c r="LPI60" s="219"/>
      <c r="LPJ60" s="220"/>
      <c r="LPK60" s="220"/>
      <c r="LPL60" s="220"/>
      <c r="LPM60" s="220"/>
      <c r="LPN60" s="217"/>
      <c r="LPO60" s="221"/>
      <c r="LPP60" s="216"/>
      <c r="LPQ60" s="217"/>
      <c r="LPR60" s="218"/>
      <c r="LPS60" s="219"/>
      <c r="LPT60" s="220"/>
      <c r="LPU60" s="220"/>
      <c r="LPV60" s="220"/>
      <c r="LPW60" s="220"/>
      <c r="LPX60" s="217"/>
      <c r="LPY60" s="221"/>
      <c r="LPZ60" s="216"/>
      <c r="LQA60" s="217"/>
      <c r="LQB60" s="218"/>
      <c r="LQC60" s="219"/>
      <c r="LQD60" s="220"/>
      <c r="LQE60" s="220"/>
      <c r="LQF60" s="220"/>
      <c r="LQG60" s="220"/>
      <c r="LQH60" s="217"/>
      <c r="LQI60" s="221"/>
      <c r="LQJ60" s="216"/>
      <c r="LQK60" s="217"/>
      <c r="LQL60" s="218"/>
      <c r="LQM60" s="219"/>
      <c r="LQN60" s="220"/>
      <c r="LQO60" s="220"/>
      <c r="LQP60" s="220"/>
      <c r="LQQ60" s="220"/>
      <c r="LQR60" s="217"/>
      <c r="LQS60" s="221"/>
      <c r="LQT60" s="216"/>
      <c r="LQU60" s="217"/>
      <c r="LQV60" s="218"/>
      <c r="LQW60" s="219"/>
      <c r="LQX60" s="220"/>
      <c r="LQY60" s="220"/>
      <c r="LQZ60" s="220"/>
      <c r="LRA60" s="220"/>
      <c r="LRB60" s="217"/>
      <c r="LRC60" s="221"/>
      <c r="LRD60" s="216"/>
      <c r="LRE60" s="217"/>
      <c r="LRF60" s="218"/>
      <c r="LRG60" s="219"/>
      <c r="LRH60" s="220"/>
      <c r="LRI60" s="220"/>
      <c r="LRJ60" s="220"/>
      <c r="LRK60" s="220"/>
      <c r="LRL60" s="217"/>
      <c r="LRM60" s="221"/>
      <c r="LRN60" s="216"/>
      <c r="LRO60" s="217"/>
      <c r="LRP60" s="218"/>
      <c r="LRQ60" s="219"/>
      <c r="LRR60" s="220"/>
      <c r="LRS60" s="220"/>
      <c r="LRT60" s="220"/>
      <c r="LRU60" s="220"/>
      <c r="LRV60" s="217"/>
      <c r="LRW60" s="221"/>
      <c r="LRX60" s="216"/>
      <c r="LRY60" s="217"/>
      <c r="LRZ60" s="218"/>
      <c r="LSA60" s="219"/>
      <c r="LSB60" s="220"/>
      <c r="LSC60" s="220"/>
      <c r="LSD60" s="220"/>
      <c r="LSE60" s="220"/>
      <c r="LSF60" s="217"/>
      <c r="LSG60" s="221"/>
      <c r="LSH60" s="216"/>
      <c r="LSI60" s="217"/>
      <c r="LSJ60" s="218"/>
      <c r="LSK60" s="219"/>
      <c r="LSL60" s="220"/>
      <c r="LSM60" s="220"/>
      <c r="LSN60" s="220"/>
      <c r="LSO60" s="220"/>
      <c r="LSP60" s="217"/>
      <c r="LSQ60" s="221"/>
      <c r="LSR60" s="216"/>
      <c r="LSS60" s="217"/>
      <c r="LST60" s="218"/>
      <c r="LSU60" s="219"/>
      <c r="LSV60" s="220"/>
      <c r="LSW60" s="220"/>
      <c r="LSX60" s="220"/>
      <c r="LSY60" s="220"/>
      <c r="LSZ60" s="217"/>
      <c r="LTA60" s="221"/>
      <c r="LTB60" s="216"/>
      <c r="LTC60" s="217"/>
      <c r="LTD60" s="218"/>
      <c r="LTE60" s="219"/>
      <c r="LTF60" s="220"/>
      <c r="LTG60" s="220"/>
      <c r="LTH60" s="220"/>
      <c r="LTI60" s="220"/>
      <c r="LTJ60" s="217"/>
      <c r="LTK60" s="221"/>
      <c r="LTL60" s="216"/>
      <c r="LTM60" s="217"/>
      <c r="LTN60" s="218"/>
      <c r="LTO60" s="219"/>
      <c r="LTP60" s="220"/>
      <c r="LTQ60" s="220"/>
      <c r="LTR60" s="220"/>
      <c r="LTS60" s="220"/>
      <c r="LTT60" s="217"/>
      <c r="LTU60" s="221"/>
      <c r="LTV60" s="216"/>
      <c r="LTW60" s="217"/>
      <c r="LTX60" s="218"/>
      <c r="LTY60" s="219"/>
      <c r="LTZ60" s="220"/>
      <c r="LUA60" s="220"/>
      <c r="LUB60" s="220"/>
      <c r="LUC60" s="220"/>
      <c r="LUD60" s="217"/>
      <c r="LUE60" s="221"/>
      <c r="LUF60" s="216"/>
      <c r="LUG60" s="217"/>
      <c r="LUH60" s="218"/>
      <c r="LUI60" s="219"/>
      <c r="LUJ60" s="220"/>
      <c r="LUK60" s="220"/>
      <c r="LUL60" s="220"/>
      <c r="LUM60" s="220"/>
      <c r="LUN60" s="217"/>
      <c r="LUO60" s="221"/>
      <c r="LUP60" s="216"/>
      <c r="LUQ60" s="217"/>
      <c r="LUR60" s="218"/>
      <c r="LUS60" s="219"/>
      <c r="LUT60" s="220"/>
      <c r="LUU60" s="220"/>
      <c r="LUV60" s="220"/>
      <c r="LUW60" s="220"/>
      <c r="LUX60" s="217"/>
      <c r="LUY60" s="221"/>
      <c r="LUZ60" s="216"/>
      <c r="LVA60" s="217"/>
      <c r="LVB60" s="218"/>
      <c r="LVC60" s="219"/>
      <c r="LVD60" s="220"/>
      <c r="LVE60" s="220"/>
      <c r="LVF60" s="220"/>
      <c r="LVG60" s="220"/>
      <c r="LVH60" s="217"/>
      <c r="LVI60" s="221"/>
      <c r="LVJ60" s="216"/>
      <c r="LVK60" s="217"/>
      <c r="LVL60" s="218"/>
      <c r="LVM60" s="219"/>
      <c r="LVN60" s="220"/>
      <c r="LVO60" s="220"/>
      <c r="LVP60" s="220"/>
      <c r="LVQ60" s="220"/>
      <c r="LVR60" s="217"/>
      <c r="LVS60" s="221"/>
      <c r="LVT60" s="216"/>
      <c r="LVU60" s="217"/>
      <c r="LVV60" s="218"/>
      <c r="LVW60" s="219"/>
      <c r="LVX60" s="220"/>
      <c r="LVY60" s="220"/>
      <c r="LVZ60" s="220"/>
      <c r="LWA60" s="220"/>
      <c r="LWB60" s="217"/>
      <c r="LWC60" s="221"/>
      <c r="LWD60" s="216"/>
      <c r="LWE60" s="217"/>
      <c r="LWF60" s="218"/>
      <c r="LWG60" s="219"/>
      <c r="LWH60" s="220"/>
      <c r="LWI60" s="220"/>
      <c r="LWJ60" s="220"/>
      <c r="LWK60" s="220"/>
      <c r="LWL60" s="217"/>
      <c r="LWM60" s="221"/>
      <c r="LWN60" s="216"/>
      <c r="LWO60" s="217"/>
      <c r="LWP60" s="218"/>
      <c r="LWQ60" s="219"/>
      <c r="LWR60" s="220"/>
      <c r="LWS60" s="220"/>
      <c r="LWT60" s="220"/>
      <c r="LWU60" s="220"/>
      <c r="LWV60" s="217"/>
      <c r="LWW60" s="221"/>
      <c r="LWX60" s="216"/>
      <c r="LWY60" s="217"/>
      <c r="LWZ60" s="218"/>
      <c r="LXA60" s="219"/>
      <c r="LXB60" s="220"/>
      <c r="LXC60" s="220"/>
      <c r="LXD60" s="220"/>
      <c r="LXE60" s="220"/>
      <c r="LXF60" s="217"/>
      <c r="LXG60" s="221"/>
      <c r="LXH60" s="216"/>
      <c r="LXI60" s="217"/>
      <c r="LXJ60" s="218"/>
      <c r="LXK60" s="219"/>
      <c r="LXL60" s="220"/>
      <c r="LXM60" s="220"/>
      <c r="LXN60" s="220"/>
      <c r="LXO60" s="220"/>
      <c r="LXP60" s="217"/>
      <c r="LXQ60" s="221"/>
      <c r="LXR60" s="216"/>
      <c r="LXS60" s="217"/>
      <c r="LXT60" s="218"/>
      <c r="LXU60" s="219"/>
      <c r="LXV60" s="220"/>
      <c r="LXW60" s="220"/>
      <c r="LXX60" s="220"/>
      <c r="LXY60" s="220"/>
      <c r="LXZ60" s="217"/>
      <c r="LYA60" s="221"/>
      <c r="LYB60" s="216"/>
      <c r="LYC60" s="217"/>
      <c r="LYD60" s="218"/>
      <c r="LYE60" s="219"/>
      <c r="LYF60" s="220"/>
      <c r="LYG60" s="220"/>
      <c r="LYH60" s="220"/>
      <c r="LYI60" s="220"/>
      <c r="LYJ60" s="217"/>
      <c r="LYK60" s="221"/>
      <c r="LYL60" s="216"/>
      <c r="LYM60" s="217"/>
      <c r="LYN60" s="218"/>
      <c r="LYO60" s="219"/>
      <c r="LYP60" s="220"/>
      <c r="LYQ60" s="220"/>
      <c r="LYR60" s="220"/>
      <c r="LYS60" s="220"/>
      <c r="LYT60" s="217"/>
      <c r="LYU60" s="221"/>
      <c r="LYV60" s="216"/>
      <c r="LYW60" s="217"/>
      <c r="LYX60" s="218"/>
      <c r="LYY60" s="219"/>
      <c r="LYZ60" s="220"/>
      <c r="LZA60" s="220"/>
      <c r="LZB60" s="220"/>
      <c r="LZC60" s="220"/>
      <c r="LZD60" s="217"/>
      <c r="LZE60" s="221"/>
      <c r="LZF60" s="216"/>
      <c r="LZG60" s="217"/>
      <c r="LZH60" s="218"/>
      <c r="LZI60" s="219"/>
      <c r="LZJ60" s="220"/>
      <c r="LZK60" s="220"/>
      <c r="LZL60" s="220"/>
      <c r="LZM60" s="220"/>
      <c r="LZN60" s="217"/>
      <c r="LZO60" s="221"/>
      <c r="LZP60" s="216"/>
      <c r="LZQ60" s="217"/>
      <c r="LZR60" s="218"/>
      <c r="LZS60" s="219"/>
      <c r="LZT60" s="220"/>
      <c r="LZU60" s="220"/>
      <c r="LZV60" s="220"/>
      <c r="LZW60" s="220"/>
      <c r="LZX60" s="217"/>
      <c r="LZY60" s="221"/>
      <c r="LZZ60" s="216"/>
      <c r="MAA60" s="217"/>
      <c r="MAB60" s="218"/>
      <c r="MAC60" s="219"/>
      <c r="MAD60" s="220"/>
      <c r="MAE60" s="220"/>
      <c r="MAF60" s="220"/>
      <c r="MAG60" s="220"/>
      <c r="MAH60" s="217"/>
      <c r="MAI60" s="221"/>
      <c r="MAJ60" s="216"/>
      <c r="MAK60" s="217"/>
      <c r="MAL60" s="218"/>
      <c r="MAM60" s="219"/>
      <c r="MAN60" s="220"/>
      <c r="MAO60" s="220"/>
      <c r="MAP60" s="220"/>
      <c r="MAQ60" s="220"/>
      <c r="MAR60" s="217"/>
      <c r="MAS60" s="221"/>
      <c r="MAT60" s="216"/>
      <c r="MAU60" s="217"/>
      <c r="MAV60" s="218"/>
      <c r="MAW60" s="219"/>
      <c r="MAX60" s="220"/>
      <c r="MAY60" s="220"/>
      <c r="MAZ60" s="220"/>
      <c r="MBA60" s="220"/>
      <c r="MBB60" s="217"/>
      <c r="MBC60" s="221"/>
      <c r="MBD60" s="216"/>
      <c r="MBE60" s="217"/>
      <c r="MBF60" s="218"/>
      <c r="MBG60" s="219"/>
      <c r="MBH60" s="220"/>
      <c r="MBI60" s="220"/>
      <c r="MBJ60" s="220"/>
      <c r="MBK60" s="220"/>
      <c r="MBL60" s="217"/>
      <c r="MBM60" s="221"/>
      <c r="MBN60" s="216"/>
      <c r="MBO60" s="217"/>
      <c r="MBP60" s="218"/>
      <c r="MBQ60" s="219"/>
      <c r="MBR60" s="220"/>
      <c r="MBS60" s="220"/>
      <c r="MBT60" s="220"/>
      <c r="MBU60" s="220"/>
      <c r="MBV60" s="217"/>
      <c r="MBW60" s="221"/>
      <c r="MBX60" s="216"/>
      <c r="MBY60" s="217"/>
      <c r="MBZ60" s="218"/>
      <c r="MCA60" s="219"/>
      <c r="MCB60" s="220"/>
      <c r="MCC60" s="220"/>
      <c r="MCD60" s="220"/>
      <c r="MCE60" s="220"/>
      <c r="MCF60" s="217"/>
      <c r="MCG60" s="221"/>
      <c r="MCH60" s="216"/>
      <c r="MCI60" s="217"/>
      <c r="MCJ60" s="218"/>
      <c r="MCK60" s="219"/>
      <c r="MCL60" s="220"/>
      <c r="MCM60" s="220"/>
      <c r="MCN60" s="220"/>
      <c r="MCO60" s="220"/>
      <c r="MCP60" s="217"/>
      <c r="MCQ60" s="221"/>
      <c r="MCR60" s="216"/>
      <c r="MCS60" s="217"/>
      <c r="MCT60" s="218"/>
      <c r="MCU60" s="219"/>
      <c r="MCV60" s="220"/>
      <c r="MCW60" s="220"/>
      <c r="MCX60" s="220"/>
      <c r="MCY60" s="220"/>
      <c r="MCZ60" s="217"/>
      <c r="MDA60" s="221"/>
      <c r="MDB60" s="216"/>
      <c r="MDC60" s="217"/>
      <c r="MDD60" s="218"/>
      <c r="MDE60" s="219"/>
      <c r="MDF60" s="220"/>
      <c r="MDG60" s="220"/>
      <c r="MDH60" s="220"/>
      <c r="MDI60" s="220"/>
      <c r="MDJ60" s="217"/>
      <c r="MDK60" s="221"/>
      <c r="MDL60" s="216"/>
      <c r="MDM60" s="217"/>
      <c r="MDN60" s="218"/>
      <c r="MDO60" s="219"/>
      <c r="MDP60" s="220"/>
      <c r="MDQ60" s="220"/>
      <c r="MDR60" s="220"/>
      <c r="MDS60" s="220"/>
      <c r="MDT60" s="217"/>
      <c r="MDU60" s="221"/>
      <c r="MDV60" s="216"/>
      <c r="MDW60" s="217"/>
      <c r="MDX60" s="218"/>
      <c r="MDY60" s="219"/>
      <c r="MDZ60" s="220"/>
      <c r="MEA60" s="220"/>
      <c r="MEB60" s="220"/>
      <c r="MEC60" s="220"/>
      <c r="MED60" s="217"/>
      <c r="MEE60" s="221"/>
      <c r="MEF60" s="216"/>
      <c r="MEG60" s="217"/>
      <c r="MEH60" s="218"/>
      <c r="MEI60" s="219"/>
      <c r="MEJ60" s="220"/>
      <c r="MEK60" s="220"/>
      <c r="MEL60" s="220"/>
      <c r="MEM60" s="220"/>
      <c r="MEN60" s="217"/>
      <c r="MEO60" s="221"/>
      <c r="MEP60" s="216"/>
      <c r="MEQ60" s="217"/>
      <c r="MER60" s="218"/>
      <c r="MES60" s="219"/>
      <c r="MET60" s="220"/>
      <c r="MEU60" s="220"/>
      <c r="MEV60" s="220"/>
      <c r="MEW60" s="220"/>
      <c r="MEX60" s="217"/>
      <c r="MEY60" s="221"/>
      <c r="MEZ60" s="216"/>
      <c r="MFA60" s="217"/>
      <c r="MFB60" s="218"/>
      <c r="MFC60" s="219"/>
      <c r="MFD60" s="220"/>
      <c r="MFE60" s="220"/>
      <c r="MFF60" s="220"/>
      <c r="MFG60" s="220"/>
      <c r="MFH60" s="217"/>
      <c r="MFI60" s="221"/>
      <c r="MFJ60" s="216"/>
      <c r="MFK60" s="217"/>
      <c r="MFL60" s="218"/>
      <c r="MFM60" s="219"/>
      <c r="MFN60" s="220"/>
      <c r="MFO60" s="220"/>
      <c r="MFP60" s="220"/>
      <c r="MFQ60" s="220"/>
      <c r="MFR60" s="217"/>
      <c r="MFS60" s="221"/>
      <c r="MFT60" s="216"/>
      <c r="MFU60" s="217"/>
      <c r="MFV60" s="218"/>
      <c r="MFW60" s="219"/>
      <c r="MFX60" s="220"/>
      <c r="MFY60" s="220"/>
      <c r="MFZ60" s="220"/>
      <c r="MGA60" s="220"/>
      <c r="MGB60" s="217"/>
      <c r="MGC60" s="221"/>
      <c r="MGD60" s="216"/>
      <c r="MGE60" s="217"/>
      <c r="MGF60" s="218"/>
      <c r="MGG60" s="219"/>
      <c r="MGH60" s="220"/>
      <c r="MGI60" s="220"/>
      <c r="MGJ60" s="220"/>
      <c r="MGK60" s="220"/>
      <c r="MGL60" s="217"/>
      <c r="MGM60" s="221"/>
      <c r="MGN60" s="216"/>
      <c r="MGO60" s="217"/>
      <c r="MGP60" s="218"/>
      <c r="MGQ60" s="219"/>
      <c r="MGR60" s="220"/>
      <c r="MGS60" s="220"/>
      <c r="MGT60" s="220"/>
      <c r="MGU60" s="220"/>
      <c r="MGV60" s="217"/>
      <c r="MGW60" s="221"/>
      <c r="MGX60" s="216"/>
      <c r="MGY60" s="217"/>
      <c r="MGZ60" s="218"/>
      <c r="MHA60" s="219"/>
      <c r="MHB60" s="220"/>
      <c r="MHC60" s="220"/>
      <c r="MHD60" s="220"/>
      <c r="MHE60" s="220"/>
      <c r="MHF60" s="217"/>
      <c r="MHG60" s="221"/>
      <c r="MHH60" s="216"/>
      <c r="MHI60" s="217"/>
      <c r="MHJ60" s="218"/>
      <c r="MHK60" s="219"/>
      <c r="MHL60" s="220"/>
      <c r="MHM60" s="220"/>
      <c r="MHN60" s="220"/>
      <c r="MHO60" s="220"/>
      <c r="MHP60" s="217"/>
      <c r="MHQ60" s="221"/>
      <c r="MHR60" s="216"/>
      <c r="MHS60" s="217"/>
      <c r="MHT60" s="218"/>
      <c r="MHU60" s="219"/>
      <c r="MHV60" s="220"/>
      <c r="MHW60" s="220"/>
      <c r="MHX60" s="220"/>
      <c r="MHY60" s="220"/>
      <c r="MHZ60" s="217"/>
      <c r="MIA60" s="221"/>
      <c r="MIB60" s="216"/>
      <c r="MIC60" s="217"/>
      <c r="MID60" s="218"/>
      <c r="MIE60" s="219"/>
      <c r="MIF60" s="220"/>
      <c r="MIG60" s="220"/>
      <c r="MIH60" s="220"/>
      <c r="MII60" s="220"/>
      <c r="MIJ60" s="217"/>
      <c r="MIK60" s="221"/>
      <c r="MIL60" s="216"/>
      <c r="MIM60" s="217"/>
      <c r="MIN60" s="218"/>
      <c r="MIO60" s="219"/>
      <c r="MIP60" s="220"/>
      <c r="MIQ60" s="220"/>
      <c r="MIR60" s="220"/>
      <c r="MIS60" s="220"/>
      <c r="MIT60" s="217"/>
      <c r="MIU60" s="221"/>
      <c r="MIV60" s="216"/>
      <c r="MIW60" s="217"/>
      <c r="MIX60" s="218"/>
      <c r="MIY60" s="219"/>
      <c r="MIZ60" s="220"/>
      <c r="MJA60" s="220"/>
      <c r="MJB60" s="220"/>
      <c r="MJC60" s="220"/>
      <c r="MJD60" s="217"/>
      <c r="MJE60" s="221"/>
      <c r="MJF60" s="216"/>
      <c r="MJG60" s="217"/>
      <c r="MJH60" s="218"/>
      <c r="MJI60" s="219"/>
      <c r="MJJ60" s="220"/>
      <c r="MJK60" s="220"/>
      <c r="MJL60" s="220"/>
      <c r="MJM60" s="220"/>
      <c r="MJN60" s="217"/>
      <c r="MJO60" s="221"/>
      <c r="MJP60" s="216"/>
      <c r="MJQ60" s="217"/>
      <c r="MJR60" s="218"/>
      <c r="MJS60" s="219"/>
      <c r="MJT60" s="220"/>
      <c r="MJU60" s="220"/>
      <c r="MJV60" s="220"/>
      <c r="MJW60" s="220"/>
      <c r="MJX60" s="217"/>
      <c r="MJY60" s="221"/>
      <c r="MJZ60" s="216"/>
      <c r="MKA60" s="217"/>
      <c r="MKB60" s="218"/>
      <c r="MKC60" s="219"/>
      <c r="MKD60" s="220"/>
      <c r="MKE60" s="220"/>
      <c r="MKF60" s="220"/>
      <c r="MKG60" s="220"/>
      <c r="MKH60" s="217"/>
      <c r="MKI60" s="221"/>
      <c r="MKJ60" s="216"/>
      <c r="MKK60" s="217"/>
      <c r="MKL60" s="218"/>
      <c r="MKM60" s="219"/>
      <c r="MKN60" s="220"/>
      <c r="MKO60" s="220"/>
      <c r="MKP60" s="220"/>
      <c r="MKQ60" s="220"/>
      <c r="MKR60" s="217"/>
      <c r="MKS60" s="221"/>
      <c r="MKT60" s="216"/>
      <c r="MKU60" s="217"/>
      <c r="MKV60" s="218"/>
      <c r="MKW60" s="219"/>
      <c r="MKX60" s="220"/>
      <c r="MKY60" s="220"/>
      <c r="MKZ60" s="220"/>
      <c r="MLA60" s="220"/>
      <c r="MLB60" s="217"/>
      <c r="MLC60" s="221"/>
      <c r="MLD60" s="216"/>
      <c r="MLE60" s="217"/>
      <c r="MLF60" s="218"/>
      <c r="MLG60" s="219"/>
      <c r="MLH60" s="220"/>
      <c r="MLI60" s="220"/>
      <c r="MLJ60" s="220"/>
      <c r="MLK60" s="220"/>
      <c r="MLL60" s="217"/>
      <c r="MLM60" s="221"/>
      <c r="MLN60" s="216"/>
      <c r="MLO60" s="217"/>
      <c r="MLP60" s="218"/>
      <c r="MLQ60" s="219"/>
      <c r="MLR60" s="220"/>
      <c r="MLS60" s="220"/>
      <c r="MLT60" s="220"/>
      <c r="MLU60" s="220"/>
      <c r="MLV60" s="217"/>
      <c r="MLW60" s="221"/>
      <c r="MLX60" s="216"/>
      <c r="MLY60" s="217"/>
      <c r="MLZ60" s="218"/>
      <c r="MMA60" s="219"/>
      <c r="MMB60" s="220"/>
      <c r="MMC60" s="220"/>
      <c r="MMD60" s="220"/>
      <c r="MME60" s="220"/>
      <c r="MMF60" s="217"/>
      <c r="MMG60" s="221"/>
      <c r="MMH60" s="216"/>
      <c r="MMI60" s="217"/>
      <c r="MMJ60" s="218"/>
      <c r="MMK60" s="219"/>
      <c r="MML60" s="220"/>
      <c r="MMM60" s="220"/>
      <c r="MMN60" s="220"/>
      <c r="MMO60" s="220"/>
      <c r="MMP60" s="217"/>
      <c r="MMQ60" s="221"/>
      <c r="MMR60" s="216"/>
      <c r="MMS60" s="217"/>
      <c r="MMT60" s="218"/>
      <c r="MMU60" s="219"/>
      <c r="MMV60" s="220"/>
      <c r="MMW60" s="220"/>
      <c r="MMX60" s="220"/>
      <c r="MMY60" s="220"/>
      <c r="MMZ60" s="217"/>
      <c r="MNA60" s="221"/>
      <c r="MNB60" s="216"/>
      <c r="MNC60" s="217"/>
      <c r="MND60" s="218"/>
      <c r="MNE60" s="219"/>
      <c r="MNF60" s="220"/>
      <c r="MNG60" s="220"/>
      <c r="MNH60" s="220"/>
      <c r="MNI60" s="220"/>
      <c r="MNJ60" s="217"/>
      <c r="MNK60" s="221"/>
      <c r="MNL60" s="216"/>
      <c r="MNM60" s="217"/>
      <c r="MNN60" s="218"/>
      <c r="MNO60" s="219"/>
      <c r="MNP60" s="220"/>
      <c r="MNQ60" s="220"/>
      <c r="MNR60" s="220"/>
      <c r="MNS60" s="220"/>
      <c r="MNT60" s="217"/>
      <c r="MNU60" s="221"/>
      <c r="MNV60" s="216"/>
      <c r="MNW60" s="217"/>
      <c r="MNX60" s="218"/>
      <c r="MNY60" s="219"/>
      <c r="MNZ60" s="220"/>
      <c r="MOA60" s="220"/>
      <c r="MOB60" s="220"/>
      <c r="MOC60" s="220"/>
      <c r="MOD60" s="217"/>
      <c r="MOE60" s="221"/>
      <c r="MOF60" s="216"/>
      <c r="MOG60" s="217"/>
      <c r="MOH60" s="218"/>
      <c r="MOI60" s="219"/>
      <c r="MOJ60" s="220"/>
      <c r="MOK60" s="220"/>
      <c r="MOL60" s="220"/>
      <c r="MOM60" s="220"/>
      <c r="MON60" s="217"/>
      <c r="MOO60" s="221"/>
      <c r="MOP60" s="216"/>
      <c r="MOQ60" s="217"/>
      <c r="MOR60" s="218"/>
      <c r="MOS60" s="219"/>
      <c r="MOT60" s="220"/>
      <c r="MOU60" s="220"/>
      <c r="MOV60" s="220"/>
      <c r="MOW60" s="220"/>
      <c r="MOX60" s="217"/>
      <c r="MOY60" s="221"/>
      <c r="MOZ60" s="216"/>
      <c r="MPA60" s="217"/>
      <c r="MPB60" s="218"/>
      <c r="MPC60" s="219"/>
      <c r="MPD60" s="220"/>
      <c r="MPE60" s="220"/>
      <c r="MPF60" s="220"/>
      <c r="MPG60" s="220"/>
      <c r="MPH60" s="217"/>
      <c r="MPI60" s="221"/>
      <c r="MPJ60" s="216"/>
      <c r="MPK60" s="217"/>
      <c r="MPL60" s="218"/>
      <c r="MPM60" s="219"/>
      <c r="MPN60" s="220"/>
      <c r="MPO60" s="220"/>
      <c r="MPP60" s="220"/>
      <c r="MPQ60" s="220"/>
      <c r="MPR60" s="217"/>
      <c r="MPS60" s="221"/>
      <c r="MPT60" s="216"/>
      <c r="MPU60" s="217"/>
      <c r="MPV60" s="218"/>
      <c r="MPW60" s="219"/>
      <c r="MPX60" s="220"/>
      <c r="MPY60" s="220"/>
      <c r="MPZ60" s="220"/>
      <c r="MQA60" s="220"/>
      <c r="MQB60" s="217"/>
      <c r="MQC60" s="221"/>
      <c r="MQD60" s="216"/>
      <c r="MQE60" s="217"/>
      <c r="MQF60" s="218"/>
      <c r="MQG60" s="219"/>
      <c r="MQH60" s="220"/>
      <c r="MQI60" s="220"/>
      <c r="MQJ60" s="220"/>
      <c r="MQK60" s="220"/>
      <c r="MQL60" s="217"/>
      <c r="MQM60" s="221"/>
      <c r="MQN60" s="216"/>
      <c r="MQO60" s="217"/>
      <c r="MQP60" s="218"/>
      <c r="MQQ60" s="219"/>
      <c r="MQR60" s="220"/>
      <c r="MQS60" s="220"/>
      <c r="MQT60" s="220"/>
      <c r="MQU60" s="220"/>
      <c r="MQV60" s="217"/>
      <c r="MQW60" s="221"/>
      <c r="MQX60" s="216"/>
      <c r="MQY60" s="217"/>
      <c r="MQZ60" s="218"/>
      <c r="MRA60" s="219"/>
      <c r="MRB60" s="220"/>
      <c r="MRC60" s="220"/>
      <c r="MRD60" s="220"/>
      <c r="MRE60" s="220"/>
      <c r="MRF60" s="217"/>
      <c r="MRG60" s="221"/>
      <c r="MRH60" s="216"/>
      <c r="MRI60" s="217"/>
      <c r="MRJ60" s="218"/>
      <c r="MRK60" s="219"/>
      <c r="MRL60" s="220"/>
      <c r="MRM60" s="220"/>
      <c r="MRN60" s="220"/>
      <c r="MRO60" s="220"/>
      <c r="MRP60" s="217"/>
      <c r="MRQ60" s="221"/>
      <c r="MRR60" s="216"/>
      <c r="MRS60" s="217"/>
      <c r="MRT60" s="218"/>
      <c r="MRU60" s="219"/>
      <c r="MRV60" s="220"/>
      <c r="MRW60" s="220"/>
      <c r="MRX60" s="220"/>
      <c r="MRY60" s="220"/>
      <c r="MRZ60" s="217"/>
      <c r="MSA60" s="221"/>
      <c r="MSB60" s="216"/>
      <c r="MSC60" s="217"/>
      <c r="MSD60" s="218"/>
      <c r="MSE60" s="219"/>
      <c r="MSF60" s="220"/>
      <c r="MSG60" s="220"/>
      <c r="MSH60" s="220"/>
      <c r="MSI60" s="220"/>
      <c r="MSJ60" s="217"/>
      <c r="MSK60" s="221"/>
      <c r="MSL60" s="216"/>
      <c r="MSM60" s="217"/>
      <c r="MSN60" s="218"/>
      <c r="MSO60" s="219"/>
      <c r="MSP60" s="220"/>
      <c r="MSQ60" s="220"/>
      <c r="MSR60" s="220"/>
      <c r="MSS60" s="220"/>
      <c r="MST60" s="217"/>
      <c r="MSU60" s="221"/>
      <c r="MSV60" s="216"/>
      <c r="MSW60" s="217"/>
      <c r="MSX60" s="218"/>
      <c r="MSY60" s="219"/>
      <c r="MSZ60" s="220"/>
      <c r="MTA60" s="220"/>
      <c r="MTB60" s="220"/>
      <c r="MTC60" s="220"/>
      <c r="MTD60" s="217"/>
      <c r="MTE60" s="221"/>
      <c r="MTF60" s="216"/>
      <c r="MTG60" s="217"/>
      <c r="MTH60" s="218"/>
      <c r="MTI60" s="219"/>
      <c r="MTJ60" s="220"/>
      <c r="MTK60" s="220"/>
      <c r="MTL60" s="220"/>
      <c r="MTM60" s="220"/>
      <c r="MTN60" s="217"/>
      <c r="MTO60" s="221"/>
      <c r="MTP60" s="216"/>
      <c r="MTQ60" s="217"/>
      <c r="MTR60" s="218"/>
      <c r="MTS60" s="219"/>
      <c r="MTT60" s="220"/>
      <c r="MTU60" s="220"/>
      <c r="MTV60" s="220"/>
      <c r="MTW60" s="220"/>
      <c r="MTX60" s="217"/>
      <c r="MTY60" s="221"/>
      <c r="MTZ60" s="216"/>
      <c r="MUA60" s="217"/>
      <c r="MUB60" s="218"/>
      <c r="MUC60" s="219"/>
      <c r="MUD60" s="220"/>
      <c r="MUE60" s="220"/>
      <c r="MUF60" s="220"/>
      <c r="MUG60" s="220"/>
      <c r="MUH60" s="217"/>
      <c r="MUI60" s="221"/>
      <c r="MUJ60" s="216"/>
      <c r="MUK60" s="217"/>
      <c r="MUL60" s="218"/>
      <c r="MUM60" s="219"/>
      <c r="MUN60" s="220"/>
      <c r="MUO60" s="220"/>
      <c r="MUP60" s="220"/>
      <c r="MUQ60" s="220"/>
      <c r="MUR60" s="217"/>
      <c r="MUS60" s="221"/>
      <c r="MUT60" s="216"/>
      <c r="MUU60" s="217"/>
      <c r="MUV60" s="218"/>
      <c r="MUW60" s="219"/>
      <c r="MUX60" s="220"/>
      <c r="MUY60" s="220"/>
      <c r="MUZ60" s="220"/>
      <c r="MVA60" s="220"/>
      <c r="MVB60" s="217"/>
      <c r="MVC60" s="221"/>
      <c r="MVD60" s="216"/>
      <c r="MVE60" s="217"/>
      <c r="MVF60" s="218"/>
      <c r="MVG60" s="219"/>
      <c r="MVH60" s="220"/>
      <c r="MVI60" s="220"/>
      <c r="MVJ60" s="220"/>
      <c r="MVK60" s="220"/>
      <c r="MVL60" s="217"/>
      <c r="MVM60" s="221"/>
      <c r="MVN60" s="216"/>
      <c r="MVO60" s="217"/>
      <c r="MVP60" s="218"/>
      <c r="MVQ60" s="219"/>
      <c r="MVR60" s="220"/>
      <c r="MVS60" s="220"/>
      <c r="MVT60" s="220"/>
      <c r="MVU60" s="220"/>
      <c r="MVV60" s="217"/>
      <c r="MVW60" s="221"/>
      <c r="MVX60" s="216"/>
      <c r="MVY60" s="217"/>
      <c r="MVZ60" s="218"/>
      <c r="MWA60" s="219"/>
      <c r="MWB60" s="220"/>
      <c r="MWC60" s="220"/>
      <c r="MWD60" s="220"/>
      <c r="MWE60" s="220"/>
      <c r="MWF60" s="217"/>
      <c r="MWG60" s="221"/>
      <c r="MWH60" s="216"/>
      <c r="MWI60" s="217"/>
      <c r="MWJ60" s="218"/>
      <c r="MWK60" s="219"/>
      <c r="MWL60" s="220"/>
      <c r="MWM60" s="220"/>
      <c r="MWN60" s="220"/>
      <c r="MWO60" s="220"/>
      <c r="MWP60" s="217"/>
      <c r="MWQ60" s="221"/>
      <c r="MWR60" s="216"/>
      <c r="MWS60" s="217"/>
      <c r="MWT60" s="218"/>
      <c r="MWU60" s="219"/>
      <c r="MWV60" s="220"/>
      <c r="MWW60" s="220"/>
      <c r="MWX60" s="220"/>
      <c r="MWY60" s="220"/>
      <c r="MWZ60" s="217"/>
      <c r="MXA60" s="221"/>
      <c r="MXB60" s="216"/>
      <c r="MXC60" s="217"/>
      <c r="MXD60" s="218"/>
      <c r="MXE60" s="219"/>
      <c r="MXF60" s="220"/>
      <c r="MXG60" s="220"/>
      <c r="MXH60" s="220"/>
      <c r="MXI60" s="220"/>
      <c r="MXJ60" s="217"/>
      <c r="MXK60" s="221"/>
      <c r="MXL60" s="216"/>
      <c r="MXM60" s="217"/>
      <c r="MXN60" s="218"/>
      <c r="MXO60" s="219"/>
      <c r="MXP60" s="220"/>
      <c r="MXQ60" s="220"/>
      <c r="MXR60" s="220"/>
      <c r="MXS60" s="220"/>
      <c r="MXT60" s="217"/>
      <c r="MXU60" s="221"/>
      <c r="MXV60" s="216"/>
      <c r="MXW60" s="217"/>
      <c r="MXX60" s="218"/>
      <c r="MXY60" s="219"/>
      <c r="MXZ60" s="220"/>
      <c r="MYA60" s="220"/>
      <c r="MYB60" s="220"/>
      <c r="MYC60" s="220"/>
      <c r="MYD60" s="217"/>
      <c r="MYE60" s="221"/>
      <c r="MYF60" s="216"/>
      <c r="MYG60" s="217"/>
      <c r="MYH60" s="218"/>
      <c r="MYI60" s="219"/>
      <c r="MYJ60" s="220"/>
      <c r="MYK60" s="220"/>
      <c r="MYL60" s="220"/>
      <c r="MYM60" s="220"/>
      <c r="MYN60" s="217"/>
      <c r="MYO60" s="221"/>
      <c r="MYP60" s="216"/>
      <c r="MYQ60" s="217"/>
      <c r="MYR60" s="218"/>
      <c r="MYS60" s="219"/>
      <c r="MYT60" s="220"/>
      <c r="MYU60" s="220"/>
      <c r="MYV60" s="220"/>
      <c r="MYW60" s="220"/>
      <c r="MYX60" s="217"/>
      <c r="MYY60" s="221"/>
      <c r="MYZ60" s="216"/>
      <c r="MZA60" s="217"/>
      <c r="MZB60" s="218"/>
      <c r="MZC60" s="219"/>
      <c r="MZD60" s="220"/>
      <c r="MZE60" s="220"/>
      <c r="MZF60" s="220"/>
      <c r="MZG60" s="220"/>
      <c r="MZH60" s="217"/>
      <c r="MZI60" s="221"/>
      <c r="MZJ60" s="216"/>
      <c r="MZK60" s="217"/>
      <c r="MZL60" s="218"/>
      <c r="MZM60" s="219"/>
      <c r="MZN60" s="220"/>
      <c r="MZO60" s="220"/>
      <c r="MZP60" s="220"/>
      <c r="MZQ60" s="220"/>
      <c r="MZR60" s="217"/>
      <c r="MZS60" s="221"/>
      <c r="MZT60" s="216"/>
      <c r="MZU60" s="217"/>
      <c r="MZV60" s="218"/>
      <c r="MZW60" s="219"/>
      <c r="MZX60" s="220"/>
      <c r="MZY60" s="220"/>
      <c r="MZZ60" s="220"/>
      <c r="NAA60" s="220"/>
      <c r="NAB60" s="217"/>
      <c r="NAC60" s="221"/>
      <c r="NAD60" s="216"/>
      <c r="NAE60" s="217"/>
      <c r="NAF60" s="218"/>
      <c r="NAG60" s="219"/>
      <c r="NAH60" s="220"/>
      <c r="NAI60" s="220"/>
      <c r="NAJ60" s="220"/>
      <c r="NAK60" s="220"/>
      <c r="NAL60" s="217"/>
      <c r="NAM60" s="221"/>
      <c r="NAN60" s="216"/>
      <c r="NAO60" s="217"/>
      <c r="NAP60" s="218"/>
      <c r="NAQ60" s="219"/>
      <c r="NAR60" s="220"/>
      <c r="NAS60" s="220"/>
      <c r="NAT60" s="220"/>
      <c r="NAU60" s="220"/>
      <c r="NAV60" s="217"/>
      <c r="NAW60" s="221"/>
      <c r="NAX60" s="216"/>
      <c r="NAY60" s="217"/>
      <c r="NAZ60" s="218"/>
      <c r="NBA60" s="219"/>
      <c r="NBB60" s="220"/>
      <c r="NBC60" s="220"/>
      <c r="NBD60" s="220"/>
      <c r="NBE60" s="220"/>
      <c r="NBF60" s="217"/>
      <c r="NBG60" s="221"/>
      <c r="NBH60" s="216"/>
      <c r="NBI60" s="217"/>
      <c r="NBJ60" s="218"/>
      <c r="NBK60" s="219"/>
      <c r="NBL60" s="220"/>
      <c r="NBM60" s="220"/>
      <c r="NBN60" s="220"/>
      <c r="NBO60" s="220"/>
      <c r="NBP60" s="217"/>
      <c r="NBQ60" s="221"/>
      <c r="NBR60" s="216"/>
      <c r="NBS60" s="217"/>
      <c r="NBT60" s="218"/>
      <c r="NBU60" s="219"/>
      <c r="NBV60" s="220"/>
      <c r="NBW60" s="220"/>
      <c r="NBX60" s="220"/>
      <c r="NBY60" s="220"/>
      <c r="NBZ60" s="217"/>
      <c r="NCA60" s="221"/>
      <c r="NCB60" s="216"/>
      <c r="NCC60" s="217"/>
      <c r="NCD60" s="218"/>
      <c r="NCE60" s="219"/>
      <c r="NCF60" s="220"/>
      <c r="NCG60" s="220"/>
      <c r="NCH60" s="220"/>
      <c r="NCI60" s="220"/>
      <c r="NCJ60" s="217"/>
      <c r="NCK60" s="221"/>
      <c r="NCL60" s="216"/>
      <c r="NCM60" s="217"/>
      <c r="NCN60" s="218"/>
      <c r="NCO60" s="219"/>
      <c r="NCP60" s="220"/>
      <c r="NCQ60" s="220"/>
      <c r="NCR60" s="220"/>
      <c r="NCS60" s="220"/>
      <c r="NCT60" s="217"/>
      <c r="NCU60" s="221"/>
      <c r="NCV60" s="216"/>
      <c r="NCW60" s="217"/>
      <c r="NCX60" s="218"/>
      <c r="NCY60" s="219"/>
      <c r="NCZ60" s="220"/>
      <c r="NDA60" s="220"/>
      <c r="NDB60" s="220"/>
      <c r="NDC60" s="220"/>
      <c r="NDD60" s="217"/>
      <c r="NDE60" s="221"/>
      <c r="NDF60" s="216"/>
      <c r="NDG60" s="217"/>
      <c r="NDH60" s="218"/>
      <c r="NDI60" s="219"/>
      <c r="NDJ60" s="220"/>
      <c r="NDK60" s="220"/>
      <c r="NDL60" s="220"/>
      <c r="NDM60" s="220"/>
      <c r="NDN60" s="217"/>
      <c r="NDO60" s="221"/>
      <c r="NDP60" s="216"/>
      <c r="NDQ60" s="217"/>
      <c r="NDR60" s="218"/>
      <c r="NDS60" s="219"/>
      <c r="NDT60" s="220"/>
      <c r="NDU60" s="220"/>
      <c r="NDV60" s="220"/>
      <c r="NDW60" s="220"/>
      <c r="NDX60" s="217"/>
      <c r="NDY60" s="221"/>
      <c r="NDZ60" s="216"/>
      <c r="NEA60" s="217"/>
      <c r="NEB60" s="218"/>
      <c r="NEC60" s="219"/>
      <c r="NED60" s="220"/>
      <c r="NEE60" s="220"/>
      <c r="NEF60" s="220"/>
      <c r="NEG60" s="220"/>
      <c r="NEH60" s="217"/>
      <c r="NEI60" s="221"/>
      <c r="NEJ60" s="216"/>
      <c r="NEK60" s="217"/>
      <c r="NEL60" s="218"/>
      <c r="NEM60" s="219"/>
      <c r="NEN60" s="220"/>
      <c r="NEO60" s="220"/>
      <c r="NEP60" s="220"/>
      <c r="NEQ60" s="220"/>
      <c r="NER60" s="217"/>
      <c r="NES60" s="221"/>
      <c r="NET60" s="216"/>
      <c r="NEU60" s="217"/>
      <c r="NEV60" s="218"/>
      <c r="NEW60" s="219"/>
      <c r="NEX60" s="220"/>
      <c r="NEY60" s="220"/>
      <c r="NEZ60" s="220"/>
      <c r="NFA60" s="220"/>
      <c r="NFB60" s="217"/>
      <c r="NFC60" s="221"/>
      <c r="NFD60" s="216"/>
      <c r="NFE60" s="217"/>
      <c r="NFF60" s="218"/>
      <c r="NFG60" s="219"/>
      <c r="NFH60" s="220"/>
      <c r="NFI60" s="220"/>
      <c r="NFJ60" s="220"/>
      <c r="NFK60" s="220"/>
      <c r="NFL60" s="217"/>
      <c r="NFM60" s="221"/>
      <c r="NFN60" s="216"/>
      <c r="NFO60" s="217"/>
      <c r="NFP60" s="218"/>
      <c r="NFQ60" s="219"/>
      <c r="NFR60" s="220"/>
      <c r="NFS60" s="220"/>
      <c r="NFT60" s="220"/>
      <c r="NFU60" s="220"/>
      <c r="NFV60" s="217"/>
      <c r="NFW60" s="221"/>
      <c r="NFX60" s="216"/>
      <c r="NFY60" s="217"/>
      <c r="NFZ60" s="218"/>
      <c r="NGA60" s="219"/>
      <c r="NGB60" s="220"/>
      <c r="NGC60" s="220"/>
      <c r="NGD60" s="220"/>
      <c r="NGE60" s="220"/>
      <c r="NGF60" s="217"/>
      <c r="NGG60" s="221"/>
      <c r="NGH60" s="216"/>
      <c r="NGI60" s="217"/>
      <c r="NGJ60" s="218"/>
      <c r="NGK60" s="219"/>
      <c r="NGL60" s="220"/>
      <c r="NGM60" s="220"/>
      <c r="NGN60" s="220"/>
      <c r="NGO60" s="220"/>
      <c r="NGP60" s="217"/>
      <c r="NGQ60" s="221"/>
      <c r="NGR60" s="216"/>
      <c r="NGS60" s="217"/>
      <c r="NGT60" s="218"/>
      <c r="NGU60" s="219"/>
      <c r="NGV60" s="220"/>
      <c r="NGW60" s="220"/>
      <c r="NGX60" s="220"/>
      <c r="NGY60" s="220"/>
      <c r="NGZ60" s="217"/>
      <c r="NHA60" s="221"/>
      <c r="NHB60" s="216"/>
      <c r="NHC60" s="217"/>
      <c r="NHD60" s="218"/>
      <c r="NHE60" s="219"/>
      <c r="NHF60" s="220"/>
      <c r="NHG60" s="220"/>
      <c r="NHH60" s="220"/>
      <c r="NHI60" s="220"/>
      <c r="NHJ60" s="217"/>
      <c r="NHK60" s="221"/>
      <c r="NHL60" s="216"/>
      <c r="NHM60" s="217"/>
      <c r="NHN60" s="218"/>
      <c r="NHO60" s="219"/>
      <c r="NHP60" s="220"/>
      <c r="NHQ60" s="220"/>
      <c r="NHR60" s="220"/>
      <c r="NHS60" s="220"/>
      <c r="NHT60" s="217"/>
      <c r="NHU60" s="221"/>
      <c r="NHV60" s="216"/>
      <c r="NHW60" s="217"/>
      <c r="NHX60" s="218"/>
      <c r="NHY60" s="219"/>
      <c r="NHZ60" s="220"/>
      <c r="NIA60" s="220"/>
      <c r="NIB60" s="220"/>
      <c r="NIC60" s="220"/>
      <c r="NID60" s="217"/>
      <c r="NIE60" s="221"/>
      <c r="NIF60" s="216"/>
      <c r="NIG60" s="217"/>
      <c r="NIH60" s="218"/>
      <c r="NII60" s="219"/>
      <c r="NIJ60" s="220"/>
      <c r="NIK60" s="220"/>
      <c r="NIL60" s="220"/>
      <c r="NIM60" s="220"/>
      <c r="NIN60" s="217"/>
      <c r="NIO60" s="221"/>
      <c r="NIP60" s="216"/>
      <c r="NIQ60" s="217"/>
      <c r="NIR60" s="218"/>
      <c r="NIS60" s="219"/>
      <c r="NIT60" s="220"/>
      <c r="NIU60" s="220"/>
      <c r="NIV60" s="220"/>
      <c r="NIW60" s="220"/>
      <c r="NIX60" s="217"/>
      <c r="NIY60" s="221"/>
      <c r="NIZ60" s="216"/>
      <c r="NJA60" s="217"/>
      <c r="NJB60" s="218"/>
      <c r="NJC60" s="219"/>
      <c r="NJD60" s="220"/>
      <c r="NJE60" s="220"/>
      <c r="NJF60" s="220"/>
      <c r="NJG60" s="220"/>
      <c r="NJH60" s="217"/>
      <c r="NJI60" s="221"/>
      <c r="NJJ60" s="216"/>
      <c r="NJK60" s="217"/>
      <c r="NJL60" s="218"/>
      <c r="NJM60" s="219"/>
      <c r="NJN60" s="220"/>
      <c r="NJO60" s="220"/>
      <c r="NJP60" s="220"/>
      <c r="NJQ60" s="220"/>
      <c r="NJR60" s="217"/>
      <c r="NJS60" s="221"/>
      <c r="NJT60" s="216"/>
      <c r="NJU60" s="217"/>
      <c r="NJV60" s="218"/>
      <c r="NJW60" s="219"/>
      <c r="NJX60" s="220"/>
      <c r="NJY60" s="220"/>
      <c r="NJZ60" s="220"/>
      <c r="NKA60" s="220"/>
      <c r="NKB60" s="217"/>
      <c r="NKC60" s="221"/>
      <c r="NKD60" s="216"/>
      <c r="NKE60" s="217"/>
      <c r="NKF60" s="218"/>
      <c r="NKG60" s="219"/>
      <c r="NKH60" s="220"/>
      <c r="NKI60" s="220"/>
      <c r="NKJ60" s="220"/>
      <c r="NKK60" s="220"/>
      <c r="NKL60" s="217"/>
      <c r="NKM60" s="221"/>
      <c r="NKN60" s="216"/>
      <c r="NKO60" s="217"/>
      <c r="NKP60" s="218"/>
      <c r="NKQ60" s="219"/>
      <c r="NKR60" s="220"/>
      <c r="NKS60" s="220"/>
      <c r="NKT60" s="220"/>
      <c r="NKU60" s="220"/>
      <c r="NKV60" s="217"/>
      <c r="NKW60" s="221"/>
      <c r="NKX60" s="216"/>
      <c r="NKY60" s="217"/>
      <c r="NKZ60" s="218"/>
      <c r="NLA60" s="219"/>
      <c r="NLB60" s="220"/>
      <c r="NLC60" s="220"/>
      <c r="NLD60" s="220"/>
      <c r="NLE60" s="220"/>
      <c r="NLF60" s="217"/>
      <c r="NLG60" s="221"/>
      <c r="NLH60" s="216"/>
      <c r="NLI60" s="217"/>
      <c r="NLJ60" s="218"/>
      <c r="NLK60" s="219"/>
      <c r="NLL60" s="220"/>
      <c r="NLM60" s="220"/>
      <c r="NLN60" s="220"/>
      <c r="NLO60" s="220"/>
      <c r="NLP60" s="217"/>
      <c r="NLQ60" s="221"/>
      <c r="NLR60" s="216"/>
      <c r="NLS60" s="217"/>
      <c r="NLT60" s="218"/>
      <c r="NLU60" s="219"/>
      <c r="NLV60" s="220"/>
      <c r="NLW60" s="220"/>
      <c r="NLX60" s="220"/>
      <c r="NLY60" s="220"/>
      <c r="NLZ60" s="217"/>
      <c r="NMA60" s="221"/>
      <c r="NMB60" s="216"/>
      <c r="NMC60" s="217"/>
      <c r="NMD60" s="218"/>
      <c r="NME60" s="219"/>
      <c r="NMF60" s="220"/>
      <c r="NMG60" s="220"/>
      <c r="NMH60" s="220"/>
      <c r="NMI60" s="220"/>
      <c r="NMJ60" s="217"/>
      <c r="NMK60" s="221"/>
      <c r="NML60" s="216"/>
      <c r="NMM60" s="217"/>
      <c r="NMN60" s="218"/>
      <c r="NMO60" s="219"/>
      <c r="NMP60" s="220"/>
      <c r="NMQ60" s="220"/>
      <c r="NMR60" s="220"/>
      <c r="NMS60" s="220"/>
      <c r="NMT60" s="217"/>
      <c r="NMU60" s="221"/>
      <c r="NMV60" s="216"/>
      <c r="NMW60" s="217"/>
      <c r="NMX60" s="218"/>
      <c r="NMY60" s="219"/>
      <c r="NMZ60" s="220"/>
      <c r="NNA60" s="220"/>
      <c r="NNB60" s="220"/>
      <c r="NNC60" s="220"/>
      <c r="NND60" s="217"/>
      <c r="NNE60" s="221"/>
      <c r="NNF60" s="216"/>
      <c r="NNG60" s="217"/>
      <c r="NNH60" s="218"/>
      <c r="NNI60" s="219"/>
      <c r="NNJ60" s="220"/>
      <c r="NNK60" s="220"/>
      <c r="NNL60" s="220"/>
      <c r="NNM60" s="220"/>
      <c r="NNN60" s="217"/>
      <c r="NNO60" s="221"/>
      <c r="NNP60" s="216"/>
      <c r="NNQ60" s="217"/>
      <c r="NNR60" s="218"/>
      <c r="NNS60" s="219"/>
      <c r="NNT60" s="220"/>
      <c r="NNU60" s="220"/>
      <c r="NNV60" s="220"/>
      <c r="NNW60" s="220"/>
      <c r="NNX60" s="217"/>
      <c r="NNY60" s="221"/>
      <c r="NNZ60" s="216"/>
      <c r="NOA60" s="217"/>
      <c r="NOB60" s="218"/>
      <c r="NOC60" s="219"/>
      <c r="NOD60" s="220"/>
      <c r="NOE60" s="220"/>
      <c r="NOF60" s="220"/>
      <c r="NOG60" s="220"/>
      <c r="NOH60" s="217"/>
      <c r="NOI60" s="221"/>
      <c r="NOJ60" s="216"/>
      <c r="NOK60" s="217"/>
      <c r="NOL60" s="218"/>
      <c r="NOM60" s="219"/>
      <c r="NON60" s="220"/>
      <c r="NOO60" s="220"/>
      <c r="NOP60" s="220"/>
      <c r="NOQ60" s="220"/>
      <c r="NOR60" s="217"/>
      <c r="NOS60" s="221"/>
      <c r="NOT60" s="216"/>
      <c r="NOU60" s="217"/>
      <c r="NOV60" s="218"/>
      <c r="NOW60" s="219"/>
      <c r="NOX60" s="220"/>
      <c r="NOY60" s="220"/>
      <c r="NOZ60" s="220"/>
      <c r="NPA60" s="220"/>
      <c r="NPB60" s="217"/>
      <c r="NPC60" s="221"/>
      <c r="NPD60" s="216"/>
      <c r="NPE60" s="217"/>
      <c r="NPF60" s="218"/>
      <c r="NPG60" s="219"/>
      <c r="NPH60" s="220"/>
      <c r="NPI60" s="220"/>
      <c r="NPJ60" s="220"/>
      <c r="NPK60" s="220"/>
      <c r="NPL60" s="217"/>
      <c r="NPM60" s="221"/>
      <c r="NPN60" s="216"/>
      <c r="NPO60" s="217"/>
      <c r="NPP60" s="218"/>
      <c r="NPQ60" s="219"/>
      <c r="NPR60" s="220"/>
      <c r="NPS60" s="220"/>
      <c r="NPT60" s="220"/>
      <c r="NPU60" s="220"/>
      <c r="NPV60" s="217"/>
      <c r="NPW60" s="221"/>
      <c r="NPX60" s="216"/>
      <c r="NPY60" s="217"/>
      <c r="NPZ60" s="218"/>
      <c r="NQA60" s="219"/>
      <c r="NQB60" s="220"/>
      <c r="NQC60" s="220"/>
      <c r="NQD60" s="220"/>
      <c r="NQE60" s="220"/>
      <c r="NQF60" s="217"/>
      <c r="NQG60" s="221"/>
      <c r="NQH60" s="216"/>
      <c r="NQI60" s="217"/>
      <c r="NQJ60" s="218"/>
      <c r="NQK60" s="219"/>
      <c r="NQL60" s="220"/>
      <c r="NQM60" s="220"/>
      <c r="NQN60" s="220"/>
      <c r="NQO60" s="220"/>
      <c r="NQP60" s="217"/>
      <c r="NQQ60" s="221"/>
      <c r="NQR60" s="216"/>
      <c r="NQS60" s="217"/>
      <c r="NQT60" s="218"/>
      <c r="NQU60" s="219"/>
      <c r="NQV60" s="220"/>
      <c r="NQW60" s="220"/>
      <c r="NQX60" s="220"/>
      <c r="NQY60" s="220"/>
      <c r="NQZ60" s="217"/>
      <c r="NRA60" s="221"/>
      <c r="NRB60" s="216"/>
      <c r="NRC60" s="217"/>
      <c r="NRD60" s="218"/>
      <c r="NRE60" s="219"/>
      <c r="NRF60" s="220"/>
      <c r="NRG60" s="220"/>
      <c r="NRH60" s="220"/>
      <c r="NRI60" s="220"/>
      <c r="NRJ60" s="217"/>
      <c r="NRK60" s="221"/>
      <c r="NRL60" s="216"/>
      <c r="NRM60" s="217"/>
      <c r="NRN60" s="218"/>
      <c r="NRO60" s="219"/>
      <c r="NRP60" s="220"/>
      <c r="NRQ60" s="220"/>
      <c r="NRR60" s="220"/>
      <c r="NRS60" s="220"/>
      <c r="NRT60" s="217"/>
      <c r="NRU60" s="221"/>
      <c r="NRV60" s="216"/>
      <c r="NRW60" s="217"/>
      <c r="NRX60" s="218"/>
      <c r="NRY60" s="219"/>
      <c r="NRZ60" s="220"/>
      <c r="NSA60" s="220"/>
      <c r="NSB60" s="220"/>
      <c r="NSC60" s="220"/>
      <c r="NSD60" s="217"/>
      <c r="NSE60" s="221"/>
      <c r="NSF60" s="216"/>
      <c r="NSG60" s="217"/>
      <c r="NSH60" s="218"/>
      <c r="NSI60" s="219"/>
      <c r="NSJ60" s="220"/>
      <c r="NSK60" s="220"/>
      <c r="NSL60" s="220"/>
      <c r="NSM60" s="220"/>
      <c r="NSN60" s="217"/>
      <c r="NSO60" s="221"/>
      <c r="NSP60" s="216"/>
      <c r="NSQ60" s="217"/>
      <c r="NSR60" s="218"/>
      <c r="NSS60" s="219"/>
      <c r="NST60" s="220"/>
      <c r="NSU60" s="220"/>
      <c r="NSV60" s="220"/>
      <c r="NSW60" s="220"/>
      <c r="NSX60" s="217"/>
      <c r="NSY60" s="221"/>
      <c r="NSZ60" s="216"/>
      <c r="NTA60" s="217"/>
      <c r="NTB60" s="218"/>
      <c r="NTC60" s="219"/>
      <c r="NTD60" s="220"/>
      <c r="NTE60" s="220"/>
      <c r="NTF60" s="220"/>
      <c r="NTG60" s="220"/>
      <c r="NTH60" s="217"/>
      <c r="NTI60" s="221"/>
      <c r="NTJ60" s="216"/>
      <c r="NTK60" s="217"/>
      <c r="NTL60" s="218"/>
      <c r="NTM60" s="219"/>
      <c r="NTN60" s="220"/>
      <c r="NTO60" s="220"/>
      <c r="NTP60" s="220"/>
      <c r="NTQ60" s="220"/>
      <c r="NTR60" s="217"/>
      <c r="NTS60" s="221"/>
      <c r="NTT60" s="216"/>
      <c r="NTU60" s="217"/>
      <c r="NTV60" s="218"/>
      <c r="NTW60" s="219"/>
      <c r="NTX60" s="220"/>
      <c r="NTY60" s="220"/>
      <c r="NTZ60" s="220"/>
      <c r="NUA60" s="220"/>
      <c r="NUB60" s="217"/>
      <c r="NUC60" s="221"/>
      <c r="NUD60" s="216"/>
      <c r="NUE60" s="217"/>
      <c r="NUF60" s="218"/>
      <c r="NUG60" s="219"/>
      <c r="NUH60" s="220"/>
      <c r="NUI60" s="220"/>
      <c r="NUJ60" s="220"/>
      <c r="NUK60" s="220"/>
      <c r="NUL60" s="217"/>
      <c r="NUM60" s="221"/>
      <c r="NUN60" s="216"/>
      <c r="NUO60" s="217"/>
      <c r="NUP60" s="218"/>
      <c r="NUQ60" s="219"/>
      <c r="NUR60" s="220"/>
      <c r="NUS60" s="220"/>
      <c r="NUT60" s="220"/>
      <c r="NUU60" s="220"/>
      <c r="NUV60" s="217"/>
      <c r="NUW60" s="221"/>
      <c r="NUX60" s="216"/>
      <c r="NUY60" s="217"/>
      <c r="NUZ60" s="218"/>
      <c r="NVA60" s="219"/>
      <c r="NVB60" s="220"/>
      <c r="NVC60" s="220"/>
      <c r="NVD60" s="220"/>
      <c r="NVE60" s="220"/>
      <c r="NVF60" s="217"/>
      <c r="NVG60" s="221"/>
      <c r="NVH60" s="216"/>
      <c r="NVI60" s="217"/>
      <c r="NVJ60" s="218"/>
      <c r="NVK60" s="219"/>
      <c r="NVL60" s="220"/>
      <c r="NVM60" s="220"/>
      <c r="NVN60" s="220"/>
      <c r="NVO60" s="220"/>
      <c r="NVP60" s="217"/>
      <c r="NVQ60" s="221"/>
      <c r="NVR60" s="216"/>
      <c r="NVS60" s="217"/>
      <c r="NVT60" s="218"/>
      <c r="NVU60" s="219"/>
      <c r="NVV60" s="220"/>
      <c r="NVW60" s="220"/>
      <c r="NVX60" s="220"/>
      <c r="NVY60" s="220"/>
      <c r="NVZ60" s="217"/>
      <c r="NWA60" s="221"/>
      <c r="NWB60" s="216"/>
      <c r="NWC60" s="217"/>
      <c r="NWD60" s="218"/>
      <c r="NWE60" s="219"/>
      <c r="NWF60" s="220"/>
      <c r="NWG60" s="220"/>
      <c r="NWH60" s="220"/>
      <c r="NWI60" s="220"/>
      <c r="NWJ60" s="217"/>
      <c r="NWK60" s="221"/>
      <c r="NWL60" s="216"/>
      <c r="NWM60" s="217"/>
      <c r="NWN60" s="218"/>
      <c r="NWO60" s="219"/>
      <c r="NWP60" s="220"/>
      <c r="NWQ60" s="220"/>
      <c r="NWR60" s="220"/>
      <c r="NWS60" s="220"/>
      <c r="NWT60" s="217"/>
      <c r="NWU60" s="221"/>
      <c r="NWV60" s="216"/>
      <c r="NWW60" s="217"/>
      <c r="NWX60" s="218"/>
      <c r="NWY60" s="219"/>
      <c r="NWZ60" s="220"/>
      <c r="NXA60" s="220"/>
      <c r="NXB60" s="220"/>
      <c r="NXC60" s="220"/>
      <c r="NXD60" s="217"/>
      <c r="NXE60" s="221"/>
      <c r="NXF60" s="216"/>
      <c r="NXG60" s="217"/>
      <c r="NXH60" s="218"/>
      <c r="NXI60" s="219"/>
      <c r="NXJ60" s="220"/>
      <c r="NXK60" s="220"/>
      <c r="NXL60" s="220"/>
      <c r="NXM60" s="220"/>
      <c r="NXN60" s="217"/>
      <c r="NXO60" s="221"/>
      <c r="NXP60" s="216"/>
      <c r="NXQ60" s="217"/>
      <c r="NXR60" s="218"/>
      <c r="NXS60" s="219"/>
      <c r="NXT60" s="220"/>
      <c r="NXU60" s="220"/>
      <c r="NXV60" s="220"/>
      <c r="NXW60" s="220"/>
      <c r="NXX60" s="217"/>
      <c r="NXY60" s="221"/>
      <c r="NXZ60" s="216"/>
      <c r="NYA60" s="217"/>
      <c r="NYB60" s="218"/>
      <c r="NYC60" s="219"/>
      <c r="NYD60" s="220"/>
      <c r="NYE60" s="220"/>
      <c r="NYF60" s="220"/>
      <c r="NYG60" s="220"/>
      <c r="NYH60" s="217"/>
      <c r="NYI60" s="221"/>
      <c r="NYJ60" s="216"/>
      <c r="NYK60" s="217"/>
      <c r="NYL60" s="218"/>
      <c r="NYM60" s="219"/>
      <c r="NYN60" s="220"/>
      <c r="NYO60" s="220"/>
      <c r="NYP60" s="220"/>
      <c r="NYQ60" s="220"/>
      <c r="NYR60" s="217"/>
      <c r="NYS60" s="221"/>
      <c r="NYT60" s="216"/>
      <c r="NYU60" s="217"/>
      <c r="NYV60" s="218"/>
      <c r="NYW60" s="219"/>
      <c r="NYX60" s="220"/>
      <c r="NYY60" s="220"/>
      <c r="NYZ60" s="220"/>
      <c r="NZA60" s="220"/>
      <c r="NZB60" s="217"/>
      <c r="NZC60" s="221"/>
      <c r="NZD60" s="216"/>
      <c r="NZE60" s="217"/>
      <c r="NZF60" s="218"/>
      <c r="NZG60" s="219"/>
      <c r="NZH60" s="220"/>
      <c r="NZI60" s="220"/>
      <c r="NZJ60" s="220"/>
      <c r="NZK60" s="220"/>
      <c r="NZL60" s="217"/>
      <c r="NZM60" s="221"/>
      <c r="NZN60" s="216"/>
      <c r="NZO60" s="217"/>
      <c r="NZP60" s="218"/>
      <c r="NZQ60" s="219"/>
      <c r="NZR60" s="220"/>
      <c r="NZS60" s="220"/>
      <c r="NZT60" s="220"/>
      <c r="NZU60" s="220"/>
      <c r="NZV60" s="217"/>
      <c r="NZW60" s="221"/>
      <c r="NZX60" s="216"/>
      <c r="NZY60" s="217"/>
      <c r="NZZ60" s="218"/>
      <c r="OAA60" s="219"/>
      <c r="OAB60" s="220"/>
      <c r="OAC60" s="220"/>
      <c r="OAD60" s="220"/>
      <c r="OAE60" s="220"/>
      <c r="OAF60" s="217"/>
      <c r="OAG60" s="221"/>
      <c r="OAH60" s="216"/>
      <c r="OAI60" s="217"/>
      <c r="OAJ60" s="218"/>
      <c r="OAK60" s="219"/>
      <c r="OAL60" s="220"/>
      <c r="OAM60" s="220"/>
      <c r="OAN60" s="220"/>
      <c r="OAO60" s="220"/>
      <c r="OAP60" s="217"/>
      <c r="OAQ60" s="221"/>
      <c r="OAR60" s="216"/>
      <c r="OAS60" s="217"/>
      <c r="OAT60" s="218"/>
      <c r="OAU60" s="219"/>
      <c r="OAV60" s="220"/>
      <c r="OAW60" s="220"/>
      <c r="OAX60" s="220"/>
      <c r="OAY60" s="220"/>
      <c r="OAZ60" s="217"/>
      <c r="OBA60" s="221"/>
      <c r="OBB60" s="216"/>
      <c r="OBC60" s="217"/>
      <c r="OBD60" s="218"/>
      <c r="OBE60" s="219"/>
      <c r="OBF60" s="220"/>
      <c r="OBG60" s="220"/>
      <c r="OBH60" s="220"/>
      <c r="OBI60" s="220"/>
      <c r="OBJ60" s="217"/>
      <c r="OBK60" s="221"/>
      <c r="OBL60" s="216"/>
      <c r="OBM60" s="217"/>
      <c r="OBN60" s="218"/>
      <c r="OBO60" s="219"/>
      <c r="OBP60" s="220"/>
      <c r="OBQ60" s="220"/>
      <c r="OBR60" s="220"/>
      <c r="OBS60" s="220"/>
      <c r="OBT60" s="217"/>
      <c r="OBU60" s="221"/>
      <c r="OBV60" s="216"/>
      <c r="OBW60" s="217"/>
      <c r="OBX60" s="218"/>
      <c r="OBY60" s="219"/>
      <c r="OBZ60" s="220"/>
      <c r="OCA60" s="220"/>
      <c r="OCB60" s="220"/>
      <c r="OCC60" s="220"/>
      <c r="OCD60" s="217"/>
      <c r="OCE60" s="221"/>
      <c r="OCF60" s="216"/>
      <c r="OCG60" s="217"/>
      <c r="OCH60" s="218"/>
      <c r="OCI60" s="219"/>
      <c r="OCJ60" s="220"/>
      <c r="OCK60" s="220"/>
      <c r="OCL60" s="220"/>
      <c r="OCM60" s="220"/>
      <c r="OCN60" s="217"/>
      <c r="OCO60" s="221"/>
      <c r="OCP60" s="216"/>
      <c r="OCQ60" s="217"/>
      <c r="OCR60" s="218"/>
      <c r="OCS60" s="219"/>
      <c r="OCT60" s="220"/>
      <c r="OCU60" s="220"/>
      <c r="OCV60" s="220"/>
      <c r="OCW60" s="220"/>
      <c r="OCX60" s="217"/>
      <c r="OCY60" s="221"/>
      <c r="OCZ60" s="216"/>
      <c r="ODA60" s="217"/>
      <c r="ODB60" s="218"/>
      <c r="ODC60" s="219"/>
      <c r="ODD60" s="220"/>
      <c r="ODE60" s="220"/>
      <c r="ODF60" s="220"/>
      <c r="ODG60" s="220"/>
      <c r="ODH60" s="217"/>
      <c r="ODI60" s="221"/>
      <c r="ODJ60" s="216"/>
      <c r="ODK60" s="217"/>
      <c r="ODL60" s="218"/>
      <c r="ODM60" s="219"/>
      <c r="ODN60" s="220"/>
      <c r="ODO60" s="220"/>
      <c r="ODP60" s="220"/>
      <c r="ODQ60" s="220"/>
      <c r="ODR60" s="217"/>
      <c r="ODS60" s="221"/>
      <c r="ODT60" s="216"/>
      <c r="ODU60" s="217"/>
      <c r="ODV60" s="218"/>
      <c r="ODW60" s="219"/>
      <c r="ODX60" s="220"/>
      <c r="ODY60" s="220"/>
      <c r="ODZ60" s="220"/>
      <c r="OEA60" s="220"/>
      <c r="OEB60" s="217"/>
      <c r="OEC60" s="221"/>
      <c r="OED60" s="216"/>
      <c r="OEE60" s="217"/>
      <c r="OEF60" s="218"/>
      <c r="OEG60" s="219"/>
      <c r="OEH60" s="220"/>
      <c r="OEI60" s="220"/>
      <c r="OEJ60" s="220"/>
      <c r="OEK60" s="220"/>
      <c r="OEL60" s="217"/>
      <c r="OEM60" s="221"/>
      <c r="OEN60" s="216"/>
      <c r="OEO60" s="217"/>
      <c r="OEP60" s="218"/>
      <c r="OEQ60" s="219"/>
      <c r="OER60" s="220"/>
      <c r="OES60" s="220"/>
      <c r="OET60" s="220"/>
      <c r="OEU60" s="220"/>
      <c r="OEV60" s="217"/>
      <c r="OEW60" s="221"/>
      <c r="OEX60" s="216"/>
      <c r="OEY60" s="217"/>
      <c r="OEZ60" s="218"/>
      <c r="OFA60" s="219"/>
      <c r="OFB60" s="220"/>
      <c r="OFC60" s="220"/>
      <c r="OFD60" s="220"/>
      <c r="OFE60" s="220"/>
      <c r="OFF60" s="217"/>
      <c r="OFG60" s="221"/>
      <c r="OFH60" s="216"/>
      <c r="OFI60" s="217"/>
      <c r="OFJ60" s="218"/>
      <c r="OFK60" s="219"/>
      <c r="OFL60" s="220"/>
      <c r="OFM60" s="220"/>
      <c r="OFN60" s="220"/>
      <c r="OFO60" s="220"/>
      <c r="OFP60" s="217"/>
      <c r="OFQ60" s="221"/>
      <c r="OFR60" s="216"/>
      <c r="OFS60" s="217"/>
      <c r="OFT60" s="218"/>
      <c r="OFU60" s="219"/>
      <c r="OFV60" s="220"/>
      <c r="OFW60" s="220"/>
      <c r="OFX60" s="220"/>
      <c r="OFY60" s="220"/>
      <c r="OFZ60" s="217"/>
      <c r="OGA60" s="221"/>
      <c r="OGB60" s="216"/>
      <c r="OGC60" s="217"/>
      <c r="OGD60" s="218"/>
      <c r="OGE60" s="219"/>
      <c r="OGF60" s="220"/>
      <c r="OGG60" s="220"/>
      <c r="OGH60" s="220"/>
      <c r="OGI60" s="220"/>
      <c r="OGJ60" s="217"/>
      <c r="OGK60" s="221"/>
      <c r="OGL60" s="216"/>
      <c r="OGM60" s="217"/>
      <c r="OGN60" s="218"/>
      <c r="OGO60" s="219"/>
      <c r="OGP60" s="220"/>
      <c r="OGQ60" s="220"/>
      <c r="OGR60" s="220"/>
      <c r="OGS60" s="220"/>
      <c r="OGT60" s="217"/>
      <c r="OGU60" s="221"/>
      <c r="OGV60" s="216"/>
      <c r="OGW60" s="217"/>
      <c r="OGX60" s="218"/>
      <c r="OGY60" s="219"/>
      <c r="OGZ60" s="220"/>
      <c r="OHA60" s="220"/>
      <c r="OHB60" s="220"/>
      <c r="OHC60" s="220"/>
      <c r="OHD60" s="217"/>
      <c r="OHE60" s="221"/>
      <c r="OHF60" s="216"/>
      <c r="OHG60" s="217"/>
      <c r="OHH60" s="218"/>
      <c r="OHI60" s="219"/>
      <c r="OHJ60" s="220"/>
      <c r="OHK60" s="220"/>
      <c r="OHL60" s="220"/>
      <c r="OHM60" s="220"/>
      <c r="OHN60" s="217"/>
      <c r="OHO60" s="221"/>
      <c r="OHP60" s="216"/>
      <c r="OHQ60" s="217"/>
      <c r="OHR60" s="218"/>
      <c r="OHS60" s="219"/>
      <c r="OHT60" s="220"/>
      <c r="OHU60" s="220"/>
      <c r="OHV60" s="220"/>
      <c r="OHW60" s="220"/>
      <c r="OHX60" s="217"/>
      <c r="OHY60" s="221"/>
      <c r="OHZ60" s="216"/>
      <c r="OIA60" s="217"/>
      <c r="OIB60" s="218"/>
      <c r="OIC60" s="219"/>
      <c r="OID60" s="220"/>
      <c r="OIE60" s="220"/>
      <c r="OIF60" s="220"/>
      <c r="OIG60" s="220"/>
      <c r="OIH60" s="217"/>
      <c r="OII60" s="221"/>
      <c r="OIJ60" s="216"/>
      <c r="OIK60" s="217"/>
      <c r="OIL60" s="218"/>
      <c r="OIM60" s="219"/>
      <c r="OIN60" s="220"/>
      <c r="OIO60" s="220"/>
      <c r="OIP60" s="220"/>
      <c r="OIQ60" s="220"/>
      <c r="OIR60" s="217"/>
      <c r="OIS60" s="221"/>
      <c r="OIT60" s="216"/>
      <c r="OIU60" s="217"/>
      <c r="OIV60" s="218"/>
      <c r="OIW60" s="219"/>
      <c r="OIX60" s="220"/>
      <c r="OIY60" s="220"/>
      <c r="OIZ60" s="220"/>
      <c r="OJA60" s="220"/>
      <c r="OJB60" s="217"/>
      <c r="OJC60" s="221"/>
      <c r="OJD60" s="216"/>
      <c r="OJE60" s="217"/>
      <c r="OJF60" s="218"/>
      <c r="OJG60" s="219"/>
      <c r="OJH60" s="220"/>
      <c r="OJI60" s="220"/>
      <c r="OJJ60" s="220"/>
      <c r="OJK60" s="220"/>
      <c r="OJL60" s="217"/>
      <c r="OJM60" s="221"/>
      <c r="OJN60" s="216"/>
      <c r="OJO60" s="217"/>
      <c r="OJP60" s="218"/>
      <c r="OJQ60" s="219"/>
      <c r="OJR60" s="220"/>
      <c r="OJS60" s="220"/>
      <c r="OJT60" s="220"/>
      <c r="OJU60" s="220"/>
      <c r="OJV60" s="217"/>
      <c r="OJW60" s="221"/>
      <c r="OJX60" s="216"/>
      <c r="OJY60" s="217"/>
      <c r="OJZ60" s="218"/>
      <c r="OKA60" s="219"/>
      <c r="OKB60" s="220"/>
      <c r="OKC60" s="220"/>
      <c r="OKD60" s="220"/>
      <c r="OKE60" s="220"/>
      <c r="OKF60" s="217"/>
      <c r="OKG60" s="221"/>
      <c r="OKH60" s="216"/>
      <c r="OKI60" s="217"/>
      <c r="OKJ60" s="218"/>
      <c r="OKK60" s="219"/>
      <c r="OKL60" s="220"/>
      <c r="OKM60" s="220"/>
      <c r="OKN60" s="220"/>
      <c r="OKO60" s="220"/>
      <c r="OKP60" s="217"/>
      <c r="OKQ60" s="221"/>
      <c r="OKR60" s="216"/>
      <c r="OKS60" s="217"/>
      <c r="OKT60" s="218"/>
      <c r="OKU60" s="219"/>
      <c r="OKV60" s="220"/>
      <c r="OKW60" s="220"/>
      <c r="OKX60" s="220"/>
      <c r="OKY60" s="220"/>
      <c r="OKZ60" s="217"/>
      <c r="OLA60" s="221"/>
      <c r="OLB60" s="216"/>
      <c r="OLC60" s="217"/>
      <c r="OLD60" s="218"/>
      <c r="OLE60" s="219"/>
      <c r="OLF60" s="220"/>
      <c r="OLG60" s="220"/>
      <c r="OLH60" s="220"/>
      <c r="OLI60" s="220"/>
      <c r="OLJ60" s="217"/>
      <c r="OLK60" s="221"/>
      <c r="OLL60" s="216"/>
      <c r="OLM60" s="217"/>
      <c r="OLN60" s="218"/>
      <c r="OLO60" s="219"/>
      <c r="OLP60" s="220"/>
      <c r="OLQ60" s="220"/>
      <c r="OLR60" s="220"/>
      <c r="OLS60" s="220"/>
      <c r="OLT60" s="217"/>
      <c r="OLU60" s="221"/>
      <c r="OLV60" s="216"/>
      <c r="OLW60" s="217"/>
      <c r="OLX60" s="218"/>
      <c r="OLY60" s="219"/>
      <c r="OLZ60" s="220"/>
      <c r="OMA60" s="220"/>
      <c r="OMB60" s="220"/>
      <c r="OMC60" s="220"/>
      <c r="OMD60" s="217"/>
      <c r="OME60" s="221"/>
      <c r="OMF60" s="216"/>
      <c r="OMG60" s="217"/>
      <c r="OMH60" s="218"/>
      <c r="OMI60" s="219"/>
      <c r="OMJ60" s="220"/>
      <c r="OMK60" s="220"/>
      <c r="OML60" s="220"/>
      <c r="OMM60" s="220"/>
      <c r="OMN60" s="217"/>
      <c r="OMO60" s="221"/>
      <c r="OMP60" s="216"/>
      <c r="OMQ60" s="217"/>
      <c r="OMR60" s="218"/>
      <c r="OMS60" s="219"/>
      <c r="OMT60" s="220"/>
      <c r="OMU60" s="220"/>
      <c r="OMV60" s="220"/>
      <c r="OMW60" s="220"/>
      <c r="OMX60" s="217"/>
      <c r="OMY60" s="221"/>
      <c r="OMZ60" s="216"/>
      <c r="ONA60" s="217"/>
      <c r="ONB60" s="218"/>
      <c r="ONC60" s="219"/>
      <c r="OND60" s="220"/>
      <c r="ONE60" s="220"/>
      <c r="ONF60" s="220"/>
      <c r="ONG60" s="220"/>
      <c r="ONH60" s="217"/>
      <c r="ONI60" s="221"/>
      <c r="ONJ60" s="216"/>
      <c r="ONK60" s="217"/>
      <c r="ONL60" s="218"/>
      <c r="ONM60" s="219"/>
      <c r="ONN60" s="220"/>
      <c r="ONO60" s="220"/>
      <c r="ONP60" s="220"/>
      <c r="ONQ60" s="220"/>
      <c r="ONR60" s="217"/>
      <c r="ONS60" s="221"/>
      <c r="ONT60" s="216"/>
      <c r="ONU60" s="217"/>
      <c r="ONV60" s="218"/>
      <c r="ONW60" s="219"/>
      <c r="ONX60" s="220"/>
      <c r="ONY60" s="220"/>
      <c r="ONZ60" s="220"/>
      <c r="OOA60" s="220"/>
      <c r="OOB60" s="217"/>
      <c r="OOC60" s="221"/>
      <c r="OOD60" s="216"/>
      <c r="OOE60" s="217"/>
      <c r="OOF60" s="218"/>
      <c r="OOG60" s="219"/>
      <c r="OOH60" s="220"/>
      <c r="OOI60" s="220"/>
      <c r="OOJ60" s="220"/>
      <c r="OOK60" s="220"/>
      <c r="OOL60" s="217"/>
      <c r="OOM60" s="221"/>
      <c r="OON60" s="216"/>
      <c r="OOO60" s="217"/>
      <c r="OOP60" s="218"/>
      <c r="OOQ60" s="219"/>
      <c r="OOR60" s="220"/>
      <c r="OOS60" s="220"/>
      <c r="OOT60" s="220"/>
      <c r="OOU60" s="220"/>
      <c r="OOV60" s="217"/>
      <c r="OOW60" s="221"/>
      <c r="OOX60" s="216"/>
      <c r="OOY60" s="217"/>
      <c r="OOZ60" s="218"/>
      <c r="OPA60" s="219"/>
      <c r="OPB60" s="220"/>
      <c r="OPC60" s="220"/>
      <c r="OPD60" s="220"/>
      <c r="OPE60" s="220"/>
      <c r="OPF60" s="217"/>
      <c r="OPG60" s="221"/>
      <c r="OPH60" s="216"/>
      <c r="OPI60" s="217"/>
      <c r="OPJ60" s="218"/>
      <c r="OPK60" s="219"/>
      <c r="OPL60" s="220"/>
      <c r="OPM60" s="220"/>
      <c r="OPN60" s="220"/>
      <c r="OPO60" s="220"/>
      <c r="OPP60" s="217"/>
      <c r="OPQ60" s="221"/>
      <c r="OPR60" s="216"/>
      <c r="OPS60" s="217"/>
      <c r="OPT60" s="218"/>
      <c r="OPU60" s="219"/>
      <c r="OPV60" s="220"/>
      <c r="OPW60" s="220"/>
      <c r="OPX60" s="220"/>
      <c r="OPY60" s="220"/>
      <c r="OPZ60" s="217"/>
      <c r="OQA60" s="221"/>
      <c r="OQB60" s="216"/>
      <c r="OQC60" s="217"/>
      <c r="OQD60" s="218"/>
      <c r="OQE60" s="219"/>
      <c r="OQF60" s="220"/>
      <c r="OQG60" s="220"/>
      <c r="OQH60" s="220"/>
      <c r="OQI60" s="220"/>
      <c r="OQJ60" s="217"/>
      <c r="OQK60" s="221"/>
      <c r="OQL60" s="216"/>
      <c r="OQM60" s="217"/>
      <c r="OQN60" s="218"/>
      <c r="OQO60" s="219"/>
      <c r="OQP60" s="220"/>
      <c r="OQQ60" s="220"/>
      <c r="OQR60" s="220"/>
      <c r="OQS60" s="220"/>
      <c r="OQT60" s="217"/>
      <c r="OQU60" s="221"/>
      <c r="OQV60" s="216"/>
      <c r="OQW60" s="217"/>
      <c r="OQX60" s="218"/>
      <c r="OQY60" s="219"/>
      <c r="OQZ60" s="220"/>
      <c r="ORA60" s="220"/>
      <c r="ORB60" s="220"/>
      <c r="ORC60" s="220"/>
      <c r="ORD60" s="217"/>
      <c r="ORE60" s="221"/>
      <c r="ORF60" s="216"/>
      <c r="ORG60" s="217"/>
      <c r="ORH60" s="218"/>
      <c r="ORI60" s="219"/>
      <c r="ORJ60" s="220"/>
      <c r="ORK60" s="220"/>
      <c r="ORL60" s="220"/>
      <c r="ORM60" s="220"/>
      <c r="ORN60" s="217"/>
      <c r="ORO60" s="221"/>
      <c r="ORP60" s="216"/>
      <c r="ORQ60" s="217"/>
      <c r="ORR60" s="218"/>
      <c r="ORS60" s="219"/>
      <c r="ORT60" s="220"/>
      <c r="ORU60" s="220"/>
      <c r="ORV60" s="220"/>
      <c r="ORW60" s="220"/>
      <c r="ORX60" s="217"/>
      <c r="ORY60" s="221"/>
      <c r="ORZ60" s="216"/>
      <c r="OSA60" s="217"/>
      <c r="OSB60" s="218"/>
      <c r="OSC60" s="219"/>
      <c r="OSD60" s="220"/>
      <c r="OSE60" s="220"/>
      <c r="OSF60" s="220"/>
      <c r="OSG60" s="220"/>
      <c r="OSH60" s="217"/>
      <c r="OSI60" s="221"/>
      <c r="OSJ60" s="216"/>
      <c r="OSK60" s="217"/>
      <c r="OSL60" s="218"/>
      <c r="OSM60" s="219"/>
      <c r="OSN60" s="220"/>
      <c r="OSO60" s="220"/>
      <c r="OSP60" s="220"/>
      <c r="OSQ60" s="220"/>
      <c r="OSR60" s="217"/>
      <c r="OSS60" s="221"/>
      <c r="OST60" s="216"/>
      <c r="OSU60" s="217"/>
      <c r="OSV60" s="218"/>
      <c r="OSW60" s="219"/>
      <c r="OSX60" s="220"/>
      <c r="OSY60" s="220"/>
      <c r="OSZ60" s="220"/>
      <c r="OTA60" s="220"/>
      <c r="OTB60" s="217"/>
      <c r="OTC60" s="221"/>
      <c r="OTD60" s="216"/>
      <c r="OTE60" s="217"/>
      <c r="OTF60" s="218"/>
      <c r="OTG60" s="219"/>
      <c r="OTH60" s="220"/>
      <c r="OTI60" s="220"/>
      <c r="OTJ60" s="220"/>
      <c r="OTK60" s="220"/>
      <c r="OTL60" s="217"/>
      <c r="OTM60" s="221"/>
      <c r="OTN60" s="216"/>
      <c r="OTO60" s="217"/>
      <c r="OTP60" s="218"/>
      <c r="OTQ60" s="219"/>
      <c r="OTR60" s="220"/>
      <c r="OTS60" s="220"/>
      <c r="OTT60" s="220"/>
      <c r="OTU60" s="220"/>
      <c r="OTV60" s="217"/>
      <c r="OTW60" s="221"/>
      <c r="OTX60" s="216"/>
      <c r="OTY60" s="217"/>
      <c r="OTZ60" s="218"/>
      <c r="OUA60" s="219"/>
      <c r="OUB60" s="220"/>
      <c r="OUC60" s="220"/>
      <c r="OUD60" s="220"/>
      <c r="OUE60" s="220"/>
      <c r="OUF60" s="217"/>
      <c r="OUG60" s="221"/>
      <c r="OUH60" s="216"/>
      <c r="OUI60" s="217"/>
      <c r="OUJ60" s="218"/>
      <c r="OUK60" s="219"/>
      <c r="OUL60" s="220"/>
      <c r="OUM60" s="220"/>
      <c r="OUN60" s="220"/>
      <c r="OUO60" s="220"/>
      <c r="OUP60" s="217"/>
      <c r="OUQ60" s="221"/>
      <c r="OUR60" s="216"/>
      <c r="OUS60" s="217"/>
      <c r="OUT60" s="218"/>
      <c r="OUU60" s="219"/>
      <c r="OUV60" s="220"/>
      <c r="OUW60" s="220"/>
      <c r="OUX60" s="220"/>
      <c r="OUY60" s="220"/>
      <c r="OUZ60" s="217"/>
      <c r="OVA60" s="221"/>
      <c r="OVB60" s="216"/>
      <c r="OVC60" s="217"/>
      <c r="OVD60" s="218"/>
      <c r="OVE60" s="219"/>
      <c r="OVF60" s="220"/>
      <c r="OVG60" s="220"/>
      <c r="OVH60" s="220"/>
      <c r="OVI60" s="220"/>
      <c r="OVJ60" s="217"/>
      <c r="OVK60" s="221"/>
      <c r="OVL60" s="216"/>
      <c r="OVM60" s="217"/>
      <c r="OVN60" s="218"/>
      <c r="OVO60" s="219"/>
      <c r="OVP60" s="220"/>
      <c r="OVQ60" s="220"/>
      <c r="OVR60" s="220"/>
      <c r="OVS60" s="220"/>
      <c r="OVT60" s="217"/>
      <c r="OVU60" s="221"/>
      <c r="OVV60" s="216"/>
      <c r="OVW60" s="217"/>
      <c r="OVX60" s="218"/>
      <c r="OVY60" s="219"/>
      <c r="OVZ60" s="220"/>
      <c r="OWA60" s="220"/>
      <c r="OWB60" s="220"/>
      <c r="OWC60" s="220"/>
      <c r="OWD60" s="217"/>
      <c r="OWE60" s="221"/>
      <c r="OWF60" s="216"/>
      <c r="OWG60" s="217"/>
      <c r="OWH60" s="218"/>
      <c r="OWI60" s="219"/>
      <c r="OWJ60" s="220"/>
      <c r="OWK60" s="220"/>
      <c r="OWL60" s="220"/>
      <c r="OWM60" s="220"/>
      <c r="OWN60" s="217"/>
      <c r="OWO60" s="221"/>
      <c r="OWP60" s="216"/>
      <c r="OWQ60" s="217"/>
      <c r="OWR60" s="218"/>
      <c r="OWS60" s="219"/>
      <c r="OWT60" s="220"/>
      <c r="OWU60" s="220"/>
      <c r="OWV60" s="220"/>
      <c r="OWW60" s="220"/>
      <c r="OWX60" s="217"/>
      <c r="OWY60" s="221"/>
      <c r="OWZ60" s="216"/>
      <c r="OXA60" s="217"/>
      <c r="OXB60" s="218"/>
      <c r="OXC60" s="219"/>
      <c r="OXD60" s="220"/>
      <c r="OXE60" s="220"/>
      <c r="OXF60" s="220"/>
      <c r="OXG60" s="220"/>
      <c r="OXH60" s="217"/>
      <c r="OXI60" s="221"/>
      <c r="OXJ60" s="216"/>
      <c r="OXK60" s="217"/>
      <c r="OXL60" s="218"/>
      <c r="OXM60" s="219"/>
      <c r="OXN60" s="220"/>
      <c r="OXO60" s="220"/>
      <c r="OXP60" s="220"/>
      <c r="OXQ60" s="220"/>
      <c r="OXR60" s="217"/>
      <c r="OXS60" s="221"/>
      <c r="OXT60" s="216"/>
      <c r="OXU60" s="217"/>
      <c r="OXV60" s="218"/>
      <c r="OXW60" s="219"/>
      <c r="OXX60" s="220"/>
      <c r="OXY60" s="220"/>
      <c r="OXZ60" s="220"/>
      <c r="OYA60" s="220"/>
      <c r="OYB60" s="217"/>
      <c r="OYC60" s="221"/>
      <c r="OYD60" s="216"/>
      <c r="OYE60" s="217"/>
      <c r="OYF60" s="218"/>
      <c r="OYG60" s="219"/>
      <c r="OYH60" s="220"/>
      <c r="OYI60" s="220"/>
      <c r="OYJ60" s="220"/>
      <c r="OYK60" s="220"/>
      <c r="OYL60" s="217"/>
      <c r="OYM60" s="221"/>
      <c r="OYN60" s="216"/>
      <c r="OYO60" s="217"/>
      <c r="OYP60" s="218"/>
      <c r="OYQ60" s="219"/>
      <c r="OYR60" s="220"/>
      <c r="OYS60" s="220"/>
      <c r="OYT60" s="220"/>
      <c r="OYU60" s="220"/>
      <c r="OYV60" s="217"/>
      <c r="OYW60" s="221"/>
      <c r="OYX60" s="216"/>
      <c r="OYY60" s="217"/>
      <c r="OYZ60" s="218"/>
      <c r="OZA60" s="219"/>
      <c r="OZB60" s="220"/>
      <c r="OZC60" s="220"/>
      <c r="OZD60" s="220"/>
      <c r="OZE60" s="220"/>
      <c r="OZF60" s="217"/>
      <c r="OZG60" s="221"/>
      <c r="OZH60" s="216"/>
      <c r="OZI60" s="217"/>
      <c r="OZJ60" s="218"/>
      <c r="OZK60" s="219"/>
      <c r="OZL60" s="220"/>
      <c r="OZM60" s="220"/>
      <c r="OZN60" s="220"/>
      <c r="OZO60" s="220"/>
      <c r="OZP60" s="217"/>
      <c r="OZQ60" s="221"/>
      <c r="OZR60" s="216"/>
      <c r="OZS60" s="217"/>
      <c r="OZT60" s="218"/>
      <c r="OZU60" s="219"/>
      <c r="OZV60" s="220"/>
      <c r="OZW60" s="220"/>
      <c r="OZX60" s="220"/>
      <c r="OZY60" s="220"/>
      <c r="OZZ60" s="217"/>
      <c r="PAA60" s="221"/>
      <c r="PAB60" s="216"/>
      <c r="PAC60" s="217"/>
      <c r="PAD60" s="218"/>
      <c r="PAE60" s="219"/>
      <c r="PAF60" s="220"/>
      <c r="PAG60" s="220"/>
      <c r="PAH60" s="220"/>
      <c r="PAI60" s="220"/>
      <c r="PAJ60" s="217"/>
      <c r="PAK60" s="221"/>
      <c r="PAL60" s="216"/>
      <c r="PAM60" s="217"/>
      <c r="PAN60" s="218"/>
      <c r="PAO60" s="219"/>
      <c r="PAP60" s="220"/>
      <c r="PAQ60" s="220"/>
      <c r="PAR60" s="220"/>
      <c r="PAS60" s="220"/>
      <c r="PAT60" s="217"/>
      <c r="PAU60" s="221"/>
      <c r="PAV60" s="216"/>
      <c r="PAW60" s="217"/>
      <c r="PAX60" s="218"/>
      <c r="PAY60" s="219"/>
      <c r="PAZ60" s="220"/>
      <c r="PBA60" s="220"/>
      <c r="PBB60" s="220"/>
      <c r="PBC60" s="220"/>
      <c r="PBD60" s="217"/>
      <c r="PBE60" s="221"/>
      <c r="PBF60" s="216"/>
      <c r="PBG60" s="217"/>
      <c r="PBH60" s="218"/>
      <c r="PBI60" s="219"/>
      <c r="PBJ60" s="220"/>
      <c r="PBK60" s="220"/>
      <c r="PBL60" s="220"/>
      <c r="PBM60" s="220"/>
      <c r="PBN60" s="217"/>
      <c r="PBO60" s="221"/>
      <c r="PBP60" s="216"/>
      <c r="PBQ60" s="217"/>
      <c r="PBR60" s="218"/>
      <c r="PBS60" s="219"/>
      <c r="PBT60" s="220"/>
      <c r="PBU60" s="220"/>
      <c r="PBV60" s="220"/>
      <c r="PBW60" s="220"/>
      <c r="PBX60" s="217"/>
      <c r="PBY60" s="221"/>
      <c r="PBZ60" s="216"/>
      <c r="PCA60" s="217"/>
      <c r="PCB60" s="218"/>
      <c r="PCC60" s="219"/>
      <c r="PCD60" s="220"/>
      <c r="PCE60" s="220"/>
      <c r="PCF60" s="220"/>
      <c r="PCG60" s="220"/>
      <c r="PCH60" s="217"/>
      <c r="PCI60" s="221"/>
      <c r="PCJ60" s="216"/>
      <c r="PCK60" s="217"/>
      <c r="PCL60" s="218"/>
      <c r="PCM60" s="219"/>
      <c r="PCN60" s="220"/>
      <c r="PCO60" s="220"/>
      <c r="PCP60" s="220"/>
      <c r="PCQ60" s="220"/>
      <c r="PCR60" s="217"/>
      <c r="PCS60" s="221"/>
      <c r="PCT60" s="216"/>
      <c r="PCU60" s="217"/>
      <c r="PCV60" s="218"/>
      <c r="PCW60" s="219"/>
      <c r="PCX60" s="220"/>
      <c r="PCY60" s="220"/>
      <c r="PCZ60" s="220"/>
      <c r="PDA60" s="220"/>
      <c r="PDB60" s="217"/>
      <c r="PDC60" s="221"/>
      <c r="PDD60" s="216"/>
      <c r="PDE60" s="217"/>
      <c r="PDF60" s="218"/>
      <c r="PDG60" s="219"/>
      <c r="PDH60" s="220"/>
      <c r="PDI60" s="220"/>
      <c r="PDJ60" s="220"/>
      <c r="PDK60" s="220"/>
      <c r="PDL60" s="217"/>
      <c r="PDM60" s="221"/>
      <c r="PDN60" s="216"/>
      <c r="PDO60" s="217"/>
      <c r="PDP60" s="218"/>
      <c r="PDQ60" s="219"/>
      <c r="PDR60" s="220"/>
      <c r="PDS60" s="220"/>
      <c r="PDT60" s="220"/>
      <c r="PDU60" s="220"/>
      <c r="PDV60" s="217"/>
      <c r="PDW60" s="221"/>
      <c r="PDX60" s="216"/>
      <c r="PDY60" s="217"/>
      <c r="PDZ60" s="218"/>
      <c r="PEA60" s="219"/>
      <c r="PEB60" s="220"/>
      <c r="PEC60" s="220"/>
      <c r="PED60" s="220"/>
      <c r="PEE60" s="220"/>
      <c r="PEF60" s="217"/>
      <c r="PEG60" s="221"/>
      <c r="PEH60" s="216"/>
      <c r="PEI60" s="217"/>
      <c r="PEJ60" s="218"/>
      <c r="PEK60" s="219"/>
      <c r="PEL60" s="220"/>
      <c r="PEM60" s="220"/>
      <c r="PEN60" s="220"/>
      <c r="PEO60" s="220"/>
      <c r="PEP60" s="217"/>
      <c r="PEQ60" s="221"/>
      <c r="PER60" s="216"/>
      <c r="PES60" s="217"/>
      <c r="PET60" s="218"/>
      <c r="PEU60" s="219"/>
      <c r="PEV60" s="220"/>
      <c r="PEW60" s="220"/>
      <c r="PEX60" s="220"/>
      <c r="PEY60" s="220"/>
      <c r="PEZ60" s="217"/>
      <c r="PFA60" s="221"/>
      <c r="PFB60" s="216"/>
      <c r="PFC60" s="217"/>
      <c r="PFD60" s="218"/>
      <c r="PFE60" s="219"/>
      <c r="PFF60" s="220"/>
      <c r="PFG60" s="220"/>
      <c r="PFH60" s="220"/>
      <c r="PFI60" s="220"/>
      <c r="PFJ60" s="217"/>
      <c r="PFK60" s="221"/>
      <c r="PFL60" s="216"/>
      <c r="PFM60" s="217"/>
      <c r="PFN60" s="218"/>
      <c r="PFO60" s="219"/>
      <c r="PFP60" s="220"/>
      <c r="PFQ60" s="220"/>
      <c r="PFR60" s="220"/>
      <c r="PFS60" s="220"/>
      <c r="PFT60" s="217"/>
      <c r="PFU60" s="221"/>
      <c r="PFV60" s="216"/>
      <c r="PFW60" s="217"/>
      <c r="PFX60" s="218"/>
      <c r="PFY60" s="219"/>
      <c r="PFZ60" s="220"/>
      <c r="PGA60" s="220"/>
      <c r="PGB60" s="220"/>
      <c r="PGC60" s="220"/>
      <c r="PGD60" s="217"/>
      <c r="PGE60" s="221"/>
      <c r="PGF60" s="216"/>
      <c r="PGG60" s="217"/>
      <c r="PGH60" s="218"/>
      <c r="PGI60" s="219"/>
      <c r="PGJ60" s="220"/>
      <c r="PGK60" s="220"/>
      <c r="PGL60" s="220"/>
      <c r="PGM60" s="220"/>
      <c r="PGN60" s="217"/>
      <c r="PGO60" s="221"/>
      <c r="PGP60" s="216"/>
      <c r="PGQ60" s="217"/>
      <c r="PGR60" s="218"/>
      <c r="PGS60" s="219"/>
      <c r="PGT60" s="220"/>
      <c r="PGU60" s="220"/>
      <c r="PGV60" s="220"/>
      <c r="PGW60" s="220"/>
      <c r="PGX60" s="217"/>
      <c r="PGY60" s="221"/>
      <c r="PGZ60" s="216"/>
      <c r="PHA60" s="217"/>
      <c r="PHB60" s="218"/>
      <c r="PHC60" s="219"/>
      <c r="PHD60" s="220"/>
      <c r="PHE60" s="220"/>
      <c r="PHF60" s="220"/>
      <c r="PHG60" s="220"/>
      <c r="PHH60" s="217"/>
      <c r="PHI60" s="221"/>
      <c r="PHJ60" s="216"/>
      <c r="PHK60" s="217"/>
      <c r="PHL60" s="218"/>
      <c r="PHM60" s="219"/>
      <c r="PHN60" s="220"/>
      <c r="PHO60" s="220"/>
      <c r="PHP60" s="220"/>
      <c r="PHQ60" s="220"/>
      <c r="PHR60" s="217"/>
      <c r="PHS60" s="221"/>
      <c r="PHT60" s="216"/>
      <c r="PHU60" s="217"/>
      <c r="PHV60" s="218"/>
      <c r="PHW60" s="219"/>
      <c r="PHX60" s="220"/>
      <c r="PHY60" s="220"/>
      <c r="PHZ60" s="220"/>
      <c r="PIA60" s="220"/>
      <c r="PIB60" s="217"/>
      <c r="PIC60" s="221"/>
      <c r="PID60" s="216"/>
      <c r="PIE60" s="217"/>
      <c r="PIF60" s="218"/>
      <c r="PIG60" s="219"/>
      <c r="PIH60" s="220"/>
      <c r="PII60" s="220"/>
      <c r="PIJ60" s="220"/>
      <c r="PIK60" s="220"/>
      <c r="PIL60" s="217"/>
      <c r="PIM60" s="221"/>
      <c r="PIN60" s="216"/>
      <c r="PIO60" s="217"/>
      <c r="PIP60" s="218"/>
      <c r="PIQ60" s="219"/>
      <c r="PIR60" s="220"/>
      <c r="PIS60" s="220"/>
      <c r="PIT60" s="220"/>
      <c r="PIU60" s="220"/>
      <c r="PIV60" s="217"/>
      <c r="PIW60" s="221"/>
      <c r="PIX60" s="216"/>
      <c r="PIY60" s="217"/>
      <c r="PIZ60" s="218"/>
      <c r="PJA60" s="219"/>
      <c r="PJB60" s="220"/>
      <c r="PJC60" s="220"/>
      <c r="PJD60" s="220"/>
      <c r="PJE60" s="220"/>
      <c r="PJF60" s="217"/>
      <c r="PJG60" s="221"/>
      <c r="PJH60" s="216"/>
      <c r="PJI60" s="217"/>
      <c r="PJJ60" s="218"/>
      <c r="PJK60" s="219"/>
      <c r="PJL60" s="220"/>
      <c r="PJM60" s="220"/>
      <c r="PJN60" s="220"/>
      <c r="PJO60" s="220"/>
      <c r="PJP60" s="217"/>
      <c r="PJQ60" s="221"/>
      <c r="PJR60" s="216"/>
      <c r="PJS60" s="217"/>
      <c r="PJT60" s="218"/>
      <c r="PJU60" s="219"/>
      <c r="PJV60" s="220"/>
      <c r="PJW60" s="220"/>
      <c r="PJX60" s="220"/>
      <c r="PJY60" s="220"/>
      <c r="PJZ60" s="217"/>
      <c r="PKA60" s="221"/>
      <c r="PKB60" s="216"/>
      <c r="PKC60" s="217"/>
      <c r="PKD60" s="218"/>
      <c r="PKE60" s="219"/>
      <c r="PKF60" s="220"/>
      <c r="PKG60" s="220"/>
      <c r="PKH60" s="220"/>
      <c r="PKI60" s="220"/>
      <c r="PKJ60" s="217"/>
      <c r="PKK60" s="221"/>
      <c r="PKL60" s="216"/>
      <c r="PKM60" s="217"/>
      <c r="PKN60" s="218"/>
      <c r="PKO60" s="219"/>
      <c r="PKP60" s="220"/>
      <c r="PKQ60" s="220"/>
      <c r="PKR60" s="220"/>
      <c r="PKS60" s="220"/>
      <c r="PKT60" s="217"/>
      <c r="PKU60" s="221"/>
      <c r="PKV60" s="216"/>
      <c r="PKW60" s="217"/>
      <c r="PKX60" s="218"/>
      <c r="PKY60" s="219"/>
      <c r="PKZ60" s="220"/>
      <c r="PLA60" s="220"/>
      <c r="PLB60" s="220"/>
      <c r="PLC60" s="220"/>
      <c r="PLD60" s="217"/>
      <c r="PLE60" s="221"/>
      <c r="PLF60" s="216"/>
      <c r="PLG60" s="217"/>
      <c r="PLH60" s="218"/>
      <c r="PLI60" s="219"/>
      <c r="PLJ60" s="220"/>
      <c r="PLK60" s="220"/>
      <c r="PLL60" s="220"/>
      <c r="PLM60" s="220"/>
      <c r="PLN60" s="217"/>
      <c r="PLO60" s="221"/>
      <c r="PLP60" s="216"/>
      <c r="PLQ60" s="217"/>
      <c r="PLR60" s="218"/>
      <c r="PLS60" s="219"/>
      <c r="PLT60" s="220"/>
      <c r="PLU60" s="220"/>
      <c r="PLV60" s="220"/>
      <c r="PLW60" s="220"/>
      <c r="PLX60" s="217"/>
      <c r="PLY60" s="221"/>
      <c r="PLZ60" s="216"/>
      <c r="PMA60" s="217"/>
      <c r="PMB60" s="218"/>
      <c r="PMC60" s="219"/>
      <c r="PMD60" s="220"/>
      <c r="PME60" s="220"/>
      <c r="PMF60" s="220"/>
      <c r="PMG60" s="220"/>
      <c r="PMH60" s="217"/>
      <c r="PMI60" s="221"/>
      <c r="PMJ60" s="216"/>
      <c r="PMK60" s="217"/>
      <c r="PML60" s="218"/>
      <c r="PMM60" s="219"/>
      <c r="PMN60" s="220"/>
      <c r="PMO60" s="220"/>
      <c r="PMP60" s="220"/>
      <c r="PMQ60" s="220"/>
      <c r="PMR60" s="217"/>
      <c r="PMS60" s="221"/>
      <c r="PMT60" s="216"/>
      <c r="PMU60" s="217"/>
      <c r="PMV60" s="218"/>
      <c r="PMW60" s="219"/>
      <c r="PMX60" s="220"/>
      <c r="PMY60" s="220"/>
      <c r="PMZ60" s="220"/>
      <c r="PNA60" s="220"/>
      <c r="PNB60" s="217"/>
      <c r="PNC60" s="221"/>
      <c r="PND60" s="216"/>
      <c r="PNE60" s="217"/>
      <c r="PNF60" s="218"/>
      <c r="PNG60" s="219"/>
      <c r="PNH60" s="220"/>
      <c r="PNI60" s="220"/>
      <c r="PNJ60" s="220"/>
      <c r="PNK60" s="220"/>
      <c r="PNL60" s="217"/>
      <c r="PNM60" s="221"/>
      <c r="PNN60" s="216"/>
      <c r="PNO60" s="217"/>
      <c r="PNP60" s="218"/>
      <c r="PNQ60" s="219"/>
      <c r="PNR60" s="220"/>
      <c r="PNS60" s="220"/>
      <c r="PNT60" s="220"/>
      <c r="PNU60" s="220"/>
      <c r="PNV60" s="217"/>
      <c r="PNW60" s="221"/>
      <c r="PNX60" s="216"/>
      <c r="PNY60" s="217"/>
      <c r="PNZ60" s="218"/>
      <c r="POA60" s="219"/>
      <c r="POB60" s="220"/>
      <c r="POC60" s="220"/>
      <c r="POD60" s="220"/>
      <c r="POE60" s="220"/>
      <c r="POF60" s="217"/>
      <c r="POG60" s="221"/>
      <c r="POH60" s="216"/>
      <c r="POI60" s="217"/>
      <c r="POJ60" s="218"/>
      <c r="POK60" s="219"/>
      <c r="POL60" s="220"/>
      <c r="POM60" s="220"/>
      <c r="PON60" s="220"/>
      <c r="POO60" s="220"/>
      <c r="POP60" s="217"/>
      <c r="POQ60" s="221"/>
      <c r="POR60" s="216"/>
      <c r="POS60" s="217"/>
      <c r="POT60" s="218"/>
      <c r="POU60" s="219"/>
      <c r="POV60" s="220"/>
      <c r="POW60" s="220"/>
      <c r="POX60" s="220"/>
      <c r="POY60" s="220"/>
      <c r="POZ60" s="217"/>
      <c r="PPA60" s="221"/>
      <c r="PPB60" s="216"/>
      <c r="PPC60" s="217"/>
      <c r="PPD60" s="218"/>
      <c r="PPE60" s="219"/>
      <c r="PPF60" s="220"/>
      <c r="PPG60" s="220"/>
      <c r="PPH60" s="220"/>
      <c r="PPI60" s="220"/>
      <c r="PPJ60" s="217"/>
      <c r="PPK60" s="221"/>
      <c r="PPL60" s="216"/>
      <c r="PPM60" s="217"/>
      <c r="PPN60" s="218"/>
      <c r="PPO60" s="219"/>
      <c r="PPP60" s="220"/>
      <c r="PPQ60" s="220"/>
      <c r="PPR60" s="220"/>
      <c r="PPS60" s="220"/>
      <c r="PPT60" s="217"/>
      <c r="PPU60" s="221"/>
      <c r="PPV60" s="216"/>
      <c r="PPW60" s="217"/>
      <c r="PPX60" s="218"/>
      <c r="PPY60" s="219"/>
      <c r="PPZ60" s="220"/>
      <c r="PQA60" s="220"/>
      <c r="PQB60" s="220"/>
      <c r="PQC60" s="220"/>
      <c r="PQD60" s="217"/>
      <c r="PQE60" s="221"/>
      <c r="PQF60" s="216"/>
      <c r="PQG60" s="217"/>
      <c r="PQH60" s="218"/>
      <c r="PQI60" s="219"/>
      <c r="PQJ60" s="220"/>
      <c r="PQK60" s="220"/>
      <c r="PQL60" s="220"/>
      <c r="PQM60" s="220"/>
      <c r="PQN60" s="217"/>
      <c r="PQO60" s="221"/>
      <c r="PQP60" s="216"/>
      <c r="PQQ60" s="217"/>
      <c r="PQR60" s="218"/>
      <c r="PQS60" s="219"/>
      <c r="PQT60" s="220"/>
      <c r="PQU60" s="220"/>
      <c r="PQV60" s="220"/>
      <c r="PQW60" s="220"/>
      <c r="PQX60" s="217"/>
      <c r="PQY60" s="221"/>
      <c r="PQZ60" s="216"/>
      <c r="PRA60" s="217"/>
      <c r="PRB60" s="218"/>
      <c r="PRC60" s="219"/>
      <c r="PRD60" s="220"/>
      <c r="PRE60" s="220"/>
      <c r="PRF60" s="220"/>
      <c r="PRG60" s="220"/>
      <c r="PRH60" s="217"/>
      <c r="PRI60" s="221"/>
      <c r="PRJ60" s="216"/>
      <c r="PRK60" s="217"/>
      <c r="PRL60" s="218"/>
      <c r="PRM60" s="219"/>
      <c r="PRN60" s="220"/>
      <c r="PRO60" s="220"/>
      <c r="PRP60" s="220"/>
      <c r="PRQ60" s="220"/>
      <c r="PRR60" s="217"/>
      <c r="PRS60" s="221"/>
      <c r="PRT60" s="216"/>
      <c r="PRU60" s="217"/>
      <c r="PRV60" s="218"/>
      <c r="PRW60" s="219"/>
      <c r="PRX60" s="220"/>
      <c r="PRY60" s="220"/>
      <c r="PRZ60" s="220"/>
      <c r="PSA60" s="220"/>
      <c r="PSB60" s="217"/>
      <c r="PSC60" s="221"/>
      <c r="PSD60" s="216"/>
      <c r="PSE60" s="217"/>
      <c r="PSF60" s="218"/>
      <c r="PSG60" s="219"/>
      <c r="PSH60" s="220"/>
      <c r="PSI60" s="220"/>
      <c r="PSJ60" s="220"/>
      <c r="PSK60" s="220"/>
      <c r="PSL60" s="217"/>
      <c r="PSM60" s="221"/>
      <c r="PSN60" s="216"/>
      <c r="PSO60" s="217"/>
      <c r="PSP60" s="218"/>
      <c r="PSQ60" s="219"/>
      <c r="PSR60" s="220"/>
      <c r="PSS60" s="220"/>
      <c r="PST60" s="220"/>
      <c r="PSU60" s="220"/>
      <c r="PSV60" s="217"/>
      <c r="PSW60" s="221"/>
      <c r="PSX60" s="216"/>
      <c r="PSY60" s="217"/>
      <c r="PSZ60" s="218"/>
      <c r="PTA60" s="219"/>
      <c r="PTB60" s="220"/>
      <c r="PTC60" s="220"/>
      <c r="PTD60" s="220"/>
      <c r="PTE60" s="220"/>
      <c r="PTF60" s="217"/>
      <c r="PTG60" s="221"/>
      <c r="PTH60" s="216"/>
      <c r="PTI60" s="217"/>
      <c r="PTJ60" s="218"/>
      <c r="PTK60" s="219"/>
      <c r="PTL60" s="220"/>
      <c r="PTM60" s="220"/>
      <c r="PTN60" s="220"/>
      <c r="PTO60" s="220"/>
      <c r="PTP60" s="217"/>
      <c r="PTQ60" s="221"/>
      <c r="PTR60" s="216"/>
      <c r="PTS60" s="217"/>
      <c r="PTT60" s="218"/>
      <c r="PTU60" s="219"/>
      <c r="PTV60" s="220"/>
      <c r="PTW60" s="220"/>
      <c r="PTX60" s="220"/>
      <c r="PTY60" s="220"/>
      <c r="PTZ60" s="217"/>
      <c r="PUA60" s="221"/>
      <c r="PUB60" s="216"/>
      <c r="PUC60" s="217"/>
      <c r="PUD60" s="218"/>
      <c r="PUE60" s="219"/>
      <c r="PUF60" s="220"/>
      <c r="PUG60" s="220"/>
      <c r="PUH60" s="220"/>
      <c r="PUI60" s="220"/>
      <c r="PUJ60" s="217"/>
      <c r="PUK60" s="221"/>
      <c r="PUL60" s="216"/>
      <c r="PUM60" s="217"/>
      <c r="PUN60" s="218"/>
      <c r="PUO60" s="219"/>
      <c r="PUP60" s="220"/>
      <c r="PUQ60" s="220"/>
      <c r="PUR60" s="220"/>
      <c r="PUS60" s="220"/>
      <c r="PUT60" s="217"/>
      <c r="PUU60" s="221"/>
      <c r="PUV60" s="216"/>
      <c r="PUW60" s="217"/>
      <c r="PUX60" s="218"/>
      <c r="PUY60" s="219"/>
      <c r="PUZ60" s="220"/>
      <c r="PVA60" s="220"/>
      <c r="PVB60" s="220"/>
      <c r="PVC60" s="220"/>
      <c r="PVD60" s="217"/>
      <c r="PVE60" s="221"/>
      <c r="PVF60" s="216"/>
      <c r="PVG60" s="217"/>
      <c r="PVH60" s="218"/>
      <c r="PVI60" s="219"/>
      <c r="PVJ60" s="220"/>
      <c r="PVK60" s="220"/>
      <c r="PVL60" s="220"/>
      <c r="PVM60" s="220"/>
      <c r="PVN60" s="217"/>
      <c r="PVO60" s="221"/>
      <c r="PVP60" s="216"/>
      <c r="PVQ60" s="217"/>
      <c r="PVR60" s="218"/>
      <c r="PVS60" s="219"/>
      <c r="PVT60" s="220"/>
      <c r="PVU60" s="220"/>
      <c r="PVV60" s="220"/>
      <c r="PVW60" s="220"/>
      <c r="PVX60" s="217"/>
      <c r="PVY60" s="221"/>
      <c r="PVZ60" s="216"/>
      <c r="PWA60" s="217"/>
      <c r="PWB60" s="218"/>
      <c r="PWC60" s="219"/>
      <c r="PWD60" s="220"/>
      <c r="PWE60" s="220"/>
      <c r="PWF60" s="220"/>
      <c r="PWG60" s="220"/>
      <c r="PWH60" s="217"/>
      <c r="PWI60" s="221"/>
      <c r="PWJ60" s="216"/>
      <c r="PWK60" s="217"/>
      <c r="PWL60" s="218"/>
      <c r="PWM60" s="219"/>
      <c r="PWN60" s="220"/>
      <c r="PWO60" s="220"/>
      <c r="PWP60" s="220"/>
      <c r="PWQ60" s="220"/>
      <c r="PWR60" s="217"/>
      <c r="PWS60" s="221"/>
      <c r="PWT60" s="216"/>
      <c r="PWU60" s="217"/>
      <c r="PWV60" s="218"/>
      <c r="PWW60" s="219"/>
      <c r="PWX60" s="220"/>
      <c r="PWY60" s="220"/>
      <c r="PWZ60" s="220"/>
      <c r="PXA60" s="220"/>
      <c r="PXB60" s="217"/>
      <c r="PXC60" s="221"/>
      <c r="PXD60" s="216"/>
      <c r="PXE60" s="217"/>
      <c r="PXF60" s="218"/>
      <c r="PXG60" s="219"/>
      <c r="PXH60" s="220"/>
      <c r="PXI60" s="220"/>
      <c r="PXJ60" s="220"/>
      <c r="PXK60" s="220"/>
      <c r="PXL60" s="217"/>
      <c r="PXM60" s="221"/>
      <c r="PXN60" s="216"/>
      <c r="PXO60" s="217"/>
      <c r="PXP60" s="218"/>
      <c r="PXQ60" s="219"/>
      <c r="PXR60" s="220"/>
      <c r="PXS60" s="220"/>
      <c r="PXT60" s="220"/>
      <c r="PXU60" s="220"/>
      <c r="PXV60" s="217"/>
      <c r="PXW60" s="221"/>
      <c r="PXX60" s="216"/>
      <c r="PXY60" s="217"/>
      <c r="PXZ60" s="218"/>
      <c r="PYA60" s="219"/>
      <c r="PYB60" s="220"/>
      <c r="PYC60" s="220"/>
      <c r="PYD60" s="220"/>
      <c r="PYE60" s="220"/>
      <c r="PYF60" s="217"/>
      <c r="PYG60" s="221"/>
      <c r="PYH60" s="216"/>
      <c r="PYI60" s="217"/>
      <c r="PYJ60" s="218"/>
      <c r="PYK60" s="219"/>
      <c r="PYL60" s="220"/>
      <c r="PYM60" s="220"/>
      <c r="PYN60" s="220"/>
      <c r="PYO60" s="220"/>
      <c r="PYP60" s="217"/>
      <c r="PYQ60" s="221"/>
      <c r="PYR60" s="216"/>
      <c r="PYS60" s="217"/>
      <c r="PYT60" s="218"/>
      <c r="PYU60" s="219"/>
      <c r="PYV60" s="220"/>
      <c r="PYW60" s="220"/>
      <c r="PYX60" s="220"/>
      <c r="PYY60" s="220"/>
      <c r="PYZ60" s="217"/>
      <c r="PZA60" s="221"/>
      <c r="PZB60" s="216"/>
      <c r="PZC60" s="217"/>
      <c r="PZD60" s="218"/>
      <c r="PZE60" s="219"/>
      <c r="PZF60" s="220"/>
      <c r="PZG60" s="220"/>
      <c r="PZH60" s="220"/>
      <c r="PZI60" s="220"/>
      <c r="PZJ60" s="217"/>
      <c r="PZK60" s="221"/>
      <c r="PZL60" s="216"/>
      <c r="PZM60" s="217"/>
      <c r="PZN60" s="218"/>
      <c r="PZO60" s="219"/>
      <c r="PZP60" s="220"/>
      <c r="PZQ60" s="220"/>
      <c r="PZR60" s="220"/>
      <c r="PZS60" s="220"/>
      <c r="PZT60" s="217"/>
      <c r="PZU60" s="221"/>
      <c r="PZV60" s="216"/>
      <c r="PZW60" s="217"/>
      <c r="PZX60" s="218"/>
      <c r="PZY60" s="219"/>
      <c r="PZZ60" s="220"/>
      <c r="QAA60" s="220"/>
      <c r="QAB60" s="220"/>
      <c r="QAC60" s="220"/>
      <c r="QAD60" s="217"/>
      <c r="QAE60" s="221"/>
      <c r="QAF60" s="216"/>
      <c r="QAG60" s="217"/>
      <c r="QAH60" s="218"/>
      <c r="QAI60" s="219"/>
      <c r="QAJ60" s="220"/>
      <c r="QAK60" s="220"/>
      <c r="QAL60" s="220"/>
      <c r="QAM60" s="220"/>
      <c r="QAN60" s="217"/>
      <c r="QAO60" s="221"/>
      <c r="QAP60" s="216"/>
      <c r="QAQ60" s="217"/>
      <c r="QAR60" s="218"/>
      <c r="QAS60" s="219"/>
      <c r="QAT60" s="220"/>
      <c r="QAU60" s="220"/>
      <c r="QAV60" s="220"/>
      <c r="QAW60" s="220"/>
      <c r="QAX60" s="217"/>
      <c r="QAY60" s="221"/>
      <c r="QAZ60" s="216"/>
      <c r="QBA60" s="217"/>
      <c r="QBB60" s="218"/>
      <c r="QBC60" s="219"/>
      <c r="QBD60" s="220"/>
      <c r="QBE60" s="220"/>
      <c r="QBF60" s="220"/>
      <c r="QBG60" s="220"/>
      <c r="QBH60" s="217"/>
      <c r="QBI60" s="221"/>
      <c r="QBJ60" s="216"/>
      <c r="QBK60" s="217"/>
      <c r="QBL60" s="218"/>
      <c r="QBM60" s="219"/>
      <c r="QBN60" s="220"/>
      <c r="QBO60" s="220"/>
      <c r="QBP60" s="220"/>
      <c r="QBQ60" s="220"/>
      <c r="QBR60" s="217"/>
      <c r="QBS60" s="221"/>
      <c r="QBT60" s="216"/>
      <c r="QBU60" s="217"/>
      <c r="QBV60" s="218"/>
      <c r="QBW60" s="219"/>
      <c r="QBX60" s="220"/>
      <c r="QBY60" s="220"/>
      <c r="QBZ60" s="220"/>
      <c r="QCA60" s="220"/>
      <c r="QCB60" s="217"/>
      <c r="QCC60" s="221"/>
      <c r="QCD60" s="216"/>
      <c r="QCE60" s="217"/>
      <c r="QCF60" s="218"/>
      <c r="QCG60" s="219"/>
      <c r="QCH60" s="220"/>
      <c r="QCI60" s="220"/>
      <c r="QCJ60" s="220"/>
      <c r="QCK60" s="220"/>
      <c r="QCL60" s="217"/>
      <c r="QCM60" s="221"/>
      <c r="QCN60" s="216"/>
      <c r="QCO60" s="217"/>
      <c r="QCP60" s="218"/>
      <c r="QCQ60" s="219"/>
      <c r="QCR60" s="220"/>
      <c r="QCS60" s="220"/>
      <c r="QCT60" s="220"/>
      <c r="QCU60" s="220"/>
      <c r="QCV60" s="217"/>
      <c r="QCW60" s="221"/>
      <c r="QCX60" s="216"/>
      <c r="QCY60" s="217"/>
      <c r="QCZ60" s="218"/>
      <c r="QDA60" s="219"/>
      <c r="QDB60" s="220"/>
      <c r="QDC60" s="220"/>
      <c r="QDD60" s="220"/>
      <c r="QDE60" s="220"/>
      <c r="QDF60" s="217"/>
      <c r="QDG60" s="221"/>
      <c r="QDH60" s="216"/>
      <c r="QDI60" s="217"/>
      <c r="QDJ60" s="218"/>
      <c r="QDK60" s="219"/>
      <c r="QDL60" s="220"/>
      <c r="QDM60" s="220"/>
      <c r="QDN60" s="220"/>
      <c r="QDO60" s="220"/>
      <c r="QDP60" s="217"/>
      <c r="QDQ60" s="221"/>
      <c r="QDR60" s="216"/>
      <c r="QDS60" s="217"/>
      <c r="QDT60" s="218"/>
      <c r="QDU60" s="219"/>
      <c r="QDV60" s="220"/>
      <c r="QDW60" s="220"/>
      <c r="QDX60" s="220"/>
      <c r="QDY60" s="220"/>
      <c r="QDZ60" s="217"/>
      <c r="QEA60" s="221"/>
      <c r="QEB60" s="216"/>
      <c r="QEC60" s="217"/>
      <c r="QED60" s="218"/>
      <c r="QEE60" s="219"/>
      <c r="QEF60" s="220"/>
      <c r="QEG60" s="220"/>
      <c r="QEH60" s="220"/>
      <c r="QEI60" s="220"/>
      <c r="QEJ60" s="217"/>
      <c r="QEK60" s="221"/>
      <c r="QEL60" s="216"/>
      <c r="QEM60" s="217"/>
      <c r="QEN60" s="218"/>
      <c r="QEO60" s="219"/>
      <c r="QEP60" s="220"/>
      <c r="QEQ60" s="220"/>
      <c r="QER60" s="220"/>
      <c r="QES60" s="220"/>
      <c r="QET60" s="217"/>
      <c r="QEU60" s="221"/>
      <c r="QEV60" s="216"/>
      <c r="QEW60" s="217"/>
      <c r="QEX60" s="218"/>
      <c r="QEY60" s="219"/>
      <c r="QEZ60" s="220"/>
      <c r="QFA60" s="220"/>
      <c r="QFB60" s="220"/>
      <c r="QFC60" s="220"/>
      <c r="QFD60" s="217"/>
      <c r="QFE60" s="221"/>
      <c r="QFF60" s="216"/>
      <c r="QFG60" s="217"/>
      <c r="QFH60" s="218"/>
      <c r="QFI60" s="219"/>
      <c r="QFJ60" s="220"/>
      <c r="QFK60" s="220"/>
      <c r="QFL60" s="220"/>
      <c r="QFM60" s="220"/>
      <c r="QFN60" s="217"/>
      <c r="QFO60" s="221"/>
      <c r="QFP60" s="216"/>
      <c r="QFQ60" s="217"/>
      <c r="QFR60" s="218"/>
      <c r="QFS60" s="219"/>
      <c r="QFT60" s="220"/>
      <c r="QFU60" s="220"/>
      <c r="QFV60" s="220"/>
      <c r="QFW60" s="220"/>
      <c r="QFX60" s="217"/>
      <c r="QFY60" s="221"/>
      <c r="QFZ60" s="216"/>
      <c r="QGA60" s="217"/>
      <c r="QGB60" s="218"/>
      <c r="QGC60" s="219"/>
      <c r="QGD60" s="220"/>
      <c r="QGE60" s="220"/>
      <c r="QGF60" s="220"/>
      <c r="QGG60" s="220"/>
      <c r="QGH60" s="217"/>
      <c r="QGI60" s="221"/>
      <c r="QGJ60" s="216"/>
      <c r="QGK60" s="217"/>
      <c r="QGL60" s="218"/>
      <c r="QGM60" s="219"/>
      <c r="QGN60" s="220"/>
      <c r="QGO60" s="220"/>
      <c r="QGP60" s="220"/>
      <c r="QGQ60" s="220"/>
      <c r="QGR60" s="217"/>
      <c r="QGS60" s="221"/>
      <c r="QGT60" s="216"/>
      <c r="QGU60" s="217"/>
      <c r="QGV60" s="218"/>
      <c r="QGW60" s="219"/>
      <c r="QGX60" s="220"/>
      <c r="QGY60" s="220"/>
      <c r="QGZ60" s="220"/>
      <c r="QHA60" s="220"/>
      <c r="QHB60" s="217"/>
      <c r="QHC60" s="221"/>
      <c r="QHD60" s="216"/>
      <c r="QHE60" s="217"/>
      <c r="QHF60" s="218"/>
      <c r="QHG60" s="219"/>
      <c r="QHH60" s="220"/>
      <c r="QHI60" s="220"/>
      <c r="QHJ60" s="220"/>
      <c r="QHK60" s="220"/>
      <c r="QHL60" s="217"/>
      <c r="QHM60" s="221"/>
      <c r="QHN60" s="216"/>
      <c r="QHO60" s="217"/>
      <c r="QHP60" s="218"/>
      <c r="QHQ60" s="219"/>
      <c r="QHR60" s="220"/>
      <c r="QHS60" s="220"/>
      <c r="QHT60" s="220"/>
      <c r="QHU60" s="220"/>
      <c r="QHV60" s="217"/>
      <c r="QHW60" s="221"/>
      <c r="QHX60" s="216"/>
      <c r="QHY60" s="217"/>
      <c r="QHZ60" s="218"/>
      <c r="QIA60" s="219"/>
      <c r="QIB60" s="220"/>
      <c r="QIC60" s="220"/>
      <c r="QID60" s="220"/>
      <c r="QIE60" s="220"/>
      <c r="QIF60" s="217"/>
      <c r="QIG60" s="221"/>
      <c r="QIH60" s="216"/>
      <c r="QII60" s="217"/>
      <c r="QIJ60" s="218"/>
      <c r="QIK60" s="219"/>
      <c r="QIL60" s="220"/>
      <c r="QIM60" s="220"/>
      <c r="QIN60" s="220"/>
      <c r="QIO60" s="220"/>
      <c r="QIP60" s="217"/>
      <c r="QIQ60" s="221"/>
      <c r="QIR60" s="216"/>
      <c r="QIS60" s="217"/>
      <c r="QIT60" s="218"/>
      <c r="QIU60" s="219"/>
      <c r="QIV60" s="220"/>
      <c r="QIW60" s="220"/>
      <c r="QIX60" s="220"/>
      <c r="QIY60" s="220"/>
      <c r="QIZ60" s="217"/>
      <c r="QJA60" s="221"/>
      <c r="QJB60" s="216"/>
      <c r="QJC60" s="217"/>
      <c r="QJD60" s="218"/>
      <c r="QJE60" s="219"/>
      <c r="QJF60" s="220"/>
      <c r="QJG60" s="220"/>
      <c r="QJH60" s="220"/>
      <c r="QJI60" s="220"/>
      <c r="QJJ60" s="217"/>
      <c r="QJK60" s="221"/>
      <c r="QJL60" s="216"/>
      <c r="QJM60" s="217"/>
      <c r="QJN60" s="218"/>
      <c r="QJO60" s="219"/>
      <c r="QJP60" s="220"/>
      <c r="QJQ60" s="220"/>
      <c r="QJR60" s="220"/>
      <c r="QJS60" s="220"/>
      <c r="QJT60" s="217"/>
      <c r="QJU60" s="221"/>
      <c r="QJV60" s="216"/>
      <c r="QJW60" s="217"/>
      <c r="QJX60" s="218"/>
      <c r="QJY60" s="219"/>
      <c r="QJZ60" s="220"/>
      <c r="QKA60" s="220"/>
      <c r="QKB60" s="220"/>
      <c r="QKC60" s="220"/>
      <c r="QKD60" s="217"/>
      <c r="QKE60" s="221"/>
      <c r="QKF60" s="216"/>
      <c r="QKG60" s="217"/>
      <c r="QKH60" s="218"/>
      <c r="QKI60" s="219"/>
      <c r="QKJ60" s="220"/>
      <c r="QKK60" s="220"/>
      <c r="QKL60" s="220"/>
      <c r="QKM60" s="220"/>
      <c r="QKN60" s="217"/>
      <c r="QKO60" s="221"/>
      <c r="QKP60" s="216"/>
      <c r="QKQ60" s="217"/>
      <c r="QKR60" s="218"/>
      <c r="QKS60" s="219"/>
      <c r="QKT60" s="220"/>
      <c r="QKU60" s="220"/>
      <c r="QKV60" s="220"/>
      <c r="QKW60" s="220"/>
      <c r="QKX60" s="217"/>
      <c r="QKY60" s="221"/>
      <c r="QKZ60" s="216"/>
      <c r="QLA60" s="217"/>
      <c r="QLB60" s="218"/>
      <c r="QLC60" s="219"/>
      <c r="QLD60" s="220"/>
      <c r="QLE60" s="220"/>
      <c r="QLF60" s="220"/>
      <c r="QLG60" s="220"/>
      <c r="QLH60" s="217"/>
      <c r="QLI60" s="221"/>
      <c r="QLJ60" s="216"/>
      <c r="QLK60" s="217"/>
      <c r="QLL60" s="218"/>
      <c r="QLM60" s="219"/>
      <c r="QLN60" s="220"/>
      <c r="QLO60" s="220"/>
      <c r="QLP60" s="220"/>
      <c r="QLQ60" s="220"/>
      <c r="QLR60" s="217"/>
      <c r="QLS60" s="221"/>
      <c r="QLT60" s="216"/>
      <c r="QLU60" s="217"/>
      <c r="QLV60" s="218"/>
      <c r="QLW60" s="219"/>
      <c r="QLX60" s="220"/>
      <c r="QLY60" s="220"/>
      <c r="QLZ60" s="220"/>
      <c r="QMA60" s="220"/>
      <c r="QMB60" s="217"/>
      <c r="QMC60" s="221"/>
      <c r="QMD60" s="216"/>
      <c r="QME60" s="217"/>
      <c r="QMF60" s="218"/>
      <c r="QMG60" s="219"/>
      <c r="QMH60" s="220"/>
      <c r="QMI60" s="220"/>
      <c r="QMJ60" s="220"/>
      <c r="QMK60" s="220"/>
      <c r="QML60" s="217"/>
      <c r="QMM60" s="221"/>
      <c r="QMN60" s="216"/>
      <c r="QMO60" s="217"/>
      <c r="QMP60" s="218"/>
      <c r="QMQ60" s="219"/>
      <c r="QMR60" s="220"/>
      <c r="QMS60" s="220"/>
      <c r="QMT60" s="220"/>
      <c r="QMU60" s="220"/>
      <c r="QMV60" s="217"/>
      <c r="QMW60" s="221"/>
      <c r="QMX60" s="216"/>
      <c r="QMY60" s="217"/>
      <c r="QMZ60" s="218"/>
      <c r="QNA60" s="219"/>
      <c r="QNB60" s="220"/>
      <c r="QNC60" s="220"/>
      <c r="QND60" s="220"/>
      <c r="QNE60" s="220"/>
      <c r="QNF60" s="217"/>
      <c r="QNG60" s="221"/>
      <c r="QNH60" s="216"/>
      <c r="QNI60" s="217"/>
      <c r="QNJ60" s="218"/>
      <c r="QNK60" s="219"/>
      <c r="QNL60" s="220"/>
      <c r="QNM60" s="220"/>
      <c r="QNN60" s="220"/>
      <c r="QNO60" s="220"/>
      <c r="QNP60" s="217"/>
      <c r="QNQ60" s="221"/>
      <c r="QNR60" s="216"/>
      <c r="QNS60" s="217"/>
      <c r="QNT60" s="218"/>
      <c r="QNU60" s="219"/>
      <c r="QNV60" s="220"/>
      <c r="QNW60" s="220"/>
      <c r="QNX60" s="220"/>
      <c r="QNY60" s="220"/>
      <c r="QNZ60" s="217"/>
      <c r="QOA60" s="221"/>
      <c r="QOB60" s="216"/>
      <c r="QOC60" s="217"/>
      <c r="QOD60" s="218"/>
      <c r="QOE60" s="219"/>
      <c r="QOF60" s="220"/>
      <c r="QOG60" s="220"/>
      <c r="QOH60" s="220"/>
      <c r="QOI60" s="220"/>
      <c r="QOJ60" s="217"/>
      <c r="QOK60" s="221"/>
      <c r="QOL60" s="216"/>
      <c r="QOM60" s="217"/>
      <c r="QON60" s="218"/>
      <c r="QOO60" s="219"/>
      <c r="QOP60" s="220"/>
      <c r="QOQ60" s="220"/>
      <c r="QOR60" s="220"/>
      <c r="QOS60" s="220"/>
      <c r="QOT60" s="217"/>
      <c r="QOU60" s="221"/>
      <c r="QOV60" s="216"/>
      <c r="QOW60" s="217"/>
      <c r="QOX60" s="218"/>
      <c r="QOY60" s="219"/>
      <c r="QOZ60" s="220"/>
      <c r="QPA60" s="220"/>
      <c r="QPB60" s="220"/>
      <c r="QPC60" s="220"/>
      <c r="QPD60" s="217"/>
      <c r="QPE60" s="221"/>
      <c r="QPF60" s="216"/>
      <c r="QPG60" s="217"/>
      <c r="QPH60" s="218"/>
      <c r="QPI60" s="219"/>
      <c r="QPJ60" s="220"/>
      <c r="QPK60" s="220"/>
      <c r="QPL60" s="220"/>
      <c r="QPM60" s="220"/>
      <c r="QPN60" s="217"/>
      <c r="QPO60" s="221"/>
      <c r="QPP60" s="216"/>
      <c r="QPQ60" s="217"/>
      <c r="QPR60" s="218"/>
      <c r="QPS60" s="219"/>
      <c r="QPT60" s="220"/>
      <c r="QPU60" s="220"/>
      <c r="QPV60" s="220"/>
      <c r="QPW60" s="220"/>
      <c r="QPX60" s="217"/>
      <c r="QPY60" s="221"/>
      <c r="QPZ60" s="216"/>
      <c r="QQA60" s="217"/>
      <c r="QQB60" s="218"/>
      <c r="QQC60" s="219"/>
      <c r="QQD60" s="220"/>
      <c r="QQE60" s="220"/>
      <c r="QQF60" s="220"/>
      <c r="QQG60" s="220"/>
      <c r="QQH60" s="217"/>
      <c r="QQI60" s="221"/>
      <c r="QQJ60" s="216"/>
      <c r="QQK60" s="217"/>
      <c r="QQL60" s="218"/>
      <c r="QQM60" s="219"/>
      <c r="QQN60" s="220"/>
      <c r="QQO60" s="220"/>
      <c r="QQP60" s="220"/>
      <c r="QQQ60" s="220"/>
      <c r="QQR60" s="217"/>
      <c r="QQS60" s="221"/>
      <c r="QQT60" s="216"/>
      <c r="QQU60" s="217"/>
      <c r="QQV60" s="218"/>
      <c r="QQW60" s="219"/>
      <c r="QQX60" s="220"/>
      <c r="QQY60" s="220"/>
      <c r="QQZ60" s="220"/>
      <c r="QRA60" s="220"/>
      <c r="QRB60" s="217"/>
      <c r="QRC60" s="221"/>
      <c r="QRD60" s="216"/>
      <c r="QRE60" s="217"/>
      <c r="QRF60" s="218"/>
      <c r="QRG60" s="219"/>
      <c r="QRH60" s="220"/>
      <c r="QRI60" s="220"/>
      <c r="QRJ60" s="220"/>
      <c r="QRK60" s="220"/>
      <c r="QRL60" s="217"/>
      <c r="QRM60" s="221"/>
      <c r="QRN60" s="216"/>
      <c r="QRO60" s="217"/>
      <c r="QRP60" s="218"/>
      <c r="QRQ60" s="219"/>
      <c r="QRR60" s="220"/>
      <c r="QRS60" s="220"/>
      <c r="QRT60" s="220"/>
      <c r="QRU60" s="220"/>
      <c r="QRV60" s="217"/>
      <c r="QRW60" s="221"/>
      <c r="QRX60" s="216"/>
      <c r="QRY60" s="217"/>
      <c r="QRZ60" s="218"/>
      <c r="QSA60" s="219"/>
      <c r="QSB60" s="220"/>
      <c r="QSC60" s="220"/>
      <c r="QSD60" s="220"/>
      <c r="QSE60" s="220"/>
      <c r="QSF60" s="217"/>
      <c r="QSG60" s="221"/>
      <c r="QSH60" s="216"/>
      <c r="QSI60" s="217"/>
      <c r="QSJ60" s="218"/>
      <c r="QSK60" s="219"/>
      <c r="QSL60" s="220"/>
      <c r="QSM60" s="220"/>
      <c r="QSN60" s="220"/>
      <c r="QSO60" s="220"/>
      <c r="QSP60" s="217"/>
      <c r="QSQ60" s="221"/>
      <c r="QSR60" s="216"/>
      <c r="QSS60" s="217"/>
      <c r="QST60" s="218"/>
      <c r="QSU60" s="219"/>
      <c r="QSV60" s="220"/>
      <c r="QSW60" s="220"/>
      <c r="QSX60" s="220"/>
      <c r="QSY60" s="220"/>
      <c r="QSZ60" s="217"/>
      <c r="QTA60" s="221"/>
      <c r="QTB60" s="216"/>
      <c r="QTC60" s="217"/>
      <c r="QTD60" s="218"/>
      <c r="QTE60" s="219"/>
      <c r="QTF60" s="220"/>
      <c r="QTG60" s="220"/>
      <c r="QTH60" s="220"/>
      <c r="QTI60" s="220"/>
      <c r="QTJ60" s="217"/>
      <c r="QTK60" s="221"/>
      <c r="QTL60" s="216"/>
      <c r="QTM60" s="217"/>
      <c r="QTN60" s="218"/>
      <c r="QTO60" s="219"/>
      <c r="QTP60" s="220"/>
      <c r="QTQ60" s="220"/>
      <c r="QTR60" s="220"/>
      <c r="QTS60" s="220"/>
      <c r="QTT60" s="217"/>
      <c r="QTU60" s="221"/>
      <c r="QTV60" s="216"/>
      <c r="QTW60" s="217"/>
      <c r="QTX60" s="218"/>
      <c r="QTY60" s="219"/>
      <c r="QTZ60" s="220"/>
      <c r="QUA60" s="220"/>
      <c r="QUB60" s="220"/>
      <c r="QUC60" s="220"/>
      <c r="QUD60" s="217"/>
      <c r="QUE60" s="221"/>
      <c r="QUF60" s="216"/>
      <c r="QUG60" s="217"/>
      <c r="QUH60" s="218"/>
      <c r="QUI60" s="219"/>
      <c r="QUJ60" s="220"/>
      <c r="QUK60" s="220"/>
      <c r="QUL60" s="220"/>
      <c r="QUM60" s="220"/>
      <c r="QUN60" s="217"/>
      <c r="QUO60" s="221"/>
      <c r="QUP60" s="216"/>
      <c r="QUQ60" s="217"/>
      <c r="QUR60" s="218"/>
      <c r="QUS60" s="219"/>
      <c r="QUT60" s="220"/>
      <c r="QUU60" s="220"/>
      <c r="QUV60" s="220"/>
      <c r="QUW60" s="220"/>
      <c r="QUX60" s="217"/>
      <c r="QUY60" s="221"/>
      <c r="QUZ60" s="216"/>
      <c r="QVA60" s="217"/>
      <c r="QVB60" s="218"/>
      <c r="QVC60" s="219"/>
      <c r="QVD60" s="220"/>
      <c r="QVE60" s="220"/>
      <c r="QVF60" s="220"/>
      <c r="QVG60" s="220"/>
      <c r="QVH60" s="217"/>
      <c r="QVI60" s="221"/>
      <c r="QVJ60" s="216"/>
      <c r="QVK60" s="217"/>
      <c r="QVL60" s="218"/>
      <c r="QVM60" s="219"/>
      <c r="QVN60" s="220"/>
      <c r="QVO60" s="220"/>
      <c r="QVP60" s="220"/>
      <c r="QVQ60" s="220"/>
      <c r="QVR60" s="217"/>
      <c r="QVS60" s="221"/>
      <c r="QVT60" s="216"/>
      <c r="QVU60" s="217"/>
      <c r="QVV60" s="218"/>
      <c r="QVW60" s="219"/>
      <c r="QVX60" s="220"/>
      <c r="QVY60" s="220"/>
      <c r="QVZ60" s="220"/>
      <c r="QWA60" s="220"/>
      <c r="QWB60" s="217"/>
      <c r="QWC60" s="221"/>
      <c r="QWD60" s="216"/>
      <c r="QWE60" s="217"/>
      <c r="QWF60" s="218"/>
      <c r="QWG60" s="219"/>
      <c r="QWH60" s="220"/>
      <c r="QWI60" s="220"/>
      <c r="QWJ60" s="220"/>
      <c r="QWK60" s="220"/>
      <c r="QWL60" s="217"/>
      <c r="QWM60" s="221"/>
      <c r="QWN60" s="216"/>
      <c r="QWO60" s="217"/>
      <c r="QWP60" s="218"/>
      <c r="QWQ60" s="219"/>
      <c r="QWR60" s="220"/>
      <c r="QWS60" s="220"/>
      <c r="QWT60" s="220"/>
      <c r="QWU60" s="220"/>
      <c r="QWV60" s="217"/>
      <c r="QWW60" s="221"/>
      <c r="QWX60" s="216"/>
      <c r="QWY60" s="217"/>
      <c r="QWZ60" s="218"/>
      <c r="QXA60" s="219"/>
      <c r="QXB60" s="220"/>
      <c r="QXC60" s="220"/>
      <c r="QXD60" s="220"/>
      <c r="QXE60" s="220"/>
      <c r="QXF60" s="217"/>
      <c r="QXG60" s="221"/>
      <c r="QXH60" s="216"/>
      <c r="QXI60" s="217"/>
      <c r="QXJ60" s="218"/>
      <c r="QXK60" s="219"/>
      <c r="QXL60" s="220"/>
      <c r="QXM60" s="220"/>
      <c r="QXN60" s="220"/>
      <c r="QXO60" s="220"/>
      <c r="QXP60" s="217"/>
      <c r="QXQ60" s="221"/>
      <c r="QXR60" s="216"/>
      <c r="QXS60" s="217"/>
      <c r="QXT60" s="218"/>
      <c r="QXU60" s="219"/>
      <c r="QXV60" s="220"/>
      <c r="QXW60" s="220"/>
      <c r="QXX60" s="220"/>
      <c r="QXY60" s="220"/>
      <c r="QXZ60" s="217"/>
      <c r="QYA60" s="221"/>
      <c r="QYB60" s="216"/>
      <c r="QYC60" s="217"/>
      <c r="QYD60" s="218"/>
      <c r="QYE60" s="219"/>
      <c r="QYF60" s="220"/>
      <c r="QYG60" s="220"/>
      <c r="QYH60" s="220"/>
      <c r="QYI60" s="220"/>
      <c r="QYJ60" s="217"/>
      <c r="QYK60" s="221"/>
      <c r="QYL60" s="216"/>
      <c r="QYM60" s="217"/>
      <c r="QYN60" s="218"/>
      <c r="QYO60" s="219"/>
      <c r="QYP60" s="220"/>
      <c r="QYQ60" s="220"/>
      <c r="QYR60" s="220"/>
      <c r="QYS60" s="220"/>
      <c r="QYT60" s="217"/>
      <c r="QYU60" s="221"/>
      <c r="QYV60" s="216"/>
      <c r="QYW60" s="217"/>
      <c r="QYX60" s="218"/>
      <c r="QYY60" s="219"/>
      <c r="QYZ60" s="220"/>
      <c r="QZA60" s="220"/>
      <c r="QZB60" s="220"/>
      <c r="QZC60" s="220"/>
      <c r="QZD60" s="217"/>
      <c r="QZE60" s="221"/>
      <c r="QZF60" s="216"/>
      <c r="QZG60" s="217"/>
      <c r="QZH60" s="218"/>
      <c r="QZI60" s="219"/>
      <c r="QZJ60" s="220"/>
      <c r="QZK60" s="220"/>
      <c r="QZL60" s="220"/>
      <c r="QZM60" s="220"/>
      <c r="QZN60" s="217"/>
      <c r="QZO60" s="221"/>
      <c r="QZP60" s="216"/>
      <c r="QZQ60" s="217"/>
      <c r="QZR60" s="218"/>
      <c r="QZS60" s="219"/>
      <c r="QZT60" s="220"/>
      <c r="QZU60" s="220"/>
      <c r="QZV60" s="220"/>
      <c r="QZW60" s="220"/>
      <c r="QZX60" s="217"/>
      <c r="QZY60" s="221"/>
      <c r="QZZ60" s="216"/>
      <c r="RAA60" s="217"/>
      <c r="RAB60" s="218"/>
      <c r="RAC60" s="219"/>
      <c r="RAD60" s="220"/>
      <c r="RAE60" s="220"/>
      <c r="RAF60" s="220"/>
      <c r="RAG60" s="220"/>
      <c r="RAH60" s="217"/>
      <c r="RAI60" s="221"/>
      <c r="RAJ60" s="216"/>
      <c r="RAK60" s="217"/>
      <c r="RAL60" s="218"/>
      <c r="RAM60" s="219"/>
      <c r="RAN60" s="220"/>
      <c r="RAO60" s="220"/>
      <c r="RAP60" s="220"/>
      <c r="RAQ60" s="220"/>
      <c r="RAR60" s="217"/>
      <c r="RAS60" s="221"/>
      <c r="RAT60" s="216"/>
      <c r="RAU60" s="217"/>
      <c r="RAV60" s="218"/>
      <c r="RAW60" s="219"/>
      <c r="RAX60" s="220"/>
      <c r="RAY60" s="220"/>
      <c r="RAZ60" s="220"/>
      <c r="RBA60" s="220"/>
      <c r="RBB60" s="217"/>
      <c r="RBC60" s="221"/>
      <c r="RBD60" s="216"/>
      <c r="RBE60" s="217"/>
      <c r="RBF60" s="218"/>
      <c r="RBG60" s="219"/>
      <c r="RBH60" s="220"/>
      <c r="RBI60" s="220"/>
      <c r="RBJ60" s="220"/>
      <c r="RBK60" s="220"/>
      <c r="RBL60" s="217"/>
      <c r="RBM60" s="221"/>
      <c r="RBN60" s="216"/>
      <c r="RBO60" s="217"/>
      <c r="RBP60" s="218"/>
      <c r="RBQ60" s="219"/>
      <c r="RBR60" s="220"/>
      <c r="RBS60" s="220"/>
      <c r="RBT60" s="220"/>
      <c r="RBU60" s="220"/>
      <c r="RBV60" s="217"/>
      <c r="RBW60" s="221"/>
      <c r="RBX60" s="216"/>
      <c r="RBY60" s="217"/>
      <c r="RBZ60" s="218"/>
      <c r="RCA60" s="219"/>
      <c r="RCB60" s="220"/>
      <c r="RCC60" s="220"/>
      <c r="RCD60" s="220"/>
      <c r="RCE60" s="220"/>
      <c r="RCF60" s="217"/>
      <c r="RCG60" s="221"/>
      <c r="RCH60" s="216"/>
      <c r="RCI60" s="217"/>
      <c r="RCJ60" s="218"/>
      <c r="RCK60" s="219"/>
      <c r="RCL60" s="220"/>
      <c r="RCM60" s="220"/>
      <c r="RCN60" s="220"/>
      <c r="RCO60" s="220"/>
      <c r="RCP60" s="217"/>
      <c r="RCQ60" s="221"/>
      <c r="RCR60" s="216"/>
      <c r="RCS60" s="217"/>
      <c r="RCT60" s="218"/>
      <c r="RCU60" s="219"/>
      <c r="RCV60" s="220"/>
      <c r="RCW60" s="220"/>
      <c r="RCX60" s="220"/>
      <c r="RCY60" s="220"/>
      <c r="RCZ60" s="217"/>
      <c r="RDA60" s="221"/>
      <c r="RDB60" s="216"/>
      <c r="RDC60" s="217"/>
      <c r="RDD60" s="218"/>
      <c r="RDE60" s="219"/>
      <c r="RDF60" s="220"/>
      <c r="RDG60" s="220"/>
      <c r="RDH60" s="220"/>
      <c r="RDI60" s="220"/>
      <c r="RDJ60" s="217"/>
      <c r="RDK60" s="221"/>
      <c r="RDL60" s="216"/>
      <c r="RDM60" s="217"/>
      <c r="RDN60" s="218"/>
      <c r="RDO60" s="219"/>
      <c r="RDP60" s="220"/>
      <c r="RDQ60" s="220"/>
      <c r="RDR60" s="220"/>
      <c r="RDS60" s="220"/>
      <c r="RDT60" s="217"/>
      <c r="RDU60" s="221"/>
      <c r="RDV60" s="216"/>
      <c r="RDW60" s="217"/>
      <c r="RDX60" s="218"/>
      <c r="RDY60" s="219"/>
      <c r="RDZ60" s="220"/>
      <c r="REA60" s="220"/>
      <c r="REB60" s="220"/>
      <c r="REC60" s="220"/>
      <c r="RED60" s="217"/>
      <c r="REE60" s="221"/>
      <c r="REF60" s="216"/>
      <c r="REG60" s="217"/>
      <c r="REH60" s="218"/>
      <c r="REI60" s="219"/>
      <c r="REJ60" s="220"/>
      <c r="REK60" s="220"/>
      <c r="REL60" s="220"/>
      <c r="REM60" s="220"/>
      <c r="REN60" s="217"/>
      <c r="REO60" s="221"/>
      <c r="REP60" s="216"/>
      <c r="REQ60" s="217"/>
      <c r="RER60" s="218"/>
      <c r="RES60" s="219"/>
      <c r="RET60" s="220"/>
      <c r="REU60" s="220"/>
      <c r="REV60" s="220"/>
      <c r="REW60" s="220"/>
      <c r="REX60" s="217"/>
      <c r="REY60" s="221"/>
      <c r="REZ60" s="216"/>
      <c r="RFA60" s="217"/>
      <c r="RFB60" s="218"/>
      <c r="RFC60" s="219"/>
      <c r="RFD60" s="220"/>
      <c r="RFE60" s="220"/>
      <c r="RFF60" s="220"/>
      <c r="RFG60" s="220"/>
      <c r="RFH60" s="217"/>
      <c r="RFI60" s="221"/>
      <c r="RFJ60" s="216"/>
      <c r="RFK60" s="217"/>
      <c r="RFL60" s="218"/>
      <c r="RFM60" s="219"/>
      <c r="RFN60" s="220"/>
      <c r="RFO60" s="220"/>
      <c r="RFP60" s="220"/>
      <c r="RFQ60" s="220"/>
      <c r="RFR60" s="217"/>
      <c r="RFS60" s="221"/>
      <c r="RFT60" s="216"/>
      <c r="RFU60" s="217"/>
      <c r="RFV60" s="218"/>
      <c r="RFW60" s="219"/>
      <c r="RFX60" s="220"/>
      <c r="RFY60" s="220"/>
      <c r="RFZ60" s="220"/>
      <c r="RGA60" s="220"/>
      <c r="RGB60" s="217"/>
      <c r="RGC60" s="221"/>
      <c r="RGD60" s="216"/>
      <c r="RGE60" s="217"/>
      <c r="RGF60" s="218"/>
      <c r="RGG60" s="219"/>
      <c r="RGH60" s="220"/>
      <c r="RGI60" s="220"/>
      <c r="RGJ60" s="220"/>
      <c r="RGK60" s="220"/>
      <c r="RGL60" s="217"/>
      <c r="RGM60" s="221"/>
      <c r="RGN60" s="216"/>
      <c r="RGO60" s="217"/>
      <c r="RGP60" s="218"/>
      <c r="RGQ60" s="219"/>
      <c r="RGR60" s="220"/>
      <c r="RGS60" s="220"/>
      <c r="RGT60" s="220"/>
      <c r="RGU60" s="220"/>
      <c r="RGV60" s="217"/>
      <c r="RGW60" s="221"/>
      <c r="RGX60" s="216"/>
      <c r="RGY60" s="217"/>
      <c r="RGZ60" s="218"/>
      <c r="RHA60" s="219"/>
      <c r="RHB60" s="220"/>
      <c r="RHC60" s="220"/>
      <c r="RHD60" s="220"/>
      <c r="RHE60" s="220"/>
      <c r="RHF60" s="217"/>
      <c r="RHG60" s="221"/>
      <c r="RHH60" s="216"/>
      <c r="RHI60" s="217"/>
      <c r="RHJ60" s="218"/>
      <c r="RHK60" s="219"/>
      <c r="RHL60" s="220"/>
      <c r="RHM60" s="220"/>
      <c r="RHN60" s="220"/>
      <c r="RHO60" s="220"/>
      <c r="RHP60" s="217"/>
      <c r="RHQ60" s="221"/>
      <c r="RHR60" s="216"/>
      <c r="RHS60" s="217"/>
      <c r="RHT60" s="218"/>
      <c r="RHU60" s="219"/>
      <c r="RHV60" s="220"/>
      <c r="RHW60" s="220"/>
      <c r="RHX60" s="220"/>
      <c r="RHY60" s="220"/>
      <c r="RHZ60" s="217"/>
      <c r="RIA60" s="221"/>
      <c r="RIB60" s="216"/>
      <c r="RIC60" s="217"/>
      <c r="RID60" s="218"/>
      <c r="RIE60" s="219"/>
      <c r="RIF60" s="220"/>
      <c r="RIG60" s="220"/>
      <c r="RIH60" s="220"/>
      <c r="RII60" s="220"/>
      <c r="RIJ60" s="217"/>
      <c r="RIK60" s="221"/>
      <c r="RIL60" s="216"/>
      <c r="RIM60" s="217"/>
      <c r="RIN60" s="218"/>
      <c r="RIO60" s="219"/>
      <c r="RIP60" s="220"/>
      <c r="RIQ60" s="220"/>
      <c r="RIR60" s="220"/>
      <c r="RIS60" s="220"/>
      <c r="RIT60" s="217"/>
      <c r="RIU60" s="221"/>
      <c r="RIV60" s="216"/>
      <c r="RIW60" s="217"/>
      <c r="RIX60" s="218"/>
      <c r="RIY60" s="219"/>
      <c r="RIZ60" s="220"/>
      <c r="RJA60" s="220"/>
      <c r="RJB60" s="220"/>
      <c r="RJC60" s="220"/>
      <c r="RJD60" s="217"/>
      <c r="RJE60" s="221"/>
      <c r="RJF60" s="216"/>
      <c r="RJG60" s="217"/>
      <c r="RJH60" s="218"/>
      <c r="RJI60" s="219"/>
      <c r="RJJ60" s="220"/>
      <c r="RJK60" s="220"/>
      <c r="RJL60" s="220"/>
      <c r="RJM60" s="220"/>
      <c r="RJN60" s="217"/>
      <c r="RJO60" s="221"/>
      <c r="RJP60" s="216"/>
      <c r="RJQ60" s="217"/>
      <c r="RJR60" s="218"/>
      <c r="RJS60" s="219"/>
      <c r="RJT60" s="220"/>
      <c r="RJU60" s="220"/>
      <c r="RJV60" s="220"/>
      <c r="RJW60" s="220"/>
      <c r="RJX60" s="217"/>
      <c r="RJY60" s="221"/>
      <c r="RJZ60" s="216"/>
      <c r="RKA60" s="217"/>
      <c r="RKB60" s="218"/>
      <c r="RKC60" s="219"/>
      <c r="RKD60" s="220"/>
      <c r="RKE60" s="220"/>
      <c r="RKF60" s="220"/>
      <c r="RKG60" s="220"/>
      <c r="RKH60" s="217"/>
      <c r="RKI60" s="221"/>
      <c r="RKJ60" s="216"/>
      <c r="RKK60" s="217"/>
      <c r="RKL60" s="218"/>
      <c r="RKM60" s="219"/>
      <c r="RKN60" s="220"/>
      <c r="RKO60" s="220"/>
      <c r="RKP60" s="220"/>
      <c r="RKQ60" s="220"/>
      <c r="RKR60" s="217"/>
      <c r="RKS60" s="221"/>
      <c r="RKT60" s="216"/>
      <c r="RKU60" s="217"/>
      <c r="RKV60" s="218"/>
      <c r="RKW60" s="219"/>
      <c r="RKX60" s="220"/>
      <c r="RKY60" s="220"/>
      <c r="RKZ60" s="220"/>
      <c r="RLA60" s="220"/>
      <c r="RLB60" s="217"/>
      <c r="RLC60" s="221"/>
      <c r="RLD60" s="216"/>
      <c r="RLE60" s="217"/>
      <c r="RLF60" s="218"/>
      <c r="RLG60" s="219"/>
      <c r="RLH60" s="220"/>
      <c r="RLI60" s="220"/>
      <c r="RLJ60" s="220"/>
      <c r="RLK60" s="220"/>
      <c r="RLL60" s="217"/>
      <c r="RLM60" s="221"/>
      <c r="RLN60" s="216"/>
      <c r="RLO60" s="217"/>
      <c r="RLP60" s="218"/>
      <c r="RLQ60" s="219"/>
      <c r="RLR60" s="220"/>
      <c r="RLS60" s="220"/>
      <c r="RLT60" s="220"/>
      <c r="RLU60" s="220"/>
      <c r="RLV60" s="217"/>
      <c r="RLW60" s="221"/>
      <c r="RLX60" s="216"/>
      <c r="RLY60" s="217"/>
      <c r="RLZ60" s="218"/>
      <c r="RMA60" s="219"/>
      <c r="RMB60" s="220"/>
      <c r="RMC60" s="220"/>
      <c r="RMD60" s="220"/>
      <c r="RME60" s="220"/>
      <c r="RMF60" s="217"/>
      <c r="RMG60" s="221"/>
      <c r="RMH60" s="216"/>
      <c r="RMI60" s="217"/>
      <c r="RMJ60" s="218"/>
      <c r="RMK60" s="219"/>
      <c r="RML60" s="220"/>
      <c r="RMM60" s="220"/>
      <c r="RMN60" s="220"/>
      <c r="RMO60" s="220"/>
      <c r="RMP60" s="217"/>
      <c r="RMQ60" s="221"/>
      <c r="RMR60" s="216"/>
      <c r="RMS60" s="217"/>
      <c r="RMT60" s="218"/>
      <c r="RMU60" s="219"/>
      <c r="RMV60" s="220"/>
      <c r="RMW60" s="220"/>
      <c r="RMX60" s="220"/>
      <c r="RMY60" s="220"/>
      <c r="RMZ60" s="217"/>
      <c r="RNA60" s="221"/>
      <c r="RNB60" s="216"/>
      <c r="RNC60" s="217"/>
      <c r="RND60" s="218"/>
      <c r="RNE60" s="219"/>
      <c r="RNF60" s="220"/>
      <c r="RNG60" s="220"/>
      <c r="RNH60" s="220"/>
      <c r="RNI60" s="220"/>
      <c r="RNJ60" s="217"/>
      <c r="RNK60" s="221"/>
      <c r="RNL60" s="216"/>
      <c r="RNM60" s="217"/>
      <c r="RNN60" s="218"/>
      <c r="RNO60" s="219"/>
      <c r="RNP60" s="220"/>
      <c r="RNQ60" s="220"/>
      <c r="RNR60" s="220"/>
      <c r="RNS60" s="220"/>
      <c r="RNT60" s="217"/>
      <c r="RNU60" s="221"/>
      <c r="RNV60" s="216"/>
      <c r="RNW60" s="217"/>
      <c r="RNX60" s="218"/>
      <c r="RNY60" s="219"/>
      <c r="RNZ60" s="220"/>
      <c r="ROA60" s="220"/>
      <c r="ROB60" s="220"/>
      <c r="ROC60" s="220"/>
      <c r="ROD60" s="217"/>
      <c r="ROE60" s="221"/>
      <c r="ROF60" s="216"/>
      <c r="ROG60" s="217"/>
      <c r="ROH60" s="218"/>
      <c r="ROI60" s="219"/>
      <c r="ROJ60" s="220"/>
      <c r="ROK60" s="220"/>
      <c r="ROL60" s="220"/>
      <c r="ROM60" s="220"/>
      <c r="RON60" s="217"/>
      <c r="ROO60" s="221"/>
      <c r="ROP60" s="216"/>
      <c r="ROQ60" s="217"/>
      <c r="ROR60" s="218"/>
      <c r="ROS60" s="219"/>
      <c r="ROT60" s="220"/>
      <c r="ROU60" s="220"/>
      <c r="ROV60" s="220"/>
      <c r="ROW60" s="220"/>
      <c r="ROX60" s="217"/>
      <c r="ROY60" s="221"/>
      <c r="ROZ60" s="216"/>
      <c r="RPA60" s="217"/>
      <c r="RPB60" s="218"/>
      <c r="RPC60" s="219"/>
      <c r="RPD60" s="220"/>
      <c r="RPE60" s="220"/>
      <c r="RPF60" s="220"/>
      <c r="RPG60" s="220"/>
      <c r="RPH60" s="217"/>
      <c r="RPI60" s="221"/>
      <c r="RPJ60" s="216"/>
      <c r="RPK60" s="217"/>
      <c r="RPL60" s="218"/>
      <c r="RPM60" s="219"/>
      <c r="RPN60" s="220"/>
      <c r="RPO60" s="220"/>
      <c r="RPP60" s="220"/>
      <c r="RPQ60" s="220"/>
      <c r="RPR60" s="217"/>
      <c r="RPS60" s="221"/>
      <c r="RPT60" s="216"/>
      <c r="RPU60" s="217"/>
      <c r="RPV60" s="218"/>
      <c r="RPW60" s="219"/>
      <c r="RPX60" s="220"/>
      <c r="RPY60" s="220"/>
      <c r="RPZ60" s="220"/>
      <c r="RQA60" s="220"/>
      <c r="RQB60" s="217"/>
      <c r="RQC60" s="221"/>
      <c r="RQD60" s="216"/>
      <c r="RQE60" s="217"/>
      <c r="RQF60" s="218"/>
      <c r="RQG60" s="219"/>
      <c r="RQH60" s="220"/>
      <c r="RQI60" s="220"/>
      <c r="RQJ60" s="220"/>
      <c r="RQK60" s="220"/>
      <c r="RQL60" s="217"/>
      <c r="RQM60" s="221"/>
      <c r="RQN60" s="216"/>
      <c r="RQO60" s="217"/>
      <c r="RQP60" s="218"/>
      <c r="RQQ60" s="219"/>
      <c r="RQR60" s="220"/>
      <c r="RQS60" s="220"/>
      <c r="RQT60" s="220"/>
      <c r="RQU60" s="220"/>
      <c r="RQV60" s="217"/>
      <c r="RQW60" s="221"/>
      <c r="RQX60" s="216"/>
      <c r="RQY60" s="217"/>
      <c r="RQZ60" s="218"/>
      <c r="RRA60" s="219"/>
      <c r="RRB60" s="220"/>
      <c r="RRC60" s="220"/>
      <c r="RRD60" s="220"/>
      <c r="RRE60" s="220"/>
      <c r="RRF60" s="217"/>
      <c r="RRG60" s="221"/>
      <c r="RRH60" s="216"/>
      <c r="RRI60" s="217"/>
      <c r="RRJ60" s="218"/>
      <c r="RRK60" s="219"/>
      <c r="RRL60" s="220"/>
      <c r="RRM60" s="220"/>
      <c r="RRN60" s="220"/>
      <c r="RRO60" s="220"/>
      <c r="RRP60" s="217"/>
      <c r="RRQ60" s="221"/>
      <c r="RRR60" s="216"/>
      <c r="RRS60" s="217"/>
      <c r="RRT60" s="218"/>
      <c r="RRU60" s="219"/>
      <c r="RRV60" s="220"/>
      <c r="RRW60" s="220"/>
      <c r="RRX60" s="220"/>
      <c r="RRY60" s="220"/>
      <c r="RRZ60" s="217"/>
      <c r="RSA60" s="221"/>
      <c r="RSB60" s="216"/>
      <c r="RSC60" s="217"/>
      <c r="RSD60" s="218"/>
      <c r="RSE60" s="219"/>
      <c r="RSF60" s="220"/>
      <c r="RSG60" s="220"/>
      <c r="RSH60" s="220"/>
      <c r="RSI60" s="220"/>
      <c r="RSJ60" s="217"/>
      <c r="RSK60" s="221"/>
      <c r="RSL60" s="216"/>
      <c r="RSM60" s="217"/>
      <c r="RSN60" s="218"/>
      <c r="RSO60" s="219"/>
      <c r="RSP60" s="220"/>
      <c r="RSQ60" s="220"/>
      <c r="RSR60" s="220"/>
      <c r="RSS60" s="220"/>
      <c r="RST60" s="217"/>
      <c r="RSU60" s="221"/>
      <c r="RSV60" s="216"/>
      <c r="RSW60" s="217"/>
      <c r="RSX60" s="218"/>
      <c r="RSY60" s="219"/>
      <c r="RSZ60" s="220"/>
      <c r="RTA60" s="220"/>
      <c r="RTB60" s="220"/>
      <c r="RTC60" s="220"/>
      <c r="RTD60" s="217"/>
      <c r="RTE60" s="221"/>
      <c r="RTF60" s="216"/>
      <c r="RTG60" s="217"/>
      <c r="RTH60" s="218"/>
      <c r="RTI60" s="219"/>
      <c r="RTJ60" s="220"/>
      <c r="RTK60" s="220"/>
      <c r="RTL60" s="220"/>
      <c r="RTM60" s="220"/>
      <c r="RTN60" s="217"/>
      <c r="RTO60" s="221"/>
      <c r="RTP60" s="216"/>
      <c r="RTQ60" s="217"/>
      <c r="RTR60" s="218"/>
      <c r="RTS60" s="219"/>
      <c r="RTT60" s="220"/>
      <c r="RTU60" s="220"/>
      <c r="RTV60" s="220"/>
      <c r="RTW60" s="220"/>
      <c r="RTX60" s="217"/>
      <c r="RTY60" s="221"/>
      <c r="RTZ60" s="216"/>
      <c r="RUA60" s="217"/>
      <c r="RUB60" s="218"/>
      <c r="RUC60" s="219"/>
      <c r="RUD60" s="220"/>
      <c r="RUE60" s="220"/>
      <c r="RUF60" s="220"/>
      <c r="RUG60" s="220"/>
      <c r="RUH60" s="217"/>
      <c r="RUI60" s="221"/>
      <c r="RUJ60" s="216"/>
      <c r="RUK60" s="217"/>
      <c r="RUL60" s="218"/>
      <c r="RUM60" s="219"/>
      <c r="RUN60" s="220"/>
      <c r="RUO60" s="220"/>
      <c r="RUP60" s="220"/>
      <c r="RUQ60" s="220"/>
      <c r="RUR60" s="217"/>
      <c r="RUS60" s="221"/>
      <c r="RUT60" s="216"/>
      <c r="RUU60" s="217"/>
      <c r="RUV60" s="218"/>
      <c r="RUW60" s="219"/>
      <c r="RUX60" s="220"/>
      <c r="RUY60" s="220"/>
      <c r="RUZ60" s="220"/>
      <c r="RVA60" s="220"/>
      <c r="RVB60" s="217"/>
      <c r="RVC60" s="221"/>
      <c r="RVD60" s="216"/>
      <c r="RVE60" s="217"/>
      <c r="RVF60" s="218"/>
      <c r="RVG60" s="219"/>
      <c r="RVH60" s="220"/>
      <c r="RVI60" s="220"/>
      <c r="RVJ60" s="220"/>
      <c r="RVK60" s="220"/>
      <c r="RVL60" s="217"/>
      <c r="RVM60" s="221"/>
      <c r="RVN60" s="216"/>
      <c r="RVO60" s="217"/>
      <c r="RVP60" s="218"/>
      <c r="RVQ60" s="219"/>
      <c r="RVR60" s="220"/>
      <c r="RVS60" s="220"/>
      <c r="RVT60" s="220"/>
      <c r="RVU60" s="220"/>
      <c r="RVV60" s="217"/>
      <c r="RVW60" s="221"/>
      <c r="RVX60" s="216"/>
      <c r="RVY60" s="217"/>
      <c r="RVZ60" s="218"/>
      <c r="RWA60" s="219"/>
      <c r="RWB60" s="220"/>
      <c r="RWC60" s="220"/>
      <c r="RWD60" s="220"/>
      <c r="RWE60" s="220"/>
      <c r="RWF60" s="217"/>
      <c r="RWG60" s="221"/>
      <c r="RWH60" s="216"/>
      <c r="RWI60" s="217"/>
      <c r="RWJ60" s="218"/>
      <c r="RWK60" s="219"/>
      <c r="RWL60" s="220"/>
      <c r="RWM60" s="220"/>
      <c r="RWN60" s="220"/>
      <c r="RWO60" s="220"/>
      <c r="RWP60" s="217"/>
      <c r="RWQ60" s="221"/>
      <c r="RWR60" s="216"/>
      <c r="RWS60" s="217"/>
      <c r="RWT60" s="218"/>
      <c r="RWU60" s="219"/>
      <c r="RWV60" s="220"/>
      <c r="RWW60" s="220"/>
      <c r="RWX60" s="220"/>
      <c r="RWY60" s="220"/>
      <c r="RWZ60" s="217"/>
      <c r="RXA60" s="221"/>
      <c r="RXB60" s="216"/>
      <c r="RXC60" s="217"/>
      <c r="RXD60" s="218"/>
      <c r="RXE60" s="219"/>
      <c r="RXF60" s="220"/>
      <c r="RXG60" s="220"/>
      <c r="RXH60" s="220"/>
      <c r="RXI60" s="220"/>
      <c r="RXJ60" s="217"/>
      <c r="RXK60" s="221"/>
      <c r="RXL60" s="216"/>
      <c r="RXM60" s="217"/>
      <c r="RXN60" s="218"/>
      <c r="RXO60" s="219"/>
      <c r="RXP60" s="220"/>
      <c r="RXQ60" s="220"/>
      <c r="RXR60" s="220"/>
      <c r="RXS60" s="220"/>
      <c r="RXT60" s="217"/>
      <c r="RXU60" s="221"/>
      <c r="RXV60" s="216"/>
      <c r="RXW60" s="217"/>
      <c r="RXX60" s="218"/>
      <c r="RXY60" s="219"/>
      <c r="RXZ60" s="220"/>
      <c r="RYA60" s="220"/>
      <c r="RYB60" s="220"/>
      <c r="RYC60" s="220"/>
      <c r="RYD60" s="217"/>
      <c r="RYE60" s="221"/>
      <c r="RYF60" s="216"/>
      <c r="RYG60" s="217"/>
      <c r="RYH60" s="218"/>
      <c r="RYI60" s="219"/>
      <c r="RYJ60" s="220"/>
      <c r="RYK60" s="220"/>
      <c r="RYL60" s="220"/>
      <c r="RYM60" s="220"/>
      <c r="RYN60" s="217"/>
      <c r="RYO60" s="221"/>
      <c r="RYP60" s="216"/>
      <c r="RYQ60" s="217"/>
      <c r="RYR60" s="218"/>
      <c r="RYS60" s="219"/>
      <c r="RYT60" s="220"/>
      <c r="RYU60" s="220"/>
      <c r="RYV60" s="220"/>
      <c r="RYW60" s="220"/>
      <c r="RYX60" s="217"/>
      <c r="RYY60" s="221"/>
      <c r="RYZ60" s="216"/>
      <c r="RZA60" s="217"/>
      <c r="RZB60" s="218"/>
      <c r="RZC60" s="219"/>
      <c r="RZD60" s="220"/>
      <c r="RZE60" s="220"/>
      <c r="RZF60" s="220"/>
      <c r="RZG60" s="220"/>
      <c r="RZH60" s="217"/>
      <c r="RZI60" s="221"/>
      <c r="RZJ60" s="216"/>
      <c r="RZK60" s="217"/>
      <c r="RZL60" s="218"/>
      <c r="RZM60" s="219"/>
      <c r="RZN60" s="220"/>
      <c r="RZO60" s="220"/>
      <c r="RZP60" s="220"/>
      <c r="RZQ60" s="220"/>
      <c r="RZR60" s="217"/>
      <c r="RZS60" s="221"/>
      <c r="RZT60" s="216"/>
      <c r="RZU60" s="217"/>
      <c r="RZV60" s="218"/>
      <c r="RZW60" s="219"/>
      <c r="RZX60" s="220"/>
      <c r="RZY60" s="220"/>
      <c r="RZZ60" s="220"/>
      <c r="SAA60" s="220"/>
      <c r="SAB60" s="217"/>
      <c r="SAC60" s="221"/>
      <c r="SAD60" s="216"/>
      <c r="SAE60" s="217"/>
      <c r="SAF60" s="218"/>
      <c r="SAG60" s="219"/>
      <c r="SAH60" s="220"/>
      <c r="SAI60" s="220"/>
      <c r="SAJ60" s="220"/>
      <c r="SAK60" s="220"/>
      <c r="SAL60" s="217"/>
      <c r="SAM60" s="221"/>
      <c r="SAN60" s="216"/>
      <c r="SAO60" s="217"/>
      <c r="SAP60" s="218"/>
      <c r="SAQ60" s="219"/>
      <c r="SAR60" s="220"/>
      <c r="SAS60" s="220"/>
      <c r="SAT60" s="220"/>
      <c r="SAU60" s="220"/>
      <c r="SAV60" s="217"/>
      <c r="SAW60" s="221"/>
      <c r="SAX60" s="216"/>
      <c r="SAY60" s="217"/>
      <c r="SAZ60" s="218"/>
      <c r="SBA60" s="219"/>
      <c r="SBB60" s="220"/>
      <c r="SBC60" s="220"/>
      <c r="SBD60" s="220"/>
      <c r="SBE60" s="220"/>
      <c r="SBF60" s="217"/>
      <c r="SBG60" s="221"/>
      <c r="SBH60" s="216"/>
      <c r="SBI60" s="217"/>
      <c r="SBJ60" s="218"/>
      <c r="SBK60" s="219"/>
      <c r="SBL60" s="220"/>
      <c r="SBM60" s="220"/>
      <c r="SBN60" s="220"/>
      <c r="SBO60" s="220"/>
      <c r="SBP60" s="217"/>
      <c r="SBQ60" s="221"/>
      <c r="SBR60" s="216"/>
      <c r="SBS60" s="217"/>
      <c r="SBT60" s="218"/>
      <c r="SBU60" s="219"/>
      <c r="SBV60" s="220"/>
      <c r="SBW60" s="220"/>
      <c r="SBX60" s="220"/>
      <c r="SBY60" s="220"/>
      <c r="SBZ60" s="217"/>
      <c r="SCA60" s="221"/>
      <c r="SCB60" s="216"/>
      <c r="SCC60" s="217"/>
      <c r="SCD60" s="218"/>
      <c r="SCE60" s="219"/>
      <c r="SCF60" s="220"/>
      <c r="SCG60" s="220"/>
      <c r="SCH60" s="220"/>
      <c r="SCI60" s="220"/>
      <c r="SCJ60" s="217"/>
      <c r="SCK60" s="221"/>
      <c r="SCL60" s="216"/>
      <c r="SCM60" s="217"/>
      <c r="SCN60" s="218"/>
      <c r="SCO60" s="219"/>
      <c r="SCP60" s="220"/>
      <c r="SCQ60" s="220"/>
      <c r="SCR60" s="220"/>
      <c r="SCS60" s="220"/>
      <c r="SCT60" s="217"/>
      <c r="SCU60" s="221"/>
      <c r="SCV60" s="216"/>
      <c r="SCW60" s="217"/>
      <c r="SCX60" s="218"/>
      <c r="SCY60" s="219"/>
      <c r="SCZ60" s="220"/>
      <c r="SDA60" s="220"/>
      <c r="SDB60" s="220"/>
      <c r="SDC60" s="220"/>
      <c r="SDD60" s="217"/>
      <c r="SDE60" s="221"/>
      <c r="SDF60" s="216"/>
      <c r="SDG60" s="217"/>
      <c r="SDH60" s="218"/>
      <c r="SDI60" s="219"/>
      <c r="SDJ60" s="220"/>
      <c r="SDK60" s="220"/>
      <c r="SDL60" s="220"/>
      <c r="SDM60" s="220"/>
      <c r="SDN60" s="217"/>
      <c r="SDO60" s="221"/>
      <c r="SDP60" s="216"/>
      <c r="SDQ60" s="217"/>
      <c r="SDR60" s="218"/>
      <c r="SDS60" s="219"/>
      <c r="SDT60" s="220"/>
      <c r="SDU60" s="220"/>
      <c r="SDV60" s="220"/>
      <c r="SDW60" s="220"/>
      <c r="SDX60" s="217"/>
      <c r="SDY60" s="221"/>
      <c r="SDZ60" s="216"/>
      <c r="SEA60" s="217"/>
      <c r="SEB60" s="218"/>
      <c r="SEC60" s="219"/>
      <c r="SED60" s="220"/>
      <c r="SEE60" s="220"/>
      <c r="SEF60" s="220"/>
      <c r="SEG60" s="220"/>
      <c r="SEH60" s="217"/>
      <c r="SEI60" s="221"/>
      <c r="SEJ60" s="216"/>
      <c r="SEK60" s="217"/>
      <c r="SEL60" s="218"/>
      <c r="SEM60" s="219"/>
      <c r="SEN60" s="220"/>
      <c r="SEO60" s="220"/>
      <c r="SEP60" s="220"/>
      <c r="SEQ60" s="220"/>
      <c r="SER60" s="217"/>
      <c r="SES60" s="221"/>
      <c r="SET60" s="216"/>
      <c r="SEU60" s="217"/>
      <c r="SEV60" s="218"/>
      <c r="SEW60" s="219"/>
      <c r="SEX60" s="220"/>
      <c r="SEY60" s="220"/>
      <c r="SEZ60" s="220"/>
      <c r="SFA60" s="220"/>
      <c r="SFB60" s="217"/>
      <c r="SFC60" s="221"/>
      <c r="SFD60" s="216"/>
      <c r="SFE60" s="217"/>
      <c r="SFF60" s="218"/>
      <c r="SFG60" s="219"/>
      <c r="SFH60" s="220"/>
      <c r="SFI60" s="220"/>
      <c r="SFJ60" s="220"/>
      <c r="SFK60" s="220"/>
      <c r="SFL60" s="217"/>
      <c r="SFM60" s="221"/>
      <c r="SFN60" s="216"/>
      <c r="SFO60" s="217"/>
      <c r="SFP60" s="218"/>
      <c r="SFQ60" s="219"/>
      <c r="SFR60" s="220"/>
      <c r="SFS60" s="220"/>
      <c r="SFT60" s="220"/>
      <c r="SFU60" s="220"/>
      <c r="SFV60" s="217"/>
      <c r="SFW60" s="221"/>
      <c r="SFX60" s="216"/>
      <c r="SFY60" s="217"/>
      <c r="SFZ60" s="218"/>
      <c r="SGA60" s="219"/>
      <c r="SGB60" s="220"/>
      <c r="SGC60" s="220"/>
      <c r="SGD60" s="220"/>
      <c r="SGE60" s="220"/>
      <c r="SGF60" s="217"/>
      <c r="SGG60" s="221"/>
      <c r="SGH60" s="216"/>
      <c r="SGI60" s="217"/>
      <c r="SGJ60" s="218"/>
      <c r="SGK60" s="219"/>
      <c r="SGL60" s="220"/>
      <c r="SGM60" s="220"/>
      <c r="SGN60" s="220"/>
      <c r="SGO60" s="220"/>
      <c r="SGP60" s="217"/>
      <c r="SGQ60" s="221"/>
      <c r="SGR60" s="216"/>
      <c r="SGS60" s="217"/>
      <c r="SGT60" s="218"/>
      <c r="SGU60" s="219"/>
      <c r="SGV60" s="220"/>
      <c r="SGW60" s="220"/>
      <c r="SGX60" s="220"/>
      <c r="SGY60" s="220"/>
      <c r="SGZ60" s="217"/>
      <c r="SHA60" s="221"/>
      <c r="SHB60" s="216"/>
      <c r="SHC60" s="217"/>
      <c r="SHD60" s="218"/>
      <c r="SHE60" s="219"/>
      <c r="SHF60" s="220"/>
      <c r="SHG60" s="220"/>
      <c r="SHH60" s="220"/>
      <c r="SHI60" s="220"/>
      <c r="SHJ60" s="217"/>
      <c r="SHK60" s="221"/>
      <c r="SHL60" s="216"/>
      <c r="SHM60" s="217"/>
      <c r="SHN60" s="218"/>
      <c r="SHO60" s="219"/>
      <c r="SHP60" s="220"/>
      <c r="SHQ60" s="220"/>
      <c r="SHR60" s="220"/>
      <c r="SHS60" s="220"/>
      <c r="SHT60" s="217"/>
      <c r="SHU60" s="221"/>
      <c r="SHV60" s="216"/>
      <c r="SHW60" s="217"/>
      <c r="SHX60" s="218"/>
      <c r="SHY60" s="219"/>
      <c r="SHZ60" s="220"/>
      <c r="SIA60" s="220"/>
      <c r="SIB60" s="220"/>
      <c r="SIC60" s="220"/>
      <c r="SID60" s="217"/>
      <c r="SIE60" s="221"/>
      <c r="SIF60" s="216"/>
      <c r="SIG60" s="217"/>
      <c r="SIH60" s="218"/>
      <c r="SII60" s="219"/>
      <c r="SIJ60" s="220"/>
      <c r="SIK60" s="220"/>
      <c r="SIL60" s="220"/>
      <c r="SIM60" s="220"/>
      <c r="SIN60" s="217"/>
      <c r="SIO60" s="221"/>
      <c r="SIP60" s="216"/>
      <c r="SIQ60" s="217"/>
      <c r="SIR60" s="218"/>
      <c r="SIS60" s="219"/>
      <c r="SIT60" s="220"/>
      <c r="SIU60" s="220"/>
      <c r="SIV60" s="220"/>
      <c r="SIW60" s="220"/>
      <c r="SIX60" s="217"/>
      <c r="SIY60" s="221"/>
      <c r="SIZ60" s="216"/>
      <c r="SJA60" s="217"/>
      <c r="SJB60" s="218"/>
      <c r="SJC60" s="219"/>
      <c r="SJD60" s="220"/>
      <c r="SJE60" s="220"/>
      <c r="SJF60" s="220"/>
      <c r="SJG60" s="220"/>
      <c r="SJH60" s="217"/>
      <c r="SJI60" s="221"/>
      <c r="SJJ60" s="216"/>
      <c r="SJK60" s="217"/>
      <c r="SJL60" s="218"/>
      <c r="SJM60" s="219"/>
      <c r="SJN60" s="220"/>
      <c r="SJO60" s="220"/>
      <c r="SJP60" s="220"/>
      <c r="SJQ60" s="220"/>
      <c r="SJR60" s="217"/>
      <c r="SJS60" s="221"/>
      <c r="SJT60" s="216"/>
      <c r="SJU60" s="217"/>
      <c r="SJV60" s="218"/>
      <c r="SJW60" s="219"/>
      <c r="SJX60" s="220"/>
      <c r="SJY60" s="220"/>
      <c r="SJZ60" s="220"/>
      <c r="SKA60" s="220"/>
      <c r="SKB60" s="217"/>
      <c r="SKC60" s="221"/>
      <c r="SKD60" s="216"/>
      <c r="SKE60" s="217"/>
      <c r="SKF60" s="218"/>
      <c r="SKG60" s="219"/>
      <c r="SKH60" s="220"/>
      <c r="SKI60" s="220"/>
      <c r="SKJ60" s="220"/>
      <c r="SKK60" s="220"/>
      <c r="SKL60" s="217"/>
      <c r="SKM60" s="221"/>
      <c r="SKN60" s="216"/>
      <c r="SKO60" s="217"/>
      <c r="SKP60" s="218"/>
      <c r="SKQ60" s="219"/>
      <c r="SKR60" s="220"/>
      <c r="SKS60" s="220"/>
      <c r="SKT60" s="220"/>
      <c r="SKU60" s="220"/>
      <c r="SKV60" s="217"/>
      <c r="SKW60" s="221"/>
      <c r="SKX60" s="216"/>
      <c r="SKY60" s="217"/>
      <c r="SKZ60" s="218"/>
      <c r="SLA60" s="219"/>
      <c r="SLB60" s="220"/>
      <c r="SLC60" s="220"/>
      <c r="SLD60" s="220"/>
      <c r="SLE60" s="220"/>
      <c r="SLF60" s="217"/>
      <c r="SLG60" s="221"/>
      <c r="SLH60" s="216"/>
      <c r="SLI60" s="217"/>
      <c r="SLJ60" s="218"/>
      <c r="SLK60" s="219"/>
      <c r="SLL60" s="220"/>
      <c r="SLM60" s="220"/>
      <c r="SLN60" s="220"/>
      <c r="SLO60" s="220"/>
      <c r="SLP60" s="217"/>
      <c r="SLQ60" s="221"/>
      <c r="SLR60" s="216"/>
      <c r="SLS60" s="217"/>
      <c r="SLT60" s="218"/>
      <c r="SLU60" s="219"/>
      <c r="SLV60" s="220"/>
      <c r="SLW60" s="220"/>
      <c r="SLX60" s="220"/>
      <c r="SLY60" s="220"/>
      <c r="SLZ60" s="217"/>
      <c r="SMA60" s="221"/>
      <c r="SMB60" s="216"/>
      <c r="SMC60" s="217"/>
      <c r="SMD60" s="218"/>
      <c r="SME60" s="219"/>
      <c r="SMF60" s="220"/>
      <c r="SMG60" s="220"/>
      <c r="SMH60" s="220"/>
      <c r="SMI60" s="220"/>
      <c r="SMJ60" s="217"/>
      <c r="SMK60" s="221"/>
      <c r="SML60" s="216"/>
      <c r="SMM60" s="217"/>
      <c r="SMN60" s="218"/>
      <c r="SMO60" s="219"/>
      <c r="SMP60" s="220"/>
      <c r="SMQ60" s="220"/>
      <c r="SMR60" s="220"/>
      <c r="SMS60" s="220"/>
      <c r="SMT60" s="217"/>
      <c r="SMU60" s="221"/>
      <c r="SMV60" s="216"/>
      <c r="SMW60" s="217"/>
      <c r="SMX60" s="218"/>
      <c r="SMY60" s="219"/>
      <c r="SMZ60" s="220"/>
      <c r="SNA60" s="220"/>
      <c r="SNB60" s="220"/>
      <c r="SNC60" s="220"/>
      <c r="SND60" s="217"/>
      <c r="SNE60" s="221"/>
      <c r="SNF60" s="216"/>
      <c r="SNG60" s="217"/>
      <c r="SNH60" s="218"/>
      <c r="SNI60" s="219"/>
      <c r="SNJ60" s="220"/>
      <c r="SNK60" s="220"/>
      <c r="SNL60" s="220"/>
      <c r="SNM60" s="220"/>
      <c r="SNN60" s="217"/>
      <c r="SNO60" s="221"/>
      <c r="SNP60" s="216"/>
      <c r="SNQ60" s="217"/>
      <c r="SNR60" s="218"/>
      <c r="SNS60" s="219"/>
      <c r="SNT60" s="220"/>
      <c r="SNU60" s="220"/>
      <c r="SNV60" s="220"/>
      <c r="SNW60" s="220"/>
      <c r="SNX60" s="217"/>
      <c r="SNY60" s="221"/>
      <c r="SNZ60" s="216"/>
      <c r="SOA60" s="217"/>
      <c r="SOB60" s="218"/>
      <c r="SOC60" s="219"/>
      <c r="SOD60" s="220"/>
      <c r="SOE60" s="220"/>
      <c r="SOF60" s="220"/>
      <c r="SOG60" s="220"/>
      <c r="SOH60" s="217"/>
      <c r="SOI60" s="221"/>
      <c r="SOJ60" s="216"/>
      <c r="SOK60" s="217"/>
      <c r="SOL60" s="218"/>
      <c r="SOM60" s="219"/>
      <c r="SON60" s="220"/>
      <c r="SOO60" s="220"/>
      <c r="SOP60" s="220"/>
      <c r="SOQ60" s="220"/>
      <c r="SOR60" s="217"/>
      <c r="SOS60" s="221"/>
      <c r="SOT60" s="216"/>
      <c r="SOU60" s="217"/>
      <c r="SOV60" s="218"/>
      <c r="SOW60" s="219"/>
      <c r="SOX60" s="220"/>
      <c r="SOY60" s="220"/>
      <c r="SOZ60" s="220"/>
      <c r="SPA60" s="220"/>
      <c r="SPB60" s="217"/>
      <c r="SPC60" s="221"/>
      <c r="SPD60" s="216"/>
      <c r="SPE60" s="217"/>
      <c r="SPF60" s="218"/>
      <c r="SPG60" s="219"/>
      <c r="SPH60" s="220"/>
      <c r="SPI60" s="220"/>
      <c r="SPJ60" s="220"/>
      <c r="SPK60" s="220"/>
      <c r="SPL60" s="217"/>
      <c r="SPM60" s="221"/>
      <c r="SPN60" s="216"/>
      <c r="SPO60" s="217"/>
      <c r="SPP60" s="218"/>
      <c r="SPQ60" s="219"/>
      <c r="SPR60" s="220"/>
      <c r="SPS60" s="220"/>
      <c r="SPT60" s="220"/>
      <c r="SPU60" s="220"/>
      <c r="SPV60" s="217"/>
      <c r="SPW60" s="221"/>
      <c r="SPX60" s="216"/>
      <c r="SPY60" s="217"/>
      <c r="SPZ60" s="218"/>
      <c r="SQA60" s="219"/>
      <c r="SQB60" s="220"/>
      <c r="SQC60" s="220"/>
      <c r="SQD60" s="220"/>
      <c r="SQE60" s="220"/>
      <c r="SQF60" s="217"/>
      <c r="SQG60" s="221"/>
      <c r="SQH60" s="216"/>
      <c r="SQI60" s="217"/>
      <c r="SQJ60" s="218"/>
      <c r="SQK60" s="219"/>
      <c r="SQL60" s="220"/>
      <c r="SQM60" s="220"/>
      <c r="SQN60" s="220"/>
      <c r="SQO60" s="220"/>
      <c r="SQP60" s="217"/>
      <c r="SQQ60" s="221"/>
      <c r="SQR60" s="216"/>
      <c r="SQS60" s="217"/>
      <c r="SQT60" s="218"/>
      <c r="SQU60" s="219"/>
      <c r="SQV60" s="220"/>
      <c r="SQW60" s="220"/>
      <c r="SQX60" s="220"/>
      <c r="SQY60" s="220"/>
      <c r="SQZ60" s="217"/>
      <c r="SRA60" s="221"/>
      <c r="SRB60" s="216"/>
      <c r="SRC60" s="217"/>
      <c r="SRD60" s="218"/>
      <c r="SRE60" s="219"/>
      <c r="SRF60" s="220"/>
      <c r="SRG60" s="220"/>
      <c r="SRH60" s="220"/>
      <c r="SRI60" s="220"/>
      <c r="SRJ60" s="217"/>
      <c r="SRK60" s="221"/>
      <c r="SRL60" s="216"/>
      <c r="SRM60" s="217"/>
      <c r="SRN60" s="218"/>
      <c r="SRO60" s="219"/>
      <c r="SRP60" s="220"/>
      <c r="SRQ60" s="220"/>
      <c r="SRR60" s="220"/>
      <c r="SRS60" s="220"/>
      <c r="SRT60" s="217"/>
      <c r="SRU60" s="221"/>
      <c r="SRV60" s="216"/>
      <c r="SRW60" s="217"/>
      <c r="SRX60" s="218"/>
      <c r="SRY60" s="219"/>
      <c r="SRZ60" s="220"/>
      <c r="SSA60" s="220"/>
      <c r="SSB60" s="220"/>
      <c r="SSC60" s="220"/>
      <c r="SSD60" s="217"/>
      <c r="SSE60" s="221"/>
      <c r="SSF60" s="216"/>
      <c r="SSG60" s="217"/>
      <c r="SSH60" s="218"/>
      <c r="SSI60" s="219"/>
      <c r="SSJ60" s="220"/>
      <c r="SSK60" s="220"/>
      <c r="SSL60" s="220"/>
      <c r="SSM60" s="220"/>
      <c r="SSN60" s="217"/>
      <c r="SSO60" s="221"/>
      <c r="SSP60" s="216"/>
      <c r="SSQ60" s="217"/>
      <c r="SSR60" s="218"/>
      <c r="SSS60" s="219"/>
      <c r="SST60" s="220"/>
      <c r="SSU60" s="220"/>
      <c r="SSV60" s="220"/>
      <c r="SSW60" s="220"/>
      <c r="SSX60" s="217"/>
      <c r="SSY60" s="221"/>
      <c r="SSZ60" s="216"/>
      <c r="STA60" s="217"/>
      <c r="STB60" s="218"/>
      <c r="STC60" s="219"/>
      <c r="STD60" s="220"/>
      <c r="STE60" s="220"/>
      <c r="STF60" s="220"/>
      <c r="STG60" s="220"/>
      <c r="STH60" s="217"/>
      <c r="STI60" s="221"/>
      <c r="STJ60" s="216"/>
      <c r="STK60" s="217"/>
      <c r="STL60" s="218"/>
      <c r="STM60" s="219"/>
      <c r="STN60" s="220"/>
      <c r="STO60" s="220"/>
      <c r="STP60" s="220"/>
      <c r="STQ60" s="220"/>
      <c r="STR60" s="217"/>
      <c r="STS60" s="221"/>
      <c r="STT60" s="216"/>
      <c r="STU60" s="217"/>
      <c r="STV60" s="218"/>
      <c r="STW60" s="219"/>
      <c r="STX60" s="220"/>
      <c r="STY60" s="220"/>
      <c r="STZ60" s="220"/>
      <c r="SUA60" s="220"/>
      <c r="SUB60" s="217"/>
      <c r="SUC60" s="221"/>
      <c r="SUD60" s="216"/>
      <c r="SUE60" s="217"/>
      <c r="SUF60" s="218"/>
      <c r="SUG60" s="219"/>
      <c r="SUH60" s="220"/>
      <c r="SUI60" s="220"/>
      <c r="SUJ60" s="220"/>
      <c r="SUK60" s="220"/>
      <c r="SUL60" s="217"/>
      <c r="SUM60" s="221"/>
      <c r="SUN60" s="216"/>
      <c r="SUO60" s="217"/>
      <c r="SUP60" s="218"/>
      <c r="SUQ60" s="219"/>
      <c r="SUR60" s="220"/>
      <c r="SUS60" s="220"/>
      <c r="SUT60" s="220"/>
      <c r="SUU60" s="220"/>
      <c r="SUV60" s="217"/>
      <c r="SUW60" s="221"/>
      <c r="SUX60" s="216"/>
      <c r="SUY60" s="217"/>
      <c r="SUZ60" s="218"/>
      <c r="SVA60" s="219"/>
      <c r="SVB60" s="220"/>
      <c r="SVC60" s="220"/>
      <c r="SVD60" s="220"/>
      <c r="SVE60" s="220"/>
      <c r="SVF60" s="217"/>
      <c r="SVG60" s="221"/>
      <c r="SVH60" s="216"/>
      <c r="SVI60" s="217"/>
      <c r="SVJ60" s="218"/>
      <c r="SVK60" s="219"/>
      <c r="SVL60" s="220"/>
      <c r="SVM60" s="220"/>
      <c r="SVN60" s="220"/>
      <c r="SVO60" s="220"/>
      <c r="SVP60" s="217"/>
      <c r="SVQ60" s="221"/>
      <c r="SVR60" s="216"/>
      <c r="SVS60" s="217"/>
      <c r="SVT60" s="218"/>
      <c r="SVU60" s="219"/>
      <c r="SVV60" s="220"/>
      <c r="SVW60" s="220"/>
      <c r="SVX60" s="220"/>
      <c r="SVY60" s="220"/>
      <c r="SVZ60" s="217"/>
      <c r="SWA60" s="221"/>
      <c r="SWB60" s="216"/>
      <c r="SWC60" s="217"/>
      <c r="SWD60" s="218"/>
      <c r="SWE60" s="219"/>
      <c r="SWF60" s="220"/>
      <c r="SWG60" s="220"/>
      <c r="SWH60" s="220"/>
      <c r="SWI60" s="220"/>
      <c r="SWJ60" s="217"/>
      <c r="SWK60" s="221"/>
      <c r="SWL60" s="216"/>
      <c r="SWM60" s="217"/>
      <c r="SWN60" s="218"/>
      <c r="SWO60" s="219"/>
      <c r="SWP60" s="220"/>
      <c r="SWQ60" s="220"/>
      <c r="SWR60" s="220"/>
      <c r="SWS60" s="220"/>
      <c r="SWT60" s="217"/>
      <c r="SWU60" s="221"/>
      <c r="SWV60" s="216"/>
      <c r="SWW60" s="217"/>
      <c r="SWX60" s="218"/>
      <c r="SWY60" s="219"/>
      <c r="SWZ60" s="220"/>
      <c r="SXA60" s="220"/>
      <c r="SXB60" s="220"/>
      <c r="SXC60" s="220"/>
      <c r="SXD60" s="217"/>
      <c r="SXE60" s="221"/>
      <c r="SXF60" s="216"/>
      <c r="SXG60" s="217"/>
      <c r="SXH60" s="218"/>
      <c r="SXI60" s="219"/>
      <c r="SXJ60" s="220"/>
      <c r="SXK60" s="220"/>
      <c r="SXL60" s="220"/>
      <c r="SXM60" s="220"/>
      <c r="SXN60" s="217"/>
      <c r="SXO60" s="221"/>
      <c r="SXP60" s="216"/>
      <c r="SXQ60" s="217"/>
      <c r="SXR60" s="218"/>
      <c r="SXS60" s="219"/>
      <c r="SXT60" s="220"/>
      <c r="SXU60" s="220"/>
      <c r="SXV60" s="220"/>
      <c r="SXW60" s="220"/>
      <c r="SXX60" s="217"/>
      <c r="SXY60" s="221"/>
      <c r="SXZ60" s="216"/>
      <c r="SYA60" s="217"/>
      <c r="SYB60" s="218"/>
      <c r="SYC60" s="219"/>
      <c r="SYD60" s="220"/>
      <c r="SYE60" s="220"/>
      <c r="SYF60" s="220"/>
      <c r="SYG60" s="220"/>
      <c r="SYH60" s="217"/>
      <c r="SYI60" s="221"/>
      <c r="SYJ60" s="216"/>
      <c r="SYK60" s="217"/>
      <c r="SYL60" s="218"/>
      <c r="SYM60" s="219"/>
      <c r="SYN60" s="220"/>
      <c r="SYO60" s="220"/>
      <c r="SYP60" s="220"/>
      <c r="SYQ60" s="220"/>
      <c r="SYR60" s="217"/>
      <c r="SYS60" s="221"/>
      <c r="SYT60" s="216"/>
      <c r="SYU60" s="217"/>
      <c r="SYV60" s="218"/>
      <c r="SYW60" s="219"/>
      <c r="SYX60" s="220"/>
      <c r="SYY60" s="220"/>
      <c r="SYZ60" s="220"/>
      <c r="SZA60" s="220"/>
      <c r="SZB60" s="217"/>
      <c r="SZC60" s="221"/>
      <c r="SZD60" s="216"/>
      <c r="SZE60" s="217"/>
      <c r="SZF60" s="218"/>
      <c r="SZG60" s="219"/>
      <c r="SZH60" s="220"/>
      <c r="SZI60" s="220"/>
      <c r="SZJ60" s="220"/>
      <c r="SZK60" s="220"/>
      <c r="SZL60" s="217"/>
      <c r="SZM60" s="221"/>
      <c r="SZN60" s="216"/>
      <c r="SZO60" s="217"/>
      <c r="SZP60" s="218"/>
      <c r="SZQ60" s="219"/>
      <c r="SZR60" s="220"/>
      <c r="SZS60" s="220"/>
      <c r="SZT60" s="220"/>
      <c r="SZU60" s="220"/>
      <c r="SZV60" s="217"/>
      <c r="SZW60" s="221"/>
      <c r="SZX60" s="216"/>
      <c r="SZY60" s="217"/>
      <c r="SZZ60" s="218"/>
      <c r="TAA60" s="219"/>
      <c r="TAB60" s="220"/>
      <c r="TAC60" s="220"/>
      <c r="TAD60" s="220"/>
      <c r="TAE60" s="220"/>
      <c r="TAF60" s="217"/>
      <c r="TAG60" s="221"/>
      <c r="TAH60" s="216"/>
      <c r="TAI60" s="217"/>
      <c r="TAJ60" s="218"/>
      <c r="TAK60" s="219"/>
      <c r="TAL60" s="220"/>
      <c r="TAM60" s="220"/>
      <c r="TAN60" s="220"/>
      <c r="TAO60" s="220"/>
      <c r="TAP60" s="217"/>
      <c r="TAQ60" s="221"/>
      <c r="TAR60" s="216"/>
      <c r="TAS60" s="217"/>
      <c r="TAT60" s="218"/>
      <c r="TAU60" s="219"/>
      <c r="TAV60" s="220"/>
      <c r="TAW60" s="220"/>
      <c r="TAX60" s="220"/>
      <c r="TAY60" s="220"/>
      <c r="TAZ60" s="217"/>
      <c r="TBA60" s="221"/>
      <c r="TBB60" s="216"/>
      <c r="TBC60" s="217"/>
      <c r="TBD60" s="218"/>
      <c r="TBE60" s="219"/>
      <c r="TBF60" s="220"/>
      <c r="TBG60" s="220"/>
      <c r="TBH60" s="220"/>
      <c r="TBI60" s="220"/>
      <c r="TBJ60" s="217"/>
      <c r="TBK60" s="221"/>
      <c r="TBL60" s="216"/>
      <c r="TBM60" s="217"/>
      <c r="TBN60" s="218"/>
      <c r="TBO60" s="219"/>
      <c r="TBP60" s="220"/>
      <c r="TBQ60" s="220"/>
      <c r="TBR60" s="220"/>
      <c r="TBS60" s="220"/>
      <c r="TBT60" s="217"/>
      <c r="TBU60" s="221"/>
      <c r="TBV60" s="216"/>
      <c r="TBW60" s="217"/>
      <c r="TBX60" s="218"/>
      <c r="TBY60" s="219"/>
      <c r="TBZ60" s="220"/>
      <c r="TCA60" s="220"/>
      <c r="TCB60" s="220"/>
      <c r="TCC60" s="220"/>
      <c r="TCD60" s="217"/>
      <c r="TCE60" s="221"/>
      <c r="TCF60" s="216"/>
      <c r="TCG60" s="217"/>
      <c r="TCH60" s="218"/>
      <c r="TCI60" s="219"/>
      <c r="TCJ60" s="220"/>
      <c r="TCK60" s="220"/>
      <c r="TCL60" s="220"/>
      <c r="TCM60" s="220"/>
      <c r="TCN60" s="217"/>
      <c r="TCO60" s="221"/>
      <c r="TCP60" s="216"/>
      <c r="TCQ60" s="217"/>
      <c r="TCR60" s="218"/>
      <c r="TCS60" s="219"/>
      <c r="TCT60" s="220"/>
      <c r="TCU60" s="220"/>
      <c r="TCV60" s="220"/>
      <c r="TCW60" s="220"/>
      <c r="TCX60" s="217"/>
      <c r="TCY60" s="221"/>
      <c r="TCZ60" s="216"/>
      <c r="TDA60" s="217"/>
      <c r="TDB60" s="218"/>
      <c r="TDC60" s="219"/>
      <c r="TDD60" s="220"/>
      <c r="TDE60" s="220"/>
      <c r="TDF60" s="220"/>
      <c r="TDG60" s="220"/>
      <c r="TDH60" s="217"/>
      <c r="TDI60" s="221"/>
      <c r="TDJ60" s="216"/>
      <c r="TDK60" s="217"/>
      <c r="TDL60" s="218"/>
      <c r="TDM60" s="219"/>
      <c r="TDN60" s="220"/>
      <c r="TDO60" s="220"/>
      <c r="TDP60" s="220"/>
      <c r="TDQ60" s="220"/>
      <c r="TDR60" s="217"/>
      <c r="TDS60" s="221"/>
      <c r="TDT60" s="216"/>
      <c r="TDU60" s="217"/>
      <c r="TDV60" s="218"/>
      <c r="TDW60" s="219"/>
      <c r="TDX60" s="220"/>
      <c r="TDY60" s="220"/>
      <c r="TDZ60" s="220"/>
      <c r="TEA60" s="220"/>
      <c r="TEB60" s="217"/>
      <c r="TEC60" s="221"/>
      <c r="TED60" s="216"/>
      <c r="TEE60" s="217"/>
      <c r="TEF60" s="218"/>
      <c r="TEG60" s="219"/>
      <c r="TEH60" s="220"/>
      <c r="TEI60" s="220"/>
      <c r="TEJ60" s="220"/>
      <c r="TEK60" s="220"/>
      <c r="TEL60" s="217"/>
      <c r="TEM60" s="221"/>
      <c r="TEN60" s="216"/>
      <c r="TEO60" s="217"/>
      <c r="TEP60" s="218"/>
      <c r="TEQ60" s="219"/>
      <c r="TER60" s="220"/>
      <c r="TES60" s="220"/>
      <c r="TET60" s="220"/>
      <c r="TEU60" s="220"/>
      <c r="TEV60" s="217"/>
      <c r="TEW60" s="221"/>
      <c r="TEX60" s="216"/>
      <c r="TEY60" s="217"/>
      <c r="TEZ60" s="218"/>
      <c r="TFA60" s="219"/>
      <c r="TFB60" s="220"/>
      <c r="TFC60" s="220"/>
      <c r="TFD60" s="220"/>
      <c r="TFE60" s="220"/>
      <c r="TFF60" s="217"/>
      <c r="TFG60" s="221"/>
      <c r="TFH60" s="216"/>
      <c r="TFI60" s="217"/>
      <c r="TFJ60" s="218"/>
      <c r="TFK60" s="219"/>
      <c r="TFL60" s="220"/>
      <c r="TFM60" s="220"/>
      <c r="TFN60" s="220"/>
      <c r="TFO60" s="220"/>
      <c r="TFP60" s="217"/>
      <c r="TFQ60" s="221"/>
      <c r="TFR60" s="216"/>
      <c r="TFS60" s="217"/>
      <c r="TFT60" s="218"/>
      <c r="TFU60" s="219"/>
      <c r="TFV60" s="220"/>
      <c r="TFW60" s="220"/>
      <c r="TFX60" s="220"/>
      <c r="TFY60" s="220"/>
      <c r="TFZ60" s="217"/>
      <c r="TGA60" s="221"/>
      <c r="TGB60" s="216"/>
      <c r="TGC60" s="217"/>
      <c r="TGD60" s="218"/>
      <c r="TGE60" s="219"/>
      <c r="TGF60" s="220"/>
      <c r="TGG60" s="220"/>
      <c r="TGH60" s="220"/>
      <c r="TGI60" s="220"/>
      <c r="TGJ60" s="217"/>
      <c r="TGK60" s="221"/>
      <c r="TGL60" s="216"/>
      <c r="TGM60" s="217"/>
      <c r="TGN60" s="218"/>
      <c r="TGO60" s="219"/>
      <c r="TGP60" s="220"/>
      <c r="TGQ60" s="220"/>
      <c r="TGR60" s="220"/>
      <c r="TGS60" s="220"/>
      <c r="TGT60" s="217"/>
      <c r="TGU60" s="221"/>
      <c r="TGV60" s="216"/>
      <c r="TGW60" s="217"/>
      <c r="TGX60" s="218"/>
      <c r="TGY60" s="219"/>
      <c r="TGZ60" s="220"/>
      <c r="THA60" s="220"/>
      <c r="THB60" s="220"/>
      <c r="THC60" s="220"/>
      <c r="THD60" s="217"/>
      <c r="THE60" s="221"/>
      <c r="THF60" s="216"/>
      <c r="THG60" s="217"/>
      <c r="THH60" s="218"/>
      <c r="THI60" s="219"/>
      <c r="THJ60" s="220"/>
      <c r="THK60" s="220"/>
      <c r="THL60" s="220"/>
      <c r="THM60" s="220"/>
      <c r="THN60" s="217"/>
      <c r="THO60" s="221"/>
      <c r="THP60" s="216"/>
      <c r="THQ60" s="217"/>
      <c r="THR60" s="218"/>
      <c r="THS60" s="219"/>
      <c r="THT60" s="220"/>
      <c r="THU60" s="220"/>
      <c r="THV60" s="220"/>
      <c r="THW60" s="220"/>
      <c r="THX60" s="217"/>
      <c r="THY60" s="221"/>
      <c r="THZ60" s="216"/>
      <c r="TIA60" s="217"/>
      <c r="TIB60" s="218"/>
      <c r="TIC60" s="219"/>
      <c r="TID60" s="220"/>
      <c r="TIE60" s="220"/>
      <c r="TIF60" s="220"/>
      <c r="TIG60" s="220"/>
      <c r="TIH60" s="217"/>
      <c r="TII60" s="221"/>
      <c r="TIJ60" s="216"/>
      <c r="TIK60" s="217"/>
      <c r="TIL60" s="218"/>
      <c r="TIM60" s="219"/>
      <c r="TIN60" s="220"/>
      <c r="TIO60" s="220"/>
      <c r="TIP60" s="220"/>
      <c r="TIQ60" s="220"/>
      <c r="TIR60" s="217"/>
      <c r="TIS60" s="221"/>
      <c r="TIT60" s="216"/>
      <c r="TIU60" s="217"/>
      <c r="TIV60" s="218"/>
      <c r="TIW60" s="219"/>
      <c r="TIX60" s="220"/>
      <c r="TIY60" s="220"/>
      <c r="TIZ60" s="220"/>
      <c r="TJA60" s="220"/>
      <c r="TJB60" s="217"/>
      <c r="TJC60" s="221"/>
      <c r="TJD60" s="216"/>
      <c r="TJE60" s="217"/>
      <c r="TJF60" s="218"/>
      <c r="TJG60" s="219"/>
      <c r="TJH60" s="220"/>
      <c r="TJI60" s="220"/>
      <c r="TJJ60" s="220"/>
      <c r="TJK60" s="220"/>
      <c r="TJL60" s="217"/>
      <c r="TJM60" s="221"/>
      <c r="TJN60" s="216"/>
      <c r="TJO60" s="217"/>
      <c r="TJP60" s="218"/>
      <c r="TJQ60" s="219"/>
      <c r="TJR60" s="220"/>
      <c r="TJS60" s="220"/>
      <c r="TJT60" s="220"/>
      <c r="TJU60" s="220"/>
      <c r="TJV60" s="217"/>
      <c r="TJW60" s="221"/>
      <c r="TJX60" s="216"/>
      <c r="TJY60" s="217"/>
      <c r="TJZ60" s="218"/>
      <c r="TKA60" s="219"/>
      <c r="TKB60" s="220"/>
      <c r="TKC60" s="220"/>
      <c r="TKD60" s="220"/>
      <c r="TKE60" s="220"/>
      <c r="TKF60" s="217"/>
      <c r="TKG60" s="221"/>
      <c r="TKH60" s="216"/>
      <c r="TKI60" s="217"/>
      <c r="TKJ60" s="218"/>
      <c r="TKK60" s="219"/>
      <c r="TKL60" s="220"/>
      <c r="TKM60" s="220"/>
      <c r="TKN60" s="220"/>
      <c r="TKO60" s="220"/>
      <c r="TKP60" s="217"/>
      <c r="TKQ60" s="221"/>
      <c r="TKR60" s="216"/>
      <c r="TKS60" s="217"/>
      <c r="TKT60" s="218"/>
      <c r="TKU60" s="219"/>
      <c r="TKV60" s="220"/>
      <c r="TKW60" s="220"/>
      <c r="TKX60" s="220"/>
      <c r="TKY60" s="220"/>
      <c r="TKZ60" s="217"/>
      <c r="TLA60" s="221"/>
      <c r="TLB60" s="216"/>
      <c r="TLC60" s="217"/>
      <c r="TLD60" s="218"/>
      <c r="TLE60" s="219"/>
      <c r="TLF60" s="220"/>
      <c r="TLG60" s="220"/>
      <c r="TLH60" s="220"/>
      <c r="TLI60" s="220"/>
      <c r="TLJ60" s="217"/>
      <c r="TLK60" s="221"/>
      <c r="TLL60" s="216"/>
      <c r="TLM60" s="217"/>
      <c r="TLN60" s="218"/>
      <c r="TLO60" s="219"/>
      <c r="TLP60" s="220"/>
      <c r="TLQ60" s="220"/>
      <c r="TLR60" s="220"/>
      <c r="TLS60" s="220"/>
      <c r="TLT60" s="217"/>
      <c r="TLU60" s="221"/>
      <c r="TLV60" s="216"/>
      <c r="TLW60" s="217"/>
      <c r="TLX60" s="218"/>
      <c r="TLY60" s="219"/>
      <c r="TLZ60" s="220"/>
      <c r="TMA60" s="220"/>
      <c r="TMB60" s="220"/>
      <c r="TMC60" s="220"/>
      <c r="TMD60" s="217"/>
      <c r="TME60" s="221"/>
      <c r="TMF60" s="216"/>
      <c r="TMG60" s="217"/>
      <c r="TMH60" s="218"/>
      <c r="TMI60" s="219"/>
      <c r="TMJ60" s="220"/>
      <c r="TMK60" s="220"/>
      <c r="TML60" s="220"/>
      <c r="TMM60" s="220"/>
      <c r="TMN60" s="217"/>
      <c r="TMO60" s="221"/>
      <c r="TMP60" s="216"/>
      <c r="TMQ60" s="217"/>
      <c r="TMR60" s="218"/>
      <c r="TMS60" s="219"/>
      <c r="TMT60" s="220"/>
      <c r="TMU60" s="220"/>
      <c r="TMV60" s="220"/>
      <c r="TMW60" s="220"/>
      <c r="TMX60" s="217"/>
      <c r="TMY60" s="221"/>
      <c r="TMZ60" s="216"/>
      <c r="TNA60" s="217"/>
      <c r="TNB60" s="218"/>
      <c r="TNC60" s="219"/>
      <c r="TND60" s="220"/>
      <c r="TNE60" s="220"/>
      <c r="TNF60" s="220"/>
      <c r="TNG60" s="220"/>
      <c r="TNH60" s="217"/>
      <c r="TNI60" s="221"/>
      <c r="TNJ60" s="216"/>
      <c r="TNK60" s="217"/>
      <c r="TNL60" s="218"/>
      <c r="TNM60" s="219"/>
      <c r="TNN60" s="220"/>
      <c r="TNO60" s="220"/>
      <c r="TNP60" s="220"/>
      <c r="TNQ60" s="220"/>
      <c r="TNR60" s="217"/>
      <c r="TNS60" s="221"/>
      <c r="TNT60" s="216"/>
      <c r="TNU60" s="217"/>
      <c r="TNV60" s="218"/>
      <c r="TNW60" s="219"/>
      <c r="TNX60" s="220"/>
      <c r="TNY60" s="220"/>
      <c r="TNZ60" s="220"/>
      <c r="TOA60" s="220"/>
      <c r="TOB60" s="217"/>
      <c r="TOC60" s="221"/>
      <c r="TOD60" s="216"/>
      <c r="TOE60" s="217"/>
      <c r="TOF60" s="218"/>
      <c r="TOG60" s="219"/>
      <c r="TOH60" s="220"/>
      <c r="TOI60" s="220"/>
      <c r="TOJ60" s="220"/>
      <c r="TOK60" s="220"/>
      <c r="TOL60" s="217"/>
      <c r="TOM60" s="221"/>
      <c r="TON60" s="216"/>
      <c r="TOO60" s="217"/>
      <c r="TOP60" s="218"/>
      <c r="TOQ60" s="219"/>
      <c r="TOR60" s="220"/>
      <c r="TOS60" s="220"/>
      <c r="TOT60" s="220"/>
      <c r="TOU60" s="220"/>
      <c r="TOV60" s="217"/>
      <c r="TOW60" s="221"/>
      <c r="TOX60" s="216"/>
      <c r="TOY60" s="217"/>
      <c r="TOZ60" s="218"/>
      <c r="TPA60" s="219"/>
      <c r="TPB60" s="220"/>
      <c r="TPC60" s="220"/>
      <c r="TPD60" s="220"/>
      <c r="TPE60" s="220"/>
      <c r="TPF60" s="217"/>
      <c r="TPG60" s="221"/>
      <c r="TPH60" s="216"/>
      <c r="TPI60" s="217"/>
      <c r="TPJ60" s="218"/>
      <c r="TPK60" s="219"/>
      <c r="TPL60" s="220"/>
      <c r="TPM60" s="220"/>
      <c r="TPN60" s="220"/>
      <c r="TPO60" s="220"/>
      <c r="TPP60" s="217"/>
      <c r="TPQ60" s="221"/>
      <c r="TPR60" s="216"/>
      <c r="TPS60" s="217"/>
      <c r="TPT60" s="218"/>
      <c r="TPU60" s="219"/>
      <c r="TPV60" s="220"/>
      <c r="TPW60" s="220"/>
      <c r="TPX60" s="220"/>
      <c r="TPY60" s="220"/>
      <c r="TPZ60" s="217"/>
      <c r="TQA60" s="221"/>
      <c r="TQB60" s="216"/>
      <c r="TQC60" s="217"/>
      <c r="TQD60" s="218"/>
      <c r="TQE60" s="219"/>
      <c r="TQF60" s="220"/>
      <c r="TQG60" s="220"/>
      <c r="TQH60" s="220"/>
      <c r="TQI60" s="220"/>
      <c r="TQJ60" s="217"/>
      <c r="TQK60" s="221"/>
      <c r="TQL60" s="216"/>
      <c r="TQM60" s="217"/>
      <c r="TQN60" s="218"/>
      <c r="TQO60" s="219"/>
      <c r="TQP60" s="220"/>
      <c r="TQQ60" s="220"/>
      <c r="TQR60" s="220"/>
      <c r="TQS60" s="220"/>
      <c r="TQT60" s="217"/>
      <c r="TQU60" s="221"/>
      <c r="TQV60" s="216"/>
      <c r="TQW60" s="217"/>
      <c r="TQX60" s="218"/>
      <c r="TQY60" s="219"/>
      <c r="TQZ60" s="220"/>
      <c r="TRA60" s="220"/>
      <c r="TRB60" s="220"/>
      <c r="TRC60" s="220"/>
      <c r="TRD60" s="217"/>
      <c r="TRE60" s="221"/>
      <c r="TRF60" s="216"/>
      <c r="TRG60" s="217"/>
      <c r="TRH60" s="218"/>
      <c r="TRI60" s="219"/>
      <c r="TRJ60" s="220"/>
      <c r="TRK60" s="220"/>
      <c r="TRL60" s="220"/>
      <c r="TRM60" s="220"/>
      <c r="TRN60" s="217"/>
      <c r="TRO60" s="221"/>
      <c r="TRP60" s="216"/>
      <c r="TRQ60" s="217"/>
      <c r="TRR60" s="218"/>
      <c r="TRS60" s="219"/>
      <c r="TRT60" s="220"/>
      <c r="TRU60" s="220"/>
      <c r="TRV60" s="220"/>
      <c r="TRW60" s="220"/>
      <c r="TRX60" s="217"/>
      <c r="TRY60" s="221"/>
      <c r="TRZ60" s="216"/>
      <c r="TSA60" s="217"/>
      <c r="TSB60" s="218"/>
      <c r="TSC60" s="219"/>
      <c r="TSD60" s="220"/>
      <c r="TSE60" s="220"/>
      <c r="TSF60" s="220"/>
      <c r="TSG60" s="220"/>
      <c r="TSH60" s="217"/>
      <c r="TSI60" s="221"/>
      <c r="TSJ60" s="216"/>
      <c r="TSK60" s="217"/>
      <c r="TSL60" s="218"/>
      <c r="TSM60" s="219"/>
      <c r="TSN60" s="220"/>
      <c r="TSO60" s="220"/>
      <c r="TSP60" s="220"/>
      <c r="TSQ60" s="220"/>
      <c r="TSR60" s="217"/>
      <c r="TSS60" s="221"/>
      <c r="TST60" s="216"/>
      <c r="TSU60" s="217"/>
      <c r="TSV60" s="218"/>
      <c r="TSW60" s="219"/>
      <c r="TSX60" s="220"/>
      <c r="TSY60" s="220"/>
      <c r="TSZ60" s="220"/>
      <c r="TTA60" s="220"/>
      <c r="TTB60" s="217"/>
      <c r="TTC60" s="221"/>
      <c r="TTD60" s="216"/>
      <c r="TTE60" s="217"/>
      <c r="TTF60" s="218"/>
      <c r="TTG60" s="219"/>
      <c r="TTH60" s="220"/>
      <c r="TTI60" s="220"/>
      <c r="TTJ60" s="220"/>
      <c r="TTK60" s="220"/>
      <c r="TTL60" s="217"/>
      <c r="TTM60" s="221"/>
      <c r="TTN60" s="216"/>
      <c r="TTO60" s="217"/>
      <c r="TTP60" s="218"/>
      <c r="TTQ60" s="219"/>
      <c r="TTR60" s="220"/>
      <c r="TTS60" s="220"/>
      <c r="TTT60" s="220"/>
      <c r="TTU60" s="220"/>
      <c r="TTV60" s="217"/>
      <c r="TTW60" s="221"/>
      <c r="TTX60" s="216"/>
      <c r="TTY60" s="217"/>
      <c r="TTZ60" s="218"/>
      <c r="TUA60" s="219"/>
      <c r="TUB60" s="220"/>
      <c r="TUC60" s="220"/>
      <c r="TUD60" s="220"/>
      <c r="TUE60" s="220"/>
      <c r="TUF60" s="217"/>
      <c r="TUG60" s="221"/>
      <c r="TUH60" s="216"/>
      <c r="TUI60" s="217"/>
      <c r="TUJ60" s="218"/>
      <c r="TUK60" s="219"/>
      <c r="TUL60" s="220"/>
      <c r="TUM60" s="220"/>
      <c r="TUN60" s="220"/>
      <c r="TUO60" s="220"/>
      <c r="TUP60" s="217"/>
      <c r="TUQ60" s="221"/>
      <c r="TUR60" s="216"/>
      <c r="TUS60" s="217"/>
      <c r="TUT60" s="218"/>
      <c r="TUU60" s="219"/>
      <c r="TUV60" s="220"/>
      <c r="TUW60" s="220"/>
      <c r="TUX60" s="220"/>
      <c r="TUY60" s="220"/>
      <c r="TUZ60" s="217"/>
      <c r="TVA60" s="221"/>
      <c r="TVB60" s="216"/>
      <c r="TVC60" s="217"/>
      <c r="TVD60" s="218"/>
      <c r="TVE60" s="219"/>
      <c r="TVF60" s="220"/>
      <c r="TVG60" s="220"/>
      <c r="TVH60" s="220"/>
      <c r="TVI60" s="220"/>
      <c r="TVJ60" s="217"/>
      <c r="TVK60" s="221"/>
      <c r="TVL60" s="216"/>
      <c r="TVM60" s="217"/>
      <c r="TVN60" s="218"/>
      <c r="TVO60" s="219"/>
      <c r="TVP60" s="220"/>
      <c r="TVQ60" s="220"/>
      <c r="TVR60" s="220"/>
      <c r="TVS60" s="220"/>
      <c r="TVT60" s="217"/>
      <c r="TVU60" s="221"/>
      <c r="TVV60" s="216"/>
      <c r="TVW60" s="217"/>
      <c r="TVX60" s="218"/>
      <c r="TVY60" s="219"/>
      <c r="TVZ60" s="220"/>
      <c r="TWA60" s="220"/>
      <c r="TWB60" s="220"/>
      <c r="TWC60" s="220"/>
      <c r="TWD60" s="217"/>
      <c r="TWE60" s="221"/>
      <c r="TWF60" s="216"/>
      <c r="TWG60" s="217"/>
      <c r="TWH60" s="218"/>
      <c r="TWI60" s="219"/>
      <c r="TWJ60" s="220"/>
      <c r="TWK60" s="220"/>
      <c r="TWL60" s="220"/>
      <c r="TWM60" s="220"/>
      <c r="TWN60" s="217"/>
      <c r="TWO60" s="221"/>
      <c r="TWP60" s="216"/>
      <c r="TWQ60" s="217"/>
      <c r="TWR60" s="218"/>
      <c r="TWS60" s="219"/>
      <c r="TWT60" s="220"/>
      <c r="TWU60" s="220"/>
      <c r="TWV60" s="220"/>
      <c r="TWW60" s="220"/>
      <c r="TWX60" s="217"/>
      <c r="TWY60" s="221"/>
      <c r="TWZ60" s="216"/>
      <c r="TXA60" s="217"/>
      <c r="TXB60" s="218"/>
      <c r="TXC60" s="219"/>
      <c r="TXD60" s="220"/>
      <c r="TXE60" s="220"/>
      <c r="TXF60" s="220"/>
      <c r="TXG60" s="220"/>
      <c r="TXH60" s="217"/>
      <c r="TXI60" s="221"/>
      <c r="TXJ60" s="216"/>
      <c r="TXK60" s="217"/>
      <c r="TXL60" s="218"/>
      <c r="TXM60" s="219"/>
      <c r="TXN60" s="220"/>
      <c r="TXO60" s="220"/>
      <c r="TXP60" s="220"/>
      <c r="TXQ60" s="220"/>
      <c r="TXR60" s="217"/>
      <c r="TXS60" s="221"/>
      <c r="TXT60" s="216"/>
      <c r="TXU60" s="217"/>
      <c r="TXV60" s="218"/>
      <c r="TXW60" s="219"/>
      <c r="TXX60" s="220"/>
      <c r="TXY60" s="220"/>
      <c r="TXZ60" s="220"/>
      <c r="TYA60" s="220"/>
      <c r="TYB60" s="217"/>
      <c r="TYC60" s="221"/>
      <c r="TYD60" s="216"/>
      <c r="TYE60" s="217"/>
      <c r="TYF60" s="218"/>
      <c r="TYG60" s="219"/>
      <c r="TYH60" s="220"/>
      <c r="TYI60" s="220"/>
      <c r="TYJ60" s="220"/>
      <c r="TYK60" s="220"/>
      <c r="TYL60" s="217"/>
      <c r="TYM60" s="221"/>
      <c r="TYN60" s="216"/>
      <c r="TYO60" s="217"/>
      <c r="TYP60" s="218"/>
      <c r="TYQ60" s="219"/>
      <c r="TYR60" s="220"/>
      <c r="TYS60" s="220"/>
      <c r="TYT60" s="220"/>
      <c r="TYU60" s="220"/>
      <c r="TYV60" s="217"/>
      <c r="TYW60" s="221"/>
      <c r="TYX60" s="216"/>
      <c r="TYY60" s="217"/>
      <c r="TYZ60" s="218"/>
      <c r="TZA60" s="219"/>
      <c r="TZB60" s="220"/>
      <c r="TZC60" s="220"/>
      <c r="TZD60" s="220"/>
      <c r="TZE60" s="220"/>
      <c r="TZF60" s="217"/>
      <c r="TZG60" s="221"/>
      <c r="TZH60" s="216"/>
      <c r="TZI60" s="217"/>
      <c r="TZJ60" s="218"/>
      <c r="TZK60" s="219"/>
      <c r="TZL60" s="220"/>
      <c r="TZM60" s="220"/>
      <c r="TZN60" s="220"/>
      <c r="TZO60" s="220"/>
      <c r="TZP60" s="217"/>
      <c r="TZQ60" s="221"/>
      <c r="TZR60" s="216"/>
      <c r="TZS60" s="217"/>
      <c r="TZT60" s="218"/>
      <c r="TZU60" s="219"/>
      <c r="TZV60" s="220"/>
      <c r="TZW60" s="220"/>
      <c r="TZX60" s="220"/>
      <c r="TZY60" s="220"/>
      <c r="TZZ60" s="217"/>
      <c r="UAA60" s="221"/>
      <c r="UAB60" s="216"/>
      <c r="UAC60" s="217"/>
      <c r="UAD60" s="218"/>
      <c r="UAE60" s="219"/>
      <c r="UAF60" s="220"/>
      <c r="UAG60" s="220"/>
      <c r="UAH60" s="220"/>
      <c r="UAI60" s="220"/>
      <c r="UAJ60" s="217"/>
      <c r="UAK60" s="221"/>
      <c r="UAL60" s="216"/>
      <c r="UAM60" s="217"/>
      <c r="UAN60" s="218"/>
      <c r="UAO60" s="219"/>
      <c r="UAP60" s="220"/>
      <c r="UAQ60" s="220"/>
      <c r="UAR60" s="220"/>
      <c r="UAS60" s="220"/>
      <c r="UAT60" s="217"/>
      <c r="UAU60" s="221"/>
      <c r="UAV60" s="216"/>
      <c r="UAW60" s="217"/>
      <c r="UAX60" s="218"/>
      <c r="UAY60" s="219"/>
      <c r="UAZ60" s="220"/>
      <c r="UBA60" s="220"/>
      <c r="UBB60" s="220"/>
      <c r="UBC60" s="220"/>
      <c r="UBD60" s="217"/>
      <c r="UBE60" s="221"/>
      <c r="UBF60" s="216"/>
      <c r="UBG60" s="217"/>
      <c r="UBH60" s="218"/>
      <c r="UBI60" s="219"/>
      <c r="UBJ60" s="220"/>
      <c r="UBK60" s="220"/>
      <c r="UBL60" s="220"/>
      <c r="UBM60" s="220"/>
      <c r="UBN60" s="217"/>
      <c r="UBO60" s="221"/>
      <c r="UBP60" s="216"/>
      <c r="UBQ60" s="217"/>
      <c r="UBR60" s="218"/>
      <c r="UBS60" s="219"/>
      <c r="UBT60" s="220"/>
      <c r="UBU60" s="220"/>
      <c r="UBV60" s="220"/>
      <c r="UBW60" s="220"/>
      <c r="UBX60" s="217"/>
      <c r="UBY60" s="221"/>
      <c r="UBZ60" s="216"/>
      <c r="UCA60" s="217"/>
      <c r="UCB60" s="218"/>
      <c r="UCC60" s="219"/>
      <c r="UCD60" s="220"/>
      <c r="UCE60" s="220"/>
      <c r="UCF60" s="220"/>
      <c r="UCG60" s="220"/>
      <c r="UCH60" s="217"/>
      <c r="UCI60" s="221"/>
      <c r="UCJ60" s="216"/>
      <c r="UCK60" s="217"/>
      <c r="UCL60" s="218"/>
      <c r="UCM60" s="219"/>
      <c r="UCN60" s="220"/>
      <c r="UCO60" s="220"/>
      <c r="UCP60" s="220"/>
      <c r="UCQ60" s="220"/>
      <c r="UCR60" s="217"/>
      <c r="UCS60" s="221"/>
      <c r="UCT60" s="216"/>
      <c r="UCU60" s="217"/>
      <c r="UCV60" s="218"/>
      <c r="UCW60" s="219"/>
      <c r="UCX60" s="220"/>
      <c r="UCY60" s="220"/>
      <c r="UCZ60" s="220"/>
      <c r="UDA60" s="220"/>
      <c r="UDB60" s="217"/>
      <c r="UDC60" s="221"/>
      <c r="UDD60" s="216"/>
      <c r="UDE60" s="217"/>
      <c r="UDF60" s="218"/>
      <c r="UDG60" s="219"/>
      <c r="UDH60" s="220"/>
      <c r="UDI60" s="220"/>
      <c r="UDJ60" s="220"/>
      <c r="UDK60" s="220"/>
      <c r="UDL60" s="217"/>
      <c r="UDM60" s="221"/>
      <c r="UDN60" s="216"/>
      <c r="UDO60" s="217"/>
      <c r="UDP60" s="218"/>
      <c r="UDQ60" s="219"/>
      <c r="UDR60" s="220"/>
      <c r="UDS60" s="220"/>
      <c r="UDT60" s="220"/>
      <c r="UDU60" s="220"/>
      <c r="UDV60" s="217"/>
      <c r="UDW60" s="221"/>
      <c r="UDX60" s="216"/>
      <c r="UDY60" s="217"/>
      <c r="UDZ60" s="218"/>
      <c r="UEA60" s="219"/>
      <c r="UEB60" s="220"/>
      <c r="UEC60" s="220"/>
      <c r="UED60" s="220"/>
      <c r="UEE60" s="220"/>
      <c r="UEF60" s="217"/>
      <c r="UEG60" s="221"/>
      <c r="UEH60" s="216"/>
      <c r="UEI60" s="217"/>
      <c r="UEJ60" s="218"/>
      <c r="UEK60" s="219"/>
      <c r="UEL60" s="220"/>
      <c r="UEM60" s="220"/>
      <c r="UEN60" s="220"/>
      <c r="UEO60" s="220"/>
      <c r="UEP60" s="217"/>
      <c r="UEQ60" s="221"/>
      <c r="UER60" s="216"/>
      <c r="UES60" s="217"/>
      <c r="UET60" s="218"/>
      <c r="UEU60" s="219"/>
      <c r="UEV60" s="220"/>
      <c r="UEW60" s="220"/>
      <c r="UEX60" s="220"/>
      <c r="UEY60" s="220"/>
      <c r="UEZ60" s="217"/>
      <c r="UFA60" s="221"/>
      <c r="UFB60" s="216"/>
      <c r="UFC60" s="217"/>
      <c r="UFD60" s="218"/>
      <c r="UFE60" s="219"/>
      <c r="UFF60" s="220"/>
      <c r="UFG60" s="220"/>
      <c r="UFH60" s="220"/>
      <c r="UFI60" s="220"/>
      <c r="UFJ60" s="217"/>
      <c r="UFK60" s="221"/>
      <c r="UFL60" s="216"/>
      <c r="UFM60" s="217"/>
      <c r="UFN60" s="218"/>
      <c r="UFO60" s="219"/>
      <c r="UFP60" s="220"/>
      <c r="UFQ60" s="220"/>
      <c r="UFR60" s="220"/>
      <c r="UFS60" s="220"/>
      <c r="UFT60" s="217"/>
      <c r="UFU60" s="221"/>
      <c r="UFV60" s="216"/>
      <c r="UFW60" s="217"/>
      <c r="UFX60" s="218"/>
      <c r="UFY60" s="219"/>
      <c r="UFZ60" s="220"/>
      <c r="UGA60" s="220"/>
      <c r="UGB60" s="220"/>
      <c r="UGC60" s="220"/>
      <c r="UGD60" s="217"/>
      <c r="UGE60" s="221"/>
      <c r="UGF60" s="216"/>
      <c r="UGG60" s="217"/>
      <c r="UGH60" s="218"/>
      <c r="UGI60" s="219"/>
      <c r="UGJ60" s="220"/>
      <c r="UGK60" s="220"/>
      <c r="UGL60" s="220"/>
      <c r="UGM60" s="220"/>
      <c r="UGN60" s="217"/>
      <c r="UGO60" s="221"/>
      <c r="UGP60" s="216"/>
      <c r="UGQ60" s="217"/>
      <c r="UGR60" s="218"/>
      <c r="UGS60" s="219"/>
      <c r="UGT60" s="220"/>
      <c r="UGU60" s="220"/>
      <c r="UGV60" s="220"/>
      <c r="UGW60" s="220"/>
      <c r="UGX60" s="217"/>
      <c r="UGY60" s="221"/>
      <c r="UGZ60" s="216"/>
      <c r="UHA60" s="217"/>
      <c r="UHB60" s="218"/>
      <c r="UHC60" s="219"/>
      <c r="UHD60" s="220"/>
      <c r="UHE60" s="220"/>
      <c r="UHF60" s="220"/>
      <c r="UHG60" s="220"/>
      <c r="UHH60" s="217"/>
      <c r="UHI60" s="221"/>
      <c r="UHJ60" s="216"/>
      <c r="UHK60" s="217"/>
      <c r="UHL60" s="218"/>
      <c r="UHM60" s="219"/>
      <c r="UHN60" s="220"/>
      <c r="UHO60" s="220"/>
      <c r="UHP60" s="220"/>
      <c r="UHQ60" s="220"/>
      <c r="UHR60" s="217"/>
      <c r="UHS60" s="221"/>
      <c r="UHT60" s="216"/>
      <c r="UHU60" s="217"/>
      <c r="UHV60" s="218"/>
      <c r="UHW60" s="219"/>
      <c r="UHX60" s="220"/>
      <c r="UHY60" s="220"/>
      <c r="UHZ60" s="220"/>
      <c r="UIA60" s="220"/>
      <c r="UIB60" s="217"/>
      <c r="UIC60" s="221"/>
      <c r="UID60" s="216"/>
      <c r="UIE60" s="217"/>
      <c r="UIF60" s="218"/>
      <c r="UIG60" s="219"/>
      <c r="UIH60" s="220"/>
      <c r="UII60" s="220"/>
      <c r="UIJ60" s="220"/>
      <c r="UIK60" s="220"/>
      <c r="UIL60" s="217"/>
      <c r="UIM60" s="221"/>
      <c r="UIN60" s="216"/>
      <c r="UIO60" s="217"/>
      <c r="UIP60" s="218"/>
      <c r="UIQ60" s="219"/>
      <c r="UIR60" s="220"/>
      <c r="UIS60" s="220"/>
      <c r="UIT60" s="220"/>
      <c r="UIU60" s="220"/>
      <c r="UIV60" s="217"/>
      <c r="UIW60" s="221"/>
      <c r="UIX60" s="216"/>
      <c r="UIY60" s="217"/>
      <c r="UIZ60" s="218"/>
      <c r="UJA60" s="219"/>
      <c r="UJB60" s="220"/>
      <c r="UJC60" s="220"/>
      <c r="UJD60" s="220"/>
      <c r="UJE60" s="220"/>
      <c r="UJF60" s="217"/>
      <c r="UJG60" s="221"/>
      <c r="UJH60" s="216"/>
      <c r="UJI60" s="217"/>
      <c r="UJJ60" s="218"/>
      <c r="UJK60" s="219"/>
      <c r="UJL60" s="220"/>
      <c r="UJM60" s="220"/>
      <c r="UJN60" s="220"/>
      <c r="UJO60" s="220"/>
      <c r="UJP60" s="217"/>
      <c r="UJQ60" s="221"/>
      <c r="UJR60" s="216"/>
      <c r="UJS60" s="217"/>
      <c r="UJT60" s="218"/>
      <c r="UJU60" s="219"/>
      <c r="UJV60" s="220"/>
      <c r="UJW60" s="220"/>
      <c r="UJX60" s="220"/>
      <c r="UJY60" s="220"/>
      <c r="UJZ60" s="217"/>
      <c r="UKA60" s="221"/>
      <c r="UKB60" s="216"/>
      <c r="UKC60" s="217"/>
      <c r="UKD60" s="218"/>
      <c r="UKE60" s="219"/>
      <c r="UKF60" s="220"/>
      <c r="UKG60" s="220"/>
      <c r="UKH60" s="220"/>
      <c r="UKI60" s="220"/>
      <c r="UKJ60" s="217"/>
      <c r="UKK60" s="221"/>
      <c r="UKL60" s="216"/>
      <c r="UKM60" s="217"/>
      <c r="UKN60" s="218"/>
      <c r="UKO60" s="219"/>
      <c r="UKP60" s="220"/>
      <c r="UKQ60" s="220"/>
      <c r="UKR60" s="220"/>
      <c r="UKS60" s="220"/>
      <c r="UKT60" s="217"/>
      <c r="UKU60" s="221"/>
      <c r="UKV60" s="216"/>
      <c r="UKW60" s="217"/>
      <c r="UKX60" s="218"/>
      <c r="UKY60" s="219"/>
      <c r="UKZ60" s="220"/>
      <c r="ULA60" s="220"/>
      <c r="ULB60" s="220"/>
      <c r="ULC60" s="220"/>
      <c r="ULD60" s="217"/>
      <c r="ULE60" s="221"/>
      <c r="ULF60" s="216"/>
      <c r="ULG60" s="217"/>
      <c r="ULH60" s="218"/>
      <c r="ULI60" s="219"/>
      <c r="ULJ60" s="220"/>
      <c r="ULK60" s="220"/>
      <c r="ULL60" s="220"/>
      <c r="ULM60" s="220"/>
      <c r="ULN60" s="217"/>
      <c r="ULO60" s="221"/>
      <c r="ULP60" s="216"/>
      <c r="ULQ60" s="217"/>
      <c r="ULR60" s="218"/>
      <c r="ULS60" s="219"/>
      <c r="ULT60" s="220"/>
      <c r="ULU60" s="220"/>
      <c r="ULV60" s="220"/>
      <c r="ULW60" s="220"/>
      <c r="ULX60" s="217"/>
      <c r="ULY60" s="221"/>
      <c r="ULZ60" s="216"/>
      <c r="UMA60" s="217"/>
      <c r="UMB60" s="218"/>
      <c r="UMC60" s="219"/>
      <c r="UMD60" s="220"/>
      <c r="UME60" s="220"/>
      <c r="UMF60" s="220"/>
      <c r="UMG60" s="220"/>
      <c r="UMH60" s="217"/>
      <c r="UMI60" s="221"/>
      <c r="UMJ60" s="216"/>
      <c r="UMK60" s="217"/>
      <c r="UML60" s="218"/>
      <c r="UMM60" s="219"/>
      <c r="UMN60" s="220"/>
      <c r="UMO60" s="220"/>
      <c r="UMP60" s="220"/>
      <c r="UMQ60" s="220"/>
      <c r="UMR60" s="217"/>
      <c r="UMS60" s="221"/>
      <c r="UMT60" s="216"/>
      <c r="UMU60" s="217"/>
      <c r="UMV60" s="218"/>
      <c r="UMW60" s="219"/>
      <c r="UMX60" s="220"/>
      <c r="UMY60" s="220"/>
      <c r="UMZ60" s="220"/>
      <c r="UNA60" s="220"/>
      <c r="UNB60" s="217"/>
      <c r="UNC60" s="221"/>
      <c r="UND60" s="216"/>
      <c r="UNE60" s="217"/>
      <c r="UNF60" s="218"/>
      <c r="UNG60" s="219"/>
      <c r="UNH60" s="220"/>
      <c r="UNI60" s="220"/>
      <c r="UNJ60" s="220"/>
      <c r="UNK60" s="220"/>
      <c r="UNL60" s="217"/>
      <c r="UNM60" s="221"/>
      <c r="UNN60" s="216"/>
      <c r="UNO60" s="217"/>
      <c r="UNP60" s="218"/>
      <c r="UNQ60" s="219"/>
      <c r="UNR60" s="220"/>
      <c r="UNS60" s="220"/>
      <c r="UNT60" s="220"/>
      <c r="UNU60" s="220"/>
      <c r="UNV60" s="217"/>
      <c r="UNW60" s="221"/>
      <c r="UNX60" s="216"/>
      <c r="UNY60" s="217"/>
      <c r="UNZ60" s="218"/>
      <c r="UOA60" s="219"/>
      <c r="UOB60" s="220"/>
      <c r="UOC60" s="220"/>
      <c r="UOD60" s="220"/>
      <c r="UOE60" s="220"/>
      <c r="UOF60" s="217"/>
      <c r="UOG60" s="221"/>
      <c r="UOH60" s="216"/>
      <c r="UOI60" s="217"/>
      <c r="UOJ60" s="218"/>
      <c r="UOK60" s="219"/>
      <c r="UOL60" s="220"/>
      <c r="UOM60" s="220"/>
      <c r="UON60" s="220"/>
      <c r="UOO60" s="220"/>
      <c r="UOP60" s="217"/>
      <c r="UOQ60" s="221"/>
      <c r="UOR60" s="216"/>
      <c r="UOS60" s="217"/>
      <c r="UOT60" s="218"/>
      <c r="UOU60" s="219"/>
      <c r="UOV60" s="220"/>
      <c r="UOW60" s="220"/>
      <c r="UOX60" s="220"/>
      <c r="UOY60" s="220"/>
      <c r="UOZ60" s="217"/>
      <c r="UPA60" s="221"/>
      <c r="UPB60" s="216"/>
      <c r="UPC60" s="217"/>
      <c r="UPD60" s="218"/>
      <c r="UPE60" s="219"/>
      <c r="UPF60" s="220"/>
      <c r="UPG60" s="220"/>
      <c r="UPH60" s="220"/>
      <c r="UPI60" s="220"/>
      <c r="UPJ60" s="217"/>
      <c r="UPK60" s="221"/>
      <c r="UPL60" s="216"/>
      <c r="UPM60" s="217"/>
      <c r="UPN60" s="218"/>
      <c r="UPO60" s="219"/>
      <c r="UPP60" s="220"/>
      <c r="UPQ60" s="220"/>
      <c r="UPR60" s="220"/>
      <c r="UPS60" s="220"/>
      <c r="UPT60" s="217"/>
      <c r="UPU60" s="221"/>
      <c r="UPV60" s="216"/>
      <c r="UPW60" s="217"/>
      <c r="UPX60" s="218"/>
      <c r="UPY60" s="219"/>
      <c r="UPZ60" s="220"/>
      <c r="UQA60" s="220"/>
      <c r="UQB60" s="220"/>
      <c r="UQC60" s="220"/>
      <c r="UQD60" s="217"/>
      <c r="UQE60" s="221"/>
      <c r="UQF60" s="216"/>
      <c r="UQG60" s="217"/>
      <c r="UQH60" s="218"/>
      <c r="UQI60" s="219"/>
      <c r="UQJ60" s="220"/>
      <c r="UQK60" s="220"/>
      <c r="UQL60" s="220"/>
      <c r="UQM60" s="220"/>
      <c r="UQN60" s="217"/>
      <c r="UQO60" s="221"/>
      <c r="UQP60" s="216"/>
      <c r="UQQ60" s="217"/>
      <c r="UQR60" s="218"/>
      <c r="UQS60" s="219"/>
      <c r="UQT60" s="220"/>
      <c r="UQU60" s="220"/>
      <c r="UQV60" s="220"/>
      <c r="UQW60" s="220"/>
      <c r="UQX60" s="217"/>
      <c r="UQY60" s="221"/>
      <c r="UQZ60" s="216"/>
      <c r="URA60" s="217"/>
      <c r="URB60" s="218"/>
      <c r="URC60" s="219"/>
      <c r="URD60" s="220"/>
      <c r="URE60" s="220"/>
      <c r="URF60" s="220"/>
      <c r="URG60" s="220"/>
      <c r="URH60" s="217"/>
      <c r="URI60" s="221"/>
      <c r="URJ60" s="216"/>
      <c r="URK60" s="217"/>
      <c r="URL60" s="218"/>
      <c r="URM60" s="219"/>
      <c r="URN60" s="220"/>
      <c r="URO60" s="220"/>
      <c r="URP60" s="220"/>
      <c r="URQ60" s="220"/>
      <c r="URR60" s="217"/>
      <c r="URS60" s="221"/>
      <c r="URT60" s="216"/>
      <c r="URU60" s="217"/>
      <c r="URV60" s="218"/>
      <c r="URW60" s="219"/>
      <c r="URX60" s="220"/>
      <c r="URY60" s="220"/>
      <c r="URZ60" s="220"/>
      <c r="USA60" s="220"/>
      <c r="USB60" s="217"/>
      <c r="USC60" s="221"/>
      <c r="USD60" s="216"/>
      <c r="USE60" s="217"/>
      <c r="USF60" s="218"/>
      <c r="USG60" s="219"/>
      <c r="USH60" s="220"/>
      <c r="USI60" s="220"/>
      <c r="USJ60" s="220"/>
      <c r="USK60" s="220"/>
      <c r="USL60" s="217"/>
      <c r="USM60" s="221"/>
      <c r="USN60" s="216"/>
      <c r="USO60" s="217"/>
      <c r="USP60" s="218"/>
      <c r="USQ60" s="219"/>
      <c r="USR60" s="220"/>
      <c r="USS60" s="220"/>
      <c r="UST60" s="220"/>
      <c r="USU60" s="220"/>
      <c r="USV60" s="217"/>
      <c r="USW60" s="221"/>
      <c r="USX60" s="216"/>
      <c r="USY60" s="217"/>
      <c r="USZ60" s="218"/>
      <c r="UTA60" s="219"/>
      <c r="UTB60" s="220"/>
      <c r="UTC60" s="220"/>
      <c r="UTD60" s="220"/>
      <c r="UTE60" s="220"/>
      <c r="UTF60" s="217"/>
      <c r="UTG60" s="221"/>
      <c r="UTH60" s="216"/>
      <c r="UTI60" s="217"/>
      <c r="UTJ60" s="218"/>
      <c r="UTK60" s="219"/>
      <c r="UTL60" s="220"/>
      <c r="UTM60" s="220"/>
      <c r="UTN60" s="220"/>
      <c r="UTO60" s="220"/>
      <c r="UTP60" s="217"/>
      <c r="UTQ60" s="221"/>
      <c r="UTR60" s="216"/>
      <c r="UTS60" s="217"/>
      <c r="UTT60" s="218"/>
      <c r="UTU60" s="219"/>
      <c r="UTV60" s="220"/>
      <c r="UTW60" s="220"/>
      <c r="UTX60" s="220"/>
      <c r="UTY60" s="220"/>
      <c r="UTZ60" s="217"/>
      <c r="UUA60" s="221"/>
      <c r="UUB60" s="216"/>
      <c r="UUC60" s="217"/>
      <c r="UUD60" s="218"/>
      <c r="UUE60" s="219"/>
      <c r="UUF60" s="220"/>
      <c r="UUG60" s="220"/>
      <c r="UUH60" s="220"/>
      <c r="UUI60" s="220"/>
      <c r="UUJ60" s="217"/>
      <c r="UUK60" s="221"/>
      <c r="UUL60" s="216"/>
      <c r="UUM60" s="217"/>
      <c r="UUN60" s="218"/>
      <c r="UUO60" s="219"/>
      <c r="UUP60" s="220"/>
      <c r="UUQ60" s="220"/>
      <c r="UUR60" s="220"/>
      <c r="UUS60" s="220"/>
      <c r="UUT60" s="217"/>
      <c r="UUU60" s="221"/>
      <c r="UUV60" s="216"/>
      <c r="UUW60" s="217"/>
      <c r="UUX60" s="218"/>
      <c r="UUY60" s="219"/>
      <c r="UUZ60" s="220"/>
      <c r="UVA60" s="220"/>
      <c r="UVB60" s="220"/>
      <c r="UVC60" s="220"/>
      <c r="UVD60" s="217"/>
      <c r="UVE60" s="221"/>
      <c r="UVF60" s="216"/>
      <c r="UVG60" s="217"/>
      <c r="UVH60" s="218"/>
      <c r="UVI60" s="219"/>
      <c r="UVJ60" s="220"/>
      <c r="UVK60" s="220"/>
      <c r="UVL60" s="220"/>
      <c r="UVM60" s="220"/>
      <c r="UVN60" s="217"/>
      <c r="UVO60" s="221"/>
      <c r="UVP60" s="216"/>
      <c r="UVQ60" s="217"/>
      <c r="UVR60" s="218"/>
      <c r="UVS60" s="219"/>
      <c r="UVT60" s="220"/>
      <c r="UVU60" s="220"/>
      <c r="UVV60" s="220"/>
      <c r="UVW60" s="220"/>
      <c r="UVX60" s="217"/>
      <c r="UVY60" s="221"/>
      <c r="UVZ60" s="216"/>
      <c r="UWA60" s="217"/>
      <c r="UWB60" s="218"/>
      <c r="UWC60" s="219"/>
      <c r="UWD60" s="220"/>
      <c r="UWE60" s="220"/>
      <c r="UWF60" s="220"/>
      <c r="UWG60" s="220"/>
      <c r="UWH60" s="217"/>
      <c r="UWI60" s="221"/>
      <c r="UWJ60" s="216"/>
      <c r="UWK60" s="217"/>
      <c r="UWL60" s="218"/>
      <c r="UWM60" s="219"/>
      <c r="UWN60" s="220"/>
      <c r="UWO60" s="220"/>
      <c r="UWP60" s="220"/>
      <c r="UWQ60" s="220"/>
      <c r="UWR60" s="217"/>
      <c r="UWS60" s="221"/>
      <c r="UWT60" s="216"/>
      <c r="UWU60" s="217"/>
      <c r="UWV60" s="218"/>
      <c r="UWW60" s="219"/>
      <c r="UWX60" s="220"/>
      <c r="UWY60" s="220"/>
      <c r="UWZ60" s="220"/>
      <c r="UXA60" s="220"/>
      <c r="UXB60" s="217"/>
      <c r="UXC60" s="221"/>
      <c r="UXD60" s="216"/>
      <c r="UXE60" s="217"/>
      <c r="UXF60" s="218"/>
      <c r="UXG60" s="219"/>
      <c r="UXH60" s="220"/>
      <c r="UXI60" s="220"/>
      <c r="UXJ60" s="220"/>
      <c r="UXK60" s="220"/>
      <c r="UXL60" s="217"/>
      <c r="UXM60" s="221"/>
      <c r="UXN60" s="216"/>
      <c r="UXO60" s="217"/>
      <c r="UXP60" s="218"/>
      <c r="UXQ60" s="219"/>
      <c r="UXR60" s="220"/>
      <c r="UXS60" s="220"/>
      <c r="UXT60" s="220"/>
      <c r="UXU60" s="220"/>
      <c r="UXV60" s="217"/>
      <c r="UXW60" s="221"/>
      <c r="UXX60" s="216"/>
      <c r="UXY60" s="217"/>
      <c r="UXZ60" s="218"/>
      <c r="UYA60" s="219"/>
      <c r="UYB60" s="220"/>
      <c r="UYC60" s="220"/>
      <c r="UYD60" s="220"/>
      <c r="UYE60" s="220"/>
      <c r="UYF60" s="217"/>
      <c r="UYG60" s="221"/>
      <c r="UYH60" s="216"/>
      <c r="UYI60" s="217"/>
      <c r="UYJ60" s="218"/>
      <c r="UYK60" s="219"/>
      <c r="UYL60" s="220"/>
      <c r="UYM60" s="220"/>
      <c r="UYN60" s="220"/>
      <c r="UYO60" s="220"/>
      <c r="UYP60" s="217"/>
      <c r="UYQ60" s="221"/>
      <c r="UYR60" s="216"/>
      <c r="UYS60" s="217"/>
      <c r="UYT60" s="218"/>
      <c r="UYU60" s="219"/>
      <c r="UYV60" s="220"/>
      <c r="UYW60" s="220"/>
      <c r="UYX60" s="220"/>
      <c r="UYY60" s="220"/>
      <c r="UYZ60" s="217"/>
      <c r="UZA60" s="221"/>
      <c r="UZB60" s="216"/>
      <c r="UZC60" s="217"/>
      <c r="UZD60" s="218"/>
      <c r="UZE60" s="219"/>
      <c r="UZF60" s="220"/>
      <c r="UZG60" s="220"/>
      <c r="UZH60" s="220"/>
      <c r="UZI60" s="220"/>
      <c r="UZJ60" s="217"/>
      <c r="UZK60" s="221"/>
      <c r="UZL60" s="216"/>
      <c r="UZM60" s="217"/>
      <c r="UZN60" s="218"/>
      <c r="UZO60" s="219"/>
      <c r="UZP60" s="220"/>
      <c r="UZQ60" s="220"/>
      <c r="UZR60" s="220"/>
      <c r="UZS60" s="220"/>
      <c r="UZT60" s="217"/>
      <c r="UZU60" s="221"/>
      <c r="UZV60" s="216"/>
      <c r="UZW60" s="217"/>
      <c r="UZX60" s="218"/>
      <c r="UZY60" s="219"/>
      <c r="UZZ60" s="220"/>
      <c r="VAA60" s="220"/>
      <c r="VAB60" s="220"/>
      <c r="VAC60" s="220"/>
      <c r="VAD60" s="217"/>
      <c r="VAE60" s="221"/>
      <c r="VAF60" s="216"/>
      <c r="VAG60" s="217"/>
      <c r="VAH60" s="218"/>
      <c r="VAI60" s="219"/>
      <c r="VAJ60" s="220"/>
      <c r="VAK60" s="220"/>
      <c r="VAL60" s="220"/>
      <c r="VAM60" s="220"/>
      <c r="VAN60" s="217"/>
      <c r="VAO60" s="221"/>
      <c r="VAP60" s="216"/>
      <c r="VAQ60" s="217"/>
      <c r="VAR60" s="218"/>
      <c r="VAS60" s="219"/>
      <c r="VAT60" s="220"/>
      <c r="VAU60" s="220"/>
      <c r="VAV60" s="220"/>
      <c r="VAW60" s="220"/>
      <c r="VAX60" s="217"/>
      <c r="VAY60" s="221"/>
      <c r="VAZ60" s="216"/>
      <c r="VBA60" s="217"/>
      <c r="VBB60" s="218"/>
      <c r="VBC60" s="219"/>
      <c r="VBD60" s="220"/>
      <c r="VBE60" s="220"/>
      <c r="VBF60" s="220"/>
      <c r="VBG60" s="220"/>
      <c r="VBH60" s="217"/>
      <c r="VBI60" s="221"/>
      <c r="VBJ60" s="216"/>
      <c r="VBK60" s="217"/>
      <c r="VBL60" s="218"/>
      <c r="VBM60" s="219"/>
      <c r="VBN60" s="220"/>
      <c r="VBO60" s="220"/>
      <c r="VBP60" s="220"/>
      <c r="VBQ60" s="220"/>
      <c r="VBR60" s="217"/>
      <c r="VBS60" s="221"/>
      <c r="VBT60" s="216"/>
      <c r="VBU60" s="217"/>
      <c r="VBV60" s="218"/>
      <c r="VBW60" s="219"/>
      <c r="VBX60" s="220"/>
      <c r="VBY60" s="220"/>
      <c r="VBZ60" s="220"/>
      <c r="VCA60" s="220"/>
      <c r="VCB60" s="217"/>
      <c r="VCC60" s="221"/>
      <c r="VCD60" s="216"/>
      <c r="VCE60" s="217"/>
      <c r="VCF60" s="218"/>
      <c r="VCG60" s="219"/>
      <c r="VCH60" s="220"/>
      <c r="VCI60" s="220"/>
      <c r="VCJ60" s="220"/>
      <c r="VCK60" s="220"/>
      <c r="VCL60" s="217"/>
      <c r="VCM60" s="221"/>
      <c r="VCN60" s="216"/>
      <c r="VCO60" s="217"/>
      <c r="VCP60" s="218"/>
      <c r="VCQ60" s="219"/>
      <c r="VCR60" s="220"/>
      <c r="VCS60" s="220"/>
      <c r="VCT60" s="220"/>
      <c r="VCU60" s="220"/>
      <c r="VCV60" s="217"/>
      <c r="VCW60" s="221"/>
      <c r="VCX60" s="216"/>
      <c r="VCY60" s="217"/>
      <c r="VCZ60" s="218"/>
      <c r="VDA60" s="219"/>
      <c r="VDB60" s="220"/>
      <c r="VDC60" s="220"/>
      <c r="VDD60" s="220"/>
      <c r="VDE60" s="220"/>
      <c r="VDF60" s="217"/>
      <c r="VDG60" s="221"/>
      <c r="VDH60" s="216"/>
      <c r="VDI60" s="217"/>
      <c r="VDJ60" s="218"/>
      <c r="VDK60" s="219"/>
      <c r="VDL60" s="220"/>
      <c r="VDM60" s="220"/>
      <c r="VDN60" s="220"/>
      <c r="VDO60" s="220"/>
      <c r="VDP60" s="217"/>
      <c r="VDQ60" s="221"/>
      <c r="VDR60" s="216"/>
      <c r="VDS60" s="217"/>
      <c r="VDT60" s="218"/>
      <c r="VDU60" s="219"/>
      <c r="VDV60" s="220"/>
      <c r="VDW60" s="220"/>
      <c r="VDX60" s="220"/>
      <c r="VDY60" s="220"/>
      <c r="VDZ60" s="217"/>
      <c r="VEA60" s="221"/>
      <c r="VEB60" s="216"/>
      <c r="VEC60" s="217"/>
      <c r="VED60" s="218"/>
      <c r="VEE60" s="219"/>
      <c r="VEF60" s="220"/>
      <c r="VEG60" s="220"/>
      <c r="VEH60" s="220"/>
      <c r="VEI60" s="220"/>
      <c r="VEJ60" s="217"/>
      <c r="VEK60" s="221"/>
      <c r="VEL60" s="216"/>
      <c r="VEM60" s="217"/>
      <c r="VEN60" s="218"/>
      <c r="VEO60" s="219"/>
      <c r="VEP60" s="220"/>
      <c r="VEQ60" s="220"/>
      <c r="VER60" s="220"/>
      <c r="VES60" s="220"/>
      <c r="VET60" s="217"/>
      <c r="VEU60" s="221"/>
      <c r="VEV60" s="216"/>
      <c r="VEW60" s="217"/>
      <c r="VEX60" s="218"/>
      <c r="VEY60" s="219"/>
      <c r="VEZ60" s="220"/>
      <c r="VFA60" s="220"/>
      <c r="VFB60" s="220"/>
      <c r="VFC60" s="220"/>
      <c r="VFD60" s="217"/>
      <c r="VFE60" s="221"/>
      <c r="VFF60" s="216"/>
      <c r="VFG60" s="217"/>
      <c r="VFH60" s="218"/>
      <c r="VFI60" s="219"/>
      <c r="VFJ60" s="220"/>
      <c r="VFK60" s="220"/>
      <c r="VFL60" s="220"/>
      <c r="VFM60" s="220"/>
      <c r="VFN60" s="217"/>
      <c r="VFO60" s="221"/>
      <c r="VFP60" s="216"/>
      <c r="VFQ60" s="217"/>
      <c r="VFR60" s="218"/>
      <c r="VFS60" s="219"/>
      <c r="VFT60" s="220"/>
      <c r="VFU60" s="220"/>
      <c r="VFV60" s="220"/>
      <c r="VFW60" s="220"/>
      <c r="VFX60" s="217"/>
      <c r="VFY60" s="221"/>
      <c r="VFZ60" s="216"/>
      <c r="VGA60" s="217"/>
      <c r="VGB60" s="218"/>
      <c r="VGC60" s="219"/>
      <c r="VGD60" s="220"/>
      <c r="VGE60" s="220"/>
      <c r="VGF60" s="220"/>
      <c r="VGG60" s="220"/>
      <c r="VGH60" s="217"/>
      <c r="VGI60" s="221"/>
      <c r="VGJ60" s="216"/>
      <c r="VGK60" s="217"/>
      <c r="VGL60" s="218"/>
      <c r="VGM60" s="219"/>
      <c r="VGN60" s="220"/>
      <c r="VGO60" s="220"/>
      <c r="VGP60" s="220"/>
      <c r="VGQ60" s="220"/>
      <c r="VGR60" s="217"/>
      <c r="VGS60" s="221"/>
      <c r="VGT60" s="216"/>
      <c r="VGU60" s="217"/>
      <c r="VGV60" s="218"/>
      <c r="VGW60" s="219"/>
      <c r="VGX60" s="220"/>
      <c r="VGY60" s="220"/>
      <c r="VGZ60" s="220"/>
      <c r="VHA60" s="220"/>
      <c r="VHB60" s="217"/>
      <c r="VHC60" s="221"/>
      <c r="VHD60" s="216"/>
      <c r="VHE60" s="217"/>
      <c r="VHF60" s="218"/>
      <c r="VHG60" s="219"/>
      <c r="VHH60" s="220"/>
      <c r="VHI60" s="220"/>
      <c r="VHJ60" s="220"/>
      <c r="VHK60" s="220"/>
      <c r="VHL60" s="217"/>
      <c r="VHM60" s="221"/>
      <c r="VHN60" s="216"/>
      <c r="VHO60" s="217"/>
      <c r="VHP60" s="218"/>
      <c r="VHQ60" s="219"/>
      <c r="VHR60" s="220"/>
      <c r="VHS60" s="220"/>
      <c r="VHT60" s="220"/>
      <c r="VHU60" s="220"/>
      <c r="VHV60" s="217"/>
      <c r="VHW60" s="221"/>
      <c r="VHX60" s="216"/>
      <c r="VHY60" s="217"/>
      <c r="VHZ60" s="218"/>
      <c r="VIA60" s="219"/>
      <c r="VIB60" s="220"/>
      <c r="VIC60" s="220"/>
      <c r="VID60" s="220"/>
      <c r="VIE60" s="220"/>
      <c r="VIF60" s="217"/>
      <c r="VIG60" s="221"/>
      <c r="VIH60" s="216"/>
      <c r="VII60" s="217"/>
      <c r="VIJ60" s="218"/>
      <c r="VIK60" s="219"/>
      <c r="VIL60" s="220"/>
      <c r="VIM60" s="220"/>
      <c r="VIN60" s="220"/>
      <c r="VIO60" s="220"/>
      <c r="VIP60" s="217"/>
      <c r="VIQ60" s="221"/>
      <c r="VIR60" s="216"/>
      <c r="VIS60" s="217"/>
      <c r="VIT60" s="218"/>
      <c r="VIU60" s="219"/>
      <c r="VIV60" s="220"/>
      <c r="VIW60" s="220"/>
      <c r="VIX60" s="220"/>
      <c r="VIY60" s="220"/>
      <c r="VIZ60" s="217"/>
      <c r="VJA60" s="221"/>
      <c r="VJB60" s="216"/>
      <c r="VJC60" s="217"/>
      <c r="VJD60" s="218"/>
      <c r="VJE60" s="219"/>
      <c r="VJF60" s="220"/>
      <c r="VJG60" s="220"/>
      <c r="VJH60" s="220"/>
      <c r="VJI60" s="220"/>
      <c r="VJJ60" s="217"/>
      <c r="VJK60" s="221"/>
      <c r="VJL60" s="216"/>
      <c r="VJM60" s="217"/>
      <c r="VJN60" s="218"/>
      <c r="VJO60" s="219"/>
      <c r="VJP60" s="220"/>
      <c r="VJQ60" s="220"/>
      <c r="VJR60" s="220"/>
      <c r="VJS60" s="220"/>
      <c r="VJT60" s="217"/>
      <c r="VJU60" s="221"/>
      <c r="VJV60" s="216"/>
      <c r="VJW60" s="217"/>
      <c r="VJX60" s="218"/>
      <c r="VJY60" s="219"/>
      <c r="VJZ60" s="220"/>
      <c r="VKA60" s="220"/>
      <c r="VKB60" s="220"/>
      <c r="VKC60" s="220"/>
      <c r="VKD60" s="217"/>
      <c r="VKE60" s="221"/>
      <c r="VKF60" s="216"/>
      <c r="VKG60" s="217"/>
      <c r="VKH60" s="218"/>
      <c r="VKI60" s="219"/>
      <c r="VKJ60" s="220"/>
      <c r="VKK60" s="220"/>
      <c r="VKL60" s="220"/>
      <c r="VKM60" s="220"/>
      <c r="VKN60" s="217"/>
      <c r="VKO60" s="221"/>
      <c r="VKP60" s="216"/>
      <c r="VKQ60" s="217"/>
      <c r="VKR60" s="218"/>
      <c r="VKS60" s="219"/>
      <c r="VKT60" s="220"/>
      <c r="VKU60" s="220"/>
      <c r="VKV60" s="220"/>
      <c r="VKW60" s="220"/>
      <c r="VKX60" s="217"/>
      <c r="VKY60" s="221"/>
      <c r="VKZ60" s="216"/>
      <c r="VLA60" s="217"/>
      <c r="VLB60" s="218"/>
      <c r="VLC60" s="219"/>
      <c r="VLD60" s="220"/>
      <c r="VLE60" s="220"/>
      <c r="VLF60" s="220"/>
      <c r="VLG60" s="220"/>
      <c r="VLH60" s="217"/>
      <c r="VLI60" s="221"/>
      <c r="VLJ60" s="216"/>
      <c r="VLK60" s="217"/>
      <c r="VLL60" s="218"/>
      <c r="VLM60" s="219"/>
      <c r="VLN60" s="220"/>
      <c r="VLO60" s="220"/>
      <c r="VLP60" s="220"/>
      <c r="VLQ60" s="220"/>
      <c r="VLR60" s="217"/>
      <c r="VLS60" s="221"/>
      <c r="VLT60" s="216"/>
      <c r="VLU60" s="217"/>
      <c r="VLV60" s="218"/>
      <c r="VLW60" s="219"/>
      <c r="VLX60" s="220"/>
      <c r="VLY60" s="220"/>
      <c r="VLZ60" s="220"/>
      <c r="VMA60" s="220"/>
      <c r="VMB60" s="217"/>
      <c r="VMC60" s="221"/>
      <c r="VMD60" s="216"/>
      <c r="VME60" s="217"/>
      <c r="VMF60" s="218"/>
      <c r="VMG60" s="219"/>
      <c r="VMH60" s="220"/>
      <c r="VMI60" s="220"/>
      <c r="VMJ60" s="220"/>
      <c r="VMK60" s="220"/>
      <c r="VML60" s="217"/>
      <c r="VMM60" s="221"/>
      <c r="VMN60" s="216"/>
      <c r="VMO60" s="217"/>
      <c r="VMP60" s="218"/>
      <c r="VMQ60" s="219"/>
      <c r="VMR60" s="220"/>
      <c r="VMS60" s="220"/>
      <c r="VMT60" s="220"/>
      <c r="VMU60" s="220"/>
      <c r="VMV60" s="217"/>
      <c r="VMW60" s="221"/>
      <c r="VMX60" s="216"/>
      <c r="VMY60" s="217"/>
      <c r="VMZ60" s="218"/>
      <c r="VNA60" s="219"/>
      <c r="VNB60" s="220"/>
      <c r="VNC60" s="220"/>
      <c r="VND60" s="220"/>
      <c r="VNE60" s="220"/>
      <c r="VNF60" s="217"/>
      <c r="VNG60" s="221"/>
      <c r="VNH60" s="216"/>
      <c r="VNI60" s="217"/>
      <c r="VNJ60" s="218"/>
      <c r="VNK60" s="219"/>
      <c r="VNL60" s="220"/>
      <c r="VNM60" s="220"/>
      <c r="VNN60" s="220"/>
      <c r="VNO60" s="220"/>
      <c r="VNP60" s="217"/>
      <c r="VNQ60" s="221"/>
      <c r="VNR60" s="216"/>
      <c r="VNS60" s="217"/>
      <c r="VNT60" s="218"/>
      <c r="VNU60" s="219"/>
      <c r="VNV60" s="220"/>
      <c r="VNW60" s="220"/>
      <c r="VNX60" s="220"/>
      <c r="VNY60" s="220"/>
      <c r="VNZ60" s="217"/>
      <c r="VOA60" s="221"/>
      <c r="VOB60" s="216"/>
      <c r="VOC60" s="217"/>
      <c r="VOD60" s="218"/>
      <c r="VOE60" s="219"/>
      <c r="VOF60" s="220"/>
      <c r="VOG60" s="220"/>
      <c r="VOH60" s="220"/>
      <c r="VOI60" s="220"/>
      <c r="VOJ60" s="217"/>
      <c r="VOK60" s="221"/>
      <c r="VOL60" s="216"/>
      <c r="VOM60" s="217"/>
      <c r="VON60" s="218"/>
      <c r="VOO60" s="219"/>
      <c r="VOP60" s="220"/>
      <c r="VOQ60" s="220"/>
      <c r="VOR60" s="220"/>
      <c r="VOS60" s="220"/>
      <c r="VOT60" s="217"/>
      <c r="VOU60" s="221"/>
      <c r="VOV60" s="216"/>
      <c r="VOW60" s="217"/>
      <c r="VOX60" s="218"/>
      <c r="VOY60" s="219"/>
      <c r="VOZ60" s="220"/>
      <c r="VPA60" s="220"/>
      <c r="VPB60" s="220"/>
      <c r="VPC60" s="220"/>
      <c r="VPD60" s="217"/>
      <c r="VPE60" s="221"/>
      <c r="VPF60" s="216"/>
      <c r="VPG60" s="217"/>
      <c r="VPH60" s="218"/>
      <c r="VPI60" s="219"/>
      <c r="VPJ60" s="220"/>
      <c r="VPK60" s="220"/>
      <c r="VPL60" s="220"/>
      <c r="VPM60" s="220"/>
      <c r="VPN60" s="217"/>
      <c r="VPO60" s="221"/>
      <c r="VPP60" s="216"/>
      <c r="VPQ60" s="217"/>
      <c r="VPR60" s="218"/>
      <c r="VPS60" s="219"/>
      <c r="VPT60" s="220"/>
      <c r="VPU60" s="220"/>
      <c r="VPV60" s="220"/>
      <c r="VPW60" s="220"/>
      <c r="VPX60" s="217"/>
      <c r="VPY60" s="221"/>
      <c r="VPZ60" s="216"/>
      <c r="VQA60" s="217"/>
      <c r="VQB60" s="218"/>
      <c r="VQC60" s="219"/>
      <c r="VQD60" s="220"/>
      <c r="VQE60" s="220"/>
      <c r="VQF60" s="220"/>
      <c r="VQG60" s="220"/>
      <c r="VQH60" s="217"/>
      <c r="VQI60" s="221"/>
      <c r="VQJ60" s="216"/>
      <c r="VQK60" s="217"/>
      <c r="VQL60" s="218"/>
      <c r="VQM60" s="219"/>
      <c r="VQN60" s="220"/>
      <c r="VQO60" s="220"/>
      <c r="VQP60" s="220"/>
      <c r="VQQ60" s="220"/>
      <c r="VQR60" s="217"/>
      <c r="VQS60" s="221"/>
      <c r="VQT60" s="216"/>
      <c r="VQU60" s="217"/>
      <c r="VQV60" s="218"/>
      <c r="VQW60" s="219"/>
      <c r="VQX60" s="220"/>
      <c r="VQY60" s="220"/>
      <c r="VQZ60" s="220"/>
      <c r="VRA60" s="220"/>
      <c r="VRB60" s="217"/>
      <c r="VRC60" s="221"/>
      <c r="VRD60" s="216"/>
      <c r="VRE60" s="217"/>
      <c r="VRF60" s="218"/>
      <c r="VRG60" s="219"/>
      <c r="VRH60" s="220"/>
      <c r="VRI60" s="220"/>
      <c r="VRJ60" s="220"/>
      <c r="VRK60" s="220"/>
      <c r="VRL60" s="217"/>
      <c r="VRM60" s="221"/>
      <c r="VRN60" s="216"/>
      <c r="VRO60" s="217"/>
      <c r="VRP60" s="218"/>
      <c r="VRQ60" s="219"/>
      <c r="VRR60" s="220"/>
      <c r="VRS60" s="220"/>
      <c r="VRT60" s="220"/>
      <c r="VRU60" s="220"/>
      <c r="VRV60" s="217"/>
      <c r="VRW60" s="221"/>
      <c r="VRX60" s="216"/>
      <c r="VRY60" s="217"/>
      <c r="VRZ60" s="218"/>
      <c r="VSA60" s="219"/>
      <c r="VSB60" s="220"/>
      <c r="VSC60" s="220"/>
      <c r="VSD60" s="220"/>
      <c r="VSE60" s="220"/>
      <c r="VSF60" s="217"/>
      <c r="VSG60" s="221"/>
      <c r="VSH60" s="216"/>
      <c r="VSI60" s="217"/>
      <c r="VSJ60" s="218"/>
      <c r="VSK60" s="219"/>
      <c r="VSL60" s="220"/>
      <c r="VSM60" s="220"/>
      <c r="VSN60" s="220"/>
      <c r="VSO60" s="220"/>
      <c r="VSP60" s="217"/>
      <c r="VSQ60" s="221"/>
      <c r="VSR60" s="216"/>
      <c r="VSS60" s="217"/>
      <c r="VST60" s="218"/>
      <c r="VSU60" s="219"/>
      <c r="VSV60" s="220"/>
      <c r="VSW60" s="220"/>
      <c r="VSX60" s="220"/>
      <c r="VSY60" s="220"/>
      <c r="VSZ60" s="217"/>
      <c r="VTA60" s="221"/>
      <c r="VTB60" s="216"/>
      <c r="VTC60" s="217"/>
      <c r="VTD60" s="218"/>
      <c r="VTE60" s="219"/>
      <c r="VTF60" s="220"/>
      <c r="VTG60" s="220"/>
      <c r="VTH60" s="220"/>
      <c r="VTI60" s="220"/>
      <c r="VTJ60" s="217"/>
      <c r="VTK60" s="221"/>
      <c r="VTL60" s="216"/>
      <c r="VTM60" s="217"/>
      <c r="VTN60" s="218"/>
      <c r="VTO60" s="219"/>
      <c r="VTP60" s="220"/>
      <c r="VTQ60" s="220"/>
      <c r="VTR60" s="220"/>
      <c r="VTS60" s="220"/>
      <c r="VTT60" s="217"/>
      <c r="VTU60" s="221"/>
      <c r="VTV60" s="216"/>
      <c r="VTW60" s="217"/>
      <c r="VTX60" s="218"/>
      <c r="VTY60" s="219"/>
      <c r="VTZ60" s="220"/>
      <c r="VUA60" s="220"/>
      <c r="VUB60" s="220"/>
      <c r="VUC60" s="220"/>
      <c r="VUD60" s="217"/>
      <c r="VUE60" s="221"/>
      <c r="VUF60" s="216"/>
      <c r="VUG60" s="217"/>
      <c r="VUH60" s="218"/>
      <c r="VUI60" s="219"/>
      <c r="VUJ60" s="220"/>
      <c r="VUK60" s="220"/>
      <c r="VUL60" s="220"/>
      <c r="VUM60" s="220"/>
      <c r="VUN60" s="217"/>
      <c r="VUO60" s="221"/>
      <c r="VUP60" s="216"/>
      <c r="VUQ60" s="217"/>
      <c r="VUR60" s="218"/>
      <c r="VUS60" s="219"/>
      <c r="VUT60" s="220"/>
      <c r="VUU60" s="220"/>
      <c r="VUV60" s="220"/>
      <c r="VUW60" s="220"/>
      <c r="VUX60" s="217"/>
      <c r="VUY60" s="221"/>
      <c r="VUZ60" s="216"/>
      <c r="VVA60" s="217"/>
      <c r="VVB60" s="218"/>
      <c r="VVC60" s="219"/>
      <c r="VVD60" s="220"/>
      <c r="VVE60" s="220"/>
      <c r="VVF60" s="220"/>
      <c r="VVG60" s="220"/>
      <c r="VVH60" s="217"/>
      <c r="VVI60" s="221"/>
      <c r="VVJ60" s="216"/>
      <c r="VVK60" s="217"/>
      <c r="VVL60" s="218"/>
      <c r="VVM60" s="219"/>
      <c r="VVN60" s="220"/>
      <c r="VVO60" s="220"/>
      <c r="VVP60" s="220"/>
      <c r="VVQ60" s="220"/>
      <c r="VVR60" s="217"/>
      <c r="VVS60" s="221"/>
      <c r="VVT60" s="216"/>
      <c r="VVU60" s="217"/>
      <c r="VVV60" s="218"/>
      <c r="VVW60" s="219"/>
      <c r="VVX60" s="220"/>
      <c r="VVY60" s="220"/>
      <c r="VVZ60" s="220"/>
      <c r="VWA60" s="220"/>
      <c r="VWB60" s="217"/>
      <c r="VWC60" s="221"/>
      <c r="VWD60" s="216"/>
      <c r="VWE60" s="217"/>
      <c r="VWF60" s="218"/>
      <c r="VWG60" s="219"/>
      <c r="VWH60" s="220"/>
      <c r="VWI60" s="220"/>
      <c r="VWJ60" s="220"/>
      <c r="VWK60" s="220"/>
      <c r="VWL60" s="217"/>
      <c r="VWM60" s="221"/>
      <c r="VWN60" s="216"/>
      <c r="VWO60" s="217"/>
      <c r="VWP60" s="218"/>
      <c r="VWQ60" s="219"/>
      <c r="VWR60" s="220"/>
      <c r="VWS60" s="220"/>
      <c r="VWT60" s="220"/>
      <c r="VWU60" s="220"/>
      <c r="VWV60" s="217"/>
      <c r="VWW60" s="221"/>
      <c r="VWX60" s="216"/>
      <c r="VWY60" s="217"/>
      <c r="VWZ60" s="218"/>
      <c r="VXA60" s="219"/>
      <c r="VXB60" s="220"/>
      <c r="VXC60" s="220"/>
      <c r="VXD60" s="220"/>
      <c r="VXE60" s="220"/>
      <c r="VXF60" s="217"/>
      <c r="VXG60" s="221"/>
      <c r="VXH60" s="216"/>
      <c r="VXI60" s="217"/>
      <c r="VXJ60" s="218"/>
      <c r="VXK60" s="219"/>
      <c r="VXL60" s="220"/>
      <c r="VXM60" s="220"/>
      <c r="VXN60" s="220"/>
      <c r="VXO60" s="220"/>
      <c r="VXP60" s="217"/>
      <c r="VXQ60" s="221"/>
      <c r="VXR60" s="216"/>
      <c r="VXS60" s="217"/>
      <c r="VXT60" s="218"/>
      <c r="VXU60" s="219"/>
      <c r="VXV60" s="220"/>
      <c r="VXW60" s="220"/>
      <c r="VXX60" s="220"/>
      <c r="VXY60" s="220"/>
      <c r="VXZ60" s="217"/>
      <c r="VYA60" s="221"/>
      <c r="VYB60" s="216"/>
      <c r="VYC60" s="217"/>
      <c r="VYD60" s="218"/>
      <c r="VYE60" s="219"/>
      <c r="VYF60" s="220"/>
      <c r="VYG60" s="220"/>
      <c r="VYH60" s="220"/>
      <c r="VYI60" s="220"/>
      <c r="VYJ60" s="217"/>
      <c r="VYK60" s="221"/>
      <c r="VYL60" s="216"/>
      <c r="VYM60" s="217"/>
      <c r="VYN60" s="218"/>
      <c r="VYO60" s="219"/>
      <c r="VYP60" s="220"/>
      <c r="VYQ60" s="220"/>
      <c r="VYR60" s="220"/>
      <c r="VYS60" s="220"/>
      <c r="VYT60" s="217"/>
      <c r="VYU60" s="221"/>
      <c r="VYV60" s="216"/>
      <c r="VYW60" s="217"/>
      <c r="VYX60" s="218"/>
      <c r="VYY60" s="219"/>
      <c r="VYZ60" s="220"/>
      <c r="VZA60" s="220"/>
      <c r="VZB60" s="220"/>
      <c r="VZC60" s="220"/>
      <c r="VZD60" s="217"/>
      <c r="VZE60" s="221"/>
      <c r="VZF60" s="216"/>
      <c r="VZG60" s="217"/>
      <c r="VZH60" s="218"/>
      <c r="VZI60" s="219"/>
      <c r="VZJ60" s="220"/>
      <c r="VZK60" s="220"/>
      <c r="VZL60" s="220"/>
      <c r="VZM60" s="220"/>
      <c r="VZN60" s="217"/>
      <c r="VZO60" s="221"/>
      <c r="VZP60" s="216"/>
      <c r="VZQ60" s="217"/>
      <c r="VZR60" s="218"/>
      <c r="VZS60" s="219"/>
      <c r="VZT60" s="220"/>
      <c r="VZU60" s="220"/>
      <c r="VZV60" s="220"/>
      <c r="VZW60" s="220"/>
      <c r="VZX60" s="217"/>
      <c r="VZY60" s="221"/>
      <c r="VZZ60" s="216"/>
      <c r="WAA60" s="217"/>
      <c r="WAB60" s="218"/>
      <c r="WAC60" s="219"/>
      <c r="WAD60" s="220"/>
      <c r="WAE60" s="220"/>
      <c r="WAF60" s="220"/>
      <c r="WAG60" s="220"/>
      <c r="WAH60" s="217"/>
      <c r="WAI60" s="221"/>
      <c r="WAJ60" s="216"/>
      <c r="WAK60" s="217"/>
      <c r="WAL60" s="218"/>
      <c r="WAM60" s="219"/>
      <c r="WAN60" s="220"/>
      <c r="WAO60" s="220"/>
      <c r="WAP60" s="220"/>
      <c r="WAQ60" s="220"/>
      <c r="WAR60" s="217"/>
      <c r="WAS60" s="221"/>
      <c r="WAT60" s="216"/>
      <c r="WAU60" s="217"/>
      <c r="WAV60" s="218"/>
      <c r="WAW60" s="219"/>
      <c r="WAX60" s="220"/>
      <c r="WAY60" s="220"/>
      <c r="WAZ60" s="220"/>
      <c r="WBA60" s="220"/>
      <c r="WBB60" s="217"/>
      <c r="WBC60" s="221"/>
      <c r="WBD60" s="216"/>
      <c r="WBE60" s="217"/>
      <c r="WBF60" s="218"/>
      <c r="WBG60" s="219"/>
      <c r="WBH60" s="220"/>
      <c r="WBI60" s="220"/>
      <c r="WBJ60" s="220"/>
      <c r="WBK60" s="220"/>
      <c r="WBL60" s="217"/>
      <c r="WBM60" s="221"/>
      <c r="WBN60" s="216"/>
      <c r="WBO60" s="217"/>
      <c r="WBP60" s="218"/>
      <c r="WBQ60" s="219"/>
      <c r="WBR60" s="220"/>
      <c r="WBS60" s="220"/>
      <c r="WBT60" s="220"/>
      <c r="WBU60" s="220"/>
      <c r="WBV60" s="217"/>
      <c r="WBW60" s="221"/>
      <c r="WBX60" s="216"/>
      <c r="WBY60" s="217"/>
      <c r="WBZ60" s="218"/>
      <c r="WCA60" s="219"/>
      <c r="WCB60" s="220"/>
      <c r="WCC60" s="220"/>
      <c r="WCD60" s="220"/>
      <c r="WCE60" s="220"/>
      <c r="WCF60" s="217"/>
      <c r="WCG60" s="221"/>
      <c r="WCH60" s="216"/>
      <c r="WCI60" s="217"/>
      <c r="WCJ60" s="218"/>
      <c r="WCK60" s="219"/>
      <c r="WCL60" s="220"/>
      <c r="WCM60" s="220"/>
      <c r="WCN60" s="220"/>
      <c r="WCO60" s="220"/>
      <c r="WCP60" s="217"/>
      <c r="WCQ60" s="221"/>
      <c r="WCR60" s="216"/>
      <c r="WCS60" s="217"/>
      <c r="WCT60" s="218"/>
      <c r="WCU60" s="219"/>
      <c r="WCV60" s="220"/>
      <c r="WCW60" s="220"/>
      <c r="WCX60" s="220"/>
      <c r="WCY60" s="220"/>
      <c r="WCZ60" s="217"/>
      <c r="WDA60" s="221"/>
      <c r="WDB60" s="216"/>
      <c r="WDC60" s="217"/>
      <c r="WDD60" s="218"/>
      <c r="WDE60" s="219"/>
      <c r="WDF60" s="220"/>
      <c r="WDG60" s="220"/>
      <c r="WDH60" s="220"/>
      <c r="WDI60" s="220"/>
      <c r="WDJ60" s="217"/>
      <c r="WDK60" s="221"/>
      <c r="WDL60" s="216"/>
      <c r="WDM60" s="217"/>
      <c r="WDN60" s="218"/>
      <c r="WDO60" s="219"/>
      <c r="WDP60" s="220"/>
      <c r="WDQ60" s="220"/>
      <c r="WDR60" s="220"/>
      <c r="WDS60" s="220"/>
      <c r="WDT60" s="217"/>
      <c r="WDU60" s="221"/>
      <c r="WDV60" s="216"/>
      <c r="WDW60" s="217"/>
      <c r="WDX60" s="218"/>
      <c r="WDY60" s="219"/>
      <c r="WDZ60" s="220"/>
      <c r="WEA60" s="220"/>
      <c r="WEB60" s="220"/>
      <c r="WEC60" s="220"/>
      <c r="WED60" s="217"/>
      <c r="WEE60" s="221"/>
      <c r="WEF60" s="216"/>
      <c r="WEG60" s="217"/>
      <c r="WEH60" s="218"/>
      <c r="WEI60" s="219"/>
      <c r="WEJ60" s="220"/>
      <c r="WEK60" s="220"/>
      <c r="WEL60" s="220"/>
      <c r="WEM60" s="220"/>
      <c r="WEN60" s="217"/>
      <c r="WEO60" s="221"/>
      <c r="WEP60" s="216"/>
      <c r="WEQ60" s="217"/>
      <c r="WER60" s="218"/>
      <c r="WES60" s="219"/>
      <c r="WET60" s="220"/>
      <c r="WEU60" s="220"/>
      <c r="WEV60" s="220"/>
      <c r="WEW60" s="220"/>
      <c r="WEX60" s="217"/>
      <c r="WEY60" s="221"/>
      <c r="WEZ60" s="216"/>
      <c r="WFA60" s="217"/>
      <c r="WFB60" s="218"/>
      <c r="WFC60" s="219"/>
      <c r="WFD60" s="220"/>
      <c r="WFE60" s="220"/>
      <c r="WFF60" s="220"/>
      <c r="WFG60" s="220"/>
      <c r="WFH60" s="217"/>
      <c r="WFI60" s="221"/>
      <c r="WFJ60" s="216"/>
      <c r="WFK60" s="217"/>
      <c r="WFL60" s="218"/>
      <c r="WFM60" s="219"/>
      <c r="WFN60" s="220"/>
      <c r="WFO60" s="220"/>
      <c r="WFP60" s="220"/>
      <c r="WFQ60" s="220"/>
      <c r="WFR60" s="217"/>
      <c r="WFS60" s="221"/>
      <c r="WFT60" s="216"/>
      <c r="WFU60" s="217"/>
      <c r="WFV60" s="218"/>
      <c r="WFW60" s="219"/>
      <c r="WFX60" s="220"/>
      <c r="WFY60" s="220"/>
      <c r="WFZ60" s="220"/>
      <c r="WGA60" s="220"/>
      <c r="WGB60" s="217"/>
      <c r="WGC60" s="221"/>
      <c r="WGD60" s="216"/>
      <c r="WGE60" s="217"/>
      <c r="WGF60" s="218"/>
      <c r="WGG60" s="219"/>
      <c r="WGH60" s="220"/>
      <c r="WGI60" s="220"/>
      <c r="WGJ60" s="220"/>
      <c r="WGK60" s="220"/>
      <c r="WGL60" s="217"/>
      <c r="WGM60" s="221"/>
      <c r="WGN60" s="216"/>
      <c r="WGO60" s="217"/>
      <c r="WGP60" s="218"/>
      <c r="WGQ60" s="219"/>
      <c r="WGR60" s="220"/>
      <c r="WGS60" s="220"/>
      <c r="WGT60" s="220"/>
      <c r="WGU60" s="220"/>
      <c r="WGV60" s="217"/>
      <c r="WGW60" s="221"/>
      <c r="WGX60" s="216"/>
      <c r="WGY60" s="217"/>
      <c r="WGZ60" s="218"/>
      <c r="WHA60" s="219"/>
      <c r="WHB60" s="220"/>
      <c r="WHC60" s="220"/>
      <c r="WHD60" s="220"/>
      <c r="WHE60" s="220"/>
      <c r="WHF60" s="217"/>
      <c r="WHG60" s="221"/>
      <c r="WHH60" s="216"/>
      <c r="WHI60" s="217"/>
      <c r="WHJ60" s="218"/>
      <c r="WHK60" s="219"/>
      <c r="WHL60" s="220"/>
      <c r="WHM60" s="220"/>
      <c r="WHN60" s="220"/>
      <c r="WHO60" s="220"/>
      <c r="WHP60" s="217"/>
      <c r="WHQ60" s="221"/>
      <c r="WHR60" s="216"/>
      <c r="WHS60" s="217"/>
      <c r="WHT60" s="218"/>
      <c r="WHU60" s="219"/>
      <c r="WHV60" s="220"/>
      <c r="WHW60" s="220"/>
      <c r="WHX60" s="220"/>
      <c r="WHY60" s="220"/>
      <c r="WHZ60" s="217"/>
      <c r="WIA60" s="221"/>
      <c r="WIB60" s="216"/>
      <c r="WIC60" s="217"/>
      <c r="WID60" s="218"/>
      <c r="WIE60" s="219"/>
      <c r="WIF60" s="220"/>
      <c r="WIG60" s="220"/>
      <c r="WIH60" s="220"/>
      <c r="WII60" s="220"/>
      <c r="WIJ60" s="217"/>
      <c r="WIK60" s="221"/>
      <c r="WIL60" s="216"/>
      <c r="WIM60" s="217"/>
      <c r="WIN60" s="218"/>
      <c r="WIO60" s="219"/>
      <c r="WIP60" s="220"/>
      <c r="WIQ60" s="220"/>
      <c r="WIR60" s="220"/>
      <c r="WIS60" s="220"/>
      <c r="WIT60" s="217"/>
      <c r="WIU60" s="221"/>
      <c r="WIV60" s="216"/>
      <c r="WIW60" s="217"/>
      <c r="WIX60" s="218"/>
      <c r="WIY60" s="219"/>
      <c r="WIZ60" s="220"/>
      <c r="WJA60" s="220"/>
      <c r="WJB60" s="220"/>
      <c r="WJC60" s="220"/>
      <c r="WJD60" s="217"/>
      <c r="WJE60" s="221"/>
      <c r="WJF60" s="216"/>
      <c r="WJG60" s="217"/>
      <c r="WJH60" s="218"/>
      <c r="WJI60" s="219"/>
      <c r="WJJ60" s="220"/>
      <c r="WJK60" s="220"/>
      <c r="WJL60" s="220"/>
      <c r="WJM60" s="220"/>
      <c r="WJN60" s="217"/>
      <c r="WJO60" s="221"/>
      <c r="WJP60" s="216"/>
      <c r="WJQ60" s="217"/>
      <c r="WJR60" s="218"/>
      <c r="WJS60" s="219"/>
      <c r="WJT60" s="220"/>
      <c r="WJU60" s="220"/>
      <c r="WJV60" s="220"/>
      <c r="WJW60" s="220"/>
      <c r="WJX60" s="217"/>
      <c r="WJY60" s="221"/>
      <c r="WJZ60" s="216"/>
      <c r="WKA60" s="217"/>
      <c r="WKB60" s="218"/>
      <c r="WKC60" s="219"/>
      <c r="WKD60" s="220"/>
      <c r="WKE60" s="220"/>
      <c r="WKF60" s="220"/>
      <c r="WKG60" s="220"/>
      <c r="WKH60" s="217"/>
      <c r="WKI60" s="221"/>
      <c r="WKJ60" s="216"/>
      <c r="WKK60" s="217"/>
      <c r="WKL60" s="218"/>
      <c r="WKM60" s="219"/>
      <c r="WKN60" s="220"/>
      <c r="WKO60" s="220"/>
      <c r="WKP60" s="220"/>
      <c r="WKQ60" s="220"/>
      <c r="WKR60" s="217"/>
      <c r="WKS60" s="221"/>
      <c r="WKT60" s="216"/>
      <c r="WKU60" s="217"/>
      <c r="WKV60" s="218"/>
      <c r="WKW60" s="219"/>
      <c r="WKX60" s="220"/>
      <c r="WKY60" s="220"/>
      <c r="WKZ60" s="220"/>
      <c r="WLA60" s="220"/>
      <c r="WLB60" s="217"/>
      <c r="WLC60" s="221"/>
      <c r="WLD60" s="216"/>
      <c r="WLE60" s="217"/>
      <c r="WLF60" s="218"/>
      <c r="WLG60" s="219"/>
      <c r="WLH60" s="220"/>
      <c r="WLI60" s="220"/>
      <c r="WLJ60" s="220"/>
      <c r="WLK60" s="220"/>
      <c r="WLL60" s="217"/>
      <c r="WLM60" s="221"/>
      <c r="WLN60" s="216"/>
      <c r="WLO60" s="217"/>
      <c r="WLP60" s="218"/>
      <c r="WLQ60" s="219"/>
      <c r="WLR60" s="220"/>
      <c r="WLS60" s="220"/>
      <c r="WLT60" s="220"/>
      <c r="WLU60" s="220"/>
      <c r="WLV60" s="217"/>
      <c r="WLW60" s="221"/>
      <c r="WLX60" s="216"/>
      <c r="WLY60" s="217"/>
      <c r="WLZ60" s="218"/>
      <c r="WMA60" s="219"/>
      <c r="WMB60" s="220"/>
      <c r="WMC60" s="220"/>
      <c r="WMD60" s="220"/>
      <c r="WME60" s="220"/>
      <c r="WMF60" s="217"/>
      <c r="WMG60" s="221"/>
      <c r="WMH60" s="216"/>
      <c r="WMI60" s="217"/>
      <c r="WMJ60" s="218"/>
      <c r="WMK60" s="219"/>
      <c r="WML60" s="220"/>
      <c r="WMM60" s="220"/>
      <c r="WMN60" s="220"/>
      <c r="WMO60" s="220"/>
      <c r="WMP60" s="217"/>
      <c r="WMQ60" s="221"/>
      <c r="WMR60" s="216"/>
      <c r="WMS60" s="217"/>
      <c r="WMT60" s="218"/>
      <c r="WMU60" s="219"/>
      <c r="WMV60" s="220"/>
      <c r="WMW60" s="220"/>
      <c r="WMX60" s="220"/>
      <c r="WMY60" s="220"/>
      <c r="WMZ60" s="217"/>
      <c r="WNA60" s="221"/>
      <c r="WNB60" s="216"/>
      <c r="WNC60" s="217"/>
      <c r="WND60" s="218"/>
      <c r="WNE60" s="219"/>
      <c r="WNF60" s="220"/>
      <c r="WNG60" s="220"/>
      <c r="WNH60" s="220"/>
      <c r="WNI60" s="220"/>
      <c r="WNJ60" s="217"/>
      <c r="WNK60" s="221"/>
      <c r="WNL60" s="216"/>
      <c r="WNM60" s="217"/>
      <c r="WNN60" s="218"/>
      <c r="WNO60" s="219"/>
      <c r="WNP60" s="220"/>
      <c r="WNQ60" s="220"/>
      <c r="WNR60" s="220"/>
      <c r="WNS60" s="220"/>
      <c r="WNT60" s="217"/>
      <c r="WNU60" s="221"/>
      <c r="WNV60" s="216"/>
      <c r="WNW60" s="217"/>
      <c r="WNX60" s="218"/>
      <c r="WNY60" s="219"/>
      <c r="WNZ60" s="220"/>
      <c r="WOA60" s="220"/>
      <c r="WOB60" s="220"/>
      <c r="WOC60" s="220"/>
      <c r="WOD60" s="217"/>
      <c r="WOE60" s="221"/>
      <c r="WOF60" s="216"/>
      <c r="WOG60" s="217"/>
      <c r="WOH60" s="218"/>
      <c r="WOI60" s="219"/>
      <c r="WOJ60" s="220"/>
      <c r="WOK60" s="220"/>
      <c r="WOL60" s="220"/>
      <c r="WOM60" s="220"/>
      <c r="WON60" s="217"/>
      <c r="WOO60" s="221"/>
      <c r="WOP60" s="216"/>
      <c r="WOQ60" s="217"/>
      <c r="WOR60" s="218"/>
      <c r="WOS60" s="219"/>
      <c r="WOT60" s="220"/>
      <c r="WOU60" s="220"/>
      <c r="WOV60" s="220"/>
      <c r="WOW60" s="220"/>
      <c r="WOX60" s="217"/>
      <c r="WOY60" s="221"/>
      <c r="WOZ60" s="216"/>
      <c r="WPA60" s="217"/>
      <c r="WPB60" s="218"/>
      <c r="WPC60" s="219"/>
      <c r="WPD60" s="220"/>
      <c r="WPE60" s="220"/>
      <c r="WPF60" s="220"/>
      <c r="WPG60" s="220"/>
      <c r="WPH60" s="217"/>
      <c r="WPI60" s="221"/>
      <c r="WPJ60" s="216"/>
      <c r="WPK60" s="217"/>
      <c r="WPL60" s="218"/>
      <c r="WPM60" s="219"/>
      <c r="WPN60" s="220"/>
      <c r="WPO60" s="220"/>
      <c r="WPP60" s="220"/>
      <c r="WPQ60" s="220"/>
      <c r="WPR60" s="217"/>
      <c r="WPS60" s="221"/>
      <c r="WPT60" s="216"/>
      <c r="WPU60" s="217"/>
      <c r="WPV60" s="218"/>
      <c r="WPW60" s="219"/>
      <c r="WPX60" s="220"/>
      <c r="WPY60" s="220"/>
      <c r="WPZ60" s="220"/>
      <c r="WQA60" s="220"/>
      <c r="WQB60" s="217"/>
      <c r="WQC60" s="221"/>
      <c r="WQD60" s="216"/>
      <c r="WQE60" s="217"/>
      <c r="WQF60" s="218"/>
      <c r="WQG60" s="219"/>
      <c r="WQH60" s="220"/>
      <c r="WQI60" s="220"/>
      <c r="WQJ60" s="220"/>
      <c r="WQK60" s="220"/>
      <c r="WQL60" s="217"/>
      <c r="WQM60" s="221"/>
      <c r="WQN60" s="216"/>
      <c r="WQO60" s="217"/>
      <c r="WQP60" s="218"/>
      <c r="WQQ60" s="219"/>
      <c r="WQR60" s="220"/>
      <c r="WQS60" s="220"/>
      <c r="WQT60" s="220"/>
      <c r="WQU60" s="220"/>
      <c r="WQV60" s="217"/>
      <c r="WQW60" s="221"/>
      <c r="WQX60" s="216"/>
      <c r="WQY60" s="217"/>
      <c r="WQZ60" s="218"/>
      <c r="WRA60" s="219"/>
      <c r="WRB60" s="220"/>
      <c r="WRC60" s="220"/>
      <c r="WRD60" s="220"/>
      <c r="WRE60" s="220"/>
      <c r="WRF60" s="217"/>
      <c r="WRG60" s="221"/>
      <c r="WRH60" s="216"/>
      <c r="WRI60" s="217"/>
      <c r="WRJ60" s="218"/>
      <c r="WRK60" s="219"/>
      <c r="WRL60" s="220"/>
      <c r="WRM60" s="220"/>
      <c r="WRN60" s="220"/>
      <c r="WRO60" s="220"/>
      <c r="WRP60" s="217"/>
      <c r="WRQ60" s="221"/>
      <c r="WRR60" s="216"/>
      <c r="WRS60" s="217"/>
      <c r="WRT60" s="218"/>
      <c r="WRU60" s="219"/>
      <c r="WRV60" s="220"/>
      <c r="WRW60" s="220"/>
      <c r="WRX60" s="220"/>
      <c r="WRY60" s="220"/>
      <c r="WRZ60" s="217"/>
      <c r="WSA60" s="221"/>
      <c r="WSB60" s="216"/>
      <c r="WSC60" s="217"/>
      <c r="WSD60" s="218"/>
      <c r="WSE60" s="219"/>
      <c r="WSF60" s="220"/>
      <c r="WSG60" s="220"/>
      <c r="WSH60" s="220"/>
      <c r="WSI60" s="220"/>
      <c r="WSJ60" s="217"/>
      <c r="WSK60" s="221"/>
      <c r="WSL60" s="216"/>
      <c r="WSM60" s="217"/>
      <c r="WSN60" s="218"/>
      <c r="WSO60" s="219"/>
      <c r="WSP60" s="220"/>
      <c r="WSQ60" s="220"/>
      <c r="WSR60" s="220"/>
      <c r="WSS60" s="220"/>
      <c r="WST60" s="217"/>
      <c r="WSU60" s="221"/>
      <c r="WSV60" s="216"/>
      <c r="WSW60" s="217"/>
      <c r="WSX60" s="218"/>
      <c r="WSY60" s="219"/>
      <c r="WSZ60" s="220"/>
      <c r="WTA60" s="220"/>
      <c r="WTB60" s="220"/>
      <c r="WTC60" s="220"/>
      <c r="WTD60" s="217"/>
      <c r="WTE60" s="221"/>
      <c r="WTF60" s="216"/>
      <c r="WTG60" s="217"/>
      <c r="WTH60" s="218"/>
      <c r="WTI60" s="219"/>
      <c r="WTJ60" s="220"/>
      <c r="WTK60" s="220"/>
      <c r="WTL60" s="220"/>
      <c r="WTM60" s="220"/>
      <c r="WTN60" s="217"/>
      <c r="WTO60" s="221"/>
      <c r="WTP60" s="216"/>
      <c r="WTQ60" s="217"/>
      <c r="WTR60" s="218"/>
      <c r="WTS60" s="219"/>
      <c r="WTT60" s="220"/>
      <c r="WTU60" s="220"/>
      <c r="WTV60" s="220"/>
      <c r="WTW60" s="220"/>
      <c r="WTX60" s="217"/>
      <c r="WTY60" s="221"/>
      <c r="WTZ60" s="216"/>
      <c r="WUA60" s="217"/>
      <c r="WUB60" s="218"/>
      <c r="WUC60" s="219"/>
      <c r="WUD60" s="220"/>
      <c r="WUE60" s="220"/>
      <c r="WUF60" s="220"/>
      <c r="WUG60" s="220"/>
      <c r="WUH60" s="217"/>
      <c r="WUI60" s="221"/>
      <c r="WUJ60" s="216"/>
      <c r="WUK60" s="217"/>
      <c r="WUL60" s="218"/>
      <c r="WUM60" s="219"/>
      <c r="WUN60" s="220"/>
      <c r="WUO60" s="220"/>
      <c r="WUP60" s="220"/>
      <c r="WUQ60" s="220"/>
      <c r="WUR60" s="217"/>
      <c r="WUS60" s="221"/>
      <c r="WUT60" s="216"/>
      <c r="WUU60" s="217"/>
      <c r="WUV60" s="218"/>
      <c r="WUW60" s="219"/>
      <c r="WUX60" s="220"/>
      <c r="WUY60" s="220"/>
      <c r="WUZ60" s="220"/>
      <c r="WVA60" s="220"/>
      <c r="WVB60" s="217"/>
      <c r="WVC60" s="221"/>
      <c r="WVD60" s="216"/>
      <c r="WVE60" s="217"/>
      <c r="WVF60" s="218"/>
      <c r="WVG60" s="219"/>
      <c r="WVH60" s="220"/>
      <c r="WVI60" s="220"/>
      <c r="WVJ60" s="220"/>
      <c r="WVK60" s="220"/>
      <c r="WVL60" s="217"/>
      <c r="WVM60" s="221"/>
      <c r="WVN60" s="216"/>
      <c r="WVO60" s="217"/>
      <c r="WVP60" s="218"/>
      <c r="WVQ60" s="219"/>
      <c r="WVR60" s="220"/>
      <c r="WVS60" s="220"/>
      <c r="WVT60" s="220"/>
      <c r="WVU60" s="220"/>
      <c r="WVV60" s="217"/>
      <c r="WVW60" s="221"/>
      <c r="WVX60" s="216"/>
      <c r="WVY60" s="217"/>
      <c r="WVZ60" s="218"/>
      <c r="WWA60" s="219"/>
      <c r="WWB60" s="220"/>
      <c r="WWC60" s="220"/>
      <c r="WWD60" s="220"/>
      <c r="WWE60" s="220"/>
      <c r="WWF60" s="217"/>
      <c r="WWG60" s="221"/>
      <c r="WWH60" s="216"/>
      <c r="WWI60" s="217"/>
      <c r="WWJ60" s="218"/>
      <c r="WWK60" s="219"/>
      <c r="WWL60" s="220"/>
      <c r="WWM60" s="220"/>
      <c r="WWN60" s="220"/>
      <c r="WWO60" s="220"/>
      <c r="WWP60" s="217"/>
      <c r="WWQ60" s="221"/>
      <c r="WWR60" s="216"/>
      <c r="WWS60" s="217"/>
      <c r="WWT60" s="218"/>
      <c r="WWU60" s="219"/>
      <c r="WWV60" s="220"/>
      <c r="WWW60" s="220"/>
      <c r="WWX60" s="220"/>
      <c r="WWY60" s="220"/>
      <c r="WWZ60" s="217"/>
      <c r="WXA60" s="221"/>
      <c r="WXB60" s="216"/>
      <c r="WXC60" s="217"/>
      <c r="WXD60" s="218"/>
      <c r="WXE60" s="219"/>
      <c r="WXF60" s="220"/>
      <c r="WXG60" s="220"/>
      <c r="WXH60" s="220"/>
      <c r="WXI60" s="220"/>
      <c r="WXJ60" s="217"/>
      <c r="WXK60" s="221"/>
      <c r="WXL60" s="216"/>
      <c r="WXM60" s="217"/>
      <c r="WXN60" s="218"/>
      <c r="WXO60" s="219"/>
      <c r="WXP60" s="220"/>
      <c r="WXQ60" s="220"/>
      <c r="WXR60" s="220"/>
      <c r="WXS60" s="220"/>
      <c r="WXT60" s="217"/>
      <c r="WXU60" s="221"/>
      <c r="WXV60" s="216"/>
      <c r="WXW60" s="217"/>
      <c r="WXX60" s="218"/>
      <c r="WXY60" s="219"/>
      <c r="WXZ60" s="220"/>
      <c r="WYA60" s="220"/>
      <c r="WYB60" s="220"/>
      <c r="WYC60" s="220"/>
      <c r="WYD60" s="217"/>
      <c r="WYE60" s="221"/>
      <c r="WYF60" s="216"/>
      <c r="WYG60" s="217"/>
      <c r="WYH60" s="218"/>
      <c r="WYI60" s="219"/>
      <c r="WYJ60" s="220"/>
      <c r="WYK60" s="220"/>
      <c r="WYL60" s="220"/>
      <c r="WYM60" s="220"/>
      <c r="WYN60" s="217"/>
      <c r="WYO60" s="221"/>
      <c r="WYP60" s="216"/>
      <c r="WYQ60" s="217"/>
      <c r="WYR60" s="218"/>
      <c r="WYS60" s="219"/>
      <c r="WYT60" s="220"/>
      <c r="WYU60" s="220"/>
      <c r="WYV60" s="220"/>
      <c r="WYW60" s="220"/>
      <c r="WYX60" s="217"/>
      <c r="WYY60" s="221"/>
      <c r="WYZ60" s="216"/>
      <c r="WZA60" s="217"/>
      <c r="WZB60" s="218"/>
      <c r="WZC60" s="219"/>
      <c r="WZD60" s="220"/>
      <c r="WZE60" s="220"/>
      <c r="WZF60" s="220"/>
      <c r="WZG60" s="220"/>
      <c r="WZH60" s="217"/>
      <c r="WZI60" s="221"/>
      <c r="WZJ60" s="216"/>
      <c r="WZK60" s="217"/>
      <c r="WZL60" s="218"/>
      <c r="WZM60" s="219"/>
      <c r="WZN60" s="220"/>
      <c r="WZO60" s="220"/>
      <c r="WZP60" s="220"/>
      <c r="WZQ60" s="220"/>
      <c r="WZR60" s="217"/>
      <c r="WZS60" s="221"/>
      <c r="WZT60" s="216"/>
      <c r="WZU60" s="217"/>
      <c r="WZV60" s="218"/>
      <c r="WZW60" s="219"/>
      <c r="WZX60" s="220"/>
      <c r="WZY60" s="220"/>
      <c r="WZZ60" s="220"/>
      <c r="XAA60" s="220"/>
      <c r="XAB60" s="217"/>
      <c r="XAC60" s="221"/>
      <c r="XAD60" s="216"/>
      <c r="XAE60" s="217"/>
      <c r="XAF60" s="218"/>
      <c r="XAG60" s="219"/>
      <c r="XAH60" s="220"/>
      <c r="XAI60" s="220"/>
      <c r="XAJ60" s="220"/>
      <c r="XAK60" s="220"/>
      <c r="XAL60" s="217"/>
      <c r="XAM60" s="221"/>
      <c r="XAN60" s="216"/>
      <c r="XAO60" s="217"/>
      <c r="XAP60" s="218"/>
      <c r="XAQ60" s="219"/>
      <c r="XAR60" s="220"/>
      <c r="XAS60" s="220"/>
      <c r="XAT60" s="220"/>
      <c r="XAU60" s="220"/>
      <c r="XAV60" s="217"/>
      <c r="XAW60" s="221"/>
      <c r="XAX60" s="216"/>
      <c r="XAY60" s="217"/>
      <c r="XAZ60" s="218"/>
      <c r="XBA60" s="219"/>
      <c r="XBB60" s="220"/>
      <c r="XBC60" s="220"/>
      <c r="XBD60" s="220"/>
      <c r="XBE60" s="220"/>
      <c r="XBF60" s="217"/>
      <c r="XBG60" s="221"/>
      <c r="XBH60" s="216"/>
      <c r="XBI60" s="217"/>
      <c r="XBJ60" s="218"/>
      <c r="XBK60" s="219"/>
      <c r="XBL60" s="220"/>
      <c r="XBM60" s="220"/>
      <c r="XBN60" s="220"/>
      <c r="XBO60" s="220"/>
      <c r="XBP60" s="217"/>
      <c r="XBQ60" s="221"/>
      <c r="XBR60" s="216"/>
      <c r="XBS60" s="217"/>
      <c r="XBT60" s="218"/>
      <c r="XBU60" s="219"/>
      <c r="XBV60" s="220"/>
      <c r="XBW60" s="220"/>
      <c r="XBX60" s="220"/>
      <c r="XBY60" s="220"/>
      <c r="XBZ60" s="217"/>
      <c r="XCA60" s="221"/>
      <c r="XCB60" s="216"/>
      <c r="XCC60" s="217"/>
      <c r="XCD60" s="218"/>
      <c r="XCE60" s="219"/>
      <c r="XCF60" s="220"/>
      <c r="XCG60" s="220"/>
      <c r="XCH60" s="220"/>
      <c r="XCI60" s="220"/>
      <c r="XCJ60" s="217"/>
      <c r="XCK60" s="221"/>
      <c r="XCL60" s="216"/>
      <c r="XCM60" s="217"/>
      <c r="XCN60" s="218"/>
      <c r="XCO60" s="219"/>
      <c r="XCP60" s="220"/>
      <c r="XCQ60" s="220"/>
      <c r="XCR60" s="220"/>
      <c r="XCS60" s="220"/>
      <c r="XCT60" s="217"/>
      <c r="XCU60" s="221"/>
      <c r="XCV60" s="216"/>
      <c r="XCW60" s="217"/>
      <c r="XCX60" s="218"/>
      <c r="XCY60" s="219"/>
      <c r="XCZ60" s="220"/>
      <c r="XDA60" s="220"/>
      <c r="XDB60" s="220"/>
      <c r="XDC60" s="220"/>
      <c r="XDD60" s="217"/>
      <c r="XDE60" s="221"/>
      <c r="XDF60" s="216"/>
      <c r="XDG60" s="217"/>
      <c r="XDH60" s="218"/>
      <c r="XDI60" s="219"/>
      <c r="XDJ60" s="220"/>
      <c r="XDK60" s="220"/>
      <c r="XDL60" s="220"/>
      <c r="XDM60" s="220"/>
      <c r="XDN60" s="217"/>
      <c r="XDO60" s="221"/>
      <c r="XDP60" s="216"/>
      <c r="XDQ60" s="217"/>
      <c r="XDR60" s="218"/>
      <c r="XDS60" s="219"/>
      <c r="XDT60" s="220"/>
      <c r="XDU60" s="220"/>
      <c r="XDV60" s="220"/>
      <c r="XDW60" s="220"/>
      <c r="XDX60" s="217"/>
      <c r="XDY60" s="221"/>
      <c r="XDZ60" s="216"/>
      <c r="XEA60" s="217"/>
      <c r="XEB60" s="218"/>
      <c r="XEC60" s="219"/>
      <c r="XED60" s="220"/>
      <c r="XEE60" s="220"/>
      <c r="XEF60" s="220"/>
      <c r="XEG60" s="220"/>
      <c r="XEH60" s="217"/>
      <c r="XEI60" s="221"/>
      <c r="XEJ60" s="216"/>
      <c r="XEK60" s="217"/>
      <c r="XEL60" s="218"/>
      <c r="XEM60" s="219"/>
      <c r="XEN60" s="220"/>
      <c r="XEO60" s="220"/>
      <c r="XEP60" s="220"/>
      <c r="XEQ60" s="220"/>
      <c r="XER60" s="217"/>
      <c r="XES60" s="221"/>
      <c r="XET60" s="216"/>
      <c r="XEU60" s="217"/>
    </row>
    <row r="61" spans="1:16375" s="212" customFormat="1" ht="72" x14ac:dyDescent="0.2">
      <c r="A61" s="206" t="s">
        <v>844</v>
      </c>
      <c r="B61" s="207" t="s">
        <v>1128</v>
      </c>
      <c r="C61" s="207" t="s">
        <v>1129</v>
      </c>
      <c r="D61" s="216"/>
      <c r="E61" s="217"/>
      <c r="F61" s="218"/>
      <c r="G61" s="219"/>
      <c r="H61" s="220"/>
      <c r="I61" s="220"/>
      <c r="J61" s="220"/>
      <c r="K61" s="220"/>
      <c r="L61" s="217"/>
      <c r="M61" s="221"/>
      <c r="N61" s="216"/>
      <c r="O61" s="217"/>
      <c r="P61" s="218"/>
      <c r="Q61" s="219"/>
      <c r="R61" s="220"/>
      <c r="S61" s="220"/>
      <c r="T61" s="220"/>
      <c r="U61" s="220"/>
      <c r="V61" s="217"/>
      <c r="W61" s="221"/>
      <c r="X61" s="216"/>
      <c r="Y61" s="217"/>
      <c r="Z61" s="218"/>
      <c r="AA61" s="219"/>
      <c r="AB61" s="220"/>
      <c r="AC61" s="220"/>
      <c r="AD61" s="220"/>
      <c r="AE61" s="220"/>
      <c r="AF61" s="217"/>
      <c r="AG61" s="221"/>
      <c r="AH61" s="216"/>
      <c r="AI61" s="217"/>
      <c r="AJ61" s="218"/>
      <c r="AK61" s="219"/>
      <c r="AL61" s="220"/>
      <c r="AM61" s="220"/>
      <c r="AN61" s="220"/>
      <c r="AO61" s="220"/>
      <c r="AP61" s="217"/>
      <c r="AQ61" s="221"/>
      <c r="AR61" s="216"/>
      <c r="AS61" s="217"/>
      <c r="AT61" s="218"/>
      <c r="AU61" s="219"/>
      <c r="AV61" s="220"/>
      <c r="AW61" s="220"/>
      <c r="AX61" s="220"/>
      <c r="AY61" s="220"/>
      <c r="AZ61" s="217"/>
      <c r="BA61" s="221"/>
      <c r="BB61" s="216"/>
      <c r="BC61" s="217"/>
      <c r="BD61" s="218"/>
      <c r="BE61" s="219"/>
      <c r="BF61" s="220"/>
      <c r="BG61" s="220"/>
      <c r="BH61" s="220"/>
      <c r="BI61" s="220"/>
      <c r="BJ61" s="217"/>
      <c r="BK61" s="221"/>
      <c r="BL61" s="216"/>
      <c r="BM61" s="217"/>
      <c r="BN61" s="218"/>
      <c r="BO61" s="219"/>
      <c r="BP61" s="220"/>
      <c r="BQ61" s="220"/>
      <c r="BR61" s="220"/>
      <c r="BS61" s="220"/>
      <c r="BT61" s="217"/>
      <c r="BU61" s="221"/>
      <c r="BV61" s="216"/>
      <c r="BW61" s="217"/>
      <c r="BX61" s="218"/>
      <c r="BY61" s="219"/>
      <c r="BZ61" s="220"/>
      <c r="CA61" s="220"/>
      <c r="CB61" s="220"/>
      <c r="CC61" s="220"/>
      <c r="CD61" s="217"/>
      <c r="CE61" s="221"/>
      <c r="CF61" s="216"/>
      <c r="CG61" s="217"/>
      <c r="CH61" s="218"/>
      <c r="CI61" s="219"/>
      <c r="CJ61" s="220"/>
      <c r="CK61" s="220"/>
      <c r="CL61" s="220"/>
      <c r="CM61" s="220"/>
      <c r="CN61" s="217"/>
      <c r="CO61" s="221"/>
      <c r="CP61" s="216"/>
      <c r="CQ61" s="217"/>
      <c r="CR61" s="218"/>
      <c r="CS61" s="219"/>
      <c r="CT61" s="220"/>
      <c r="CU61" s="220"/>
      <c r="CV61" s="220"/>
      <c r="CW61" s="220"/>
      <c r="CX61" s="217"/>
      <c r="CY61" s="221"/>
      <c r="CZ61" s="216"/>
      <c r="DA61" s="217"/>
      <c r="DB61" s="218"/>
      <c r="DC61" s="219"/>
      <c r="DD61" s="220"/>
      <c r="DE61" s="220"/>
      <c r="DF61" s="220"/>
      <c r="DG61" s="220"/>
      <c r="DH61" s="217"/>
      <c r="DI61" s="221"/>
      <c r="DJ61" s="216"/>
      <c r="DK61" s="217"/>
      <c r="DL61" s="218"/>
      <c r="DM61" s="219"/>
      <c r="DN61" s="220"/>
      <c r="DO61" s="220"/>
      <c r="DP61" s="220"/>
      <c r="DQ61" s="220"/>
      <c r="DR61" s="217"/>
      <c r="DS61" s="221"/>
      <c r="DT61" s="216"/>
      <c r="DU61" s="217"/>
      <c r="DV61" s="218"/>
      <c r="DW61" s="219"/>
      <c r="DX61" s="220"/>
      <c r="DY61" s="220"/>
      <c r="DZ61" s="220"/>
      <c r="EA61" s="220"/>
      <c r="EB61" s="217"/>
      <c r="EC61" s="221"/>
      <c r="ED61" s="216"/>
      <c r="EE61" s="217"/>
      <c r="EF61" s="218"/>
      <c r="EG61" s="219"/>
      <c r="EH61" s="220"/>
      <c r="EI61" s="220"/>
      <c r="EJ61" s="220"/>
      <c r="EK61" s="220"/>
      <c r="EL61" s="217"/>
      <c r="EM61" s="221"/>
      <c r="EN61" s="216"/>
      <c r="EO61" s="217"/>
      <c r="EP61" s="218"/>
      <c r="EQ61" s="219"/>
      <c r="ER61" s="220"/>
      <c r="ES61" s="220"/>
      <c r="ET61" s="220"/>
      <c r="EU61" s="220"/>
      <c r="EV61" s="217"/>
      <c r="EW61" s="221"/>
      <c r="EX61" s="216"/>
      <c r="EY61" s="217"/>
      <c r="EZ61" s="218"/>
      <c r="FA61" s="219"/>
      <c r="FB61" s="220"/>
      <c r="FC61" s="220"/>
      <c r="FD61" s="220"/>
      <c r="FE61" s="220"/>
      <c r="FF61" s="217"/>
      <c r="FG61" s="221"/>
      <c r="FH61" s="216"/>
      <c r="FI61" s="217"/>
      <c r="FJ61" s="218"/>
      <c r="FK61" s="219"/>
      <c r="FL61" s="220"/>
      <c r="FM61" s="220"/>
      <c r="FN61" s="220"/>
      <c r="FO61" s="220"/>
      <c r="FP61" s="217"/>
      <c r="FQ61" s="221"/>
      <c r="FR61" s="216"/>
      <c r="FS61" s="217"/>
      <c r="FT61" s="218"/>
      <c r="FU61" s="219"/>
      <c r="FV61" s="220"/>
      <c r="FW61" s="220"/>
      <c r="FX61" s="220"/>
      <c r="FY61" s="220"/>
      <c r="FZ61" s="217"/>
      <c r="GA61" s="221"/>
      <c r="GB61" s="216"/>
      <c r="GC61" s="217"/>
      <c r="GD61" s="218"/>
      <c r="GE61" s="219"/>
      <c r="GF61" s="220"/>
      <c r="GG61" s="220"/>
      <c r="GH61" s="220"/>
      <c r="GI61" s="220"/>
      <c r="GJ61" s="217"/>
      <c r="GK61" s="221"/>
      <c r="GL61" s="216"/>
      <c r="GM61" s="217"/>
      <c r="GN61" s="218"/>
      <c r="GO61" s="219"/>
      <c r="GP61" s="220"/>
      <c r="GQ61" s="220"/>
      <c r="GR61" s="220"/>
      <c r="GS61" s="220"/>
      <c r="GT61" s="217"/>
      <c r="GU61" s="221"/>
      <c r="GV61" s="216"/>
      <c r="GW61" s="217"/>
      <c r="GX61" s="218"/>
      <c r="GY61" s="219"/>
      <c r="GZ61" s="220"/>
      <c r="HA61" s="220"/>
      <c r="HB61" s="220"/>
      <c r="HC61" s="220"/>
      <c r="HD61" s="217"/>
      <c r="HE61" s="221"/>
      <c r="HF61" s="216"/>
      <c r="HG61" s="217"/>
      <c r="HH61" s="218"/>
      <c r="HI61" s="219"/>
      <c r="HJ61" s="220"/>
      <c r="HK61" s="220"/>
      <c r="HL61" s="220"/>
      <c r="HM61" s="220"/>
      <c r="HN61" s="217"/>
      <c r="HO61" s="221"/>
      <c r="HP61" s="216"/>
      <c r="HQ61" s="217"/>
      <c r="HR61" s="218"/>
      <c r="HS61" s="219"/>
      <c r="HT61" s="220"/>
      <c r="HU61" s="220"/>
      <c r="HV61" s="220"/>
      <c r="HW61" s="220"/>
      <c r="HX61" s="217"/>
      <c r="HY61" s="221"/>
      <c r="HZ61" s="216"/>
      <c r="IA61" s="217"/>
      <c r="IB61" s="218"/>
      <c r="IC61" s="219"/>
      <c r="ID61" s="220"/>
      <c r="IE61" s="220"/>
      <c r="IF61" s="220"/>
      <c r="IG61" s="220"/>
      <c r="IH61" s="217"/>
      <c r="II61" s="221"/>
      <c r="IJ61" s="216"/>
      <c r="IK61" s="217"/>
      <c r="IL61" s="218"/>
      <c r="IM61" s="219"/>
      <c r="IN61" s="220"/>
      <c r="IO61" s="220"/>
      <c r="IP61" s="220"/>
      <c r="IQ61" s="220"/>
      <c r="IR61" s="217"/>
      <c r="IS61" s="221"/>
      <c r="IT61" s="216"/>
      <c r="IU61" s="217"/>
      <c r="IV61" s="218"/>
      <c r="IW61" s="219"/>
      <c r="IX61" s="220"/>
      <c r="IY61" s="220"/>
      <c r="IZ61" s="220"/>
      <c r="JA61" s="220"/>
      <c r="JB61" s="217"/>
      <c r="JC61" s="221"/>
      <c r="JD61" s="216"/>
      <c r="JE61" s="217"/>
      <c r="JF61" s="218"/>
      <c r="JG61" s="219"/>
      <c r="JH61" s="220"/>
      <c r="JI61" s="220"/>
      <c r="JJ61" s="220"/>
      <c r="JK61" s="220"/>
      <c r="JL61" s="217"/>
      <c r="JM61" s="221"/>
      <c r="JN61" s="216"/>
      <c r="JO61" s="217"/>
      <c r="JP61" s="218"/>
      <c r="JQ61" s="219"/>
      <c r="JR61" s="220"/>
      <c r="JS61" s="220"/>
      <c r="JT61" s="220"/>
      <c r="JU61" s="220"/>
      <c r="JV61" s="217"/>
      <c r="JW61" s="221"/>
      <c r="JX61" s="216"/>
      <c r="JY61" s="217"/>
      <c r="JZ61" s="218"/>
      <c r="KA61" s="219"/>
      <c r="KB61" s="220"/>
      <c r="KC61" s="220"/>
      <c r="KD61" s="220"/>
      <c r="KE61" s="220"/>
      <c r="KF61" s="217"/>
      <c r="KG61" s="221"/>
      <c r="KH61" s="216"/>
      <c r="KI61" s="217"/>
      <c r="KJ61" s="218"/>
      <c r="KK61" s="219"/>
      <c r="KL61" s="220"/>
      <c r="KM61" s="220"/>
      <c r="KN61" s="220"/>
      <c r="KO61" s="220"/>
      <c r="KP61" s="217"/>
      <c r="KQ61" s="221"/>
      <c r="KR61" s="216"/>
      <c r="KS61" s="217"/>
      <c r="KT61" s="218"/>
      <c r="KU61" s="219"/>
      <c r="KV61" s="220"/>
      <c r="KW61" s="220"/>
      <c r="KX61" s="220"/>
      <c r="KY61" s="220"/>
      <c r="KZ61" s="217"/>
      <c r="LA61" s="221"/>
      <c r="LB61" s="216"/>
      <c r="LC61" s="217"/>
      <c r="LD61" s="218"/>
      <c r="LE61" s="219"/>
      <c r="LF61" s="220"/>
      <c r="LG61" s="220"/>
      <c r="LH61" s="220"/>
      <c r="LI61" s="220"/>
      <c r="LJ61" s="217"/>
      <c r="LK61" s="221"/>
      <c r="LL61" s="216"/>
      <c r="LM61" s="217"/>
      <c r="LN61" s="218"/>
      <c r="LO61" s="219"/>
      <c r="LP61" s="220"/>
      <c r="LQ61" s="220"/>
      <c r="LR61" s="220"/>
      <c r="LS61" s="220"/>
      <c r="LT61" s="217"/>
      <c r="LU61" s="221"/>
      <c r="LV61" s="216"/>
      <c r="LW61" s="217"/>
      <c r="LX61" s="218"/>
      <c r="LY61" s="219"/>
      <c r="LZ61" s="220"/>
      <c r="MA61" s="220"/>
      <c r="MB61" s="220"/>
      <c r="MC61" s="220"/>
      <c r="MD61" s="217"/>
      <c r="ME61" s="221"/>
      <c r="MF61" s="216"/>
      <c r="MG61" s="217"/>
      <c r="MH61" s="218"/>
      <c r="MI61" s="219"/>
      <c r="MJ61" s="220"/>
      <c r="MK61" s="220"/>
      <c r="ML61" s="220"/>
      <c r="MM61" s="220"/>
      <c r="MN61" s="217"/>
      <c r="MO61" s="221"/>
      <c r="MP61" s="216"/>
      <c r="MQ61" s="217"/>
      <c r="MR61" s="218"/>
      <c r="MS61" s="219"/>
      <c r="MT61" s="220"/>
      <c r="MU61" s="220"/>
      <c r="MV61" s="220"/>
      <c r="MW61" s="220"/>
      <c r="MX61" s="217"/>
      <c r="MY61" s="221"/>
      <c r="MZ61" s="216"/>
      <c r="NA61" s="217"/>
      <c r="NB61" s="218"/>
      <c r="NC61" s="219"/>
      <c r="ND61" s="220"/>
      <c r="NE61" s="220"/>
      <c r="NF61" s="220"/>
      <c r="NG61" s="220"/>
      <c r="NH61" s="217"/>
      <c r="NI61" s="221"/>
      <c r="NJ61" s="216"/>
      <c r="NK61" s="217"/>
      <c r="NL61" s="218"/>
      <c r="NM61" s="219"/>
      <c r="NN61" s="220"/>
      <c r="NO61" s="220"/>
      <c r="NP61" s="220"/>
      <c r="NQ61" s="220"/>
      <c r="NR61" s="217"/>
      <c r="NS61" s="221"/>
      <c r="NT61" s="216"/>
      <c r="NU61" s="217"/>
      <c r="NV61" s="218"/>
      <c r="NW61" s="219"/>
      <c r="NX61" s="220"/>
      <c r="NY61" s="220"/>
      <c r="NZ61" s="220"/>
      <c r="OA61" s="220"/>
      <c r="OB61" s="217"/>
      <c r="OC61" s="221"/>
      <c r="OD61" s="216"/>
      <c r="OE61" s="217"/>
      <c r="OF61" s="218"/>
      <c r="OG61" s="219"/>
      <c r="OH61" s="220"/>
      <c r="OI61" s="220"/>
      <c r="OJ61" s="220"/>
      <c r="OK61" s="220"/>
      <c r="OL61" s="217"/>
      <c r="OM61" s="221"/>
      <c r="ON61" s="216"/>
      <c r="OO61" s="217"/>
      <c r="OP61" s="218"/>
      <c r="OQ61" s="219"/>
      <c r="OR61" s="220"/>
      <c r="OS61" s="220"/>
      <c r="OT61" s="220"/>
      <c r="OU61" s="220"/>
      <c r="OV61" s="217"/>
      <c r="OW61" s="221"/>
      <c r="OX61" s="216"/>
      <c r="OY61" s="217"/>
      <c r="OZ61" s="218"/>
      <c r="PA61" s="219"/>
      <c r="PB61" s="220"/>
      <c r="PC61" s="220"/>
      <c r="PD61" s="220"/>
      <c r="PE61" s="220"/>
      <c r="PF61" s="217"/>
      <c r="PG61" s="221"/>
      <c r="PH61" s="216"/>
      <c r="PI61" s="217"/>
      <c r="PJ61" s="218"/>
      <c r="PK61" s="219"/>
      <c r="PL61" s="220"/>
      <c r="PM61" s="220"/>
      <c r="PN61" s="220"/>
      <c r="PO61" s="220"/>
      <c r="PP61" s="217"/>
      <c r="PQ61" s="221"/>
      <c r="PR61" s="216"/>
      <c r="PS61" s="217"/>
      <c r="PT61" s="218"/>
      <c r="PU61" s="219"/>
      <c r="PV61" s="220"/>
      <c r="PW61" s="220"/>
      <c r="PX61" s="220"/>
      <c r="PY61" s="220"/>
      <c r="PZ61" s="217"/>
      <c r="QA61" s="221"/>
      <c r="QB61" s="216"/>
      <c r="QC61" s="217"/>
      <c r="QD61" s="218"/>
      <c r="QE61" s="219"/>
      <c r="QF61" s="220"/>
      <c r="QG61" s="220"/>
      <c r="QH61" s="220"/>
      <c r="QI61" s="220"/>
      <c r="QJ61" s="217"/>
      <c r="QK61" s="221"/>
      <c r="QL61" s="216"/>
      <c r="QM61" s="217"/>
      <c r="QN61" s="218"/>
      <c r="QO61" s="219"/>
      <c r="QP61" s="220"/>
      <c r="QQ61" s="220"/>
      <c r="QR61" s="220"/>
      <c r="QS61" s="220"/>
      <c r="QT61" s="217"/>
      <c r="QU61" s="221"/>
      <c r="QV61" s="216"/>
      <c r="QW61" s="217"/>
      <c r="QX61" s="218"/>
      <c r="QY61" s="219"/>
      <c r="QZ61" s="220"/>
      <c r="RA61" s="220"/>
      <c r="RB61" s="220"/>
      <c r="RC61" s="220"/>
      <c r="RD61" s="217"/>
      <c r="RE61" s="221"/>
      <c r="RF61" s="216"/>
      <c r="RG61" s="217"/>
      <c r="RH61" s="218"/>
      <c r="RI61" s="219"/>
      <c r="RJ61" s="220"/>
      <c r="RK61" s="220"/>
      <c r="RL61" s="220"/>
      <c r="RM61" s="220"/>
      <c r="RN61" s="217"/>
      <c r="RO61" s="221"/>
      <c r="RP61" s="216"/>
      <c r="RQ61" s="217"/>
      <c r="RR61" s="218"/>
      <c r="RS61" s="219"/>
      <c r="RT61" s="220"/>
      <c r="RU61" s="220"/>
      <c r="RV61" s="220"/>
      <c r="RW61" s="220"/>
      <c r="RX61" s="217"/>
      <c r="RY61" s="221"/>
      <c r="RZ61" s="216"/>
      <c r="SA61" s="217"/>
      <c r="SB61" s="218"/>
      <c r="SC61" s="219"/>
      <c r="SD61" s="220"/>
      <c r="SE61" s="220"/>
      <c r="SF61" s="220"/>
      <c r="SG61" s="220"/>
      <c r="SH61" s="217"/>
      <c r="SI61" s="221"/>
      <c r="SJ61" s="216"/>
      <c r="SK61" s="217"/>
      <c r="SL61" s="218"/>
      <c r="SM61" s="219"/>
      <c r="SN61" s="220"/>
      <c r="SO61" s="220"/>
      <c r="SP61" s="220"/>
      <c r="SQ61" s="220"/>
      <c r="SR61" s="217"/>
      <c r="SS61" s="221"/>
      <c r="ST61" s="216"/>
      <c r="SU61" s="217"/>
      <c r="SV61" s="218"/>
      <c r="SW61" s="219"/>
      <c r="SX61" s="220"/>
      <c r="SY61" s="220"/>
      <c r="SZ61" s="220"/>
      <c r="TA61" s="220"/>
      <c r="TB61" s="217"/>
      <c r="TC61" s="221"/>
      <c r="TD61" s="216"/>
      <c r="TE61" s="217"/>
      <c r="TF61" s="218"/>
      <c r="TG61" s="219"/>
      <c r="TH61" s="220"/>
      <c r="TI61" s="220"/>
      <c r="TJ61" s="220"/>
      <c r="TK61" s="220"/>
      <c r="TL61" s="217"/>
      <c r="TM61" s="221"/>
      <c r="TN61" s="216"/>
      <c r="TO61" s="217"/>
      <c r="TP61" s="218"/>
      <c r="TQ61" s="219"/>
      <c r="TR61" s="220"/>
      <c r="TS61" s="220"/>
      <c r="TT61" s="220"/>
      <c r="TU61" s="220"/>
      <c r="TV61" s="217"/>
      <c r="TW61" s="221"/>
      <c r="TX61" s="216"/>
      <c r="TY61" s="217"/>
      <c r="TZ61" s="218"/>
      <c r="UA61" s="219"/>
      <c r="UB61" s="220"/>
      <c r="UC61" s="220"/>
      <c r="UD61" s="220"/>
      <c r="UE61" s="220"/>
      <c r="UF61" s="217"/>
      <c r="UG61" s="221"/>
      <c r="UH61" s="216"/>
      <c r="UI61" s="217"/>
      <c r="UJ61" s="218"/>
      <c r="UK61" s="219"/>
      <c r="UL61" s="220"/>
      <c r="UM61" s="220"/>
      <c r="UN61" s="220"/>
      <c r="UO61" s="220"/>
      <c r="UP61" s="217"/>
      <c r="UQ61" s="221"/>
      <c r="UR61" s="216"/>
      <c r="US61" s="217"/>
      <c r="UT61" s="218"/>
      <c r="UU61" s="219"/>
      <c r="UV61" s="220"/>
      <c r="UW61" s="220"/>
      <c r="UX61" s="220"/>
      <c r="UY61" s="220"/>
      <c r="UZ61" s="217"/>
      <c r="VA61" s="221"/>
      <c r="VB61" s="216"/>
      <c r="VC61" s="217"/>
      <c r="VD61" s="218"/>
      <c r="VE61" s="219"/>
      <c r="VF61" s="220"/>
      <c r="VG61" s="220"/>
      <c r="VH61" s="220"/>
      <c r="VI61" s="220"/>
      <c r="VJ61" s="217"/>
      <c r="VK61" s="221"/>
      <c r="VL61" s="216"/>
      <c r="VM61" s="217"/>
      <c r="VN61" s="218"/>
      <c r="VO61" s="219"/>
      <c r="VP61" s="220"/>
      <c r="VQ61" s="220"/>
      <c r="VR61" s="220"/>
      <c r="VS61" s="220"/>
      <c r="VT61" s="217"/>
      <c r="VU61" s="221"/>
      <c r="VV61" s="216"/>
      <c r="VW61" s="217"/>
      <c r="VX61" s="218"/>
      <c r="VY61" s="219"/>
      <c r="VZ61" s="220"/>
      <c r="WA61" s="220"/>
      <c r="WB61" s="220"/>
      <c r="WC61" s="220"/>
      <c r="WD61" s="217"/>
      <c r="WE61" s="221"/>
      <c r="WF61" s="216"/>
      <c r="WG61" s="217"/>
      <c r="WH61" s="218"/>
      <c r="WI61" s="219"/>
      <c r="WJ61" s="220"/>
      <c r="WK61" s="220"/>
      <c r="WL61" s="220"/>
      <c r="WM61" s="220"/>
      <c r="WN61" s="217"/>
      <c r="WO61" s="221"/>
      <c r="WP61" s="216"/>
      <c r="WQ61" s="217"/>
      <c r="WR61" s="218"/>
      <c r="WS61" s="219"/>
      <c r="WT61" s="220"/>
      <c r="WU61" s="220"/>
      <c r="WV61" s="220"/>
      <c r="WW61" s="220"/>
      <c r="WX61" s="217"/>
      <c r="WY61" s="221"/>
      <c r="WZ61" s="216"/>
      <c r="XA61" s="217"/>
      <c r="XB61" s="218"/>
      <c r="XC61" s="219"/>
      <c r="XD61" s="220"/>
      <c r="XE61" s="220"/>
      <c r="XF61" s="220"/>
      <c r="XG61" s="220"/>
      <c r="XH61" s="217"/>
      <c r="XI61" s="221"/>
      <c r="XJ61" s="216"/>
      <c r="XK61" s="217"/>
      <c r="XL61" s="218"/>
      <c r="XM61" s="219"/>
      <c r="XN61" s="220"/>
      <c r="XO61" s="220"/>
      <c r="XP61" s="220"/>
      <c r="XQ61" s="220"/>
      <c r="XR61" s="217"/>
      <c r="XS61" s="221"/>
      <c r="XT61" s="216"/>
      <c r="XU61" s="217"/>
      <c r="XV61" s="218"/>
      <c r="XW61" s="219"/>
      <c r="XX61" s="220"/>
      <c r="XY61" s="220"/>
      <c r="XZ61" s="220"/>
      <c r="YA61" s="220"/>
      <c r="YB61" s="217"/>
      <c r="YC61" s="221"/>
      <c r="YD61" s="216"/>
      <c r="YE61" s="217"/>
      <c r="YF61" s="218"/>
      <c r="YG61" s="219"/>
      <c r="YH61" s="220"/>
      <c r="YI61" s="220"/>
      <c r="YJ61" s="220"/>
      <c r="YK61" s="220"/>
      <c r="YL61" s="217"/>
      <c r="YM61" s="221"/>
      <c r="YN61" s="216"/>
      <c r="YO61" s="217"/>
      <c r="YP61" s="218"/>
      <c r="YQ61" s="219"/>
      <c r="YR61" s="220"/>
      <c r="YS61" s="220"/>
      <c r="YT61" s="220"/>
      <c r="YU61" s="220"/>
      <c r="YV61" s="217"/>
      <c r="YW61" s="221"/>
      <c r="YX61" s="216"/>
      <c r="YY61" s="217"/>
      <c r="YZ61" s="218"/>
      <c r="ZA61" s="219"/>
      <c r="ZB61" s="220"/>
      <c r="ZC61" s="220"/>
      <c r="ZD61" s="220"/>
      <c r="ZE61" s="220"/>
      <c r="ZF61" s="217"/>
      <c r="ZG61" s="221"/>
      <c r="ZH61" s="216"/>
      <c r="ZI61" s="217"/>
      <c r="ZJ61" s="218"/>
      <c r="ZK61" s="219"/>
      <c r="ZL61" s="220"/>
      <c r="ZM61" s="220"/>
      <c r="ZN61" s="220"/>
      <c r="ZO61" s="220"/>
      <c r="ZP61" s="217"/>
      <c r="ZQ61" s="221"/>
      <c r="ZR61" s="216"/>
      <c r="ZS61" s="217"/>
      <c r="ZT61" s="218"/>
      <c r="ZU61" s="219"/>
      <c r="ZV61" s="220"/>
      <c r="ZW61" s="220"/>
      <c r="ZX61" s="220"/>
      <c r="ZY61" s="220"/>
      <c r="ZZ61" s="217"/>
      <c r="AAA61" s="221"/>
      <c r="AAB61" s="216"/>
      <c r="AAC61" s="217"/>
      <c r="AAD61" s="218"/>
      <c r="AAE61" s="219"/>
      <c r="AAF61" s="220"/>
      <c r="AAG61" s="220"/>
      <c r="AAH61" s="220"/>
      <c r="AAI61" s="220"/>
      <c r="AAJ61" s="217"/>
      <c r="AAK61" s="221"/>
      <c r="AAL61" s="216"/>
      <c r="AAM61" s="217"/>
      <c r="AAN61" s="218"/>
      <c r="AAO61" s="219"/>
      <c r="AAP61" s="220"/>
      <c r="AAQ61" s="220"/>
      <c r="AAR61" s="220"/>
      <c r="AAS61" s="220"/>
      <c r="AAT61" s="217"/>
      <c r="AAU61" s="221"/>
      <c r="AAV61" s="216"/>
      <c r="AAW61" s="217"/>
      <c r="AAX61" s="218"/>
      <c r="AAY61" s="219"/>
      <c r="AAZ61" s="220"/>
      <c r="ABA61" s="220"/>
      <c r="ABB61" s="220"/>
      <c r="ABC61" s="220"/>
      <c r="ABD61" s="217"/>
      <c r="ABE61" s="221"/>
      <c r="ABF61" s="216"/>
      <c r="ABG61" s="217"/>
      <c r="ABH61" s="218"/>
      <c r="ABI61" s="219"/>
      <c r="ABJ61" s="220"/>
      <c r="ABK61" s="220"/>
      <c r="ABL61" s="220"/>
      <c r="ABM61" s="220"/>
      <c r="ABN61" s="217"/>
      <c r="ABO61" s="221"/>
      <c r="ABP61" s="216"/>
      <c r="ABQ61" s="217"/>
      <c r="ABR61" s="218"/>
      <c r="ABS61" s="219"/>
      <c r="ABT61" s="220"/>
      <c r="ABU61" s="220"/>
      <c r="ABV61" s="220"/>
      <c r="ABW61" s="220"/>
      <c r="ABX61" s="217"/>
      <c r="ABY61" s="221"/>
      <c r="ABZ61" s="216"/>
      <c r="ACA61" s="217"/>
      <c r="ACB61" s="218"/>
      <c r="ACC61" s="219"/>
      <c r="ACD61" s="220"/>
      <c r="ACE61" s="220"/>
      <c r="ACF61" s="220"/>
      <c r="ACG61" s="220"/>
      <c r="ACH61" s="217"/>
      <c r="ACI61" s="221"/>
      <c r="ACJ61" s="216"/>
      <c r="ACK61" s="217"/>
      <c r="ACL61" s="218"/>
      <c r="ACM61" s="219"/>
      <c r="ACN61" s="220"/>
      <c r="ACO61" s="220"/>
      <c r="ACP61" s="220"/>
      <c r="ACQ61" s="220"/>
      <c r="ACR61" s="217"/>
      <c r="ACS61" s="221"/>
      <c r="ACT61" s="216"/>
      <c r="ACU61" s="217"/>
      <c r="ACV61" s="218"/>
      <c r="ACW61" s="219"/>
      <c r="ACX61" s="220"/>
      <c r="ACY61" s="220"/>
      <c r="ACZ61" s="220"/>
      <c r="ADA61" s="220"/>
      <c r="ADB61" s="217"/>
      <c r="ADC61" s="221"/>
      <c r="ADD61" s="216"/>
      <c r="ADE61" s="217"/>
      <c r="ADF61" s="218"/>
      <c r="ADG61" s="219"/>
      <c r="ADH61" s="220"/>
      <c r="ADI61" s="220"/>
      <c r="ADJ61" s="220"/>
      <c r="ADK61" s="220"/>
      <c r="ADL61" s="217"/>
      <c r="ADM61" s="221"/>
      <c r="ADN61" s="216"/>
      <c r="ADO61" s="217"/>
      <c r="ADP61" s="218"/>
      <c r="ADQ61" s="219"/>
      <c r="ADR61" s="220"/>
      <c r="ADS61" s="220"/>
      <c r="ADT61" s="220"/>
      <c r="ADU61" s="220"/>
      <c r="ADV61" s="217"/>
      <c r="ADW61" s="221"/>
      <c r="ADX61" s="216"/>
      <c r="ADY61" s="217"/>
      <c r="ADZ61" s="218"/>
      <c r="AEA61" s="219"/>
      <c r="AEB61" s="220"/>
      <c r="AEC61" s="220"/>
      <c r="AED61" s="220"/>
      <c r="AEE61" s="220"/>
      <c r="AEF61" s="217"/>
      <c r="AEG61" s="221"/>
      <c r="AEH61" s="216"/>
      <c r="AEI61" s="217"/>
      <c r="AEJ61" s="218"/>
      <c r="AEK61" s="219"/>
      <c r="AEL61" s="220"/>
      <c r="AEM61" s="220"/>
      <c r="AEN61" s="220"/>
      <c r="AEO61" s="220"/>
      <c r="AEP61" s="217"/>
      <c r="AEQ61" s="221"/>
      <c r="AER61" s="216"/>
      <c r="AES61" s="217"/>
      <c r="AET61" s="218"/>
      <c r="AEU61" s="219"/>
      <c r="AEV61" s="220"/>
      <c r="AEW61" s="220"/>
      <c r="AEX61" s="220"/>
      <c r="AEY61" s="220"/>
      <c r="AEZ61" s="217"/>
      <c r="AFA61" s="221"/>
      <c r="AFB61" s="216"/>
      <c r="AFC61" s="217"/>
      <c r="AFD61" s="218"/>
      <c r="AFE61" s="219"/>
      <c r="AFF61" s="220"/>
      <c r="AFG61" s="220"/>
      <c r="AFH61" s="220"/>
      <c r="AFI61" s="220"/>
      <c r="AFJ61" s="217"/>
      <c r="AFK61" s="221"/>
      <c r="AFL61" s="216"/>
      <c r="AFM61" s="217"/>
      <c r="AFN61" s="218"/>
      <c r="AFO61" s="219"/>
      <c r="AFP61" s="220"/>
      <c r="AFQ61" s="220"/>
      <c r="AFR61" s="220"/>
      <c r="AFS61" s="220"/>
      <c r="AFT61" s="217"/>
      <c r="AFU61" s="221"/>
      <c r="AFV61" s="216"/>
      <c r="AFW61" s="217"/>
      <c r="AFX61" s="218"/>
      <c r="AFY61" s="219"/>
      <c r="AFZ61" s="220"/>
      <c r="AGA61" s="220"/>
      <c r="AGB61" s="220"/>
      <c r="AGC61" s="220"/>
      <c r="AGD61" s="217"/>
      <c r="AGE61" s="221"/>
      <c r="AGF61" s="216"/>
      <c r="AGG61" s="217"/>
      <c r="AGH61" s="218"/>
      <c r="AGI61" s="219"/>
      <c r="AGJ61" s="220"/>
      <c r="AGK61" s="220"/>
      <c r="AGL61" s="220"/>
      <c r="AGM61" s="220"/>
      <c r="AGN61" s="217"/>
      <c r="AGO61" s="221"/>
      <c r="AGP61" s="216"/>
      <c r="AGQ61" s="217"/>
      <c r="AGR61" s="218"/>
      <c r="AGS61" s="219"/>
      <c r="AGT61" s="220"/>
      <c r="AGU61" s="220"/>
      <c r="AGV61" s="220"/>
      <c r="AGW61" s="220"/>
      <c r="AGX61" s="217"/>
      <c r="AGY61" s="221"/>
      <c r="AGZ61" s="216"/>
      <c r="AHA61" s="217"/>
      <c r="AHB61" s="218"/>
      <c r="AHC61" s="219"/>
      <c r="AHD61" s="220"/>
      <c r="AHE61" s="220"/>
      <c r="AHF61" s="220"/>
      <c r="AHG61" s="220"/>
      <c r="AHH61" s="217"/>
      <c r="AHI61" s="221"/>
      <c r="AHJ61" s="216"/>
      <c r="AHK61" s="217"/>
      <c r="AHL61" s="218"/>
      <c r="AHM61" s="219"/>
      <c r="AHN61" s="220"/>
      <c r="AHO61" s="220"/>
      <c r="AHP61" s="220"/>
      <c r="AHQ61" s="220"/>
      <c r="AHR61" s="217"/>
      <c r="AHS61" s="221"/>
      <c r="AHT61" s="216"/>
      <c r="AHU61" s="217"/>
      <c r="AHV61" s="218"/>
      <c r="AHW61" s="219"/>
      <c r="AHX61" s="220"/>
      <c r="AHY61" s="220"/>
      <c r="AHZ61" s="220"/>
      <c r="AIA61" s="220"/>
      <c r="AIB61" s="217"/>
      <c r="AIC61" s="221"/>
      <c r="AID61" s="216"/>
      <c r="AIE61" s="217"/>
      <c r="AIF61" s="218"/>
      <c r="AIG61" s="219"/>
      <c r="AIH61" s="220"/>
      <c r="AII61" s="220"/>
      <c r="AIJ61" s="220"/>
      <c r="AIK61" s="220"/>
      <c r="AIL61" s="217"/>
      <c r="AIM61" s="221"/>
      <c r="AIN61" s="216"/>
      <c r="AIO61" s="217"/>
      <c r="AIP61" s="218"/>
      <c r="AIQ61" s="219"/>
      <c r="AIR61" s="220"/>
      <c r="AIS61" s="220"/>
      <c r="AIT61" s="220"/>
      <c r="AIU61" s="220"/>
      <c r="AIV61" s="217"/>
      <c r="AIW61" s="221"/>
      <c r="AIX61" s="216"/>
      <c r="AIY61" s="217"/>
      <c r="AIZ61" s="218"/>
      <c r="AJA61" s="219"/>
      <c r="AJB61" s="220"/>
      <c r="AJC61" s="220"/>
      <c r="AJD61" s="220"/>
      <c r="AJE61" s="220"/>
      <c r="AJF61" s="217"/>
      <c r="AJG61" s="221"/>
      <c r="AJH61" s="216"/>
      <c r="AJI61" s="217"/>
      <c r="AJJ61" s="218"/>
      <c r="AJK61" s="219"/>
      <c r="AJL61" s="220"/>
      <c r="AJM61" s="220"/>
      <c r="AJN61" s="220"/>
      <c r="AJO61" s="220"/>
      <c r="AJP61" s="217"/>
      <c r="AJQ61" s="221"/>
      <c r="AJR61" s="216"/>
      <c r="AJS61" s="217"/>
      <c r="AJT61" s="218"/>
      <c r="AJU61" s="219"/>
      <c r="AJV61" s="220"/>
      <c r="AJW61" s="220"/>
      <c r="AJX61" s="220"/>
      <c r="AJY61" s="220"/>
      <c r="AJZ61" s="217"/>
      <c r="AKA61" s="221"/>
      <c r="AKB61" s="216"/>
      <c r="AKC61" s="217"/>
      <c r="AKD61" s="218"/>
      <c r="AKE61" s="219"/>
      <c r="AKF61" s="220"/>
      <c r="AKG61" s="220"/>
      <c r="AKH61" s="220"/>
      <c r="AKI61" s="220"/>
      <c r="AKJ61" s="217"/>
      <c r="AKK61" s="221"/>
      <c r="AKL61" s="216"/>
      <c r="AKM61" s="217"/>
      <c r="AKN61" s="218"/>
      <c r="AKO61" s="219"/>
      <c r="AKP61" s="220"/>
      <c r="AKQ61" s="220"/>
      <c r="AKR61" s="220"/>
      <c r="AKS61" s="220"/>
      <c r="AKT61" s="217"/>
      <c r="AKU61" s="221"/>
      <c r="AKV61" s="216"/>
      <c r="AKW61" s="217"/>
      <c r="AKX61" s="218"/>
      <c r="AKY61" s="219"/>
      <c r="AKZ61" s="220"/>
      <c r="ALA61" s="220"/>
      <c r="ALB61" s="220"/>
      <c r="ALC61" s="220"/>
      <c r="ALD61" s="217"/>
      <c r="ALE61" s="221"/>
      <c r="ALF61" s="216"/>
      <c r="ALG61" s="217"/>
      <c r="ALH61" s="218"/>
      <c r="ALI61" s="219"/>
      <c r="ALJ61" s="220"/>
      <c r="ALK61" s="220"/>
      <c r="ALL61" s="220"/>
      <c r="ALM61" s="220"/>
      <c r="ALN61" s="217"/>
      <c r="ALO61" s="221"/>
      <c r="ALP61" s="216"/>
      <c r="ALQ61" s="217"/>
      <c r="ALR61" s="218"/>
      <c r="ALS61" s="219"/>
      <c r="ALT61" s="220"/>
      <c r="ALU61" s="220"/>
      <c r="ALV61" s="220"/>
      <c r="ALW61" s="220"/>
      <c r="ALX61" s="217"/>
      <c r="ALY61" s="221"/>
      <c r="ALZ61" s="216"/>
      <c r="AMA61" s="217"/>
      <c r="AMB61" s="218"/>
      <c r="AMC61" s="219"/>
      <c r="AMD61" s="220"/>
      <c r="AME61" s="220"/>
      <c r="AMF61" s="220"/>
      <c r="AMG61" s="220"/>
      <c r="AMH61" s="217"/>
      <c r="AMI61" s="221"/>
      <c r="AMJ61" s="216"/>
      <c r="AMK61" s="217"/>
      <c r="AML61" s="218"/>
      <c r="AMM61" s="219"/>
      <c r="AMN61" s="220"/>
      <c r="AMO61" s="220"/>
      <c r="AMP61" s="220"/>
      <c r="AMQ61" s="220"/>
      <c r="AMR61" s="217"/>
      <c r="AMS61" s="221"/>
      <c r="AMT61" s="216"/>
      <c r="AMU61" s="217"/>
      <c r="AMV61" s="218"/>
      <c r="AMW61" s="219"/>
      <c r="AMX61" s="220"/>
      <c r="AMY61" s="220"/>
      <c r="AMZ61" s="220"/>
      <c r="ANA61" s="220"/>
      <c r="ANB61" s="217"/>
      <c r="ANC61" s="221"/>
      <c r="AND61" s="216"/>
      <c r="ANE61" s="217"/>
      <c r="ANF61" s="218"/>
      <c r="ANG61" s="219"/>
      <c r="ANH61" s="220"/>
      <c r="ANI61" s="220"/>
      <c r="ANJ61" s="220"/>
      <c r="ANK61" s="220"/>
      <c r="ANL61" s="217"/>
      <c r="ANM61" s="221"/>
      <c r="ANN61" s="216"/>
      <c r="ANO61" s="217"/>
      <c r="ANP61" s="218"/>
      <c r="ANQ61" s="219"/>
      <c r="ANR61" s="220"/>
      <c r="ANS61" s="220"/>
      <c r="ANT61" s="220"/>
      <c r="ANU61" s="220"/>
      <c r="ANV61" s="217"/>
      <c r="ANW61" s="221"/>
      <c r="ANX61" s="216"/>
      <c r="ANY61" s="217"/>
      <c r="ANZ61" s="218"/>
      <c r="AOA61" s="219"/>
      <c r="AOB61" s="220"/>
      <c r="AOC61" s="220"/>
      <c r="AOD61" s="220"/>
      <c r="AOE61" s="220"/>
      <c r="AOF61" s="217"/>
      <c r="AOG61" s="221"/>
      <c r="AOH61" s="216"/>
      <c r="AOI61" s="217"/>
      <c r="AOJ61" s="218"/>
      <c r="AOK61" s="219"/>
      <c r="AOL61" s="220"/>
      <c r="AOM61" s="220"/>
      <c r="AON61" s="220"/>
      <c r="AOO61" s="220"/>
      <c r="AOP61" s="217"/>
      <c r="AOQ61" s="221"/>
      <c r="AOR61" s="216"/>
      <c r="AOS61" s="217"/>
      <c r="AOT61" s="218"/>
      <c r="AOU61" s="219"/>
      <c r="AOV61" s="220"/>
      <c r="AOW61" s="220"/>
      <c r="AOX61" s="220"/>
      <c r="AOY61" s="220"/>
      <c r="AOZ61" s="217"/>
      <c r="APA61" s="221"/>
      <c r="APB61" s="216"/>
      <c r="APC61" s="217"/>
      <c r="APD61" s="218"/>
      <c r="APE61" s="219"/>
      <c r="APF61" s="220"/>
      <c r="APG61" s="220"/>
      <c r="APH61" s="220"/>
      <c r="API61" s="220"/>
      <c r="APJ61" s="217"/>
      <c r="APK61" s="221"/>
      <c r="APL61" s="216"/>
      <c r="APM61" s="217"/>
      <c r="APN61" s="218"/>
      <c r="APO61" s="219"/>
      <c r="APP61" s="220"/>
      <c r="APQ61" s="220"/>
      <c r="APR61" s="220"/>
      <c r="APS61" s="220"/>
      <c r="APT61" s="217"/>
      <c r="APU61" s="221"/>
      <c r="APV61" s="216"/>
      <c r="APW61" s="217"/>
      <c r="APX61" s="218"/>
      <c r="APY61" s="219"/>
      <c r="APZ61" s="220"/>
      <c r="AQA61" s="220"/>
      <c r="AQB61" s="220"/>
      <c r="AQC61" s="220"/>
      <c r="AQD61" s="217"/>
      <c r="AQE61" s="221"/>
      <c r="AQF61" s="216"/>
      <c r="AQG61" s="217"/>
      <c r="AQH61" s="218"/>
      <c r="AQI61" s="219"/>
      <c r="AQJ61" s="220"/>
      <c r="AQK61" s="220"/>
      <c r="AQL61" s="220"/>
      <c r="AQM61" s="220"/>
      <c r="AQN61" s="217"/>
      <c r="AQO61" s="221"/>
      <c r="AQP61" s="216"/>
      <c r="AQQ61" s="217"/>
      <c r="AQR61" s="218"/>
      <c r="AQS61" s="219"/>
      <c r="AQT61" s="220"/>
      <c r="AQU61" s="220"/>
      <c r="AQV61" s="220"/>
      <c r="AQW61" s="220"/>
      <c r="AQX61" s="217"/>
      <c r="AQY61" s="221"/>
      <c r="AQZ61" s="216"/>
      <c r="ARA61" s="217"/>
      <c r="ARB61" s="218"/>
      <c r="ARC61" s="219"/>
      <c r="ARD61" s="220"/>
      <c r="ARE61" s="220"/>
      <c r="ARF61" s="220"/>
      <c r="ARG61" s="220"/>
      <c r="ARH61" s="217"/>
      <c r="ARI61" s="221"/>
      <c r="ARJ61" s="216"/>
      <c r="ARK61" s="217"/>
      <c r="ARL61" s="218"/>
      <c r="ARM61" s="219"/>
      <c r="ARN61" s="220"/>
      <c r="ARO61" s="220"/>
      <c r="ARP61" s="220"/>
      <c r="ARQ61" s="220"/>
      <c r="ARR61" s="217"/>
      <c r="ARS61" s="221"/>
      <c r="ART61" s="216"/>
      <c r="ARU61" s="217"/>
      <c r="ARV61" s="218"/>
      <c r="ARW61" s="219"/>
      <c r="ARX61" s="220"/>
      <c r="ARY61" s="220"/>
      <c r="ARZ61" s="220"/>
      <c r="ASA61" s="220"/>
      <c r="ASB61" s="217"/>
      <c r="ASC61" s="221"/>
      <c r="ASD61" s="216"/>
      <c r="ASE61" s="217"/>
      <c r="ASF61" s="218"/>
      <c r="ASG61" s="219"/>
      <c r="ASH61" s="220"/>
      <c r="ASI61" s="220"/>
      <c r="ASJ61" s="220"/>
      <c r="ASK61" s="220"/>
      <c r="ASL61" s="217"/>
      <c r="ASM61" s="221"/>
      <c r="ASN61" s="216"/>
      <c r="ASO61" s="217"/>
      <c r="ASP61" s="218"/>
      <c r="ASQ61" s="219"/>
      <c r="ASR61" s="220"/>
      <c r="ASS61" s="220"/>
      <c r="AST61" s="220"/>
      <c r="ASU61" s="220"/>
      <c r="ASV61" s="217"/>
      <c r="ASW61" s="221"/>
      <c r="ASX61" s="216"/>
      <c r="ASY61" s="217"/>
      <c r="ASZ61" s="218"/>
      <c r="ATA61" s="219"/>
      <c r="ATB61" s="220"/>
      <c r="ATC61" s="220"/>
      <c r="ATD61" s="220"/>
      <c r="ATE61" s="220"/>
      <c r="ATF61" s="217"/>
      <c r="ATG61" s="221"/>
      <c r="ATH61" s="216"/>
      <c r="ATI61" s="217"/>
      <c r="ATJ61" s="218"/>
      <c r="ATK61" s="219"/>
      <c r="ATL61" s="220"/>
      <c r="ATM61" s="220"/>
      <c r="ATN61" s="220"/>
      <c r="ATO61" s="220"/>
      <c r="ATP61" s="217"/>
      <c r="ATQ61" s="221"/>
      <c r="ATR61" s="216"/>
      <c r="ATS61" s="217"/>
      <c r="ATT61" s="218"/>
      <c r="ATU61" s="219"/>
      <c r="ATV61" s="220"/>
      <c r="ATW61" s="220"/>
      <c r="ATX61" s="220"/>
      <c r="ATY61" s="220"/>
      <c r="ATZ61" s="217"/>
      <c r="AUA61" s="221"/>
      <c r="AUB61" s="216"/>
      <c r="AUC61" s="217"/>
      <c r="AUD61" s="218"/>
      <c r="AUE61" s="219"/>
      <c r="AUF61" s="220"/>
      <c r="AUG61" s="220"/>
      <c r="AUH61" s="220"/>
      <c r="AUI61" s="220"/>
      <c r="AUJ61" s="217"/>
      <c r="AUK61" s="221"/>
      <c r="AUL61" s="216"/>
      <c r="AUM61" s="217"/>
      <c r="AUN61" s="218"/>
      <c r="AUO61" s="219"/>
      <c r="AUP61" s="220"/>
      <c r="AUQ61" s="220"/>
      <c r="AUR61" s="220"/>
      <c r="AUS61" s="220"/>
      <c r="AUT61" s="217"/>
      <c r="AUU61" s="221"/>
      <c r="AUV61" s="216"/>
      <c r="AUW61" s="217"/>
      <c r="AUX61" s="218"/>
      <c r="AUY61" s="219"/>
      <c r="AUZ61" s="220"/>
      <c r="AVA61" s="220"/>
      <c r="AVB61" s="220"/>
      <c r="AVC61" s="220"/>
      <c r="AVD61" s="217"/>
      <c r="AVE61" s="221"/>
      <c r="AVF61" s="216"/>
      <c r="AVG61" s="217"/>
      <c r="AVH61" s="218"/>
      <c r="AVI61" s="219"/>
      <c r="AVJ61" s="220"/>
      <c r="AVK61" s="220"/>
      <c r="AVL61" s="220"/>
      <c r="AVM61" s="220"/>
      <c r="AVN61" s="217"/>
      <c r="AVO61" s="221"/>
      <c r="AVP61" s="216"/>
      <c r="AVQ61" s="217"/>
      <c r="AVR61" s="218"/>
      <c r="AVS61" s="219"/>
      <c r="AVT61" s="220"/>
      <c r="AVU61" s="220"/>
      <c r="AVV61" s="220"/>
      <c r="AVW61" s="220"/>
      <c r="AVX61" s="217"/>
      <c r="AVY61" s="221"/>
      <c r="AVZ61" s="216"/>
      <c r="AWA61" s="217"/>
      <c r="AWB61" s="218"/>
      <c r="AWC61" s="219"/>
      <c r="AWD61" s="220"/>
      <c r="AWE61" s="220"/>
      <c r="AWF61" s="220"/>
      <c r="AWG61" s="220"/>
      <c r="AWH61" s="217"/>
      <c r="AWI61" s="221"/>
      <c r="AWJ61" s="216"/>
      <c r="AWK61" s="217"/>
      <c r="AWL61" s="218"/>
      <c r="AWM61" s="219"/>
      <c r="AWN61" s="220"/>
      <c r="AWO61" s="220"/>
      <c r="AWP61" s="220"/>
      <c r="AWQ61" s="220"/>
      <c r="AWR61" s="217"/>
      <c r="AWS61" s="221"/>
      <c r="AWT61" s="216"/>
      <c r="AWU61" s="217"/>
      <c r="AWV61" s="218"/>
      <c r="AWW61" s="219"/>
      <c r="AWX61" s="220"/>
      <c r="AWY61" s="220"/>
      <c r="AWZ61" s="220"/>
      <c r="AXA61" s="220"/>
      <c r="AXB61" s="217"/>
      <c r="AXC61" s="221"/>
      <c r="AXD61" s="216"/>
      <c r="AXE61" s="217"/>
      <c r="AXF61" s="218"/>
      <c r="AXG61" s="219"/>
      <c r="AXH61" s="220"/>
      <c r="AXI61" s="220"/>
      <c r="AXJ61" s="220"/>
      <c r="AXK61" s="220"/>
      <c r="AXL61" s="217"/>
      <c r="AXM61" s="221"/>
      <c r="AXN61" s="216"/>
      <c r="AXO61" s="217"/>
      <c r="AXP61" s="218"/>
      <c r="AXQ61" s="219"/>
      <c r="AXR61" s="220"/>
      <c r="AXS61" s="220"/>
      <c r="AXT61" s="220"/>
      <c r="AXU61" s="220"/>
      <c r="AXV61" s="217"/>
      <c r="AXW61" s="221"/>
      <c r="AXX61" s="216"/>
      <c r="AXY61" s="217"/>
      <c r="AXZ61" s="218"/>
      <c r="AYA61" s="219"/>
      <c r="AYB61" s="220"/>
      <c r="AYC61" s="220"/>
      <c r="AYD61" s="220"/>
      <c r="AYE61" s="220"/>
      <c r="AYF61" s="217"/>
      <c r="AYG61" s="221"/>
      <c r="AYH61" s="216"/>
      <c r="AYI61" s="217"/>
      <c r="AYJ61" s="218"/>
      <c r="AYK61" s="219"/>
      <c r="AYL61" s="220"/>
      <c r="AYM61" s="220"/>
      <c r="AYN61" s="220"/>
      <c r="AYO61" s="220"/>
      <c r="AYP61" s="217"/>
      <c r="AYQ61" s="221"/>
      <c r="AYR61" s="216"/>
      <c r="AYS61" s="217"/>
      <c r="AYT61" s="218"/>
      <c r="AYU61" s="219"/>
      <c r="AYV61" s="220"/>
      <c r="AYW61" s="220"/>
      <c r="AYX61" s="220"/>
      <c r="AYY61" s="220"/>
      <c r="AYZ61" s="217"/>
      <c r="AZA61" s="221"/>
      <c r="AZB61" s="216"/>
      <c r="AZC61" s="217"/>
      <c r="AZD61" s="218"/>
      <c r="AZE61" s="219"/>
      <c r="AZF61" s="220"/>
      <c r="AZG61" s="220"/>
      <c r="AZH61" s="220"/>
      <c r="AZI61" s="220"/>
      <c r="AZJ61" s="217"/>
      <c r="AZK61" s="221"/>
      <c r="AZL61" s="216"/>
      <c r="AZM61" s="217"/>
      <c r="AZN61" s="218"/>
      <c r="AZO61" s="219"/>
      <c r="AZP61" s="220"/>
      <c r="AZQ61" s="220"/>
      <c r="AZR61" s="220"/>
      <c r="AZS61" s="220"/>
      <c r="AZT61" s="217"/>
      <c r="AZU61" s="221"/>
      <c r="AZV61" s="216"/>
      <c r="AZW61" s="217"/>
      <c r="AZX61" s="218"/>
      <c r="AZY61" s="219"/>
      <c r="AZZ61" s="220"/>
      <c r="BAA61" s="220"/>
      <c r="BAB61" s="220"/>
      <c r="BAC61" s="220"/>
      <c r="BAD61" s="217"/>
      <c r="BAE61" s="221"/>
      <c r="BAF61" s="216"/>
      <c r="BAG61" s="217"/>
      <c r="BAH61" s="218"/>
      <c r="BAI61" s="219"/>
      <c r="BAJ61" s="220"/>
      <c r="BAK61" s="220"/>
      <c r="BAL61" s="220"/>
      <c r="BAM61" s="220"/>
      <c r="BAN61" s="217"/>
      <c r="BAO61" s="221"/>
      <c r="BAP61" s="216"/>
      <c r="BAQ61" s="217"/>
      <c r="BAR61" s="218"/>
      <c r="BAS61" s="219"/>
      <c r="BAT61" s="220"/>
      <c r="BAU61" s="220"/>
      <c r="BAV61" s="220"/>
      <c r="BAW61" s="220"/>
      <c r="BAX61" s="217"/>
      <c r="BAY61" s="221"/>
      <c r="BAZ61" s="216"/>
      <c r="BBA61" s="217"/>
      <c r="BBB61" s="218"/>
      <c r="BBC61" s="219"/>
      <c r="BBD61" s="220"/>
      <c r="BBE61" s="220"/>
      <c r="BBF61" s="220"/>
      <c r="BBG61" s="220"/>
      <c r="BBH61" s="217"/>
      <c r="BBI61" s="221"/>
      <c r="BBJ61" s="216"/>
      <c r="BBK61" s="217"/>
      <c r="BBL61" s="218"/>
      <c r="BBM61" s="219"/>
      <c r="BBN61" s="220"/>
      <c r="BBO61" s="220"/>
      <c r="BBP61" s="220"/>
      <c r="BBQ61" s="220"/>
      <c r="BBR61" s="217"/>
      <c r="BBS61" s="221"/>
      <c r="BBT61" s="216"/>
      <c r="BBU61" s="217"/>
      <c r="BBV61" s="218"/>
      <c r="BBW61" s="219"/>
      <c r="BBX61" s="220"/>
      <c r="BBY61" s="220"/>
      <c r="BBZ61" s="220"/>
      <c r="BCA61" s="220"/>
      <c r="BCB61" s="217"/>
      <c r="BCC61" s="221"/>
      <c r="BCD61" s="216"/>
      <c r="BCE61" s="217"/>
      <c r="BCF61" s="218"/>
      <c r="BCG61" s="219"/>
      <c r="BCH61" s="220"/>
      <c r="BCI61" s="220"/>
      <c r="BCJ61" s="220"/>
      <c r="BCK61" s="220"/>
      <c r="BCL61" s="217"/>
      <c r="BCM61" s="221"/>
      <c r="BCN61" s="216"/>
      <c r="BCO61" s="217"/>
      <c r="BCP61" s="218"/>
      <c r="BCQ61" s="219"/>
      <c r="BCR61" s="220"/>
      <c r="BCS61" s="220"/>
      <c r="BCT61" s="220"/>
      <c r="BCU61" s="220"/>
      <c r="BCV61" s="217"/>
      <c r="BCW61" s="221"/>
      <c r="BCX61" s="216"/>
      <c r="BCY61" s="217"/>
      <c r="BCZ61" s="218"/>
      <c r="BDA61" s="219"/>
      <c r="BDB61" s="220"/>
      <c r="BDC61" s="220"/>
      <c r="BDD61" s="220"/>
      <c r="BDE61" s="220"/>
      <c r="BDF61" s="217"/>
      <c r="BDG61" s="221"/>
      <c r="BDH61" s="216"/>
      <c r="BDI61" s="217"/>
      <c r="BDJ61" s="218"/>
      <c r="BDK61" s="219"/>
      <c r="BDL61" s="220"/>
      <c r="BDM61" s="220"/>
      <c r="BDN61" s="220"/>
      <c r="BDO61" s="220"/>
      <c r="BDP61" s="217"/>
      <c r="BDQ61" s="221"/>
      <c r="BDR61" s="216"/>
      <c r="BDS61" s="217"/>
      <c r="BDT61" s="218"/>
      <c r="BDU61" s="219"/>
      <c r="BDV61" s="220"/>
      <c r="BDW61" s="220"/>
      <c r="BDX61" s="220"/>
      <c r="BDY61" s="220"/>
      <c r="BDZ61" s="217"/>
      <c r="BEA61" s="221"/>
      <c r="BEB61" s="216"/>
      <c r="BEC61" s="217"/>
      <c r="BED61" s="218"/>
      <c r="BEE61" s="219"/>
      <c r="BEF61" s="220"/>
      <c r="BEG61" s="220"/>
      <c r="BEH61" s="220"/>
      <c r="BEI61" s="220"/>
      <c r="BEJ61" s="217"/>
      <c r="BEK61" s="221"/>
      <c r="BEL61" s="216"/>
      <c r="BEM61" s="217"/>
      <c r="BEN61" s="218"/>
      <c r="BEO61" s="219"/>
      <c r="BEP61" s="220"/>
      <c r="BEQ61" s="220"/>
      <c r="BER61" s="220"/>
      <c r="BES61" s="220"/>
      <c r="BET61" s="217"/>
      <c r="BEU61" s="221"/>
      <c r="BEV61" s="216"/>
      <c r="BEW61" s="217"/>
      <c r="BEX61" s="218"/>
      <c r="BEY61" s="219"/>
      <c r="BEZ61" s="220"/>
      <c r="BFA61" s="220"/>
      <c r="BFB61" s="220"/>
      <c r="BFC61" s="220"/>
      <c r="BFD61" s="217"/>
      <c r="BFE61" s="221"/>
      <c r="BFF61" s="216"/>
      <c r="BFG61" s="217"/>
      <c r="BFH61" s="218"/>
      <c r="BFI61" s="219"/>
      <c r="BFJ61" s="220"/>
      <c r="BFK61" s="220"/>
      <c r="BFL61" s="220"/>
      <c r="BFM61" s="220"/>
      <c r="BFN61" s="217"/>
      <c r="BFO61" s="221"/>
      <c r="BFP61" s="216"/>
      <c r="BFQ61" s="217"/>
      <c r="BFR61" s="218"/>
      <c r="BFS61" s="219"/>
      <c r="BFT61" s="220"/>
      <c r="BFU61" s="220"/>
      <c r="BFV61" s="220"/>
      <c r="BFW61" s="220"/>
      <c r="BFX61" s="217"/>
      <c r="BFY61" s="221"/>
      <c r="BFZ61" s="216"/>
      <c r="BGA61" s="217"/>
      <c r="BGB61" s="218"/>
      <c r="BGC61" s="219"/>
      <c r="BGD61" s="220"/>
      <c r="BGE61" s="220"/>
      <c r="BGF61" s="220"/>
      <c r="BGG61" s="220"/>
      <c r="BGH61" s="217"/>
      <c r="BGI61" s="221"/>
      <c r="BGJ61" s="216"/>
      <c r="BGK61" s="217"/>
      <c r="BGL61" s="218"/>
      <c r="BGM61" s="219"/>
      <c r="BGN61" s="220"/>
      <c r="BGO61" s="220"/>
      <c r="BGP61" s="220"/>
      <c r="BGQ61" s="220"/>
      <c r="BGR61" s="217"/>
      <c r="BGS61" s="221"/>
      <c r="BGT61" s="216"/>
      <c r="BGU61" s="217"/>
      <c r="BGV61" s="218"/>
      <c r="BGW61" s="219"/>
      <c r="BGX61" s="220"/>
      <c r="BGY61" s="220"/>
      <c r="BGZ61" s="220"/>
      <c r="BHA61" s="220"/>
      <c r="BHB61" s="217"/>
      <c r="BHC61" s="221"/>
      <c r="BHD61" s="216"/>
      <c r="BHE61" s="217"/>
      <c r="BHF61" s="218"/>
      <c r="BHG61" s="219"/>
      <c r="BHH61" s="220"/>
      <c r="BHI61" s="220"/>
      <c r="BHJ61" s="220"/>
      <c r="BHK61" s="220"/>
      <c r="BHL61" s="217"/>
      <c r="BHM61" s="221"/>
      <c r="BHN61" s="216"/>
      <c r="BHO61" s="217"/>
      <c r="BHP61" s="218"/>
      <c r="BHQ61" s="219"/>
      <c r="BHR61" s="220"/>
      <c r="BHS61" s="220"/>
      <c r="BHT61" s="220"/>
      <c r="BHU61" s="220"/>
      <c r="BHV61" s="217"/>
      <c r="BHW61" s="221"/>
      <c r="BHX61" s="216"/>
      <c r="BHY61" s="217"/>
      <c r="BHZ61" s="218"/>
      <c r="BIA61" s="219"/>
      <c r="BIB61" s="220"/>
      <c r="BIC61" s="220"/>
      <c r="BID61" s="220"/>
      <c r="BIE61" s="220"/>
      <c r="BIF61" s="217"/>
      <c r="BIG61" s="221"/>
      <c r="BIH61" s="216"/>
      <c r="BII61" s="217"/>
      <c r="BIJ61" s="218"/>
      <c r="BIK61" s="219"/>
      <c r="BIL61" s="220"/>
      <c r="BIM61" s="220"/>
      <c r="BIN61" s="220"/>
      <c r="BIO61" s="220"/>
      <c r="BIP61" s="217"/>
      <c r="BIQ61" s="221"/>
      <c r="BIR61" s="216"/>
      <c r="BIS61" s="217"/>
      <c r="BIT61" s="218"/>
      <c r="BIU61" s="219"/>
      <c r="BIV61" s="220"/>
      <c r="BIW61" s="220"/>
      <c r="BIX61" s="220"/>
      <c r="BIY61" s="220"/>
      <c r="BIZ61" s="217"/>
      <c r="BJA61" s="221"/>
      <c r="BJB61" s="216"/>
      <c r="BJC61" s="217"/>
      <c r="BJD61" s="218"/>
      <c r="BJE61" s="219"/>
      <c r="BJF61" s="220"/>
      <c r="BJG61" s="220"/>
      <c r="BJH61" s="220"/>
      <c r="BJI61" s="220"/>
      <c r="BJJ61" s="217"/>
      <c r="BJK61" s="221"/>
      <c r="BJL61" s="216"/>
      <c r="BJM61" s="217"/>
      <c r="BJN61" s="218"/>
      <c r="BJO61" s="219"/>
      <c r="BJP61" s="220"/>
      <c r="BJQ61" s="220"/>
      <c r="BJR61" s="220"/>
      <c r="BJS61" s="220"/>
      <c r="BJT61" s="217"/>
      <c r="BJU61" s="221"/>
      <c r="BJV61" s="216"/>
      <c r="BJW61" s="217"/>
      <c r="BJX61" s="218"/>
      <c r="BJY61" s="219"/>
      <c r="BJZ61" s="220"/>
      <c r="BKA61" s="220"/>
      <c r="BKB61" s="220"/>
      <c r="BKC61" s="220"/>
      <c r="BKD61" s="217"/>
      <c r="BKE61" s="221"/>
      <c r="BKF61" s="216"/>
      <c r="BKG61" s="217"/>
      <c r="BKH61" s="218"/>
      <c r="BKI61" s="219"/>
      <c r="BKJ61" s="220"/>
      <c r="BKK61" s="220"/>
      <c r="BKL61" s="220"/>
      <c r="BKM61" s="220"/>
      <c r="BKN61" s="217"/>
      <c r="BKO61" s="221"/>
      <c r="BKP61" s="216"/>
      <c r="BKQ61" s="217"/>
      <c r="BKR61" s="218"/>
      <c r="BKS61" s="219"/>
      <c r="BKT61" s="220"/>
      <c r="BKU61" s="220"/>
      <c r="BKV61" s="220"/>
      <c r="BKW61" s="220"/>
      <c r="BKX61" s="217"/>
      <c r="BKY61" s="221"/>
      <c r="BKZ61" s="216"/>
      <c r="BLA61" s="217"/>
      <c r="BLB61" s="218"/>
      <c r="BLC61" s="219"/>
      <c r="BLD61" s="220"/>
      <c r="BLE61" s="220"/>
      <c r="BLF61" s="220"/>
      <c r="BLG61" s="220"/>
      <c r="BLH61" s="217"/>
      <c r="BLI61" s="221"/>
      <c r="BLJ61" s="216"/>
      <c r="BLK61" s="217"/>
      <c r="BLL61" s="218"/>
      <c r="BLM61" s="219"/>
      <c r="BLN61" s="220"/>
      <c r="BLO61" s="220"/>
      <c r="BLP61" s="220"/>
      <c r="BLQ61" s="220"/>
      <c r="BLR61" s="217"/>
      <c r="BLS61" s="221"/>
      <c r="BLT61" s="216"/>
      <c r="BLU61" s="217"/>
      <c r="BLV61" s="218"/>
      <c r="BLW61" s="219"/>
      <c r="BLX61" s="220"/>
      <c r="BLY61" s="220"/>
      <c r="BLZ61" s="220"/>
      <c r="BMA61" s="220"/>
      <c r="BMB61" s="217"/>
      <c r="BMC61" s="221"/>
      <c r="BMD61" s="216"/>
      <c r="BME61" s="217"/>
      <c r="BMF61" s="218"/>
      <c r="BMG61" s="219"/>
      <c r="BMH61" s="220"/>
      <c r="BMI61" s="220"/>
      <c r="BMJ61" s="220"/>
      <c r="BMK61" s="220"/>
      <c r="BML61" s="217"/>
      <c r="BMM61" s="221"/>
      <c r="BMN61" s="216"/>
      <c r="BMO61" s="217"/>
      <c r="BMP61" s="218"/>
      <c r="BMQ61" s="219"/>
      <c r="BMR61" s="220"/>
      <c r="BMS61" s="220"/>
      <c r="BMT61" s="220"/>
      <c r="BMU61" s="220"/>
      <c r="BMV61" s="217"/>
      <c r="BMW61" s="221"/>
      <c r="BMX61" s="216"/>
      <c r="BMY61" s="217"/>
      <c r="BMZ61" s="218"/>
      <c r="BNA61" s="219"/>
      <c r="BNB61" s="220"/>
      <c r="BNC61" s="220"/>
      <c r="BND61" s="220"/>
      <c r="BNE61" s="220"/>
      <c r="BNF61" s="217"/>
      <c r="BNG61" s="221"/>
      <c r="BNH61" s="216"/>
      <c r="BNI61" s="217"/>
      <c r="BNJ61" s="218"/>
      <c r="BNK61" s="219"/>
      <c r="BNL61" s="220"/>
      <c r="BNM61" s="220"/>
      <c r="BNN61" s="220"/>
      <c r="BNO61" s="220"/>
      <c r="BNP61" s="217"/>
      <c r="BNQ61" s="221"/>
      <c r="BNR61" s="216"/>
      <c r="BNS61" s="217"/>
      <c r="BNT61" s="218"/>
      <c r="BNU61" s="219"/>
      <c r="BNV61" s="220"/>
      <c r="BNW61" s="220"/>
      <c r="BNX61" s="220"/>
      <c r="BNY61" s="220"/>
      <c r="BNZ61" s="217"/>
      <c r="BOA61" s="221"/>
      <c r="BOB61" s="216"/>
      <c r="BOC61" s="217"/>
      <c r="BOD61" s="218"/>
      <c r="BOE61" s="219"/>
      <c r="BOF61" s="220"/>
      <c r="BOG61" s="220"/>
      <c r="BOH61" s="220"/>
      <c r="BOI61" s="220"/>
      <c r="BOJ61" s="217"/>
      <c r="BOK61" s="221"/>
      <c r="BOL61" s="216"/>
      <c r="BOM61" s="217"/>
      <c r="BON61" s="218"/>
      <c r="BOO61" s="219"/>
      <c r="BOP61" s="220"/>
      <c r="BOQ61" s="220"/>
      <c r="BOR61" s="220"/>
      <c r="BOS61" s="220"/>
      <c r="BOT61" s="217"/>
      <c r="BOU61" s="221"/>
      <c r="BOV61" s="216"/>
      <c r="BOW61" s="217"/>
      <c r="BOX61" s="218"/>
      <c r="BOY61" s="219"/>
      <c r="BOZ61" s="220"/>
      <c r="BPA61" s="220"/>
      <c r="BPB61" s="220"/>
      <c r="BPC61" s="220"/>
      <c r="BPD61" s="217"/>
      <c r="BPE61" s="221"/>
      <c r="BPF61" s="216"/>
      <c r="BPG61" s="217"/>
      <c r="BPH61" s="218"/>
      <c r="BPI61" s="219"/>
      <c r="BPJ61" s="220"/>
      <c r="BPK61" s="220"/>
      <c r="BPL61" s="220"/>
      <c r="BPM61" s="220"/>
      <c r="BPN61" s="217"/>
      <c r="BPO61" s="221"/>
      <c r="BPP61" s="216"/>
      <c r="BPQ61" s="217"/>
      <c r="BPR61" s="218"/>
      <c r="BPS61" s="219"/>
      <c r="BPT61" s="220"/>
      <c r="BPU61" s="220"/>
      <c r="BPV61" s="220"/>
      <c r="BPW61" s="220"/>
      <c r="BPX61" s="217"/>
      <c r="BPY61" s="221"/>
      <c r="BPZ61" s="216"/>
      <c r="BQA61" s="217"/>
      <c r="BQB61" s="218"/>
      <c r="BQC61" s="219"/>
      <c r="BQD61" s="220"/>
      <c r="BQE61" s="220"/>
      <c r="BQF61" s="220"/>
      <c r="BQG61" s="220"/>
      <c r="BQH61" s="217"/>
      <c r="BQI61" s="221"/>
      <c r="BQJ61" s="216"/>
      <c r="BQK61" s="217"/>
      <c r="BQL61" s="218"/>
      <c r="BQM61" s="219"/>
      <c r="BQN61" s="220"/>
      <c r="BQO61" s="220"/>
      <c r="BQP61" s="220"/>
      <c r="BQQ61" s="220"/>
      <c r="BQR61" s="217"/>
      <c r="BQS61" s="221"/>
      <c r="BQT61" s="216"/>
      <c r="BQU61" s="217"/>
      <c r="BQV61" s="218"/>
      <c r="BQW61" s="219"/>
      <c r="BQX61" s="220"/>
      <c r="BQY61" s="220"/>
      <c r="BQZ61" s="220"/>
      <c r="BRA61" s="220"/>
      <c r="BRB61" s="217"/>
      <c r="BRC61" s="221"/>
      <c r="BRD61" s="216"/>
      <c r="BRE61" s="217"/>
      <c r="BRF61" s="218"/>
      <c r="BRG61" s="219"/>
      <c r="BRH61" s="220"/>
      <c r="BRI61" s="220"/>
      <c r="BRJ61" s="220"/>
      <c r="BRK61" s="220"/>
      <c r="BRL61" s="217"/>
      <c r="BRM61" s="221"/>
      <c r="BRN61" s="216"/>
      <c r="BRO61" s="217"/>
      <c r="BRP61" s="218"/>
      <c r="BRQ61" s="219"/>
      <c r="BRR61" s="220"/>
      <c r="BRS61" s="220"/>
      <c r="BRT61" s="220"/>
      <c r="BRU61" s="220"/>
      <c r="BRV61" s="217"/>
      <c r="BRW61" s="221"/>
      <c r="BRX61" s="216"/>
      <c r="BRY61" s="217"/>
      <c r="BRZ61" s="218"/>
      <c r="BSA61" s="219"/>
      <c r="BSB61" s="220"/>
      <c r="BSC61" s="220"/>
      <c r="BSD61" s="220"/>
      <c r="BSE61" s="220"/>
      <c r="BSF61" s="217"/>
      <c r="BSG61" s="221"/>
      <c r="BSH61" s="216"/>
      <c r="BSI61" s="217"/>
      <c r="BSJ61" s="218"/>
      <c r="BSK61" s="219"/>
      <c r="BSL61" s="220"/>
      <c r="BSM61" s="220"/>
      <c r="BSN61" s="220"/>
      <c r="BSO61" s="220"/>
      <c r="BSP61" s="217"/>
      <c r="BSQ61" s="221"/>
      <c r="BSR61" s="216"/>
      <c r="BSS61" s="217"/>
      <c r="BST61" s="218"/>
      <c r="BSU61" s="219"/>
      <c r="BSV61" s="220"/>
      <c r="BSW61" s="220"/>
      <c r="BSX61" s="220"/>
      <c r="BSY61" s="220"/>
      <c r="BSZ61" s="217"/>
      <c r="BTA61" s="221"/>
      <c r="BTB61" s="216"/>
      <c r="BTC61" s="217"/>
      <c r="BTD61" s="218"/>
      <c r="BTE61" s="219"/>
      <c r="BTF61" s="220"/>
      <c r="BTG61" s="220"/>
      <c r="BTH61" s="220"/>
      <c r="BTI61" s="220"/>
      <c r="BTJ61" s="217"/>
      <c r="BTK61" s="221"/>
      <c r="BTL61" s="216"/>
      <c r="BTM61" s="217"/>
      <c r="BTN61" s="218"/>
      <c r="BTO61" s="219"/>
      <c r="BTP61" s="220"/>
      <c r="BTQ61" s="220"/>
      <c r="BTR61" s="220"/>
      <c r="BTS61" s="220"/>
      <c r="BTT61" s="217"/>
      <c r="BTU61" s="221"/>
      <c r="BTV61" s="216"/>
      <c r="BTW61" s="217"/>
      <c r="BTX61" s="218"/>
      <c r="BTY61" s="219"/>
      <c r="BTZ61" s="220"/>
      <c r="BUA61" s="220"/>
      <c r="BUB61" s="220"/>
      <c r="BUC61" s="220"/>
      <c r="BUD61" s="217"/>
      <c r="BUE61" s="221"/>
      <c r="BUF61" s="216"/>
      <c r="BUG61" s="217"/>
      <c r="BUH61" s="218"/>
      <c r="BUI61" s="219"/>
      <c r="BUJ61" s="220"/>
      <c r="BUK61" s="220"/>
      <c r="BUL61" s="220"/>
      <c r="BUM61" s="220"/>
      <c r="BUN61" s="217"/>
      <c r="BUO61" s="221"/>
      <c r="BUP61" s="216"/>
      <c r="BUQ61" s="217"/>
      <c r="BUR61" s="218"/>
      <c r="BUS61" s="219"/>
      <c r="BUT61" s="220"/>
      <c r="BUU61" s="220"/>
      <c r="BUV61" s="220"/>
      <c r="BUW61" s="220"/>
      <c r="BUX61" s="217"/>
      <c r="BUY61" s="221"/>
      <c r="BUZ61" s="216"/>
      <c r="BVA61" s="217"/>
      <c r="BVB61" s="218"/>
      <c r="BVC61" s="219"/>
      <c r="BVD61" s="220"/>
      <c r="BVE61" s="220"/>
      <c r="BVF61" s="220"/>
      <c r="BVG61" s="220"/>
      <c r="BVH61" s="217"/>
      <c r="BVI61" s="221"/>
      <c r="BVJ61" s="216"/>
      <c r="BVK61" s="217"/>
      <c r="BVL61" s="218"/>
      <c r="BVM61" s="219"/>
      <c r="BVN61" s="220"/>
      <c r="BVO61" s="220"/>
      <c r="BVP61" s="220"/>
      <c r="BVQ61" s="220"/>
      <c r="BVR61" s="217"/>
      <c r="BVS61" s="221"/>
      <c r="BVT61" s="216"/>
      <c r="BVU61" s="217"/>
      <c r="BVV61" s="218"/>
      <c r="BVW61" s="219"/>
      <c r="BVX61" s="220"/>
      <c r="BVY61" s="220"/>
      <c r="BVZ61" s="220"/>
      <c r="BWA61" s="220"/>
      <c r="BWB61" s="217"/>
      <c r="BWC61" s="221"/>
      <c r="BWD61" s="216"/>
      <c r="BWE61" s="217"/>
      <c r="BWF61" s="218"/>
      <c r="BWG61" s="219"/>
      <c r="BWH61" s="220"/>
      <c r="BWI61" s="220"/>
      <c r="BWJ61" s="220"/>
      <c r="BWK61" s="220"/>
      <c r="BWL61" s="217"/>
      <c r="BWM61" s="221"/>
      <c r="BWN61" s="216"/>
      <c r="BWO61" s="217"/>
      <c r="BWP61" s="218"/>
      <c r="BWQ61" s="219"/>
      <c r="BWR61" s="220"/>
      <c r="BWS61" s="220"/>
      <c r="BWT61" s="220"/>
      <c r="BWU61" s="220"/>
      <c r="BWV61" s="217"/>
      <c r="BWW61" s="221"/>
      <c r="BWX61" s="216"/>
      <c r="BWY61" s="217"/>
      <c r="BWZ61" s="218"/>
      <c r="BXA61" s="219"/>
      <c r="BXB61" s="220"/>
      <c r="BXC61" s="220"/>
      <c r="BXD61" s="220"/>
      <c r="BXE61" s="220"/>
      <c r="BXF61" s="217"/>
      <c r="BXG61" s="221"/>
      <c r="BXH61" s="216"/>
      <c r="BXI61" s="217"/>
      <c r="BXJ61" s="218"/>
      <c r="BXK61" s="219"/>
      <c r="BXL61" s="220"/>
      <c r="BXM61" s="220"/>
      <c r="BXN61" s="220"/>
      <c r="BXO61" s="220"/>
      <c r="BXP61" s="217"/>
      <c r="BXQ61" s="221"/>
      <c r="BXR61" s="216"/>
      <c r="BXS61" s="217"/>
      <c r="BXT61" s="218"/>
      <c r="BXU61" s="219"/>
      <c r="BXV61" s="220"/>
      <c r="BXW61" s="220"/>
      <c r="BXX61" s="220"/>
      <c r="BXY61" s="220"/>
      <c r="BXZ61" s="217"/>
      <c r="BYA61" s="221"/>
      <c r="BYB61" s="216"/>
      <c r="BYC61" s="217"/>
      <c r="BYD61" s="218"/>
      <c r="BYE61" s="219"/>
      <c r="BYF61" s="220"/>
      <c r="BYG61" s="220"/>
      <c r="BYH61" s="220"/>
      <c r="BYI61" s="220"/>
      <c r="BYJ61" s="217"/>
      <c r="BYK61" s="221"/>
      <c r="BYL61" s="216"/>
      <c r="BYM61" s="217"/>
      <c r="BYN61" s="218"/>
      <c r="BYO61" s="219"/>
      <c r="BYP61" s="220"/>
      <c r="BYQ61" s="220"/>
      <c r="BYR61" s="220"/>
      <c r="BYS61" s="220"/>
      <c r="BYT61" s="217"/>
      <c r="BYU61" s="221"/>
      <c r="BYV61" s="216"/>
      <c r="BYW61" s="217"/>
      <c r="BYX61" s="218"/>
      <c r="BYY61" s="219"/>
      <c r="BYZ61" s="220"/>
      <c r="BZA61" s="220"/>
      <c r="BZB61" s="220"/>
      <c r="BZC61" s="220"/>
      <c r="BZD61" s="217"/>
      <c r="BZE61" s="221"/>
      <c r="BZF61" s="216"/>
      <c r="BZG61" s="217"/>
      <c r="BZH61" s="218"/>
      <c r="BZI61" s="219"/>
      <c r="BZJ61" s="220"/>
      <c r="BZK61" s="220"/>
      <c r="BZL61" s="220"/>
      <c r="BZM61" s="220"/>
      <c r="BZN61" s="217"/>
      <c r="BZO61" s="221"/>
      <c r="BZP61" s="216"/>
      <c r="BZQ61" s="217"/>
      <c r="BZR61" s="218"/>
      <c r="BZS61" s="219"/>
      <c r="BZT61" s="220"/>
      <c r="BZU61" s="220"/>
      <c r="BZV61" s="220"/>
      <c r="BZW61" s="220"/>
      <c r="BZX61" s="217"/>
      <c r="BZY61" s="221"/>
      <c r="BZZ61" s="216"/>
      <c r="CAA61" s="217"/>
      <c r="CAB61" s="218"/>
      <c r="CAC61" s="219"/>
      <c r="CAD61" s="220"/>
      <c r="CAE61" s="220"/>
      <c r="CAF61" s="220"/>
      <c r="CAG61" s="220"/>
      <c r="CAH61" s="217"/>
      <c r="CAI61" s="221"/>
      <c r="CAJ61" s="216"/>
      <c r="CAK61" s="217"/>
      <c r="CAL61" s="218"/>
      <c r="CAM61" s="219"/>
      <c r="CAN61" s="220"/>
      <c r="CAO61" s="220"/>
      <c r="CAP61" s="220"/>
      <c r="CAQ61" s="220"/>
      <c r="CAR61" s="217"/>
      <c r="CAS61" s="221"/>
      <c r="CAT61" s="216"/>
      <c r="CAU61" s="217"/>
      <c r="CAV61" s="218"/>
      <c r="CAW61" s="219"/>
      <c r="CAX61" s="220"/>
      <c r="CAY61" s="220"/>
      <c r="CAZ61" s="220"/>
      <c r="CBA61" s="220"/>
      <c r="CBB61" s="217"/>
      <c r="CBC61" s="221"/>
      <c r="CBD61" s="216"/>
      <c r="CBE61" s="217"/>
      <c r="CBF61" s="218"/>
      <c r="CBG61" s="219"/>
      <c r="CBH61" s="220"/>
      <c r="CBI61" s="220"/>
      <c r="CBJ61" s="220"/>
      <c r="CBK61" s="220"/>
      <c r="CBL61" s="217"/>
      <c r="CBM61" s="221"/>
      <c r="CBN61" s="216"/>
      <c r="CBO61" s="217"/>
      <c r="CBP61" s="218"/>
      <c r="CBQ61" s="219"/>
      <c r="CBR61" s="220"/>
      <c r="CBS61" s="220"/>
      <c r="CBT61" s="220"/>
      <c r="CBU61" s="220"/>
      <c r="CBV61" s="217"/>
      <c r="CBW61" s="221"/>
      <c r="CBX61" s="216"/>
      <c r="CBY61" s="217"/>
      <c r="CBZ61" s="218"/>
      <c r="CCA61" s="219"/>
      <c r="CCB61" s="220"/>
      <c r="CCC61" s="220"/>
      <c r="CCD61" s="220"/>
      <c r="CCE61" s="220"/>
      <c r="CCF61" s="217"/>
      <c r="CCG61" s="221"/>
      <c r="CCH61" s="216"/>
      <c r="CCI61" s="217"/>
      <c r="CCJ61" s="218"/>
      <c r="CCK61" s="219"/>
      <c r="CCL61" s="220"/>
      <c r="CCM61" s="220"/>
      <c r="CCN61" s="220"/>
      <c r="CCO61" s="220"/>
      <c r="CCP61" s="217"/>
      <c r="CCQ61" s="221"/>
      <c r="CCR61" s="216"/>
      <c r="CCS61" s="217"/>
      <c r="CCT61" s="218"/>
      <c r="CCU61" s="219"/>
      <c r="CCV61" s="220"/>
      <c r="CCW61" s="220"/>
      <c r="CCX61" s="220"/>
      <c r="CCY61" s="220"/>
      <c r="CCZ61" s="217"/>
      <c r="CDA61" s="221"/>
      <c r="CDB61" s="216"/>
      <c r="CDC61" s="217"/>
      <c r="CDD61" s="218"/>
      <c r="CDE61" s="219"/>
      <c r="CDF61" s="220"/>
      <c r="CDG61" s="220"/>
      <c r="CDH61" s="220"/>
      <c r="CDI61" s="220"/>
      <c r="CDJ61" s="217"/>
      <c r="CDK61" s="221"/>
      <c r="CDL61" s="216"/>
      <c r="CDM61" s="217"/>
      <c r="CDN61" s="218"/>
      <c r="CDO61" s="219"/>
      <c r="CDP61" s="220"/>
      <c r="CDQ61" s="220"/>
      <c r="CDR61" s="220"/>
      <c r="CDS61" s="220"/>
      <c r="CDT61" s="217"/>
      <c r="CDU61" s="221"/>
      <c r="CDV61" s="216"/>
      <c r="CDW61" s="217"/>
      <c r="CDX61" s="218"/>
      <c r="CDY61" s="219"/>
      <c r="CDZ61" s="220"/>
      <c r="CEA61" s="220"/>
      <c r="CEB61" s="220"/>
      <c r="CEC61" s="220"/>
      <c r="CED61" s="217"/>
      <c r="CEE61" s="221"/>
      <c r="CEF61" s="216"/>
      <c r="CEG61" s="217"/>
      <c r="CEH61" s="218"/>
      <c r="CEI61" s="219"/>
      <c r="CEJ61" s="220"/>
      <c r="CEK61" s="220"/>
      <c r="CEL61" s="220"/>
      <c r="CEM61" s="220"/>
      <c r="CEN61" s="217"/>
      <c r="CEO61" s="221"/>
      <c r="CEP61" s="216"/>
      <c r="CEQ61" s="217"/>
      <c r="CER61" s="218"/>
      <c r="CES61" s="219"/>
      <c r="CET61" s="220"/>
      <c r="CEU61" s="220"/>
      <c r="CEV61" s="220"/>
      <c r="CEW61" s="220"/>
      <c r="CEX61" s="217"/>
      <c r="CEY61" s="221"/>
      <c r="CEZ61" s="216"/>
      <c r="CFA61" s="217"/>
      <c r="CFB61" s="218"/>
      <c r="CFC61" s="219"/>
      <c r="CFD61" s="220"/>
      <c r="CFE61" s="220"/>
      <c r="CFF61" s="220"/>
      <c r="CFG61" s="220"/>
      <c r="CFH61" s="217"/>
      <c r="CFI61" s="221"/>
      <c r="CFJ61" s="216"/>
      <c r="CFK61" s="217"/>
      <c r="CFL61" s="218"/>
      <c r="CFM61" s="219"/>
      <c r="CFN61" s="220"/>
      <c r="CFO61" s="220"/>
      <c r="CFP61" s="220"/>
      <c r="CFQ61" s="220"/>
      <c r="CFR61" s="217"/>
      <c r="CFS61" s="221"/>
      <c r="CFT61" s="216"/>
      <c r="CFU61" s="217"/>
      <c r="CFV61" s="218"/>
      <c r="CFW61" s="219"/>
      <c r="CFX61" s="220"/>
      <c r="CFY61" s="220"/>
      <c r="CFZ61" s="220"/>
      <c r="CGA61" s="220"/>
      <c r="CGB61" s="217"/>
      <c r="CGC61" s="221"/>
      <c r="CGD61" s="216"/>
      <c r="CGE61" s="217"/>
      <c r="CGF61" s="218"/>
      <c r="CGG61" s="219"/>
      <c r="CGH61" s="220"/>
      <c r="CGI61" s="220"/>
      <c r="CGJ61" s="220"/>
      <c r="CGK61" s="220"/>
      <c r="CGL61" s="217"/>
      <c r="CGM61" s="221"/>
      <c r="CGN61" s="216"/>
      <c r="CGO61" s="217"/>
      <c r="CGP61" s="218"/>
      <c r="CGQ61" s="219"/>
      <c r="CGR61" s="220"/>
      <c r="CGS61" s="220"/>
      <c r="CGT61" s="220"/>
      <c r="CGU61" s="220"/>
      <c r="CGV61" s="217"/>
      <c r="CGW61" s="221"/>
      <c r="CGX61" s="216"/>
      <c r="CGY61" s="217"/>
      <c r="CGZ61" s="218"/>
      <c r="CHA61" s="219"/>
      <c r="CHB61" s="220"/>
      <c r="CHC61" s="220"/>
      <c r="CHD61" s="220"/>
      <c r="CHE61" s="220"/>
      <c r="CHF61" s="217"/>
      <c r="CHG61" s="221"/>
      <c r="CHH61" s="216"/>
      <c r="CHI61" s="217"/>
      <c r="CHJ61" s="218"/>
      <c r="CHK61" s="219"/>
      <c r="CHL61" s="220"/>
      <c r="CHM61" s="220"/>
      <c r="CHN61" s="220"/>
      <c r="CHO61" s="220"/>
      <c r="CHP61" s="217"/>
      <c r="CHQ61" s="221"/>
      <c r="CHR61" s="216"/>
      <c r="CHS61" s="217"/>
      <c r="CHT61" s="218"/>
      <c r="CHU61" s="219"/>
      <c r="CHV61" s="220"/>
      <c r="CHW61" s="220"/>
      <c r="CHX61" s="220"/>
      <c r="CHY61" s="220"/>
      <c r="CHZ61" s="217"/>
      <c r="CIA61" s="221"/>
      <c r="CIB61" s="216"/>
      <c r="CIC61" s="217"/>
      <c r="CID61" s="218"/>
      <c r="CIE61" s="219"/>
      <c r="CIF61" s="220"/>
      <c r="CIG61" s="220"/>
      <c r="CIH61" s="220"/>
      <c r="CII61" s="220"/>
      <c r="CIJ61" s="217"/>
      <c r="CIK61" s="221"/>
      <c r="CIL61" s="216"/>
      <c r="CIM61" s="217"/>
      <c r="CIN61" s="218"/>
      <c r="CIO61" s="219"/>
      <c r="CIP61" s="220"/>
      <c r="CIQ61" s="220"/>
      <c r="CIR61" s="220"/>
      <c r="CIS61" s="220"/>
      <c r="CIT61" s="217"/>
      <c r="CIU61" s="221"/>
      <c r="CIV61" s="216"/>
      <c r="CIW61" s="217"/>
      <c r="CIX61" s="218"/>
      <c r="CIY61" s="219"/>
      <c r="CIZ61" s="220"/>
      <c r="CJA61" s="220"/>
      <c r="CJB61" s="220"/>
      <c r="CJC61" s="220"/>
      <c r="CJD61" s="217"/>
      <c r="CJE61" s="221"/>
      <c r="CJF61" s="216"/>
      <c r="CJG61" s="217"/>
      <c r="CJH61" s="218"/>
      <c r="CJI61" s="219"/>
      <c r="CJJ61" s="220"/>
      <c r="CJK61" s="220"/>
      <c r="CJL61" s="220"/>
      <c r="CJM61" s="220"/>
      <c r="CJN61" s="217"/>
      <c r="CJO61" s="221"/>
      <c r="CJP61" s="216"/>
      <c r="CJQ61" s="217"/>
      <c r="CJR61" s="218"/>
      <c r="CJS61" s="219"/>
      <c r="CJT61" s="220"/>
      <c r="CJU61" s="220"/>
      <c r="CJV61" s="220"/>
      <c r="CJW61" s="220"/>
      <c r="CJX61" s="217"/>
      <c r="CJY61" s="221"/>
      <c r="CJZ61" s="216"/>
      <c r="CKA61" s="217"/>
      <c r="CKB61" s="218"/>
      <c r="CKC61" s="219"/>
      <c r="CKD61" s="220"/>
      <c r="CKE61" s="220"/>
      <c r="CKF61" s="220"/>
      <c r="CKG61" s="220"/>
      <c r="CKH61" s="217"/>
      <c r="CKI61" s="221"/>
      <c r="CKJ61" s="216"/>
      <c r="CKK61" s="217"/>
      <c r="CKL61" s="218"/>
      <c r="CKM61" s="219"/>
      <c r="CKN61" s="220"/>
      <c r="CKO61" s="220"/>
      <c r="CKP61" s="220"/>
      <c r="CKQ61" s="220"/>
      <c r="CKR61" s="217"/>
      <c r="CKS61" s="221"/>
      <c r="CKT61" s="216"/>
      <c r="CKU61" s="217"/>
      <c r="CKV61" s="218"/>
      <c r="CKW61" s="219"/>
      <c r="CKX61" s="220"/>
      <c r="CKY61" s="220"/>
      <c r="CKZ61" s="220"/>
      <c r="CLA61" s="220"/>
      <c r="CLB61" s="217"/>
      <c r="CLC61" s="221"/>
      <c r="CLD61" s="216"/>
      <c r="CLE61" s="217"/>
      <c r="CLF61" s="218"/>
      <c r="CLG61" s="219"/>
      <c r="CLH61" s="220"/>
      <c r="CLI61" s="220"/>
      <c r="CLJ61" s="220"/>
      <c r="CLK61" s="220"/>
      <c r="CLL61" s="217"/>
      <c r="CLM61" s="221"/>
      <c r="CLN61" s="216"/>
      <c r="CLO61" s="217"/>
      <c r="CLP61" s="218"/>
      <c r="CLQ61" s="219"/>
      <c r="CLR61" s="220"/>
      <c r="CLS61" s="220"/>
      <c r="CLT61" s="220"/>
      <c r="CLU61" s="220"/>
      <c r="CLV61" s="217"/>
      <c r="CLW61" s="221"/>
      <c r="CLX61" s="216"/>
      <c r="CLY61" s="217"/>
      <c r="CLZ61" s="218"/>
      <c r="CMA61" s="219"/>
      <c r="CMB61" s="220"/>
      <c r="CMC61" s="220"/>
      <c r="CMD61" s="220"/>
      <c r="CME61" s="220"/>
      <c r="CMF61" s="217"/>
      <c r="CMG61" s="221"/>
      <c r="CMH61" s="216"/>
      <c r="CMI61" s="217"/>
      <c r="CMJ61" s="218"/>
      <c r="CMK61" s="219"/>
      <c r="CML61" s="220"/>
      <c r="CMM61" s="220"/>
      <c r="CMN61" s="220"/>
      <c r="CMO61" s="220"/>
      <c r="CMP61" s="217"/>
      <c r="CMQ61" s="221"/>
      <c r="CMR61" s="216"/>
      <c r="CMS61" s="217"/>
      <c r="CMT61" s="218"/>
      <c r="CMU61" s="219"/>
      <c r="CMV61" s="220"/>
      <c r="CMW61" s="220"/>
      <c r="CMX61" s="220"/>
      <c r="CMY61" s="220"/>
      <c r="CMZ61" s="217"/>
      <c r="CNA61" s="221"/>
      <c r="CNB61" s="216"/>
      <c r="CNC61" s="217"/>
      <c r="CND61" s="218"/>
      <c r="CNE61" s="219"/>
      <c r="CNF61" s="220"/>
      <c r="CNG61" s="220"/>
      <c r="CNH61" s="220"/>
      <c r="CNI61" s="220"/>
      <c r="CNJ61" s="217"/>
      <c r="CNK61" s="221"/>
      <c r="CNL61" s="216"/>
      <c r="CNM61" s="217"/>
      <c r="CNN61" s="218"/>
      <c r="CNO61" s="219"/>
      <c r="CNP61" s="220"/>
      <c r="CNQ61" s="220"/>
      <c r="CNR61" s="220"/>
      <c r="CNS61" s="220"/>
      <c r="CNT61" s="217"/>
      <c r="CNU61" s="221"/>
      <c r="CNV61" s="216"/>
      <c r="CNW61" s="217"/>
      <c r="CNX61" s="218"/>
      <c r="CNY61" s="219"/>
      <c r="CNZ61" s="220"/>
      <c r="COA61" s="220"/>
      <c r="COB61" s="220"/>
      <c r="COC61" s="220"/>
      <c r="COD61" s="217"/>
      <c r="COE61" s="221"/>
      <c r="COF61" s="216"/>
      <c r="COG61" s="217"/>
      <c r="COH61" s="218"/>
      <c r="COI61" s="219"/>
      <c r="COJ61" s="220"/>
      <c r="COK61" s="220"/>
      <c r="COL61" s="220"/>
      <c r="COM61" s="220"/>
      <c r="CON61" s="217"/>
      <c r="COO61" s="221"/>
      <c r="COP61" s="216"/>
      <c r="COQ61" s="217"/>
      <c r="COR61" s="218"/>
      <c r="COS61" s="219"/>
      <c r="COT61" s="220"/>
      <c r="COU61" s="220"/>
      <c r="COV61" s="220"/>
      <c r="COW61" s="220"/>
      <c r="COX61" s="217"/>
      <c r="COY61" s="221"/>
      <c r="COZ61" s="216"/>
      <c r="CPA61" s="217"/>
      <c r="CPB61" s="218"/>
      <c r="CPC61" s="219"/>
      <c r="CPD61" s="220"/>
      <c r="CPE61" s="220"/>
      <c r="CPF61" s="220"/>
      <c r="CPG61" s="220"/>
      <c r="CPH61" s="217"/>
      <c r="CPI61" s="221"/>
      <c r="CPJ61" s="216"/>
      <c r="CPK61" s="217"/>
      <c r="CPL61" s="218"/>
      <c r="CPM61" s="219"/>
      <c r="CPN61" s="220"/>
      <c r="CPO61" s="220"/>
      <c r="CPP61" s="220"/>
      <c r="CPQ61" s="220"/>
      <c r="CPR61" s="217"/>
      <c r="CPS61" s="221"/>
      <c r="CPT61" s="216"/>
      <c r="CPU61" s="217"/>
      <c r="CPV61" s="218"/>
      <c r="CPW61" s="219"/>
      <c r="CPX61" s="220"/>
      <c r="CPY61" s="220"/>
      <c r="CPZ61" s="220"/>
      <c r="CQA61" s="220"/>
      <c r="CQB61" s="217"/>
      <c r="CQC61" s="221"/>
      <c r="CQD61" s="216"/>
      <c r="CQE61" s="217"/>
      <c r="CQF61" s="218"/>
      <c r="CQG61" s="219"/>
      <c r="CQH61" s="220"/>
      <c r="CQI61" s="220"/>
      <c r="CQJ61" s="220"/>
      <c r="CQK61" s="220"/>
      <c r="CQL61" s="217"/>
      <c r="CQM61" s="221"/>
      <c r="CQN61" s="216"/>
      <c r="CQO61" s="217"/>
      <c r="CQP61" s="218"/>
      <c r="CQQ61" s="219"/>
      <c r="CQR61" s="220"/>
      <c r="CQS61" s="220"/>
      <c r="CQT61" s="220"/>
      <c r="CQU61" s="220"/>
      <c r="CQV61" s="217"/>
      <c r="CQW61" s="221"/>
      <c r="CQX61" s="216"/>
      <c r="CQY61" s="217"/>
      <c r="CQZ61" s="218"/>
      <c r="CRA61" s="219"/>
      <c r="CRB61" s="220"/>
      <c r="CRC61" s="220"/>
      <c r="CRD61" s="220"/>
      <c r="CRE61" s="220"/>
      <c r="CRF61" s="217"/>
      <c r="CRG61" s="221"/>
      <c r="CRH61" s="216"/>
      <c r="CRI61" s="217"/>
      <c r="CRJ61" s="218"/>
      <c r="CRK61" s="219"/>
      <c r="CRL61" s="220"/>
      <c r="CRM61" s="220"/>
      <c r="CRN61" s="220"/>
      <c r="CRO61" s="220"/>
      <c r="CRP61" s="217"/>
      <c r="CRQ61" s="221"/>
      <c r="CRR61" s="216"/>
      <c r="CRS61" s="217"/>
      <c r="CRT61" s="218"/>
      <c r="CRU61" s="219"/>
      <c r="CRV61" s="220"/>
      <c r="CRW61" s="220"/>
      <c r="CRX61" s="220"/>
      <c r="CRY61" s="220"/>
      <c r="CRZ61" s="217"/>
      <c r="CSA61" s="221"/>
      <c r="CSB61" s="216"/>
      <c r="CSC61" s="217"/>
      <c r="CSD61" s="218"/>
      <c r="CSE61" s="219"/>
      <c r="CSF61" s="220"/>
      <c r="CSG61" s="220"/>
      <c r="CSH61" s="220"/>
      <c r="CSI61" s="220"/>
      <c r="CSJ61" s="217"/>
      <c r="CSK61" s="221"/>
      <c r="CSL61" s="216"/>
      <c r="CSM61" s="217"/>
      <c r="CSN61" s="218"/>
      <c r="CSO61" s="219"/>
      <c r="CSP61" s="220"/>
      <c r="CSQ61" s="220"/>
      <c r="CSR61" s="220"/>
      <c r="CSS61" s="220"/>
      <c r="CST61" s="217"/>
      <c r="CSU61" s="221"/>
      <c r="CSV61" s="216"/>
      <c r="CSW61" s="217"/>
      <c r="CSX61" s="218"/>
      <c r="CSY61" s="219"/>
      <c r="CSZ61" s="220"/>
      <c r="CTA61" s="220"/>
      <c r="CTB61" s="220"/>
      <c r="CTC61" s="220"/>
      <c r="CTD61" s="217"/>
      <c r="CTE61" s="221"/>
      <c r="CTF61" s="216"/>
      <c r="CTG61" s="217"/>
      <c r="CTH61" s="218"/>
      <c r="CTI61" s="219"/>
      <c r="CTJ61" s="220"/>
      <c r="CTK61" s="220"/>
      <c r="CTL61" s="220"/>
      <c r="CTM61" s="220"/>
      <c r="CTN61" s="217"/>
      <c r="CTO61" s="221"/>
      <c r="CTP61" s="216"/>
      <c r="CTQ61" s="217"/>
      <c r="CTR61" s="218"/>
      <c r="CTS61" s="219"/>
      <c r="CTT61" s="220"/>
      <c r="CTU61" s="220"/>
      <c r="CTV61" s="220"/>
      <c r="CTW61" s="220"/>
      <c r="CTX61" s="217"/>
      <c r="CTY61" s="221"/>
      <c r="CTZ61" s="216"/>
      <c r="CUA61" s="217"/>
      <c r="CUB61" s="218"/>
      <c r="CUC61" s="219"/>
      <c r="CUD61" s="220"/>
      <c r="CUE61" s="220"/>
      <c r="CUF61" s="220"/>
      <c r="CUG61" s="220"/>
      <c r="CUH61" s="217"/>
      <c r="CUI61" s="221"/>
      <c r="CUJ61" s="216"/>
      <c r="CUK61" s="217"/>
      <c r="CUL61" s="218"/>
      <c r="CUM61" s="219"/>
      <c r="CUN61" s="220"/>
      <c r="CUO61" s="220"/>
      <c r="CUP61" s="220"/>
      <c r="CUQ61" s="220"/>
      <c r="CUR61" s="217"/>
      <c r="CUS61" s="221"/>
      <c r="CUT61" s="216"/>
      <c r="CUU61" s="217"/>
      <c r="CUV61" s="218"/>
      <c r="CUW61" s="219"/>
      <c r="CUX61" s="220"/>
      <c r="CUY61" s="220"/>
      <c r="CUZ61" s="220"/>
      <c r="CVA61" s="220"/>
      <c r="CVB61" s="217"/>
      <c r="CVC61" s="221"/>
      <c r="CVD61" s="216"/>
      <c r="CVE61" s="217"/>
      <c r="CVF61" s="218"/>
      <c r="CVG61" s="219"/>
      <c r="CVH61" s="220"/>
      <c r="CVI61" s="220"/>
      <c r="CVJ61" s="220"/>
      <c r="CVK61" s="220"/>
      <c r="CVL61" s="217"/>
      <c r="CVM61" s="221"/>
      <c r="CVN61" s="216"/>
      <c r="CVO61" s="217"/>
      <c r="CVP61" s="218"/>
      <c r="CVQ61" s="219"/>
      <c r="CVR61" s="220"/>
      <c r="CVS61" s="220"/>
      <c r="CVT61" s="220"/>
      <c r="CVU61" s="220"/>
      <c r="CVV61" s="217"/>
      <c r="CVW61" s="221"/>
      <c r="CVX61" s="216"/>
      <c r="CVY61" s="217"/>
      <c r="CVZ61" s="218"/>
      <c r="CWA61" s="219"/>
      <c r="CWB61" s="220"/>
      <c r="CWC61" s="220"/>
      <c r="CWD61" s="220"/>
      <c r="CWE61" s="220"/>
      <c r="CWF61" s="217"/>
      <c r="CWG61" s="221"/>
      <c r="CWH61" s="216"/>
      <c r="CWI61" s="217"/>
      <c r="CWJ61" s="218"/>
      <c r="CWK61" s="219"/>
      <c r="CWL61" s="220"/>
      <c r="CWM61" s="220"/>
      <c r="CWN61" s="220"/>
      <c r="CWO61" s="220"/>
      <c r="CWP61" s="217"/>
      <c r="CWQ61" s="221"/>
      <c r="CWR61" s="216"/>
      <c r="CWS61" s="217"/>
      <c r="CWT61" s="218"/>
      <c r="CWU61" s="219"/>
      <c r="CWV61" s="220"/>
      <c r="CWW61" s="220"/>
      <c r="CWX61" s="220"/>
      <c r="CWY61" s="220"/>
      <c r="CWZ61" s="217"/>
      <c r="CXA61" s="221"/>
      <c r="CXB61" s="216"/>
      <c r="CXC61" s="217"/>
      <c r="CXD61" s="218"/>
      <c r="CXE61" s="219"/>
      <c r="CXF61" s="220"/>
      <c r="CXG61" s="220"/>
      <c r="CXH61" s="220"/>
      <c r="CXI61" s="220"/>
      <c r="CXJ61" s="217"/>
      <c r="CXK61" s="221"/>
      <c r="CXL61" s="216"/>
      <c r="CXM61" s="217"/>
      <c r="CXN61" s="218"/>
      <c r="CXO61" s="219"/>
      <c r="CXP61" s="220"/>
      <c r="CXQ61" s="220"/>
      <c r="CXR61" s="220"/>
      <c r="CXS61" s="220"/>
      <c r="CXT61" s="217"/>
      <c r="CXU61" s="221"/>
      <c r="CXV61" s="216"/>
      <c r="CXW61" s="217"/>
      <c r="CXX61" s="218"/>
      <c r="CXY61" s="219"/>
      <c r="CXZ61" s="220"/>
      <c r="CYA61" s="220"/>
      <c r="CYB61" s="220"/>
      <c r="CYC61" s="220"/>
      <c r="CYD61" s="217"/>
      <c r="CYE61" s="221"/>
      <c r="CYF61" s="216"/>
      <c r="CYG61" s="217"/>
      <c r="CYH61" s="218"/>
      <c r="CYI61" s="219"/>
      <c r="CYJ61" s="220"/>
      <c r="CYK61" s="220"/>
      <c r="CYL61" s="220"/>
      <c r="CYM61" s="220"/>
      <c r="CYN61" s="217"/>
      <c r="CYO61" s="221"/>
      <c r="CYP61" s="216"/>
      <c r="CYQ61" s="217"/>
      <c r="CYR61" s="218"/>
      <c r="CYS61" s="219"/>
      <c r="CYT61" s="220"/>
      <c r="CYU61" s="220"/>
      <c r="CYV61" s="220"/>
      <c r="CYW61" s="220"/>
      <c r="CYX61" s="217"/>
      <c r="CYY61" s="221"/>
      <c r="CYZ61" s="216"/>
      <c r="CZA61" s="217"/>
      <c r="CZB61" s="218"/>
      <c r="CZC61" s="219"/>
      <c r="CZD61" s="220"/>
      <c r="CZE61" s="220"/>
      <c r="CZF61" s="220"/>
      <c r="CZG61" s="220"/>
      <c r="CZH61" s="217"/>
      <c r="CZI61" s="221"/>
      <c r="CZJ61" s="216"/>
      <c r="CZK61" s="217"/>
      <c r="CZL61" s="218"/>
      <c r="CZM61" s="219"/>
      <c r="CZN61" s="220"/>
      <c r="CZO61" s="220"/>
      <c r="CZP61" s="220"/>
      <c r="CZQ61" s="220"/>
      <c r="CZR61" s="217"/>
      <c r="CZS61" s="221"/>
      <c r="CZT61" s="216"/>
      <c r="CZU61" s="217"/>
      <c r="CZV61" s="218"/>
      <c r="CZW61" s="219"/>
      <c r="CZX61" s="220"/>
      <c r="CZY61" s="220"/>
      <c r="CZZ61" s="220"/>
      <c r="DAA61" s="220"/>
      <c r="DAB61" s="217"/>
      <c r="DAC61" s="221"/>
      <c r="DAD61" s="216"/>
      <c r="DAE61" s="217"/>
      <c r="DAF61" s="218"/>
      <c r="DAG61" s="219"/>
      <c r="DAH61" s="220"/>
      <c r="DAI61" s="220"/>
      <c r="DAJ61" s="220"/>
      <c r="DAK61" s="220"/>
      <c r="DAL61" s="217"/>
      <c r="DAM61" s="221"/>
      <c r="DAN61" s="216"/>
      <c r="DAO61" s="217"/>
      <c r="DAP61" s="218"/>
      <c r="DAQ61" s="219"/>
      <c r="DAR61" s="220"/>
      <c r="DAS61" s="220"/>
      <c r="DAT61" s="220"/>
      <c r="DAU61" s="220"/>
      <c r="DAV61" s="217"/>
      <c r="DAW61" s="221"/>
      <c r="DAX61" s="216"/>
      <c r="DAY61" s="217"/>
      <c r="DAZ61" s="218"/>
      <c r="DBA61" s="219"/>
      <c r="DBB61" s="220"/>
      <c r="DBC61" s="220"/>
      <c r="DBD61" s="220"/>
      <c r="DBE61" s="220"/>
      <c r="DBF61" s="217"/>
      <c r="DBG61" s="221"/>
      <c r="DBH61" s="216"/>
      <c r="DBI61" s="217"/>
      <c r="DBJ61" s="218"/>
      <c r="DBK61" s="219"/>
      <c r="DBL61" s="220"/>
      <c r="DBM61" s="220"/>
      <c r="DBN61" s="220"/>
      <c r="DBO61" s="220"/>
      <c r="DBP61" s="217"/>
      <c r="DBQ61" s="221"/>
      <c r="DBR61" s="216"/>
      <c r="DBS61" s="217"/>
      <c r="DBT61" s="218"/>
      <c r="DBU61" s="219"/>
      <c r="DBV61" s="220"/>
      <c r="DBW61" s="220"/>
      <c r="DBX61" s="220"/>
      <c r="DBY61" s="220"/>
      <c r="DBZ61" s="217"/>
      <c r="DCA61" s="221"/>
      <c r="DCB61" s="216"/>
      <c r="DCC61" s="217"/>
      <c r="DCD61" s="218"/>
      <c r="DCE61" s="219"/>
      <c r="DCF61" s="220"/>
      <c r="DCG61" s="220"/>
      <c r="DCH61" s="220"/>
      <c r="DCI61" s="220"/>
      <c r="DCJ61" s="217"/>
      <c r="DCK61" s="221"/>
      <c r="DCL61" s="216"/>
      <c r="DCM61" s="217"/>
      <c r="DCN61" s="218"/>
      <c r="DCO61" s="219"/>
      <c r="DCP61" s="220"/>
      <c r="DCQ61" s="220"/>
      <c r="DCR61" s="220"/>
      <c r="DCS61" s="220"/>
      <c r="DCT61" s="217"/>
      <c r="DCU61" s="221"/>
      <c r="DCV61" s="216"/>
      <c r="DCW61" s="217"/>
      <c r="DCX61" s="218"/>
      <c r="DCY61" s="219"/>
      <c r="DCZ61" s="220"/>
      <c r="DDA61" s="220"/>
      <c r="DDB61" s="220"/>
      <c r="DDC61" s="220"/>
      <c r="DDD61" s="217"/>
      <c r="DDE61" s="221"/>
      <c r="DDF61" s="216"/>
      <c r="DDG61" s="217"/>
      <c r="DDH61" s="218"/>
      <c r="DDI61" s="219"/>
      <c r="DDJ61" s="220"/>
      <c r="DDK61" s="220"/>
      <c r="DDL61" s="220"/>
      <c r="DDM61" s="220"/>
      <c r="DDN61" s="217"/>
      <c r="DDO61" s="221"/>
      <c r="DDP61" s="216"/>
      <c r="DDQ61" s="217"/>
      <c r="DDR61" s="218"/>
      <c r="DDS61" s="219"/>
      <c r="DDT61" s="220"/>
      <c r="DDU61" s="220"/>
      <c r="DDV61" s="220"/>
      <c r="DDW61" s="220"/>
      <c r="DDX61" s="217"/>
      <c r="DDY61" s="221"/>
      <c r="DDZ61" s="216"/>
      <c r="DEA61" s="217"/>
      <c r="DEB61" s="218"/>
      <c r="DEC61" s="219"/>
      <c r="DED61" s="220"/>
      <c r="DEE61" s="220"/>
      <c r="DEF61" s="220"/>
      <c r="DEG61" s="220"/>
      <c r="DEH61" s="217"/>
      <c r="DEI61" s="221"/>
      <c r="DEJ61" s="216"/>
      <c r="DEK61" s="217"/>
      <c r="DEL61" s="218"/>
      <c r="DEM61" s="219"/>
      <c r="DEN61" s="220"/>
      <c r="DEO61" s="220"/>
      <c r="DEP61" s="220"/>
      <c r="DEQ61" s="220"/>
      <c r="DER61" s="217"/>
      <c r="DES61" s="221"/>
      <c r="DET61" s="216"/>
      <c r="DEU61" s="217"/>
      <c r="DEV61" s="218"/>
      <c r="DEW61" s="219"/>
      <c r="DEX61" s="220"/>
      <c r="DEY61" s="220"/>
      <c r="DEZ61" s="220"/>
      <c r="DFA61" s="220"/>
      <c r="DFB61" s="217"/>
      <c r="DFC61" s="221"/>
      <c r="DFD61" s="216"/>
      <c r="DFE61" s="217"/>
      <c r="DFF61" s="218"/>
      <c r="DFG61" s="219"/>
      <c r="DFH61" s="220"/>
      <c r="DFI61" s="220"/>
      <c r="DFJ61" s="220"/>
      <c r="DFK61" s="220"/>
      <c r="DFL61" s="217"/>
      <c r="DFM61" s="221"/>
      <c r="DFN61" s="216"/>
      <c r="DFO61" s="217"/>
      <c r="DFP61" s="218"/>
      <c r="DFQ61" s="219"/>
      <c r="DFR61" s="220"/>
      <c r="DFS61" s="220"/>
      <c r="DFT61" s="220"/>
      <c r="DFU61" s="220"/>
      <c r="DFV61" s="217"/>
      <c r="DFW61" s="221"/>
      <c r="DFX61" s="216"/>
      <c r="DFY61" s="217"/>
      <c r="DFZ61" s="218"/>
      <c r="DGA61" s="219"/>
      <c r="DGB61" s="220"/>
      <c r="DGC61" s="220"/>
      <c r="DGD61" s="220"/>
      <c r="DGE61" s="220"/>
      <c r="DGF61" s="217"/>
      <c r="DGG61" s="221"/>
      <c r="DGH61" s="216"/>
      <c r="DGI61" s="217"/>
      <c r="DGJ61" s="218"/>
      <c r="DGK61" s="219"/>
      <c r="DGL61" s="220"/>
      <c r="DGM61" s="220"/>
      <c r="DGN61" s="220"/>
      <c r="DGO61" s="220"/>
      <c r="DGP61" s="217"/>
      <c r="DGQ61" s="221"/>
      <c r="DGR61" s="216"/>
      <c r="DGS61" s="217"/>
      <c r="DGT61" s="218"/>
      <c r="DGU61" s="219"/>
      <c r="DGV61" s="220"/>
      <c r="DGW61" s="220"/>
      <c r="DGX61" s="220"/>
      <c r="DGY61" s="220"/>
      <c r="DGZ61" s="217"/>
      <c r="DHA61" s="221"/>
      <c r="DHB61" s="216"/>
      <c r="DHC61" s="217"/>
      <c r="DHD61" s="218"/>
      <c r="DHE61" s="219"/>
      <c r="DHF61" s="220"/>
      <c r="DHG61" s="220"/>
      <c r="DHH61" s="220"/>
      <c r="DHI61" s="220"/>
      <c r="DHJ61" s="217"/>
      <c r="DHK61" s="221"/>
      <c r="DHL61" s="216"/>
      <c r="DHM61" s="217"/>
      <c r="DHN61" s="218"/>
      <c r="DHO61" s="219"/>
      <c r="DHP61" s="220"/>
      <c r="DHQ61" s="220"/>
      <c r="DHR61" s="220"/>
      <c r="DHS61" s="220"/>
      <c r="DHT61" s="217"/>
      <c r="DHU61" s="221"/>
      <c r="DHV61" s="216"/>
      <c r="DHW61" s="217"/>
      <c r="DHX61" s="218"/>
      <c r="DHY61" s="219"/>
      <c r="DHZ61" s="220"/>
      <c r="DIA61" s="220"/>
      <c r="DIB61" s="220"/>
      <c r="DIC61" s="220"/>
      <c r="DID61" s="217"/>
      <c r="DIE61" s="221"/>
      <c r="DIF61" s="216"/>
      <c r="DIG61" s="217"/>
      <c r="DIH61" s="218"/>
      <c r="DII61" s="219"/>
      <c r="DIJ61" s="220"/>
      <c r="DIK61" s="220"/>
      <c r="DIL61" s="220"/>
      <c r="DIM61" s="220"/>
      <c r="DIN61" s="217"/>
      <c r="DIO61" s="221"/>
      <c r="DIP61" s="216"/>
      <c r="DIQ61" s="217"/>
      <c r="DIR61" s="218"/>
      <c r="DIS61" s="219"/>
      <c r="DIT61" s="220"/>
      <c r="DIU61" s="220"/>
      <c r="DIV61" s="220"/>
      <c r="DIW61" s="220"/>
      <c r="DIX61" s="217"/>
      <c r="DIY61" s="221"/>
      <c r="DIZ61" s="216"/>
      <c r="DJA61" s="217"/>
      <c r="DJB61" s="218"/>
      <c r="DJC61" s="219"/>
      <c r="DJD61" s="220"/>
      <c r="DJE61" s="220"/>
      <c r="DJF61" s="220"/>
      <c r="DJG61" s="220"/>
      <c r="DJH61" s="217"/>
      <c r="DJI61" s="221"/>
      <c r="DJJ61" s="216"/>
      <c r="DJK61" s="217"/>
      <c r="DJL61" s="218"/>
      <c r="DJM61" s="219"/>
      <c r="DJN61" s="220"/>
      <c r="DJO61" s="220"/>
      <c r="DJP61" s="220"/>
      <c r="DJQ61" s="220"/>
      <c r="DJR61" s="217"/>
      <c r="DJS61" s="221"/>
      <c r="DJT61" s="216"/>
      <c r="DJU61" s="217"/>
      <c r="DJV61" s="218"/>
      <c r="DJW61" s="219"/>
      <c r="DJX61" s="220"/>
      <c r="DJY61" s="220"/>
      <c r="DJZ61" s="220"/>
      <c r="DKA61" s="220"/>
      <c r="DKB61" s="217"/>
      <c r="DKC61" s="221"/>
      <c r="DKD61" s="216"/>
      <c r="DKE61" s="217"/>
      <c r="DKF61" s="218"/>
      <c r="DKG61" s="219"/>
      <c r="DKH61" s="220"/>
      <c r="DKI61" s="220"/>
      <c r="DKJ61" s="220"/>
      <c r="DKK61" s="220"/>
      <c r="DKL61" s="217"/>
      <c r="DKM61" s="221"/>
      <c r="DKN61" s="216"/>
      <c r="DKO61" s="217"/>
      <c r="DKP61" s="218"/>
      <c r="DKQ61" s="219"/>
      <c r="DKR61" s="220"/>
      <c r="DKS61" s="220"/>
      <c r="DKT61" s="220"/>
      <c r="DKU61" s="220"/>
      <c r="DKV61" s="217"/>
      <c r="DKW61" s="221"/>
      <c r="DKX61" s="216"/>
      <c r="DKY61" s="217"/>
      <c r="DKZ61" s="218"/>
      <c r="DLA61" s="219"/>
      <c r="DLB61" s="220"/>
      <c r="DLC61" s="220"/>
      <c r="DLD61" s="220"/>
      <c r="DLE61" s="220"/>
      <c r="DLF61" s="217"/>
      <c r="DLG61" s="221"/>
      <c r="DLH61" s="216"/>
      <c r="DLI61" s="217"/>
      <c r="DLJ61" s="218"/>
      <c r="DLK61" s="219"/>
      <c r="DLL61" s="220"/>
      <c r="DLM61" s="220"/>
      <c r="DLN61" s="220"/>
      <c r="DLO61" s="220"/>
      <c r="DLP61" s="217"/>
      <c r="DLQ61" s="221"/>
      <c r="DLR61" s="216"/>
      <c r="DLS61" s="217"/>
      <c r="DLT61" s="218"/>
      <c r="DLU61" s="219"/>
      <c r="DLV61" s="220"/>
      <c r="DLW61" s="220"/>
      <c r="DLX61" s="220"/>
      <c r="DLY61" s="220"/>
      <c r="DLZ61" s="217"/>
      <c r="DMA61" s="221"/>
      <c r="DMB61" s="216"/>
      <c r="DMC61" s="217"/>
      <c r="DMD61" s="218"/>
      <c r="DME61" s="219"/>
      <c r="DMF61" s="220"/>
      <c r="DMG61" s="220"/>
      <c r="DMH61" s="220"/>
      <c r="DMI61" s="220"/>
      <c r="DMJ61" s="217"/>
      <c r="DMK61" s="221"/>
      <c r="DML61" s="216"/>
      <c r="DMM61" s="217"/>
      <c r="DMN61" s="218"/>
      <c r="DMO61" s="219"/>
      <c r="DMP61" s="220"/>
      <c r="DMQ61" s="220"/>
      <c r="DMR61" s="220"/>
      <c r="DMS61" s="220"/>
      <c r="DMT61" s="217"/>
      <c r="DMU61" s="221"/>
      <c r="DMV61" s="216"/>
      <c r="DMW61" s="217"/>
      <c r="DMX61" s="218"/>
      <c r="DMY61" s="219"/>
      <c r="DMZ61" s="220"/>
      <c r="DNA61" s="220"/>
      <c r="DNB61" s="220"/>
      <c r="DNC61" s="220"/>
      <c r="DND61" s="217"/>
      <c r="DNE61" s="221"/>
      <c r="DNF61" s="216"/>
      <c r="DNG61" s="217"/>
      <c r="DNH61" s="218"/>
      <c r="DNI61" s="219"/>
      <c r="DNJ61" s="220"/>
      <c r="DNK61" s="220"/>
      <c r="DNL61" s="220"/>
      <c r="DNM61" s="220"/>
      <c r="DNN61" s="217"/>
      <c r="DNO61" s="221"/>
      <c r="DNP61" s="216"/>
      <c r="DNQ61" s="217"/>
      <c r="DNR61" s="218"/>
      <c r="DNS61" s="219"/>
      <c r="DNT61" s="220"/>
      <c r="DNU61" s="220"/>
      <c r="DNV61" s="220"/>
      <c r="DNW61" s="220"/>
      <c r="DNX61" s="217"/>
      <c r="DNY61" s="221"/>
      <c r="DNZ61" s="216"/>
      <c r="DOA61" s="217"/>
      <c r="DOB61" s="218"/>
      <c r="DOC61" s="219"/>
      <c r="DOD61" s="220"/>
      <c r="DOE61" s="220"/>
      <c r="DOF61" s="220"/>
      <c r="DOG61" s="220"/>
      <c r="DOH61" s="217"/>
      <c r="DOI61" s="221"/>
      <c r="DOJ61" s="216"/>
      <c r="DOK61" s="217"/>
      <c r="DOL61" s="218"/>
      <c r="DOM61" s="219"/>
      <c r="DON61" s="220"/>
      <c r="DOO61" s="220"/>
      <c r="DOP61" s="220"/>
      <c r="DOQ61" s="220"/>
      <c r="DOR61" s="217"/>
      <c r="DOS61" s="221"/>
      <c r="DOT61" s="216"/>
      <c r="DOU61" s="217"/>
      <c r="DOV61" s="218"/>
      <c r="DOW61" s="219"/>
      <c r="DOX61" s="220"/>
      <c r="DOY61" s="220"/>
      <c r="DOZ61" s="220"/>
      <c r="DPA61" s="220"/>
      <c r="DPB61" s="217"/>
      <c r="DPC61" s="221"/>
      <c r="DPD61" s="216"/>
      <c r="DPE61" s="217"/>
      <c r="DPF61" s="218"/>
      <c r="DPG61" s="219"/>
      <c r="DPH61" s="220"/>
      <c r="DPI61" s="220"/>
      <c r="DPJ61" s="220"/>
      <c r="DPK61" s="220"/>
      <c r="DPL61" s="217"/>
      <c r="DPM61" s="221"/>
      <c r="DPN61" s="216"/>
      <c r="DPO61" s="217"/>
      <c r="DPP61" s="218"/>
      <c r="DPQ61" s="219"/>
      <c r="DPR61" s="220"/>
      <c r="DPS61" s="220"/>
      <c r="DPT61" s="220"/>
      <c r="DPU61" s="220"/>
      <c r="DPV61" s="217"/>
      <c r="DPW61" s="221"/>
      <c r="DPX61" s="216"/>
      <c r="DPY61" s="217"/>
      <c r="DPZ61" s="218"/>
      <c r="DQA61" s="219"/>
      <c r="DQB61" s="220"/>
      <c r="DQC61" s="220"/>
      <c r="DQD61" s="220"/>
      <c r="DQE61" s="220"/>
      <c r="DQF61" s="217"/>
      <c r="DQG61" s="221"/>
      <c r="DQH61" s="216"/>
      <c r="DQI61" s="217"/>
      <c r="DQJ61" s="218"/>
      <c r="DQK61" s="219"/>
      <c r="DQL61" s="220"/>
      <c r="DQM61" s="220"/>
      <c r="DQN61" s="220"/>
      <c r="DQO61" s="220"/>
      <c r="DQP61" s="217"/>
      <c r="DQQ61" s="221"/>
      <c r="DQR61" s="216"/>
      <c r="DQS61" s="217"/>
      <c r="DQT61" s="218"/>
      <c r="DQU61" s="219"/>
      <c r="DQV61" s="220"/>
      <c r="DQW61" s="220"/>
      <c r="DQX61" s="220"/>
      <c r="DQY61" s="220"/>
      <c r="DQZ61" s="217"/>
      <c r="DRA61" s="221"/>
      <c r="DRB61" s="216"/>
      <c r="DRC61" s="217"/>
      <c r="DRD61" s="218"/>
      <c r="DRE61" s="219"/>
      <c r="DRF61" s="220"/>
      <c r="DRG61" s="220"/>
      <c r="DRH61" s="220"/>
      <c r="DRI61" s="220"/>
      <c r="DRJ61" s="217"/>
      <c r="DRK61" s="221"/>
      <c r="DRL61" s="216"/>
      <c r="DRM61" s="217"/>
      <c r="DRN61" s="218"/>
      <c r="DRO61" s="219"/>
      <c r="DRP61" s="220"/>
      <c r="DRQ61" s="220"/>
      <c r="DRR61" s="220"/>
      <c r="DRS61" s="220"/>
      <c r="DRT61" s="217"/>
      <c r="DRU61" s="221"/>
      <c r="DRV61" s="216"/>
      <c r="DRW61" s="217"/>
      <c r="DRX61" s="218"/>
      <c r="DRY61" s="219"/>
      <c r="DRZ61" s="220"/>
      <c r="DSA61" s="220"/>
      <c r="DSB61" s="220"/>
      <c r="DSC61" s="220"/>
      <c r="DSD61" s="217"/>
      <c r="DSE61" s="221"/>
      <c r="DSF61" s="216"/>
      <c r="DSG61" s="217"/>
      <c r="DSH61" s="218"/>
      <c r="DSI61" s="219"/>
      <c r="DSJ61" s="220"/>
      <c r="DSK61" s="220"/>
      <c r="DSL61" s="220"/>
      <c r="DSM61" s="220"/>
      <c r="DSN61" s="217"/>
      <c r="DSO61" s="221"/>
      <c r="DSP61" s="216"/>
      <c r="DSQ61" s="217"/>
      <c r="DSR61" s="218"/>
      <c r="DSS61" s="219"/>
      <c r="DST61" s="220"/>
      <c r="DSU61" s="220"/>
      <c r="DSV61" s="220"/>
      <c r="DSW61" s="220"/>
      <c r="DSX61" s="217"/>
      <c r="DSY61" s="221"/>
      <c r="DSZ61" s="216"/>
      <c r="DTA61" s="217"/>
      <c r="DTB61" s="218"/>
      <c r="DTC61" s="219"/>
      <c r="DTD61" s="220"/>
      <c r="DTE61" s="220"/>
      <c r="DTF61" s="220"/>
      <c r="DTG61" s="220"/>
      <c r="DTH61" s="217"/>
      <c r="DTI61" s="221"/>
      <c r="DTJ61" s="216"/>
      <c r="DTK61" s="217"/>
      <c r="DTL61" s="218"/>
      <c r="DTM61" s="219"/>
      <c r="DTN61" s="220"/>
      <c r="DTO61" s="220"/>
      <c r="DTP61" s="220"/>
      <c r="DTQ61" s="220"/>
      <c r="DTR61" s="217"/>
      <c r="DTS61" s="221"/>
      <c r="DTT61" s="216"/>
      <c r="DTU61" s="217"/>
      <c r="DTV61" s="218"/>
      <c r="DTW61" s="219"/>
      <c r="DTX61" s="220"/>
      <c r="DTY61" s="220"/>
      <c r="DTZ61" s="220"/>
      <c r="DUA61" s="220"/>
      <c r="DUB61" s="217"/>
      <c r="DUC61" s="221"/>
      <c r="DUD61" s="216"/>
      <c r="DUE61" s="217"/>
      <c r="DUF61" s="218"/>
      <c r="DUG61" s="219"/>
      <c r="DUH61" s="220"/>
      <c r="DUI61" s="220"/>
      <c r="DUJ61" s="220"/>
      <c r="DUK61" s="220"/>
      <c r="DUL61" s="217"/>
      <c r="DUM61" s="221"/>
      <c r="DUN61" s="216"/>
      <c r="DUO61" s="217"/>
      <c r="DUP61" s="218"/>
      <c r="DUQ61" s="219"/>
      <c r="DUR61" s="220"/>
      <c r="DUS61" s="220"/>
      <c r="DUT61" s="220"/>
      <c r="DUU61" s="220"/>
      <c r="DUV61" s="217"/>
      <c r="DUW61" s="221"/>
      <c r="DUX61" s="216"/>
      <c r="DUY61" s="217"/>
      <c r="DUZ61" s="218"/>
      <c r="DVA61" s="219"/>
      <c r="DVB61" s="220"/>
      <c r="DVC61" s="220"/>
      <c r="DVD61" s="220"/>
      <c r="DVE61" s="220"/>
      <c r="DVF61" s="217"/>
      <c r="DVG61" s="221"/>
      <c r="DVH61" s="216"/>
      <c r="DVI61" s="217"/>
      <c r="DVJ61" s="218"/>
      <c r="DVK61" s="219"/>
      <c r="DVL61" s="220"/>
      <c r="DVM61" s="220"/>
      <c r="DVN61" s="220"/>
      <c r="DVO61" s="220"/>
      <c r="DVP61" s="217"/>
      <c r="DVQ61" s="221"/>
      <c r="DVR61" s="216"/>
      <c r="DVS61" s="217"/>
      <c r="DVT61" s="218"/>
      <c r="DVU61" s="219"/>
      <c r="DVV61" s="220"/>
      <c r="DVW61" s="220"/>
      <c r="DVX61" s="220"/>
      <c r="DVY61" s="220"/>
      <c r="DVZ61" s="217"/>
      <c r="DWA61" s="221"/>
      <c r="DWB61" s="216"/>
      <c r="DWC61" s="217"/>
      <c r="DWD61" s="218"/>
      <c r="DWE61" s="219"/>
      <c r="DWF61" s="220"/>
      <c r="DWG61" s="220"/>
      <c r="DWH61" s="220"/>
      <c r="DWI61" s="220"/>
      <c r="DWJ61" s="217"/>
      <c r="DWK61" s="221"/>
      <c r="DWL61" s="216"/>
      <c r="DWM61" s="217"/>
      <c r="DWN61" s="218"/>
      <c r="DWO61" s="219"/>
      <c r="DWP61" s="220"/>
      <c r="DWQ61" s="220"/>
      <c r="DWR61" s="220"/>
      <c r="DWS61" s="220"/>
      <c r="DWT61" s="217"/>
      <c r="DWU61" s="221"/>
      <c r="DWV61" s="216"/>
      <c r="DWW61" s="217"/>
      <c r="DWX61" s="218"/>
      <c r="DWY61" s="219"/>
      <c r="DWZ61" s="220"/>
      <c r="DXA61" s="220"/>
      <c r="DXB61" s="220"/>
      <c r="DXC61" s="220"/>
      <c r="DXD61" s="217"/>
      <c r="DXE61" s="221"/>
      <c r="DXF61" s="216"/>
      <c r="DXG61" s="217"/>
      <c r="DXH61" s="218"/>
      <c r="DXI61" s="219"/>
      <c r="DXJ61" s="220"/>
      <c r="DXK61" s="220"/>
      <c r="DXL61" s="220"/>
      <c r="DXM61" s="220"/>
      <c r="DXN61" s="217"/>
      <c r="DXO61" s="221"/>
      <c r="DXP61" s="216"/>
      <c r="DXQ61" s="217"/>
      <c r="DXR61" s="218"/>
      <c r="DXS61" s="219"/>
      <c r="DXT61" s="220"/>
      <c r="DXU61" s="220"/>
      <c r="DXV61" s="220"/>
      <c r="DXW61" s="220"/>
      <c r="DXX61" s="217"/>
      <c r="DXY61" s="221"/>
      <c r="DXZ61" s="216"/>
      <c r="DYA61" s="217"/>
      <c r="DYB61" s="218"/>
      <c r="DYC61" s="219"/>
      <c r="DYD61" s="220"/>
      <c r="DYE61" s="220"/>
      <c r="DYF61" s="220"/>
      <c r="DYG61" s="220"/>
      <c r="DYH61" s="217"/>
      <c r="DYI61" s="221"/>
      <c r="DYJ61" s="216"/>
      <c r="DYK61" s="217"/>
      <c r="DYL61" s="218"/>
      <c r="DYM61" s="219"/>
      <c r="DYN61" s="220"/>
      <c r="DYO61" s="220"/>
      <c r="DYP61" s="220"/>
      <c r="DYQ61" s="220"/>
      <c r="DYR61" s="217"/>
      <c r="DYS61" s="221"/>
      <c r="DYT61" s="216"/>
      <c r="DYU61" s="217"/>
      <c r="DYV61" s="218"/>
      <c r="DYW61" s="219"/>
      <c r="DYX61" s="220"/>
      <c r="DYY61" s="220"/>
      <c r="DYZ61" s="220"/>
      <c r="DZA61" s="220"/>
      <c r="DZB61" s="217"/>
      <c r="DZC61" s="221"/>
      <c r="DZD61" s="216"/>
      <c r="DZE61" s="217"/>
      <c r="DZF61" s="218"/>
      <c r="DZG61" s="219"/>
      <c r="DZH61" s="220"/>
      <c r="DZI61" s="220"/>
      <c r="DZJ61" s="220"/>
      <c r="DZK61" s="220"/>
      <c r="DZL61" s="217"/>
      <c r="DZM61" s="221"/>
      <c r="DZN61" s="216"/>
      <c r="DZO61" s="217"/>
      <c r="DZP61" s="218"/>
      <c r="DZQ61" s="219"/>
      <c r="DZR61" s="220"/>
      <c r="DZS61" s="220"/>
      <c r="DZT61" s="220"/>
      <c r="DZU61" s="220"/>
      <c r="DZV61" s="217"/>
      <c r="DZW61" s="221"/>
      <c r="DZX61" s="216"/>
      <c r="DZY61" s="217"/>
      <c r="DZZ61" s="218"/>
      <c r="EAA61" s="219"/>
      <c r="EAB61" s="220"/>
      <c r="EAC61" s="220"/>
      <c r="EAD61" s="220"/>
      <c r="EAE61" s="220"/>
      <c r="EAF61" s="217"/>
      <c r="EAG61" s="221"/>
      <c r="EAH61" s="216"/>
      <c r="EAI61" s="217"/>
      <c r="EAJ61" s="218"/>
      <c r="EAK61" s="219"/>
      <c r="EAL61" s="220"/>
      <c r="EAM61" s="220"/>
      <c r="EAN61" s="220"/>
      <c r="EAO61" s="220"/>
      <c r="EAP61" s="217"/>
      <c r="EAQ61" s="221"/>
      <c r="EAR61" s="216"/>
      <c r="EAS61" s="217"/>
      <c r="EAT61" s="218"/>
      <c r="EAU61" s="219"/>
      <c r="EAV61" s="220"/>
      <c r="EAW61" s="220"/>
      <c r="EAX61" s="220"/>
      <c r="EAY61" s="220"/>
      <c r="EAZ61" s="217"/>
      <c r="EBA61" s="221"/>
      <c r="EBB61" s="216"/>
      <c r="EBC61" s="217"/>
      <c r="EBD61" s="218"/>
      <c r="EBE61" s="219"/>
      <c r="EBF61" s="220"/>
      <c r="EBG61" s="220"/>
      <c r="EBH61" s="220"/>
      <c r="EBI61" s="220"/>
      <c r="EBJ61" s="217"/>
      <c r="EBK61" s="221"/>
      <c r="EBL61" s="216"/>
      <c r="EBM61" s="217"/>
      <c r="EBN61" s="218"/>
      <c r="EBO61" s="219"/>
      <c r="EBP61" s="220"/>
      <c r="EBQ61" s="220"/>
      <c r="EBR61" s="220"/>
      <c r="EBS61" s="220"/>
      <c r="EBT61" s="217"/>
      <c r="EBU61" s="221"/>
      <c r="EBV61" s="216"/>
      <c r="EBW61" s="217"/>
      <c r="EBX61" s="218"/>
      <c r="EBY61" s="219"/>
      <c r="EBZ61" s="220"/>
      <c r="ECA61" s="220"/>
      <c r="ECB61" s="220"/>
      <c r="ECC61" s="220"/>
      <c r="ECD61" s="217"/>
      <c r="ECE61" s="221"/>
      <c r="ECF61" s="216"/>
      <c r="ECG61" s="217"/>
      <c r="ECH61" s="218"/>
      <c r="ECI61" s="219"/>
      <c r="ECJ61" s="220"/>
      <c r="ECK61" s="220"/>
      <c r="ECL61" s="220"/>
      <c r="ECM61" s="220"/>
      <c r="ECN61" s="217"/>
      <c r="ECO61" s="221"/>
      <c r="ECP61" s="216"/>
      <c r="ECQ61" s="217"/>
      <c r="ECR61" s="218"/>
      <c r="ECS61" s="219"/>
      <c r="ECT61" s="220"/>
      <c r="ECU61" s="220"/>
      <c r="ECV61" s="220"/>
      <c r="ECW61" s="220"/>
      <c r="ECX61" s="217"/>
      <c r="ECY61" s="221"/>
      <c r="ECZ61" s="216"/>
      <c r="EDA61" s="217"/>
      <c r="EDB61" s="218"/>
      <c r="EDC61" s="219"/>
      <c r="EDD61" s="220"/>
      <c r="EDE61" s="220"/>
      <c r="EDF61" s="220"/>
      <c r="EDG61" s="220"/>
      <c r="EDH61" s="217"/>
      <c r="EDI61" s="221"/>
      <c r="EDJ61" s="216"/>
      <c r="EDK61" s="217"/>
      <c r="EDL61" s="218"/>
      <c r="EDM61" s="219"/>
      <c r="EDN61" s="220"/>
      <c r="EDO61" s="220"/>
      <c r="EDP61" s="220"/>
      <c r="EDQ61" s="220"/>
      <c r="EDR61" s="217"/>
      <c r="EDS61" s="221"/>
      <c r="EDT61" s="216"/>
      <c r="EDU61" s="217"/>
      <c r="EDV61" s="218"/>
      <c r="EDW61" s="219"/>
      <c r="EDX61" s="220"/>
      <c r="EDY61" s="220"/>
      <c r="EDZ61" s="220"/>
      <c r="EEA61" s="220"/>
      <c r="EEB61" s="217"/>
      <c r="EEC61" s="221"/>
      <c r="EED61" s="216"/>
      <c r="EEE61" s="217"/>
      <c r="EEF61" s="218"/>
      <c r="EEG61" s="219"/>
      <c r="EEH61" s="220"/>
      <c r="EEI61" s="220"/>
      <c r="EEJ61" s="220"/>
      <c r="EEK61" s="220"/>
      <c r="EEL61" s="217"/>
      <c r="EEM61" s="221"/>
      <c r="EEN61" s="216"/>
      <c r="EEO61" s="217"/>
      <c r="EEP61" s="218"/>
      <c r="EEQ61" s="219"/>
      <c r="EER61" s="220"/>
      <c r="EES61" s="220"/>
      <c r="EET61" s="220"/>
      <c r="EEU61" s="220"/>
      <c r="EEV61" s="217"/>
      <c r="EEW61" s="221"/>
      <c r="EEX61" s="216"/>
      <c r="EEY61" s="217"/>
      <c r="EEZ61" s="218"/>
      <c r="EFA61" s="219"/>
      <c r="EFB61" s="220"/>
      <c r="EFC61" s="220"/>
      <c r="EFD61" s="220"/>
      <c r="EFE61" s="220"/>
      <c r="EFF61" s="217"/>
      <c r="EFG61" s="221"/>
      <c r="EFH61" s="216"/>
      <c r="EFI61" s="217"/>
      <c r="EFJ61" s="218"/>
      <c r="EFK61" s="219"/>
      <c r="EFL61" s="220"/>
      <c r="EFM61" s="220"/>
      <c r="EFN61" s="220"/>
      <c r="EFO61" s="220"/>
      <c r="EFP61" s="217"/>
      <c r="EFQ61" s="221"/>
      <c r="EFR61" s="216"/>
      <c r="EFS61" s="217"/>
      <c r="EFT61" s="218"/>
      <c r="EFU61" s="219"/>
      <c r="EFV61" s="220"/>
      <c r="EFW61" s="220"/>
      <c r="EFX61" s="220"/>
      <c r="EFY61" s="220"/>
      <c r="EFZ61" s="217"/>
      <c r="EGA61" s="221"/>
      <c r="EGB61" s="216"/>
      <c r="EGC61" s="217"/>
      <c r="EGD61" s="218"/>
      <c r="EGE61" s="219"/>
      <c r="EGF61" s="220"/>
      <c r="EGG61" s="220"/>
      <c r="EGH61" s="220"/>
      <c r="EGI61" s="220"/>
      <c r="EGJ61" s="217"/>
      <c r="EGK61" s="221"/>
      <c r="EGL61" s="216"/>
      <c r="EGM61" s="217"/>
      <c r="EGN61" s="218"/>
      <c r="EGO61" s="219"/>
      <c r="EGP61" s="220"/>
      <c r="EGQ61" s="220"/>
      <c r="EGR61" s="220"/>
      <c r="EGS61" s="220"/>
      <c r="EGT61" s="217"/>
      <c r="EGU61" s="221"/>
      <c r="EGV61" s="216"/>
      <c r="EGW61" s="217"/>
      <c r="EGX61" s="218"/>
      <c r="EGY61" s="219"/>
      <c r="EGZ61" s="220"/>
      <c r="EHA61" s="220"/>
      <c r="EHB61" s="220"/>
      <c r="EHC61" s="220"/>
      <c r="EHD61" s="217"/>
      <c r="EHE61" s="221"/>
      <c r="EHF61" s="216"/>
      <c r="EHG61" s="217"/>
      <c r="EHH61" s="218"/>
      <c r="EHI61" s="219"/>
      <c r="EHJ61" s="220"/>
      <c r="EHK61" s="220"/>
      <c r="EHL61" s="220"/>
      <c r="EHM61" s="220"/>
      <c r="EHN61" s="217"/>
      <c r="EHO61" s="221"/>
      <c r="EHP61" s="216"/>
      <c r="EHQ61" s="217"/>
      <c r="EHR61" s="218"/>
      <c r="EHS61" s="219"/>
      <c r="EHT61" s="220"/>
      <c r="EHU61" s="220"/>
      <c r="EHV61" s="220"/>
      <c r="EHW61" s="220"/>
      <c r="EHX61" s="217"/>
      <c r="EHY61" s="221"/>
      <c r="EHZ61" s="216"/>
      <c r="EIA61" s="217"/>
      <c r="EIB61" s="218"/>
      <c r="EIC61" s="219"/>
      <c r="EID61" s="220"/>
      <c r="EIE61" s="220"/>
      <c r="EIF61" s="220"/>
      <c r="EIG61" s="220"/>
      <c r="EIH61" s="217"/>
      <c r="EII61" s="221"/>
      <c r="EIJ61" s="216"/>
      <c r="EIK61" s="217"/>
      <c r="EIL61" s="218"/>
      <c r="EIM61" s="219"/>
      <c r="EIN61" s="220"/>
      <c r="EIO61" s="220"/>
      <c r="EIP61" s="220"/>
      <c r="EIQ61" s="220"/>
      <c r="EIR61" s="217"/>
      <c r="EIS61" s="221"/>
      <c r="EIT61" s="216"/>
      <c r="EIU61" s="217"/>
      <c r="EIV61" s="218"/>
      <c r="EIW61" s="219"/>
      <c r="EIX61" s="220"/>
      <c r="EIY61" s="220"/>
      <c r="EIZ61" s="220"/>
      <c r="EJA61" s="220"/>
      <c r="EJB61" s="217"/>
      <c r="EJC61" s="221"/>
      <c r="EJD61" s="216"/>
      <c r="EJE61" s="217"/>
      <c r="EJF61" s="218"/>
      <c r="EJG61" s="219"/>
      <c r="EJH61" s="220"/>
      <c r="EJI61" s="220"/>
      <c r="EJJ61" s="220"/>
      <c r="EJK61" s="220"/>
      <c r="EJL61" s="217"/>
      <c r="EJM61" s="221"/>
      <c r="EJN61" s="216"/>
      <c r="EJO61" s="217"/>
      <c r="EJP61" s="218"/>
      <c r="EJQ61" s="219"/>
      <c r="EJR61" s="220"/>
      <c r="EJS61" s="220"/>
      <c r="EJT61" s="220"/>
      <c r="EJU61" s="220"/>
      <c r="EJV61" s="217"/>
      <c r="EJW61" s="221"/>
      <c r="EJX61" s="216"/>
      <c r="EJY61" s="217"/>
      <c r="EJZ61" s="218"/>
      <c r="EKA61" s="219"/>
      <c r="EKB61" s="220"/>
      <c r="EKC61" s="220"/>
      <c r="EKD61" s="220"/>
      <c r="EKE61" s="220"/>
      <c r="EKF61" s="217"/>
      <c r="EKG61" s="221"/>
      <c r="EKH61" s="216"/>
      <c r="EKI61" s="217"/>
      <c r="EKJ61" s="218"/>
      <c r="EKK61" s="219"/>
      <c r="EKL61" s="220"/>
      <c r="EKM61" s="220"/>
      <c r="EKN61" s="220"/>
      <c r="EKO61" s="220"/>
      <c r="EKP61" s="217"/>
      <c r="EKQ61" s="221"/>
      <c r="EKR61" s="216"/>
      <c r="EKS61" s="217"/>
      <c r="EKT61" s="218"/>
      <c r="EKU61" s="219"/>
      <c r="EKV61" s="220"/>
      <c r="EKW61" s="220"/>
      <c r="EKX61" s="220"/>
      <c r="EKY61" s="220"/>
      <c r="EKZ61" s="217"/>
      <c r="ELA61" s="221"/>
      <c r="ELB61" s="216"/>
      <c r="ELC61" s="217"/>
      <c r="ELD61" s="218"/>
      <c r="ELE61" s="219"/>
      <c r="ELF61" s="220"/>
      <c r="ELG61" s="220"/>
      <c r="ELH61" s="220"/>
      <c r="ELI61" s="220"/>
      <c r="ELJ61" s="217"/>
      <c r="ELK61" s="221"/>
      <c r="ELL61" s="216"/>
      <c r="ELM61" s="217"/>
      <c r="ELN61" s="218"/>
      <c r="ELO61" s="219"/>
      <c r="ELP61" s="220"/>
      <c r="ELQ61" s="220"/>
      <c r="ELR61" s="220"/>
      <c r="ELS61" s="220"/>
      <c r="ELT61" s="217"/>
      <c r="ELU61" s="221"/>
      <c r="ELV61" s="216"/>
      <c r="ELW61" s="217"/>
      <c r="ELX61" s="218"/>
      <c r="ELY61" s="219"/>
      <c r="ELZ61" s="220"/>
      <c r="EMA61" s="220"/>
      <c r="EMB61" s="220"/>
      <c r="EMC61" s="220"/>
      <c r="EMD61" s="217"/>
      <c r="EME61" s="221"/>
      <c r="EMF61" s="216"/>
      <c r="EMG61" s="217"/>
      <c r="EMH61" s="218"/>
      <c r="EMI61" s="219"/>
      <c r="EMJ61" s="220"/>
      <c r="EMK61" s="220"/>
      <c r="EML61" s="220"/>
      <c r="EMM61" s="220"/>
      <c r="EMN61" s="217"/>
      <c r="EMO61" s="221"/>
      <c r="EMP61" s="216"/>
      <c r="EMQ61" s="217"/>
      <c r="EMR61" s="218"/>
      <c r="EMS61" s="219"/>
      <c r="EMT61" s="220"/>
      <c r="EMU61" s="220"/>
      <c r="EMV61" s="220"/>
      <c r="EMW61" s="220"/>
      <c r="EMX61" s="217"/>
      <c r="EMY61" s="221"/>
      <c r="EMZ61" s="216"/>
      <c r="ENA61" s="217"/>
      <c r="ENB61" s="218"/>
      <c r="ENC61" s="219"/>
      <c r="END61" s="220"/>
      <c r="ENE61" s="220"/>
      <c r="ENF61" s="220"/>
      <c r="ENG61" s="220"/>
      <c r="ENH61" s="217"/>
      <c r="ENI61" s="221"/>
      <c r="ENJ61" s="216"/>
      <c r="ENK61" s="217"/>
      <c r="ENL61" s="218"/>
      <c r="ENM61" s="219"/>
      <c r="ENN61" s="220"/>
      <c r="ENO61" s="220"/>
      <c r="ENP61" s="220"/>
      <c r="ENQ61" s="220"/>
      <c r="ENR61" s="217"/>
      <c r="ENS61" s="221"/>
      <c r="ENT61" s="216"/>
      <c r="ENU61" s="217"/>
      <c r="ENV61" s="218"/>
      <c r="ENW61" s="219"/>
      <c r="ENX61" s="220"/>
      <c r="ENY61" s="220"/>
      <c r="ENZ61" s="220"/>
      <c r="EOA61" s="220"/>
      <c r="EOB61" s="217"/>
      <c r="EOC61" s="221"/>
      <c r="EOD61" s="216"/>
      <c r="EOE61" s="217"/>
      <c r="EOF61" s="218"/>
      <c r="EOG61" s="219"/>
      <c r="EOH61" s="220"/>
      <c r="EOI61" s="220"/>
      <c r="EOJ61" s="220"/>
      <c r="EOK61" s="220"/>
      <c r="EOL61" s="217"/>
      <c r="EOM61" s="221"/>
      <c r="EON61" s="216"/>
      <c r="EOO61" s="217"/>
      <c r="EOP61" s="218"/>
      <c r="EOQ61" s="219"/>
      <c r="EOR61" s="220"/>
      <c r="EOS61" s="220"/>
      <c r="EOT61" s="220"/>
      <c r="EOU61" s="220"/>
      <c r="EOV61" s="217"/>
      <c r="EOW61" s="221"/>
      <c r="EOX61" s="216"/>
      <c r="EOY61" s="217"/>
      <c r="EOZ61" s="218"/>
      <c r="EPA61" s="219"/>
      <c r="EPB61" s="220"/>
      <c r="EPC61" s="220"/>
      <c r="EPD61" s="220"/>
      <c r="EPE61" s="220"/>
      <c r="EPF61" s="217"/>
      <c r="EPG61" s="221"/>
      <c r="EPH61" s="216"/>
      <c r="EPI61" s="217"/>
      <c r="EPJ61" s="218"/>
      <c r="EPK61" s="219"/>
      <c r="EPL61" s="220"/>
      <c r="EPM61" s="220"/>
      <c r="EPN61" s="220"/>
      <c r="EPO61" s="220"/>
      <c r="EPP61" s="217"/>
      <c r="EPQ61" s="221"/>
      <c r="EPR61" s="216"/>
      <c r="EPS61" s="217"/>
      <c r="EPT61" s="218"/>
      <c r="EPU61" s="219"/>
      <c r="EPV61" s="220"/>
      <c r="EPW61" s="220"/>
      <c r="EPX61" s="220"/>
      <c r="EPY61" s="220"/>
      <c r="EPZ61" s="217"/>
      <c r="EQA61" s="221"/>
      <c r="EQB61" s="216"/>
      <c r="EQC61" s="217"/>
      <c r="EQD61" s="218"/>
      <c r="EQE61" s="219"/>
      <c r="EQF61" s="220"/>
      <c r="EQG61" s="220"/>
      <c r="EQH61" s="220"/>
      <c r="EQI61" s="220"/>
      <c r="EQJ61" s="217"/>
      <c r="EQK61" s="221"/>
      <c r="EQL61" s="216"/>
      <c r="EQM61" s="217"/>
      <c r="EQN61" s="218"/>
      <c r="EQO61" s="219"/>
      <c r="EQP61" s="220"/>
      <c r="EQQ61" s="220"/>
      <c r="EQR61" s="220"/>
      <c r="EQS61" s="220"/>
      <c r="EQT61" s="217"/>
      <c r="EQU61" s="221"/>
      <c r="EQV61" s="216"/>
      <c r="EQW61" s="217"/>
      <c r="EQX61" s="218"/>
      <c r="EQY61" s="219"/>
      <c r="EQZ61" s="220"/>
      <c r="ERA61" s="220"/>
      <c r="ERB61" s="220"/>
      <c r="ERC61" s="220"/>
      <c r="ERD61" s="217"/>
      <c r="ERE61" s="221"/>
      <c r="ERF61" s="216"/>
      <c r="ERG61" s="217"/>
      <c r="ERH61" s="218"/>
      <c r="ERI61" s="219"/>
      <c r="ERJ61" s="220"/>
      <c r="ERK61" s="220"/>
      <c r="ERL61" s="220"/>
      <c r="ERM61" s="220"/>
      <c r="ERN61" s="217"/>
      <c r="ERO61" s="221"/>
      <c r="ERP61" s="216"/>
      <c r="ERQ61" s="217"/>
      <c r="ERR61" s="218"/>
      <c r="ERS61" s="219"/>
      <c r="ERT61" s="220"/>
      <c r="ERU61" s="220"/>
      <c r="ERV61" s="220"/>
      <c r="ERW61" s="220"/>
      <c r="ERX61" s="217"/>
      <c r="ERY61" s="221"/>
      <c r="ERZ61" s="216"/>
      <c r="ESA61" s="217"/>
      <c r="ESB61" s="218"/>
      <c r="ESC61" s="219"/>
      <c r="ESD61" s="220"/>
      <c r="ESE61" s="220"/>
      <c r="ESF61" s="220"/>
      <c r="ESG61" s="220"/>
      <c r="ESH61" s="217"/>
      <c r="ESI61" s="221"/>
      <c r="ESJ61" s="216"/>
      <c r="ESK61" s="217"/>
      <c r="ESL61" s="218"/>
      <c r="ESM61" s="219"/>
      <c r="ESN61" s="220"/>
      <c r="ESO61" s="220"/>
      <c r="ESP61" s="220"/>
      <c r="ESQ61" s="220"/>
      <c r="ESR61" s="217"/>
      <c r="ESS61" s="221"/>
      <c r="EST61" s="216"/>
      <c r="ESU61" s="217"/>
      <c r="ESV61" s="218"/>
      <c r="ESW61" s="219"/>
      <c r="ESX61" s="220"/>
      <c r="ESY61" s="220"/>
      <c r="ESZ61" s="220"/>
      <c r="ETA61" s="220"/>
      <c r="ETB61" s="217"/>
      <c r="ETC61" s="221"/>
      <c r="ETD61" s="216"/>
      <c r="ETE61" s="217"/>
      <c r="ETF61" s="218"/>
      <c r="ETG61" s="219"/>
      <c r="ETH61" s="220"/>
      <c r="ETI61" s="220"/>
      <c r="ETJ61" s="220"/>
      <c r="ETK61" s="220"/>
      <c r="ETL61" s="217"/>
      <c r="ETM61" s="221"/>
      <c r="ETN61" s="216"/>
      <c r="ETO61" s="217"/>
      <c r="ETP61" s="218"/>
      <c r="ETQ61" s="219"/>
      <c r="ETR61" s="220"/>
      <c r="ETS61" s="220"/>
      <c r="ETT61" s="220"/>
      <c r="ETU61" s="220"/>
      <c r="ETV61" s="217"/>
      <c r="ETW61" s="221"/>
      <c r="ETX61" s="216"/>
      <c r="ETY61" s="217"/>
      <c r="ETZ61" s="218"/>
      <c r="EUA61" s="219"/>
      <c r="EUB61" s="220"/>
      <c r="EUC61" s="220"/>
      <c r="EUD61" s="220"/>
      <c r="EUE61" s="220"/>
      <c r="EUF61" s="217"/>
      <c r="EUG61" s="221"/>
      <c r="EUH61" s="216"/>
      <c r="EUI61" s="217"/>
      <c r="EUJ61" s="218"/>
      <c r="EUK61" s="219"/>
      <c r="EUL61" s="220"/>
      <c r="EUM61" s="220"/>
      <c r="EUN61" s="220"/>
      <c r="EUO61" s="220"/>
      <c r="EUP61" s="217"/>
      <c r="EUQ61" s="221"/>
      <c r="EUR61" s="216"/>
      <c r="EUS61" s="217"/>
      <c r="EUT61" s="218"/>
      <c r="EUU61" s="219"/>
      <c r="EUV61" s="220"/>
      <c r="EUW61" s="220"/>
      <c r="EUX61" s="220"/>
      <c r="EUY61" s="220"/>
      <c r="EUZ61" s="217"/>
      <c r="EVA61" s="221"/>
      <c r="EVB61" s="216"/>
      <c r="EVC61" s="217"/>
      <c r="EVD61" s="218"/>
      <c r="EVE61" s="219"/>
      <c r="EVF61" s="220"/>
      <c r="EVG61" s="220"/>
      <c r="EVH61" s="220"/>
      <c r="EVI61" s="220"/>
      <c r="EVJ61" s="217"/>
      <c r="EVK61" s="221"/>
      <c r="EVL61" s="216"/>
      <c r="EVM61" s="217"/>
      <c r="EVN61" s="218"/>
      <c r="EVO61" s="219"/>
      <c r="EVP61" s="220"/>
      <c r="EVQ61" s="220"/>
      <c r="EVR61" s="220"/>
      <c r="EVS61" s="220"/>
      <c r="EVT61" s="217"/>
      <c r="EVU61" s="221"/>
      <c r="EVV61" s="216"/>
      <c r="EVW61" s="217"/>
      <c r="EVX61" s="218"/>
      <c r="EVY61" s="219"/>
      <c r="EVZ61" s="220"/>
      <c r="EWA61" s="220"/>
      <c r="EWB61" s="220"/>
      <c r="EWC61" s="220"/>
      <c r="EWD61" s="217"/>
      <c r="EWE61" s="221"/>
      <c r="EWF61" s="216"/>
      <c r="EWG61" s="217"/>
      <c r="EWH61" s="218"/>
      <c r="EWI61" s="219"/>
      <c r="EWJ61" s="220"/>
      <c r="EWK61" s="220"/>
      <c r="EWL61" s="220"/>
      <c r="EWM61" s="220"/>
      <c r="EWN61" s="217"/>
      <c r="EWO61" s="221"/>
      <c r="EWP61" s="216"/>
      <c r="EWQ61" s="217"/>
      <c r="EWR61" s="218"/>
      <c r="EWS61" s="219"/>
      <c r="EWT61" s="220"/>
      <c r="EWU61" s="220"/>
      <c r="EWV61" s="220"/>
      <c r="EWW61" s="220"/>
      <c r="EWX61" s="217"/>
      <c r="EWY61" s="221"/>
      <c r="EWZ61" s="216"/>
      <c r="EXA61" s="217"/>
      <c r="EXB61" s="218"/>
      <c r="EXC61" s="219"/>
      <c r="EXD61" s="220"/>
      <c r="EXE61" s="220"/>
      <c r="EXF61" s="220"/>
      <c r="EXG61" s="220"/>
      <c r="EXH61" s="217"/>
      <c r="EXI61" s="221"/>
      <c r="EXJ61" s="216"/>
      <c r="EXK61" s="217"/>
      <c r="EXL61" s="218"/>
      <c r="EXM61" s="219"/>
      <c r="EXN61" s="220"/>
      <c r="EXO61" s="220"/>
      <c r="EXP61" s="220"/>
      <c r="EXQ61" s="220"/>
      <c r="EXR61" s="217"/>
      <c r="EXS61" s="221"/>
      <c r="EXT61" s="216"/>
      <c r="EXU61" s="217"/>
      <c r="EXV61" s="218"/>
      <c r="EXW61" s="219"/>
      <c r="EXX61" s="220"/>
      <c r="EXY61" s="220"/>
      <c r="EXZ61" s="220"/>
      <c r="EYA61" s="220"/>
      <c r="EYB61" s="217"/>
      <c r="EYC61" s="221"/>
      <c r="EYD61" s="216"/>
      <c r="EYE61" s="217"/>
      <c r="EYF61" s="218"/>
      <c r="EYG61" s="219"/>
      <c r="EYH61" s="220"/>
      <c r="EYI61" s="220"/>
      <c r="EYJ61" s="220"/>
      <c r="EYK61" s="220"/>
      <c r="EYL61" s="217"/>
      <c r="EYM61" s="221"/>
      <c r="EYN61" s="216"/>
      <c r="EYO61" s="217"/>
      <c r="EYP61" s="218"/>
      <c r="EYQ61" s="219"/>
      <c r="EYR61" s="220"/>
      <c r="EYS61" s="220"/>
      <c r="EYT61" s="220"/>
      <c r="EYU61" s="220"/>
      <c r="EYV61" s="217"/>
      <c r="EYW61" s="221"/>
      <c r="EYX61" s="216"/>
      <c r="EYY61" s="217"/>
      <c r="EYZ61" s="218"/>
      <c r="EZA61" s="219"/>
      <c r="EZB61" s="220"/>
      <c r="EZC61" s="220"/>
      <c r="EZD61" s="220"/>
      <c r="EZE61" s="220"/>
      <c r="EZF61" s="217"/>
      <c r="EZG61" s="221"/>
      <c r="EZH61" s="216"/>
      <c r="EZI61" s="217"/>
      <c r="EZJ61" s="218"/>
      <c r="EZK61" s="219"/>
      <c r="EZL61" s="220"/>
      <c r="EZM61" s="220"/>
      <c r="EZN61" s="220"/>
      <c r="EZO61" s="220"/>
      <c r="EZP61" s="217"/>
      <c r="EZQ61" s="221"/>
      <c r="EZR61" s="216"/>
      <c r="EZS61" s="217"/>
      <c r="EZT61" s="218"/>
      <c r="EZU61" s="219"/>
      <c r="EZV61" s="220"/>
      <c r="EZW61" s="220"/>
      <c r="EZX61" s="220"/>
      <c r="EZY61" s="220"/>
      <c r="EZZ61" s="217"/>
      <c r="FAA61" s="221"/>
      <c r="FAB61" s="216"/>
      <c r="FAC61" s="217"/>
      <c r="FAD61" s="218"/>
      <c r="FAE61" s="219"/>
      <c r="FAF61" s="220"/>
      <c r="FAG61" s="220"/>
      <c r="FAH61" s="220"/>
      <c r="FAI61" s="220"/>
      <c r="FAJ61" s="217"/>
      <c r="FAK61" s="221"/>
      <c r="FAL61" s="216"/>
      <c r="FAM61" s="217"/>
      <c r="FAN61" s="218"/>
      <c r="FAO61" s="219"/>
      <c r="FAP61" s="220"/>
      <c r="FAQ61" s="220"/>
      <c r="FAR61" s="220"/>
      <c r="FAS61" s="220"/>
      <c r="FAT61" s="217"/>
      <c r="FAU61" s="221"/>
      <c r="FAV61" s="216"/>
      <c r="FAW61" s="217"/>
      <c r="FAX61" s="218"/>
      <c r="FAY61" s="219"/>
      <c r="FAZ61" s="220"/>
      <c r="FBA61" s="220"/>
      <c r="FBB61" s="220"/>
      <c r="FBC61" s="220"/>
      <c r="FBD61" s="217"/>
      <c r="FBE61" s="221"/>
      <c r="FBF61" s="216"/>
      <c r="FBG61" s="217"/>
      <c r="FBH61" s="218"/>
      <c r="FBI61" s="219"/>
      <c r="FBJ61" s="220"/>
      <c r="FBK61" s="220"/>
      <c r="FBL61" s="220"/>
      <c r="FBM61" s="220"/>
      <c r="FBN61" s="217"/>
      <c r="FBO61" s="221"/>
      <c r="FBP61" s="216"/>
      <c r="FBQ61" s="217"/>
      <c r="FBR61" s="218"/>
      <c r="FBS61" s="219"/>
      <c r="FBT61" s="220"/>
      <c r="FBU61" s="220"/>
      <c r="FBV61" s="220"/>
      <c r="FBW61" s="220"/>
      <c r="FBX61" s="217"/>
      <c r="FBY61" s="221"/>
      <c r="FBZ61" s="216"/>
      <c r="FCA61" s="217"/>
      <c r="FCB61" s="218"/>
      <c r="FCC61" s="219"/>
      <c r="FCD61" s="220"/>
      <c r="FCE61" s="220"/>
      <c r="FCF61" s="220"/>
      <c r="FCG61" s="220"/>
      <c r="FCH61" s="217"/>
      <c r="FCI61" s="221"/>
      <c r="FCJ61" s="216"/>
      <c r="FCK61" s="217"/>
      <c r="FCL61" s="218"/>
      <c r="FCM61" s="219"/>
      <c r="FCN61" s="220"/>
      <c r="FCO61" s="220"/>
      <c r="FCP61" s="220"/>
      <c r="FCQ61" s="220"/>
      <c r="FCR61" s="217"/>
      <c r="FCS61" s="221"/>
      <c r="FCT61" s="216"/>
      <c r="FCU61" s="217"/>
      <c r="FCV61" s="218"/>
      <c r="FCW61" s="219"/>
      <c r="FCX61" s="220"/>
      <c r="FCY61" s="220"/>
      <c r="FCZ61" s="220"/>
      <c r="FDA61" s="220"/>
      <c r="FDB61" s="217"/>
      <c r="FDC61" s="221"/>
      <c r="FDD61" s="216"/>
      <c r="FDE61" s="217"/>
      <c r="FDF61" s="218"/>
      <c r="FDG61" s="219"/>
      <c r="FDH61" s="220"/>
      <c r="FDI61" s="220"/>
      <c r="FDJ61" s="220"/>
      <c r="FDK61" s="220"/>
      <c r="FDL61" s="217"/>
      <c r="FDM61" s="221"/>
      <c r="FDN61" s="216"/>
      <c r="FDO61" s="217"/>
      <c r="FDP61" s="218"/>
      <c r="FDQ61" s="219"/>
      <c r="FDR61" s="220"/>
      <c r="FDS61" s="220"/>
      <c r="FDT61" s="220"/>
      <c r="FDU61" s="220"/>
      <c r="FDV61" s="217"/>
      <c r="FDW61" s="221"/>
      <c r="FDX61" s="216"/>
      <c r="FDY61" s="217"/>
      <c r="FDZ61" s="218"/>
      <c r="FEA61" s="219"/>
      <c r="FEB61" s="220"/>
      <c r="FEC61" s="220"/>
      <c r="FED61" s="220"/>
      <c r="FEE61" s="220"/>
      <c r="FEF61" s="217"/>
      <c r="FEG61" s="221"/>
      <c r="FEH61" s="216"/>
      <c r="FEI61" s="217"/>
      <c r="FEJ61" s="218"/>
      <c r="FEK61" s="219"/>
      <c r="FEL61" s="220"/>
      <c r="FEM61" s="220"/>
      <c r="FEN61" s="220"/>
      <c r="FEO61" s="220"/>
      <c r="FEP61" s="217"/>
      <c r="FEQ61" s="221"/>
      <c r="FER61" s="216"/>
      <c r="FES61" s="217"/>
      <c r="FET61" s="218"/>
      <c r="FEU61" s="219"/>
      <c r="FEV61" s="220"/>
      <c r="FEW61" s="220"/>
      <c r="FEX61" s="220"/>
      <c r="FEY61" s="220"/>
      <c r="FEZ61" s="217"/>
      <c r="FFA61" s="221"/>
      <c r="FFB61" s="216"/>
      <c r="FFC61" s="217"/>
      <c r="FFD61" s="218"/>
      <c r="FFE61" s="219"/>
      <c r="FFF61" s="220"/>
      <c r="FFG61" s="220"/>
      <c r="FFH61" s="220"/>
      <c r="FFI61" s="220"/>
      <c r="FFJ61" s="217"/>
      <c r="FFK61" s="221"/>
      <c r="FFL61" s="216"/>
      <c r="FFM61" s="217"/>
      <c r="FFN61" s="218"/>
      <c r="FFO61" s="219"/>
      <c r="FFP61" s="220"/>
      <c r="FFQ61" s="220"/>
      <c r="FFR61" s="220"/>
      <c r="FFS61" s="220"/>
      <c r="FFT61" s="217"/>
      <c r="FFU61" s="221"/>
      <c r="FFV61" s="216"/>
      <c r="FFW61" s="217"/>
      <c r="FFX61" s="218"/>
      <c r="FFY61" s="219"/>
      <c r="FFZ61" s="220"/>
      <c r="FGA61" s="220"/>
      <c r="FGB61" s="220"/>
      <c r="FGC61" s="220"/>
      <c r="FGD61" s="217"/>
      <c r="FGE61" s="221"/>
      <c r="FGF61" s="216"/>
      <c r="FGG61" s="217"/>
      <c r="FGH61" s="218"/>
      <c r="FGI61" s="219"/>
      <c r="FGJ61" s="220"/>
      <c r="FGK61" s="220"/>
      <c r="FGL61" s="220"/>
      <c r="FGM61" s="220"/>
      <c r="FGN61" s="217"/>
      <c r="FGO61" s="221"/>
      <c r="FGP61" s="216"/>
      <c r="FGQ61" s="217"/>
      <c r="FGR61" s="218"/>
      <c r="FGS61" s="219"/>
      <c r="FGT61" s="220"/>
      <c r="FGU61" s="220"/>
      <c r="FGV61" s="220"/>
      <c r="FGW61" s="220"/>
      <c r="FGX61" s="217"/>
      <c r="FGY61" s="221"/>
      <c r="FGZ61" s="216"/>
      <c r="FHA61" s="217"/>
      <c r="FHB61" s="218"/>
      <c r="FHC61" s="219"/>
      <c r="FHD61" s="220"/>
      <c r="FHE61" s="220"/>
      <c r="FHF61" s="220"/>
      <c r="FHG61" s="220"/>
      <c r="FHH61" s="217"/>
      <c r="FHI61" s="221"/>
      <c r="FHJ61" s="216"/>
      <c r="FHK61" s="217"/>
      <c r="FHL61" s="218"/>
      <c r="FHM61" s="219"/>
      <c r="FHN61" s="220"/>
      <c r="FHO61" s="220"/>
      <c r="FHP61" s="220"/>
      <c r="FHQ61" s="220"/>
      <c r="FHR61" s="217"/>
      <c r="FHS61" s="221"/>
      <c r="FHT61" s="216"/>
      <c r="FHU61" s="217"/>
      <c r="FHV61" s="218"/>
      <c r="FHW61" s="219"/>
      <c r="FHX61" s="220"/>
      <c r="FHY61" s="220"/>
      <c r="FHZ61" s="220"/>
      <c r="FIA61" s="220"/>
      <c r="FIB61" s="217"/>
      <c r="FIC61" s="221"/>
      <c r="FID61" s="216"/>
      <c r="FIE61" s="217"/>
      <c r="FIF61" s="218"/>
      <c r="FIG61" s="219"/>
      <c r="FIH61" s="220"/>
      <c r="FII61" s="220"/>
      <c r="FIJ61" s="220"/>
      <c r="FIK61" s="220"/>
      <c r="FIL61" s="217"/>
      <c r="FIM61" s="221"/>
      <c r="FIN61" s="216"/>
      <c r="FIO61" s="217"/>
      <c r="FIP61" s="218"/>
      <c r="FIQ61" s="219"/>
      <c r="FIR61" s="220"/>
      <c r="FIS61" s="220"/>
      <c r="FIT61" s="220"/>
      <c r="FIU61" s="220"/>
      <c r="FIV61" s="217"/>
      <c r="FIW61" s="221"/>
      <c r="FIX61" s="216"/>
      <c r="FIY61" s="217"/>
      <c r="FIZ61" s="218"/>
      <c r="FJA61" s="219"/>
      <c r="FJB61" s="220"/>
      <c r="FJC61" s="220"/>
      <c r="FJD61" s="220"/>
      <c r="FJE61" s="220"/>
      <c r="FJF61" s="217"/>
      <c r="FJG61" s="221"/>
      <c r="FJH61" s="216"/>
      <c r="FJI61" s="217"/>
      <c r="FJJ61" s="218"/>
      <c r="FJK61" s="219"/>
      <c r="FJL61" s="220"/>
      <c r="FJM61" s="220"/>
      <c r="FJN61" s="220"/>
      <c r="FJO61" s="220"/>
      <c r="FJP61" s="217"/>
      <c r="FJQ61" s="221"/>
      <c r="FJR61" s="216"/>
      <c r="FJS61" s="217"/>
      <c r="FJT61" s="218"/>
      <c r="FJU61" s="219"/>
      <c r="FJV61" s="220"/>
      <c r="FJW61" s="220"/>
      <c r="FJX61" s="220"/>
      <c r="FJY61" s="220"/>
      <c r="FJZ61" s="217"/>
      <c r="FKA61" s="221"/>
      <c r="FKB61" s="216"/>
      <c r="FKC61" s="217"/>
      <c r="FKD61" s="218"/>
      <c r="FKE61" s="219"/>
      <c r="FKF61" s="220"/>
      <c r="FKG61" s="220"/>
      <c r="FKH61" s="220"/>
      <c r="FKI61" s="220"/>
      <c r="FKJ61" s="217"/>
      <c r="FKK61" s="221"/>
      <c r="FKL61" s="216"/>
      <c r="FKM61" s="217"/>
      <c r="FKN61" s="218"/>
      <c r="FKO61" s="219"/>
      <c r="FKP61" s="220"/>
      <c r="FKQ61" s="220"/>
      <c r="FKR61" s="220"/>
      <c r="FKS61" s="220"/>
      <c r="FKT61" s="217"/>
      <c r="FKU61" s="221"/>
      <c r="FKV61" s="216"/>
      <c r="FKW61" s="217"/>
      <c r="FKX61" s="218"/>
      <c r="FKY61" s="219"/>
      <c r="FKZ61" s="220"/>
      <c r="FLA61" s="220"/>
      <c r="FLB61" s="220"/>
      <c r="FLC61" s="220"/>
      <c r="FLD61" s="217"/>
      <c r="FLE61" s="221"/>
      <c r="FLF61" s="216"/>
      <c r="FLG61" s="217"/>
      <c r="FLH61" s="218"/>
      <c r="FLI61" s="219"/>
      <c r="FLJ61" s="220"/>
      <c r="FLK61" s="220"/>
      <c r="FLL61" s="220"/>
      <c r="FLM61" s="220"/>
      <c r="FLN61" s="217"/>
      <c r="FLO61" s="221"/>
      <c r="FLP61" s="216"/>
      <c r="FLQ61" s="217"/>
      <c r="FLR61" s="218"/>
      <c r="FLS61" s="219"/>
      <c r="FLT61" s="220"/>
      <c r="FLU61" s="220"/>
      <c r="FLV61" s="220"/>
      <c r="FLW61" s="220"/>
      <c r="FLX61" s="217"/>
      <c r="FLY61" s="221"/>
      <c r="FLZ61" s="216"/>
      <c r="FMA61" s="217"/>
      <c r="FMB61" s="218"/>
      <c r="FMC61" s="219"/>
      <c r="FMD61" s="220"/>
      <c r="FME61" s="220"/>
      <c r="FMF61" s="220"/>
      <c r="FMG61" s="220"/>
      <c r="FMH61" s="217"/>
      <c r="FMI61" s="221"/>
      <c r="FMJ61" s="216"/>
      <c r="FMK61" s="217"/>
      <c r="FML61" s="218"/>
      <c r="FMM61" s="219"/>
      <c r="FMN61" s="220"/>
      <c r="FMO61" s="220"/>
      <c r="FMP61" s="220"/>
      <c r="FMQ61" s="220"/>
      <c r="FMR61" s="217"/>
      <c r="FMS61" s="221"/>
      <c r="FMT61" s="216"/>
      <c r="FMU61" s="217"/>
      <c r="FMV61" s="218"/>
      <c r="FMW61" s="219"/>
      <c r="FMX61" s="220"/>
      <c r="FMY61" s="220"/>
      <c r="FMZ61" s="220"/>
      <c r="FNA61" s="220"/>
      <c r="FNB61" s="217"/>
      <c r="FNC61" s="221"/>
      <c r="FND61" s="216"/>
      <c r="FNE61" s="217"/>
      <c r="FNF61" s="218"/>
      <c r="FNG61" s="219"/>
      <c r="FNH61" s="220"/>
      <c r="FNI61" s="220"/>
      <c r="FNJ61" s="220"/>
      <c r="FNK61" s="220"/>
      <c r="FNL61" s="217"/>
      <c r="FNM61" s="221"/>
      <c r="FNN61" s="216"/>
      <c r="FNO61" s="217"/>
      <c r="FNP61" s="218"/>
      <c r="FNQ61" s="219"/>
      <c r="FNR61" s="220"/>
      <c r="FNS61" s="220"/>
      <c r="FNT61" s="220"/>
      <c r="FNU61" s="220"/>
      <c r="FNV61" s="217"/>
      <c r="FNW61" s="221"/>
      <c r="FNX61" s="216"/>
      <c r="FNY61" s="217"/>
      <c r="FNZ61" s="218"/>
      <c r="FOA61" s="219"/>
      <c r="FOB61" s="220"/>
      <c r="FOC61" s="220"/>
      <c r="FOD61" s="220"/>
      <c r="FOE61" s="220"/>
      <c r="FOF61" s="217"/>
      <c r="FOG61" s="221"/>
      <c r="FOH61" s="216"/>
      <c r="FOI61" s="217"/>
      <c r="FOJ61" s="218"/>
      <c r="FOK61" s="219"/>
      <c r="FOL61" s="220"/>
      <c r="FOM61" s="220"/>
      <c r="FON61" s="220"/>
      <c r="FOO61" s="220"/>
      <c r="FOP61" s="217"/>
      <c r="FOQ61" s="221"/>
      <c r="FOR61" s="216"/>
      <c r="FOS61" s="217"/>
      <c r="FOT61" s="218"/>
      <c r="FOU61" s="219"/>
      <c r="FOV61" s="220"/>
      <c r="FOW61" s="220"/>
      <c r="FOX61" s="220"/>
      <c r="FOY61" s="220"/>
      <c r="FOZ61" s="217"/>
      <c r="FPA61" s="221"/>
      <c r="FPB61" s="216"/>
      <c r="FPC61" s="217"/>
      <c r="FPD61" s="218"/>
      <c r="FPE61" s="219"/>
      <c r="FPF61" s="220"/>
      <c r="FPG61" s="220"/>
      <c r="FPH61" s="220"/>
      <c r="FPI61" s="220"/>
      <c r="FPJ61" s="217"/>
      <c r="FPK61" s="221"/>
      <c r="FPL61" s="216"/>
      <c r="FPM61" s="217"/>
      <c r="FPN61" s="218"/>
      <c r="FPO61" s="219"/>
      <c r="FPP61" s="220"/>
      <c r="FPQ61" s="220"/>
      <c r="FPR61" s="220"/>
      <c r="FPS61" s="220"/>
      <c r="FPT61" s="217"/>
      <c r="FPU61" s="221"/>
      <c r="FPV61" s="216"/>
      <c r="FPW61" s="217"/>
      <c r="FPX61" s="218"/>
      <c r="FPY61" s="219"/>
      <c r="FPZ61" s="220"/>
      <c r="FQA61" s="220"/>
      <c r="FQB61" s="220"/>
      <c r="FQC61" s="220"/>
      <c r="FQD61" s="217"/>
      <c r="FQE61" s="221"/>
      <c r="FQF61" s="216"/>
      <c r="FQG61" s="217"/>
      <c r="FQH61" s="218"/>
      <c r="FQI61" s="219"/>
      <c r="FQJ61" s="220"/>
      <c r="FQK61" s="220"/>
      <c r="FQL61" s="220"/>
      <c r="FQM61" s="220"/>
      <c r="FQN61" s="217"/>
      <c r="FQO61" s="221"/>
      <c r="FQP61" s="216"/>
      <c r="FQQ61" s="217"/>
      <c r="FQR61" s="218"/>
      <c r="FQS61" s="219"/>
      <c r="FQT61" s="220"/>
      <c r="FQU61" s="220"/>
      <c r="FQV61" s="220"/>
      <c r="FQW61" s="220"/>
      <c r="FQX61" s="217"/>
      <c r="FQY61" s="221"/>
      <c r="FQZ61" s="216"/>
      <c r="FRA61" s="217"/>
      <c r="FRB61" s="218"/>
      <c r="FRC61" s="219"/>
      <c r="FRD61" s="220"/>
      <c r="FRE61" s="220"/>
      <c r="FRF61" s="220"/>
      <c r="FRG61" s="220"/>
      <c r="FRH61" s="217"/>
      <c r="FRI61" s="221"/>
      <c r="FRJ61" s="216"/>
      <c r="FRK61" s="217"/>
      <c r="FRL61" s="218"/>
      <c r="FRM61" s="219"/>
      <c r="FRN61" s="220"/>
      <c r="FRO61" s="220"/>
      <c r="FRP61" s="220"/>
      <c r="FRQ61" s="220"/>
      <c r="FRR61" s="217"/>
      <c r="FRS61" s="221"/>
      <c r="FRT61" s="216"/>
      <c r="FRU61" s="217"/>
      <c r="FRV61" s="218"/>
      <c r="FRW61" s="219"/>
      <c r="FRX61" s="220"/>
      <c r="FRY61" s="220"/>
      <c r="FRZ61" s="220"/>
      <c r="FSA61" s="220"/>
      <c r="FSB61" s="217"/>
      <c r="FSC61" s="221"/>
      <c r="FSD61" s="216"/>
      <c r="FSE61" s="217"/>
      <c r="FSF61" s="218"/>
      <c r="FSG61" s="219"/>
      <c r="FSH61" s="220"/>
      <c r="FSI61" s="220"/>
      <c r="FSJ61" s="220"/>
      <c r="FSK61" s="220"/>
      <c r="FSL61" s="217"/>
      <c r="FSM61" s="221"/>
      <c r="FSN61" s="216"/>
      <c r="FSO61" s="217"/>
      <c r="FSP61" s="218"/>
      <c r="FSQ61" s="219"/>
      <c r="FSR61" s="220"/>
      <c r="FSS61" s="220"/>
      <c r="FST61" s="220"/>
      <c r="FSU61" s="220"/>
      <c r="FSV61" s="217"/>
      <c r="FSW61" s="221"/>
      <c r="FSX61" s="216"/>
      <c r="FSY61" s="217"/>
      <c r="FSZ61" s="218"/>
      <c r="FTA61" s="219"/>
      <c r="FTB61" s="220"/>
      <c r="FTC61" s="220"/>
      <c r="FTD61" s="220"/>
      <c r="FTE61" s="220"/>
      <c r="FTF61" s="217"/>
      <c r="FTG61" s="221"/>
      <c r="FTH61" s="216"/>
      <c r="FTI61" s="217"/>
      <c r="FTJ61" s="218"/>
      <c r="FTK61" s="219"/>
      <c r="FTL61" s="220"/>
      <c r="FTM61" s="220"/>
      <c r="FTN61" s="220"/>
      <c r="FTO61" s="220"/>
      <c r="FTP61" s="217"/>
      <c r="FTQ61" s="221"/>
      <c r="FTR61" s="216"/>
      <c r="FTS61" s="217"/>
      <c r="FTT61" s="218"/>
      <c r="FTU61" s="219"/>
      <c r="FTV61" s="220"/>
      <c r="FTW61" s="220"/>
      <c r="FTX61" s="220"/>
      <c r="FTY61" s="220"/>
      <c r="FTZ61" s="217"/>
      <c r="FUA61" s="221"/>
      <c r="FUB61" s="216"/>
      <c r="FUC61" s="217"/>
      <c r="FUD61" s="218"/>
      <c r="FUE61" s="219"/>
      <c r="FUF61" s="220"/>
      <c r="FUG61" s="220"/>
      <c r="FUH61" s="220"/>
      <c r="FUI61" s="220"/>
      <c r="FUJ61" s="217"/>
      <c r="FUK61" s="221"/>
      <c r="FUL61" s="216"/>
      <c r="FUM61" s="217"/>
      <c r="FUN61" s="218"/>
      <c r="FUO61" s="219"/>
      <c r="FUP61" s="220"/>
      <c r="FUQ61" s="220"/>
      <c r="FUR61" s="220"/>
      <c r="FUS61" s="220"/>
      <c r="FUT61" s="217"/>
      <c r="FUU61" s="221"/>
      <c r="FUV61" s="216"/>
      <c r="FUW61" s="217"/>
      <c r="FUX61" s="218"/>
      <c r="FUY61" s="219"/>
      <c r="FUZ61" s="220"/>
      <c r="FVA61" s="220"/>
      <c r="FVB61" s="220"/>
      <c r="FVC61" s="220"/>
      <c r="FVD61" s="217"/>
      <c r="FVE61" s="221"/>
      <c r="FVF61" s="216"/>
      <c r="FVG61" s="217"/>
      <c r="FVH61" s="218"/>
      <c r="FVI61" s="219"/>
      <c r="FVJ61" s="220"/>
      <c r="FVK61" s="220"/>
      <c r="FVL61" s="220"/>
      <c r="FVM61" s="220"/>
      <c r="FVN61" s="217"/>
      <c r="FVO61" s="221"/>
      <c r="FVP61" s="216"/>
      <c r="FVQ61" s="217"/>
      <c r="FVR61" s="218"/>
      <c r="FVS61" s="219"/>
      <c r="FVT61" s="220"/>
      <c r="FVU61" s="220"/>
      <c r="FVV61" s="220"/>
      <c r="FVW61" s="220"/>
      <c r="FVX61" s="217"/>
      <c r="FVY61" s="221"/>
      <c r="FVZ61" s="216"/>
      <c r="FWA61" s="217"/>
      <c r="FWB61" s="218"/>
      <c r="FWC61" s="219"/>
      <c r="FWD61" s="220"/>
      <c r="FWE61" s="220"/>
      <c r="FWF61" s="220"/>
      <c r="FWG61" s="220"/>
      <c r="FWH61" s="217"/>
      <c r="FWI61" s="221"/>
      <c r="FWJ61" s="216"/>
      <c r="FWK61" s="217"/>
      <c r="FWL61" s="218"/>
      <c r="FWM61" s="219"/>
      <c r="FWN61" s="220"/>
      <c r="FWO61" s="220"/>
      <c r="FWP61" s="220"/>
      <c r="FWQ61" s="220"/>
      <c r="FWR61" s="217"/>
      <c r="FWS61" s="221"/>
      <c r="FWT61" s="216"/>
      <c r="FWU61" s="217"/>
      <c r="FWV61" s="218"/>
      <c r="FWW61" s="219"/>
      <c r="FWX61" s="220"/>
      <c r="FWY61" s="220"/>
      <c r="FWZ61" s="220"/>
      <c r="FXA61" s="220"/>
      <c r="FXB61" s="217"/>
      <c r="FXC61" s="221"/>
      <c r="FXD61" s="216"/>
      <c r="FXE61" s="217"/>
      <c r="FXF61" s="218"/>
      <c r="FXG61" s="219"/>
      <c r="FXH61" s="220"/>
      <c r="FXI61" s="220"/>
      <c r="FXJ61" s="220"/>
      <c r="FXK61" s="220"/>
      <c r="FXL61" s="217"/>
      <c r="FXM61" s="221"/>
      <c r="FXN61" s="216"/>
      <c r="FXO61" s="217"/>
      <c r="FXP61" s="218"/>
      <c r="FXQ61" s="219"/>
      <c r="FXR61" s="220"/>
      <c r="FXS61" s="220"/>
      <c r="FXT61" s="220"/>
      <c r="FXU61" s="220"/>
      <c r="FXV61" s="217"/>
      <c r="FXW61" s="221"/>
      <c r="FXX61" s="216"/>
      <c r="FXY61" s="217"/>
      <c r="FXZ61" s="218"/>
      <c r="FYA61" s="219"/>
      <c r="FYB61" s="220"/>
      <c r="FYC61" s="220"/>
      <c r="FYD61" s="220"/>
      <c r="FYE61" s="220"/>
      <c r="FYF61" s="217"/>
      <c r="FYG61" s="221"/>
      <c r="FYH61" s="216"/>
      <c r="FYI61" s="217"/>
      <c r="FYJ61" s="218"/>
      <c r="FYK61" s="219"/>
      <c r="FYL61" s="220"/>
      <c r="FYM61" s="220"/>
      <c r="FYN61" s="220"/>
      <c r="FYO61" s="220"/>
      <c r="FYP61" s="217"/>
      <c r="FYQ61" s="221"/>
      <c r="FYR61" s="216"/>
      <c r="FYS61" s="217"/>
      <c r="FYT61" s="218"/>
      <c r="FYU61" s="219"/>
      <c r="FYV61" s="220"/>
      <c r="FYW61" s="220"/>
      <c r="FYX61" s="220"/>
      <c r="FYY61" s="220"/>
      <c r="FYZ61" s="217"/>
      <c r="FZA61" s="221"/>
      <c r="FZB61" s="216"/>
      <c r="FZC61" s="217"/>
      <c r="FZD61" s="218"/>
      <c r="FZE61" s="219"/>
      <c r="FZF61" s="220"/>
      <c r="FZG61" s="220"/>
      <c r="FZH61" s="220"/>
      <c r="FZI61" s="220"/>
      <c r="FZJ61" s="217"/>
      <c r="FZK61" s="221"/>
      <c r="FZL61" s="216"/>
      <c r="FZM61" s="217"/>
      <c r="FZN61" s="218"/>
      <c r="FZO61" s="219"/>
      <c r="FZP61" s="220"/>
      <c r="FZQ61" s="220"/>
      <c r="FZR61" s="220"/>
      <c r="FZS61" s="220"/>
      <c r="FZT61" s="217"/>
      <c r="FZU61" s="221"/>
      <c r="FZV61" s="216"/>
      <c r="FZW61" s="217"/>
      <c r="FZX61" s="218"/>
      <c r="FZY61" s="219"/>
      <c r="FZZ61" s="220"/>
      <c r="GAA61" s="220"/>
      <c r="GAB61" s="220"/>
      <c r="GAC61" s="220"/>
      <c r="GAD61" s="217"/>
      <c r="GAE61" s="221"/>
      <c r="GAF61" s="216"/>
      <c r="GAG61" s="217"/>
      <c r="GAH61" s="218"/>
      <c r="GAI61" s="219"/>
      <c r="GAJ61" s="220"/>
      <c r="GAK61" s="220"/>
      <c r="GAL61" s="220"/>
      <c r="GAM61" s="220"/>
      <c r="GAN61" s="217"/>
      <c r="GAO61" s="221"/>
      <c r="GAP61" s="216"/>
      <c r="GAQ61" s="217"/>
      <c r="GAR61" s="218"/>
      <c r="GAS61" s="219"/>
      <c r="GAT61" s="220"/>
      <c r="GAU61" s="220"/>
      <c r="GAV61" s="220"/>
      <c r="GAW61" s="220"/>
      <c r="GAX61" s="217"/>
      <c r="GAY61" s="221"/>
      <c r="GAZ61" s="216"/>
      <c r="GBA61" s="217"/>
      <c r="GBB61" s="218"/>
      <c r="GBC61" s="219"/>
      <c r="GBD61" s="220"/>
      <c r="GBE61" s="220"/>
      <c r="GBF61" s="220"/>
      <c r="GBG61" s="220"/>
      <c r="GBH61" s="217"/>
      <c r="GBI61" s="221"/>
      <c r="GBJ61" s="216"/>
      <c r="GBK61" s="217"/>
      <c r="GBL61" s="218"/>
      <c r="GBM61" s="219"/>
      <c r="GBN61" s="220"/>
      <c r="GBO61" s="220"/>
      <c r="GBP61" s="220"/>
      <c r="GBQ61" s="220"/>
      <c r="GBR61" s="217"/>
      <c r="GBS61" s="221"/>
      <c r="GBT61" s="216"/>
      <c r="GBU61" s="217"/>
      <c r="GBV61" s="218"/>
      <c r="GBW61" s="219"/>
      <c r="GBX61" s="220"/>
      <c r="GBY61" s="220"/>
      <c r="GBZ61" s="220"/>
      <c r="GCA61" s="220"/>
      <c r="GCB61" s="217"/>
      <c r="GCC61" s="221"/>
      <c r="GCD61" s="216"/>
      <c r="GCE61" s="217"/>
      <c r="GCF61" s="218"/>
      <c r="GCG61" s="219"/>
      <c r="GCH61" s="220"/>
      <c r="GCI61" s="220"/>
      <c r="GCJ61" s="220"/>
      <c r="GCK61" s="220"/>
      <c r="GCL61" s="217"/>
      <c r="GCM61" s="221"/>
      <c r="GCN61" s="216"/>
      <c r="GCO61" s="217"/>
      <c r="GCP61" s="218"/>
      <c r="GCQ61" s="219"/>
      <c r="GCR61" s="220"/>
      <c r="GCS61" s="220"/>
      <c r="GCT61" s="220"/>
      <c r="GCU61" s="220"/>
      <c r="GCV61" s="217"/>
      <c r="GCW61" s="221"/>
      <c r="GCX61" s="216"/>
      <c r="GCY61" s="217"/>
      <c r="GCZ61" s="218"/>
      <c r="GDA61" s="219"/>
      <c r="GDB61" s="220"/>
      <c r="GDC61" s="220"/>
      <c r="GDD61" s="220"/>
      <c r="GDE61" s="220"/>
      <c r="GDF61" s="217"/>
      <c r="GDG61" s="221"/>
      <c r="GDH61" s="216"/>
      <c r="GDI61" s="217"/>
      <c r="GDJ61" s="218"/>
      <c r="GDK61" s="219"/>
      <c r="GDL61" s="220"/>
      <c r="GDM61" s="220"/>
      <c r="GDN61" s="220"/>
      <c r="GDO61" s="220"/>
      <c r="GDP61" s="217"/>
      <c r="GDQ61" s="221"/>
      <c r="GDR61" s="216"/>
      <c r="GDS61" s="217"/>
      <c r="GDT61" s="218"/>
      <c r="GDU61" s="219"/>
      <c r="GDV61" s="220"/>
      <c r="GDW61" s="220"/>
      <c r="GDX61" s="220"/>
      <c r="GDY61" s="220"/>
      <c r="GDZ61" s="217"/>
      <c r="GEA61" s="221"/>
      <c r="GEB61" s="216"/>
      <c r="GEC61" s="217"/>
      <c r="GED61" s="218"/>
      <c r="GEE61" s="219"/>
      <c r="GEF61" s="220"/>
      <c r="GEG61" s="220"/>
      <c r="GEH61" s="220"/>
      <c r="GEI61" s="220"/>
      <c r="GEJ61" s="217"/>
      <c r="GEK61" s="221"/>
      <c r="GEL61" s="216"/>
      <c r="GEM61" s="217"/>
      <c r="GEN61" s="218"/>
      <c r="GEO61" s="219"/>
      <c r="GEP61" s="220"/>
      <c r="GEQ61" s="220"/>
      <c r="GER61" s="220"/>
      <c r="GES61" s="220"/>
      <c r="GET61" s="217"/>
      <c r="GEU61" s="221"/>
      <c r="GEV61" s="216"/>
      <c r="GEW61" s="217"/>
      <c r="GEX61" s="218"/>
      <c r="GEY61" s="219"/>
      <c r="GEZ61" s="220"/>
      <c r="GFA61" s="220"/>
      <c r="GFB61" s="220"/>
      <c r="GFC61" s="220"/>
      <c r="GFD61" s="217"/>
      <c r="GFE61" s="221"/>
      <c r="GFF61" s="216"/>
      <c r="GFG61" s="217"/>
      <c r="GFH61" s="218"/>
      <c r="GFI61" s="219"/>
      <c r="GFJ61" s="220"/>
      <c r="GFK61" s="220"/>
      <c r="GFL61" s="220"/>
      <c r="GFM61" s="220"/>
      <c r="GFN61" s="217"/>
      <c r="GFO61" s="221"/>
      <c r="GFP61" s="216"/>
      <c r="GFQ61" s="217"/>
      <c r="GFR61" s="218"/>
      <c r="GFS61" s="219"/>
      <c r="GFT61" s="220"/>
      <c r="GFU61" s="220"/>
      <c r="GFV61" s="220"/>
      <c r="GFW61" s="220"/>
      <c r="GFX61" s="217"/>
      <c r="GFY61" s="221"/>
      <c r="GFZ61" s="216"/>
      <c r="GGA61" s="217"/>
      <c r="GGB61" s="218"/>
      <c r="GGC61" s="219"/>
      <c r="GGD61" s="220"/>
      <c r="GGE61" s="220"/>
      <c r="GGF61" s="220"/>
      <c r="GGG61" s="220"/>
      <c r="GGH61" s="217"/>
      <c r="GGI61" s="221"/>
      <c r="GGJ61" s="216"/>
      <c r="GGK61" s="217"/>
      <c r="GGL61" s="218"/>
      <c r="GGM61" s="219"/>
      <c r="GGN61" s="220"/>
      <c r="GGO61" s="220"/>
      <c r="GGP61" s="220"/>
      <c r="GGQ61" s="220"/>
      <c r="GGR61" s="217"/>
      <c r="GGS61" s="221"/>
      <c r="GGT61" s="216"/>
      <c r="GGU61" s="217"/>
      <c r="GGV61" s="218"/>
      <c r="GGW61" s="219"/>
      <c r="GGX61" s="220"/>
      <c r="GGY61" s="220"/>
      <c r="GGZ61" s="220"/>
      <c r="GHA61" s="220"/>
      <c r="GHB61" s="217"/>
      <c r="GHC61" s="221"/>
      <c r="GHD61" s="216"/>
      <c r="GHE61" s="217"/>
      <c r="GHF61" s="218"/>
      <c r="GHG61" s="219"/>
      <c r="GHH61" s="220"/>
      <c r="GHI61" s="220"/>
      <c r="GHJ61" s="220"/>
      <c r="GHK61" s="220"/>
      <c r="GHL61" s="217"/>
      <c r="GHM61" s="221"/>
      <c r="GHN61" s="216"/>
      <c r="GHO61" s="217"/>
      <c r="GHP61" s="218"/>
      <c r="GHQ61" s="219"/>
      <c r="GHR61" s="220"/>
      <c r="GHS61" s="220"/>
      <c r="GHT61" s="220"/>
      <c r="GHU61" s="220"/>
      <c r="GHV61" s="217"/>
      <c r="GHW61" s="221"/>
      <c r="GHX61" s="216"/>
      <c r="GHY61" s="217"/>
      <c r="GHZ61" s="218"/>
      <c r="GIA61" s="219"/>
      <c r="GIB61" s="220"/>
      <c r="GIC61" s="220"/>
      <c r="GID61" s="220"/>
      <c r="GIE61" s="220"/>
      <c r="GIF61" s="217"/>
      <c r="GIG61" s="221"/>
      <c r="GIH61" s="216"/>
      <c r="GII61" s="217"/>
      <c r="GIJ61" s="218"/>
      <c r="GIK61" s="219"/>
      <c r="GIL61" s="220"/>
      <c r="GIM61" s="220"/>
      <c r="GIN61" s="220"/>
      <c r="GIO61" s="220"/>
      <c r="GIP61" s="217"/>
      <c r="GIQ61" s="221"/>
      <c r="GIR61" s="216"/>
      <c r="GIS61" s="217"/>
      <c r="GIT61" s="218"/>
      <c r="GIU61" s="219"/>
      <c r="GIV61" s="220"/>
      <c r="GIW61" s="220"/>
      <c r="GIX61" s="220"/>
      <c r="GIY61" s="220"/>
      <c r="GIZ61" s="217"/>
      <c r="GJA61" s="221"/>
      <c r="GJB61" s="216"/>
      <c r="GJC61" s="217"/>
      <c r="GJD61" s="218"/>
      <c r="GJE61" s="219"/>
      <c r="GJF61" s="220"/>
      <c r="GJG61" s="220"/>
      <c r="GJH61" s="220"/>
      <c r="GJI61" s="220"/>
      <c r="GJJ61" s="217"/>
      <c r="GJK61" s="221"/>
      <c r="GJL61" s="216"/>
      <c r="GJM61" s="217"/>
      <c r="GJN61" s="218"/>
      <c r="GJO61" s="219"/>
      <c r="GJP61" s="220"/>
      <c r="GJQ61" s="220"/>
      <c r="GJR61" s="220"/>
      <c r="GJS61" s="220"/>
      <c r="GJT61" s="217"/>
      <c r="GJU61" s="221"/>
      <c r="GJV61" s="216"/>
      <c r="GJW61" s="217"/>
      <c r="GJX61" s="218"/>
      <c r="GJY61" s="219"/>
      <c r="GJZ61" s="220"/>
      <c r="GKA61" s="220"/>
      <c r="GKB61" s="220"/>
      <c r="GKC61" s="220"/>
      <c r="GKD61" s="217"/>
      <c r="GKE61" s="221"/>
      <c r="GKF61" s="216"/>
      <c r="GKG61" s="217"/>
      <c r="GKH61" s="218"/>
      <c r="GKI61" s="219"/>
      <c r="GKJ61" s="220"/>
      <c r="GKK61" s="220"/>
      <c r="GKL61" s="220"/>
      <c r="GKM61" s="220"/>
      <c r="GKN61" s="217"/>
      <c r="GKO61" s="221"/>
      <c r="GKP61" s="216"/>
      <c r="GKQ61" s="217"/>
      <c r="GKR61" s="218"/>
      <c r="GKS61" s="219"/>
      <c r="GKT61" s="220"/>
      <c r="GKU61" s="220"/>
      <c r="GKV61" s="220"/>
      <c r="GKW61" s="220"/>
      <c r="GKX61" s="217"/>
      <c r="GKY61" s="221"/>
      <c r="GKZ61" s="216"/>
      <c r="GLA61" s="217"/>
      <c r="GLB61" s="218"/>
      <c r="GLC61" s="219"/>
      <c r="GLD61" s="220"/>
      <c r="GLE61" s="220"/>
      <c r="GLF61" s="220"/>
      <c r="GLG61" s="220"/>
      <c r="GLH61" s="217"/>
      <c r="GLI61" s="221"/>
      <c r="GLJ61" s="216"/>
      <c r="GLK61" s="217"/>
      <c r="GLL61" s="218"/>
      <c r="GLM61" s="219"/>
      <c r="GLN61" s="220"/>
      <c r="GLO61" s="220"/>
      <c r="GLP61" s="220"/>
      <c r="GLQ61" s="220"/>
      <c r="GLR61" s="217"/>
      <c r="GLS61" s="221"/>
      <c r="GLT61" s="216"/>
      <c r="GLU61" s="217"/>
      <c r="GLV61" s="218"/>
      <c r="GLW61" s="219"/>
      <c r="GLX61" s="220"/>
      <c r="GLY61" s="220"/>
      <c r="GLZ61" s="220"/>
      <c r="GMA61" s="220"/>
      <c r="GMB61" s="217"/>
      <c r="GMC61" s="221"/>
      <c r="GMD61" s="216"/>
      <c r="GME61" s="217"/>
      <c r="GMF61" s="218"/>
      <c r="GMG61" s="219"/>
      <c r="GMH61" s="220"/>
      <c r="GMI61" s="220"/>
      <c r="GMJ61" s="220"/>
      <c r="GMK61" s="220"/>
      <c r="GML61" s="217"/>
      <c r="GMM61" s="221"/>
      <c r="GMN61" s="216"/>
      <c r="GMO61" s="217"/>
      <c r="GMP61" s="218"/>
      <c r="GMQ61" s="219"/>
      <c r="GMR61" s="220"/>
      <c r="GMS61" s="220"/>
      <c r="GMT61" s="220"/>
      <c r="GMU61" s="220"/>
      <c r="GMV61" s="217"/>
      <c r="GMW61" s="221"/>
      <c r="GMX61" s="216"/>
      <c r="GMY61" s="217"/>
      <c r="GMZ61" s="218"/>
      <c r="GNA61" s="219"/>
      <c r="GNB61" s="220"/>
      <c r="GNC61" s="220"/>
      <c r="GND61" s="220"/>
      <c r="GNE61" s="220"/>
      <c r="GNF61" s="217"/>
      <c r="GNG61" s="221"/>
      <c r="GNH61" s="216"/>
      <c r="GNI61" s="217"/>
      <c r="GNJ61" s="218"/>
      <c r="GNK61" s="219"/>
      <c r="GNL61" s="220"/>
      <c r="GNM61" s="220"/>
      <c r="GNN61" s="220"/>
      <c r="GNO61" s="220"/>
      <c r="GNP61" s="217"/>
      <c r="GNQ61" s="221"/>
      <c r="GNR61" s="216"/>
      <c r="GNS61" s="217"/>
      <c r="GNT61" s="218"/>
      <c r="GNU61" s="219"/>
      <c r="GNV61" s="220"/>
      <c r="GNW61" s="220"/>
      <c r="GNX61" s="220"/>
      <c r="GNY61" s="220"/>
      <c r="GNZ61" s="217"/>
      <c r="GOA61" s="221"/>
      <c r="GOB61" s="216"/>
      <c r="GOC61" s="217"/>
      <c r="GOD61" s="218"/>
      <c r="GOE61" s="219"/>
      <c r="GOF61" s="220"/>
      <c r="GOG61" s="220"/>
      <c r="GOH61" s="220"/>
      <c r="GOI61" s="220"/>
      <c r="GOJ61" s="217"/>
      <c r="GOK61" s="221"/>
      <c r="GOL61" s="216"/>
      <c r="GOM61" s="217"/>
      <c r="GON61" s="218"/>
      <c r="GOO61" s="219"/>
      <c r="GOP61" s="220"/>
      <c r="GOQ61" s="220"/>
      <c r="GOR61" s="220"/>
      <c r="GOS61" s="220"/>
      <c r="GOT61" s="217"/>
      <c r="GOU61" s="221"/>
      <c r="GOV61" s="216"/>
      <c r="GOW61" s="217"/>
      <c r="GOX61" s="218"/>
      <c r="GOY61" s="219"/>
      <c r="GOZ61" s="220"/>
      <c r="GPA61" s="220"/>
      <c r="GPB61" s="220"/>
      <c r="GPC61" s="220"/>
      <c r="GPD61" s="217"/>
      <c r="GPE61" s="221"/>
      <c r="GPF61" s="216"/>
      <c r="GPG61" s="217"/>
      <c r="GPH61" s="218"/>
      <c r="GPI61" s="219"/>
      <c r="GPJ61" s="220"/>
      <c r="GPK61" s="220"/>
      <c r="GPL61" s="220"/>
      <c r="GPM61" s="220"/>
      <c r="GPN61" s="217"/>
      <c r="GPO61" s="221"/>
      <c r="GPP61" s="216"/>
      <c r="GPQ61" s="217"/>
      <c r="GPR61" s="218"/>
      <c r="GPS61" s="219"/>
      <c r="GPT61" s="220"/>
      <c r="GPU61" s="220"/>
      <c r="GPV61" s="220"/>
      <c r="GPW61" s="220"/>
      <c r="GPX61" s="217"/>
      <c r="GPY61" s="221"/>
      <c r="GPZ61" s="216"/>
      <c r="GQA61" s="217"/>
      <c r="GQB61" s="218"/>
      <c r="GQC61" s="219"/>
      <c r="GQD61" s="220"/>
      <c r="GQE61" s="220"/>
      <c r="GQF61" s="220"/>
      <c r="GQG61" s="220"/>
      <c r="GQH61" s="217"/>
      <c r="GQI61" s="221"/>
      <c r="GQJ61" s="216"/>
      <c r="GQK61" s="217"/>
      <c r="GQL61" s="218"/>
      <c r="GQM61" s="219"/>
      <c r="GQN61" s="220"/>
      <c r="GQO61" s="220"/>
      <c r="GQP61" s="220"/>
      <c r="GQQ61" s="220"/>
      <c r="GQR61" s="217"/>
      <c r="GQS61" s="221"/>
      <c r="GQT61" s="216"/>
      <c r="GQU61" s="217"/>
      <c r="GQV61" s="218"/>
      <c r="GQW61" s="219"/>
      <c r="GQX61" s="220"/>
      <c r="GQY61" s="220"/>
      <c r="GQZ61" s="220"/>
      <c r="GRA61" s="220"/>
      <c r="GRB61" s="217"/>
      <c r="GRC61" s="221"/>
      <c r="GRD61" s="216"/>
      <c r="GRE61" s="217"/>
      <c r="GRF61" s="218"/>
      <c r="GRG61" s="219"/>
      <c r="GRH61" s="220"/>
      <c r="GRI61" s="220"/>
      <c r="GRJ61" s="220"/>
      <c r="GRK61" s="220"/>
      <c r="GRL61" s="217"/>
      <c r="GRM61" s="221"/>
      <c r="GRN61" s="216"/>
      <c r="GRO61" s="217"/>
      <c r="GRP61" s="218"/>
      <c r="GRQ61" s="219"/>
      <c r="GRR61" s="220"/>
      <c r="GRS61" s="220"/>
      <c r="GRT61" s="220"/>
      <c r="GRU61" s="220"/>
      <c r="GRV61" s="217"/>
      <c r="GRW61" s="221"/>
      <c r="GRX61" s="216"/>
      <c r="GRY61" s="217"/>
      <c r="GRZ61" s="218"/>
      <c r="GSA61" s="219"/>
      <c r="GSB61" s="220"/>
      <c r="GSC61" s="220"/>
      <c r="GSD61" s="220"/>
      <c r="GSE61" s="220"/>
      <c r="GSF61" s="217"/>
      <c r="GSG61" s="221"/>
      <c r="GSH61" s="216"/>
      <c r="GSI61" s="217"/>
      <c r="GSJ61" s="218"/>
      <c r="GSK61" s="219"/>
      <c r="GSL61" s="220"/>
      <c r="GSM61" s="220"/>
      <c r="GSN61" s="220"/>
      <c r="GSO61" s="220"/>
      <c r="GSP61" s="217"/>
      <c r="GSQ61" s="221"/>
      <c r="GSR61" s="216"/>
      <c r="GSS61" s="217"/>
      <c r="GST61" s="218"/>
      <c r="GSU61" s="219"/>
      <c r="GSV61" s="220"/>
      <c r="GSW61" s="220"/>
      <c r="GSX61" s="220"/>
      <c r="GSY61" s="220"/>
      <c r="GSZ61" s="217"/>
      <c r="GTA61" s="221"/>
      <c r="GTB61" s="216"/>
      <c r="GTC61" s="217"/>
      <c r="GTD61" s="218"/>
      <c r="GTE61" s="219"/>
      <c r="GTF61" s="220"/>
      <c r="GTG61" s="220"/>
      <c r="GTH61" s="220"/>
      <c r="GTI61" s="220"/>
      <c r="GTJ61" s="217"/>
      <c r="GTK61" s="221"/>
      <c r="GTL61" s="216"/>
      <c r="GTM61" s="217"/>
      <c r="GTN61" s="218"/>
      <c r="GTO61" s="219"/>
      <c r="GTP61" s="220"/>
      <c r="GTQ61" s="220"/>
      <c r="GTR61" s="220"/>
      <c r="GTS61" s="220"/>
      <c r="GTT61" s="217"/>
      <c r="GTU61" s="221"/>
      <c r="GTV61" s="216"/>
      <c r="GTW61" s="217"/>
      <c r="GTX61" s="218"/>
      <c r="GTY61" s="219"/>
      <c r="GTZ61" s="220"/>
      <c r="GUA61" s="220"/>
      <c r="GUB61" s="220"/>
      <c r="GUC61" s="220"/>
      <c r="GUD61" s="217"/>
      <c r="GUE61" s="221"/>
      <c r="GUF61" s="216"/>
      <c r="GUG61" s="217"/>
      <c r="GUH61" s="218"/>
      <c r="GUI61" s="219"/>
      <c r="GUJ61" s="220"/>
      <c r="GUK61" s="220"/>
      <c r="GUL61" s="220"/>
      <c r="GUM61" s="220"/>
      <c r="GUN61" s="217"/>
      <c r="GUO61" s="221"/>
      <c r="GUP61" s="216"/>
      <c r="GUQ61" s="217"/>
      <c r="GUR61" s="218"/>
      <c r="GUS61" s="219"/>
      <c r="GUT61" s="220"/>
      <c r="GUU61" s="220"/>
      <c r="GUV61" s="220"/>
      <c r="GUW61" s="220"/>
      <c r="GUX61" s="217"/>
      <c r="GUY61" s="221"/>
      <c r="GUZ61" s="216"/>
      <c r="GVA61" s="217"/>
      <c r="GVB61" s="218"/>
      <c r="GVC61" s="219"/>
      <c r="GVD61" s="220"/>
      <c r="GVE61" s="220"/>
      <c r="GVF61" s="220"/>
      <c r="GVG61" s="220"/>
      <c r="GVH61" s="217"/>
      <c r="GVI61" s="221"/>
      <c r="GVJ61" s="216"/>
      <c r="GVK61" s="217"/>
      <c r="GVL61" s="218"/>
      <c r="GVM61" s="219"/>
      <c r="GVN61" s="220"/>
      <c r="GVO61" s="220"/>
      <c r="GVP61" s="220"/>
      <c r="GVQ61" s="220"/>
      <c r="GVR61" s="217"/>
      <c r="GVS61" s="221"/>
      <c r="GVT61" s="216"/>
      <c r="GVU61" s="217"/>
      <c r="GVV61" s="218"/>
      <c r="GVW61" s="219"/>
      <c r="GVX61" s="220"/>
      <c r="GVY61" s="220"/>
      <c r="GVZ61" s="220"/>
      <c r="GWA61" s="220"/>
      <c r="GWB61" s="217"/>
      <c r="GWC61" s="221"/>
      <c r="GWD61" s="216"/>
      <c r="GWE61" s="217"/>
      <c r="GWF61" s="218"/>
      <c r="GWG61" s="219"/>
      <c r="GWH61" s="220"/>
      <c r="GWI61" s="220"/>
      <c r="GWJ61" s="220"/>
      <c r="GWK61" s="220"/>
      <c r="GWL61" s="217"/>
      <c r="GWM61" s="221"/>
      <c r="GWN61" s="216"/>
      <c r="GWO61" s="217"/>
      <c r="GWP61" s="218"/>
      <c r="GWQ61" s="219"/>
      <c r="GWR61" s="220"/>
      <c r="GWS61" s="220"/>
      <c r="GWT61" s="220"/>
      <c r="GWU61" s="220"/>
      <c r="GWV61" s="217"/>
      <c r="GWW61" s="221"/>
      <c r="GWX61" s="216"/>
      <c r="GWY61" s="217"/>
      <c r="GWZ61" s="218"/>
      <c r="GXA61" s="219"/>
      <c r="GXB61" s="220"/>
      <c r="GXC61" s="220"/>
      <c r="GXD61" s="220"/>
      <c r="GXE61" s="220"/>
      <c r="GXF61" s="217"/>
      <c r="GXG61" s="221"/>
      <c r="GXH61" s="216"/>
      <c r="GXI61" s="217"/>
      <c r="GXJ61" s="218"/>
      <c r="GXK61" s="219"/>
      <c r="GXL61" s="220"/>
      <c r="GXM61" s="220"/>
      <c r="GXN61" s="220"/>
      <c r="GXO61" s="220"/>
      <c r="GXP61" s="217"/>
      <c r="GXQ61" s="221"/>
      <c r="GXR61" s="216"/>
      <c r="GXS61" s="217"/>
      <c r="GXT61" s="218"/>
      <c r="GXU61" s="219"/>
      <c r="GXV61" s="220"/>
      <c r="GXW61" s="220"/>
      <c r="GXX61" s="220"/>
      <c r="GXY61" s="220"/>
      <c r="GXZ61" s="217"/>
      <c r="GYA61" s="221"/>
      <c r="GYB61" s="216"/>
      <c r="GYC61" s="217"/>
      <c r="GYD61" s="218"/>
      <c r="GYE61" s="219"/>
      <c r="GYF61" s="220"/>
      <c r="GYG61" s="220"/>
      <c r="GYH61" s="220"/>
      <c r="GYI61" s="220"/>
      <c r="GYJ61" s="217"/>
      <c r="GYK61" s="221"/>
      <c r="GYL61" s="216"/>
      <c r="GYM61" s="217"/>
      <c r="GYN61" s="218"/>
      <c r="GYO61" s="219"/>
      <c r="GYP61" s="220"/>
      <c r="GYQ61" s="220"/>
      <c r="GYR61" s="220"/>
      <c r="GYS61" s="220"/>
      <c r="GYT61" s="217"/>
      <c r="GYU61" s="221"/>
      <c r="GYV61" s="216"/>
      <c r="GYW61" s="217"/>
      <c r="GYX61" s="218"/>
      <c r="GYY61" s="219"/>
      <c r="GYZ61" s="220"/>
      <c r="GZA61" s="220"/>
      <c r="GZB61" s="220"/>
      <c r="GZC61" s="220"/>
      <c r="GZD61" s="217"/>
      <c r="GZE61" s="221"/>
      <c r="GZF61" s="216"/>
      <c r="GZG61" s="217"/>
      <c r="GZH61" s="218"/>
      <c r="GZI61" s="219"/>
      <c r="GZJ61" s="220"/>
      <c r="GZK61" s="220"/>
      <c r="GZL61" s="220"/>
      <c r="GZM61" s="220"/>
      <c r="GZN61" s="217"/>
      <c r="GZO61" s="221"/>
      <c r="GZP61" s="216"/>
      <c r="GZQ61" s="217"/>
      <c r="GZR61" s="218"/>
      <c r="GZS61" s="219"/>
      <c r="GZT61" s="220"/>
      <c r="GZU61" s="220"/>
      <c r="GZV61" s="220"/>
      <c r="GZW61" s="220"/>
      <c r="GZX61" s="217"/>
      <c r="GZY61" s="221"/>
      <c r="GZZ61" s="216"/>
      <c r="HAA61" s="217"/>
      <c r="HAB61" s="218"/>
      <c r="HAC61" s="219"/>
      <c r="HAD61" s="220"/>
      <c r="HAE61" s="220"/>
      <c r="HAF61" s="220"/>
      <c r="HAG61" s="220"/>
      <c r="HAH61" s="217"/>
      <c r="HAI61" s="221"/>
      <c r="HAJ61" s="216"/>
      <c r="HAK61" s="217"/>
      <c r="HAL61" s="218"/>
      <c r="HAM61" s="219"/>
      <c r="HAN61" s="220"/>
      <c r="HAO61" s="220"/>
      <c r="HAP61" s="220"/>
      <c r="HAQ61" s="220"/>
      <c r="HAR61" s="217"/>
      <c r="HAS61" s="221"/>
      <c r="HAT61" s="216"/>
      <c r="HAU61" s="217"/>
      <c r="HAV61" s="218"/>
      <c r="HAW61" s="219"/>
      <c r="HAX61" s="220"/>
      <c r="HAY61" s="220"/>
      <c r="HAZ61" s="220"/>
      <c r="HBA61" s="220"/>
      <c r="HBB61" s="217"/>
      <c r="HBC61" s="221"/>
      <c r="HBD61" s="216"/>
      <c r="HBE61" s="217"/>
      <c r="HBF61" s="218"/>
      <c r="HBG61" s="219"/>
      <c r="HBH61" s="220"/>
      <c r="HBI61" s="220"/>
      <c r="HBJ61" s="220"/>
      <c r="HBK61" s="220"/>
      <c r="HBL61" s="217"/>
      <c r="HBM61" s="221"/>
      <c r="HBN61" s="216"/>
      <c r="HBO61" s="217"/>
      <c r="HBP61" s="218"/>
      <c r="HBQ61" s="219"/>
      <c r="HBR61" s="220"/>
      <c r="HBS61" s="220"/>
      <c r="HBT61" s="220"/>
      <c r="HBU61" s="220"/>
      <c r="HBV61" s="217"/>
      <c r="HBW61" s="221"/>
      <c r="HBX61" s="216"/>
      <c r="HBY61" s="217"/>
      <c r="HBZ61" s="218"/>
      <c r="HCA61" s="219"/>
      <c r="HCB61" s="220"/>
      <c r="HCC61" s="220"/>
      <c r="HCD61" s="220"/>
      <c r="HCE61" s="220"/>
      <c r="HCF61" s="217"/>
      <c r="HCG61" s="221"/>
      <c r="HCH61" s="216"/>
      <c r="HCI61" s="217"/>
      <c r="HCJ61" s="218"/>
      <c r="HCK61" s="219"/>
      <c r="HCL61" s="220"/>
      <c r="HCM61" s="220"/>
      <c r="HCN61" s="220"/>
      <c r="HCO61" s="220"/>
      <c r="HCP61" s="217"/>
      <c r="HCQ61" s="221"/>
      <c r="HCR61" s="216"/>
      <c r="HCS61" s="217"/>
      <c r="HCT61" s="218"/>
      <c r="HCU61" s="219"/>
      <c r="HCV61" s="220"/>
      <c r="HCW61" s="220"/>
      <c r="HCX61" s="220"/>
      <c r="HCY61" s="220"/>
      <c r="HCZ61" s="217"/>
      <c r="HDA61" s="221"/>
      <c r="HDB61" s="216"/>
      <c r="HDC61" s="217"/>
      <c r="HDD61" s="218"/>
      <c r="HDE61" s="219"/>
      <c r="HDF61" s="220"/>
      <c r="HDG61" s="220"/>
      <c r="HDH61" s="220"/>
      <c r="HDI61" s="220"/>
      <c r="HDJ61" s="217"/>
      <c r="HDK61" s="221"/>
      <c r="HDL61" s="216"/>
      <c r="HDM61" s="217"/>
      <c r="HDN61" s="218"/>
      <c r="HDO61" s="219"/>
      <c r="HDP61" s="220"/>
      <c r="HDQ61" s="220"/>
      <c r="HDR61" s="220"/>
      <c r="HDS61" s="220"/>
      <c r="HDT61" s="217"/>
      <c r="HDU61" s="221"/>
      <c r="HDV61" s="216"/>
      <c r="HDW61" s="217"/>
      <c r="HDX61" s="218"/>
      <c r="HDY61" s="219"/>
      <c r="HDZ61" s="220"/>
      <c r="HEA61" s="220"/>
      <c r="HEB61" s="220"/>
      <c r="HEC61" s="220"/>
      <c r="HED61" s="217"/>
      <c r="HEE61" s="221"/>
      <c r="HEF61" s="216"/>
      <c r="HEG61" s="217"/>
      <c r="HEH61" s="218"/>
      <c r="HEI61" s="219"/>
      <c r="HEJ61" s="220"/>
      <c r="HEK61" s="220"/>
      <c r="HEL61" s="220"/>
      <c r="HEM61" s="220"/>
      <c r="HEN61" s="217"/>
      <c r="HEO61" s="221"/>
      <c r="HEP61" s="216"/>
      <c r="HEQ61" s="217"/>
      <c r="HER61" s="218"/>
      <c r="HES61" s="219"/>
      <c r="HET61" s="220"/>
      <c r="HEU61" s="220"/>
      <c r="HEV61" s="220"/>
      <c r="HEW61" s="220"/>
      <c r="HEX61" s="217"/>
      <c r="HEY61" s="221"/>
      <c r="HEZ61" s="216"/>
      <c r="HFA61" s="217"/>
      <c r="HFB61" s="218"/>
      <c r="HFC61" s="219"/>
      <c r="HFD61" s="220"/>
      <c r="HFE61" s="220"/>
      <c r="HFF61" s="220"/>
      <c r="HFG61" s="220"/>
      <c r="HFH61" s="217"/>
      <c r="HFI61" s="221"/>
      <c r="HFJ61" s="216"/>
      <c r="HFK61" s="217"/>
      <c r="HFL61" s="218"/>
      <c r="HFM61" s="219"/>
      <c r="HFN61" s="220"/>
      <c r="HFO61" s="220"/>
      <c r="HFP61" s="220"/>
      <c r="HFQ61" s="220"/>
      <c r="HFR61" s="217"/>
      <c r="HFS61" s="221"/>
      <c r="HFT61" s="216"/>
      <c r="HFU61" s="217"/>
      <c r="HFV61" s="218"/>
      <c r="HFW61" s="219"/>
      <c r="HFX61" s="220"/>
      <c r="HFY61" s="220"/>
      <c r="HFZ61" s="220"/>
      <c r="HGA61" s="220"/>
      <c r="HGB61" s="217"/>
      <c r="HGC61" s="221"/>
      <c r="HGD61" s="216"/>
      <c r="HGE61" s="217"/>
      <c r="HGF61" s="218"/>
      <c r="HGG61" s="219"/>
      <c r="HGH61" s="220"/>
      <c r="HGI61" s="220"/>
      <c r="HGJ61" s="220"/>
      <c r="HGK61" s="220"/>
      <c r="HGL61" s="217"/>
      <c r="HGM61" s="221"/>
      <c r="HGN61" s="216"/>
      <c r="HGO61" s="217"/>
      <c r="HGP61" s="218"/>
      <c r="HGQ61" s="219"/>
      <c r="HGR61" s="220"/>
      <c r="HGS61" s="220"/>
      <c r="HGT61" s="220"/>
      <c r="HGU61" s="220"/>
      <c r="HGV61" s="217"/>
      <c r="HGW61" s="221"/>
      <c r="HGX61" s="216"/>
      <c r="HGY61" s="217"/>
      <c r="HGZ61" s="218"/>
      <c r="HHA61" s="219"/>
      <c r="HHB61" s="220"/>
      <c r="HHC61" s="220"/>
      <c r="HHD61" s="220"/>
      <c r="HHE61" s="220"/>
      <c r="HHF61" s="217"/>
      <c r="HHG61" s="221"/>
      <c r="HHH61" s="216"/>
      <c r="HHI61" s="217"/>
      <c r="HHJ61" s="218"/>
      <c r="HHK61" s="219"/>
      <c r="HHL61" s="220"/>
      <c r="HHM61" s="220"/>
      <c r="HHN61" s="220"/>
      <c r="HHO61" s="220"/>
      <c r="HHP61" s="217"/>
      <c r="HHQ61" s="221"/>
      <c r="HHR61" s="216"/>
      <c r="HHS61" s="217"/>
      <c r="HHT61" s="218"/>
      <c r="HHU61" s="219"/>
      <c r="HHV61" s="220"/>
      <c r="HHW61" s="220"/>
      <c r="HHX61" s="220"/>
      <c r="HHY61" s="220"/>
      <c r="HHZ61" s="217"/>
      <c r="HIA61" s="221"/>
      <c r="HIB61" s="216"/>
      <c r="HIC61" s="217"/>
      <c r="HID61" s="218"/>
      <c r="HIE61" s="219"/>
      <c r="HIF61" s="220"/>
      <c r="HIG61" s="220"/>
      <c r="HIH61" s="220"/>
      <c r="HII61" s="220"/>
      <c r="HIJ61" s="217"/>
      <c r="HIK61" s="221"/>
      <c r="HIL61" s="216"/>
      <c r="HIM61" s="217"/>
      <c r="HIN61" s="218"/>
      <c r="HIO61" s="219"/>
      <c r="HIP61" s="220"/>
      <c r="HIQ61" s="220"/>
      <c r="HIR61" s="220"/>
      <c r="HIS61" s="220"/>
      <c r="HIT61" s="217"/>
      <c r="HIU61" s="221"/>
      <c r="HIV61" s="216"/>
      <c r="HIW61" s="217"/>
      <c r="HIX61" s="218"/>
      <c r="HIY61" s="219"/>
      <c r="HIZ61" s="220"/>
      <c r="HJA61" s="220"/>
      <c r="HJB61" s="220"/>
      <c r="HJC61" s="220"/>
      <c r="HJD61" s="217"/>
      <c r="HJE61" s="221"/>
      <c r="HJF61" s="216"/>
      <c r="HJG61" s="217"/>
      <c r="HJH61" s="218"/>
      <c r="HJI61" s="219"/>
      <c r="HJJ61" s="220"/>
      <c r="HJK61" s="220"/>
      <c r="HJL61" s="220"/>
      <c r="HJM61" s="220"/>
      <c r="HJN61" s="217"/>
      <c r="HJO61" s="221"/>
      <c r="HJP61" s="216"/>
      <c r="HJQ61" s="217"/>
      <c r="HJR61" s="218"/>
      <c r="HJS61" s="219"/>
      <c r="HJT61" s="220"/>
      <c r="HJU61" s="220"/>
      <c r="HJV61" s="220"/>
      <c r="HJW61" s="220"/>
      <c r="HJX61" s="217"/>
      <c r="HJY61" s="221"/>
      <c r="HJZ61" s="216"/>
      <c r="HKA61" s="217"/>
      <c r="HKB61" s="218"/>
      <c r="HKC61" s="219"/>
      <c r="HKD61" s="220"/>
      <c r="HKE61" s="220"/>
      <c r="HKF61" s="220"/>
      <c r="HKG61" s="220"/>
      <c r="HKH61" s="217"/>
      <c r="HKI61" s="221"/>
      <c r="HKJ61" s="216"/>
      <c r="HKK61" s="217"/>
      <c r="HKL61" s="218"/>
      <c r="HKM61" s="219"/>
      <c r="HKN61" s="220"/>
      <c r="HKO61" s="220"/>
      <c r="HKP61" s="220"/>
      <c r="HKQ61" s="220"/>
      <c r="HKR61" s="217"/>
      <c r="HKS61" s="221"/>
      <c r="HKT61" s="216"/>
      <c r="HKU61" s="217"/>
      <c r="HKV61" s="218"/>
      <c r="HKW61" s="219"/>
      <c r="HKX61" s="220"/>
      <c r="HKY61" s="220"/>
      <c r="HKZ61" s="220"/>
      <c r="HLA61" s="220"/>
      <c r="HLB61" s="217"/>
      <c r="HLC61" s="221"/>
      <c r="HLD61" s="216"/>
      <c r="HLE61" s="217"/>
      <c r="HLF61" s="218"/>
      <c r="HLG61" s="219"/>
      <c r="HLH61" s="220"/>
      <c r="HLI61" s="220"/>
      <c r="HLJ61" s="220"/>
      <c r="HLK61" s="220"/>
      <c r="HLL61" s="217"/>
      <c r="HLM61" s="221"/>
      <c r="HLN61" s="216"/>
      <c r="HLO61" s="217"/>
      <c r="HLP61" s="218"/>
      <c r="HLQ61" s="219"/>
      <c r="HLR61" s="220"/>
      <c r="HLS61" s="220"/>
      <c r="HLT61" s="220"/>
      <c r="HLU61" s="220"/>
      <c r="HLV61" s="217"/>
      <c r="HLW61" s="221"/>
      <c r="HLX61" s="216"/>
      <c r="HLY61" s="217"/>
      <c r="HLZ61" s="218"/>
      <c r="HMA61" s="219"/>
      <c r="HMB61" s="220"/>
      <c r="HMC61" s="220"/>
      <c r="HMD61" s="220"/>
      <c r="HME61" s="220"/>
      <c r="HMF61" s="217"/>
      <c r="HMG61" s="221"/>
      <c r="HMH61" s="216"/>
      <c r="HMI61" s="217"/>
      <c r="HMJ61" s="218"/>
      <c r="HMK61" s="219"/>
      <c r="HML61" s="220"/>
      <c r="HMM61" s="220"/>
      <c r="HMN61" s="220"/>
      <c r="HMO61" s="220"/>
      <c r="HMP61" s="217"/>
      <c r="HMQ61" s="221"/>
      <c r="HMR61" s="216"/>
      <c r="HMS61" s="217"/>
      <c r="HMT61" s="218"/>
      <c r="HMU61" s="219"/>
      <c r="HMV61" s="220"/>
      <c r="HMW61" s="220"/>
      <c r="HMX61" s="220"/>
      <c r="HMY61" s="220"/>
      <c r="HMZ61" s="217"/>
      <c r="HNA61" s="221"/>
      <c r="HNB61" s="216"/>
      <c r="HNC61" s="217"/>
      <c r="HND61" s="218"/>
      <c r="HNE61" s="219"/>
      <c r="HNF61" s="220"/>
      <c r="HNG61" s="220"/>
      <c r="HNH61" s="220"/>
      <c r="HNI61" s="220"/>
      <c r="HNJ61" s="217"/>
      <c r="HNK61" s="221"/>
      <c r="HNL61" s="216"/>
      <c r="HNM61" s="217"/>
      <c r="HNN61" s="218"/>
      <c r="HNO61" s="219"/>
      <c r="HNP61" s="220"/>
      <c r="HNQ61" s="220"/>
      <c r="HNR61" s="220"/>
      <c r="HNS61" s="220"/>
      <c r="HNT61" s="217"/>
      <c r="HNU61" s="221"/>
      <c r="HNV61" s="216"/>
      <c r="HNW61" s="217"/>
      <c r="HNX61" s="218"/>
      <c r="HNY61" s="219"/>
      <c r="HNZ61" s="220"/>
      <c r="HOA61" s="220"/>
      <c r="HOB61" s="220"/>
      <c r="HOC61" s="220"/>
      <c r="HOD61" s="217"/>
      <c r="HOE61" s="221"/>
      <c r="HOF61" s="216"/>
      <c r="HOG61" s="217"/>
      <c r="HOH61" s="218"/>
      <c r="HOI61" s="219"/>
      <c r="HOJ61" s="220"/>
      <c r="HOK61" s="220"/>
      <c r="HOL61" s="220"/>
      <c r="HOM61" s="220"/>
      <c r="HON61" s="217"/>
      <c r="HOO61" s="221"/>
      <c r="HOP61" s="216"/>
      <c r="HOQ61" s="217"/>
      <c r="HOR61" s="218"/>
      <c r="HOS61" s="219"/>
      <c r="HOT61" s="220"/>
      <c r="HOU61" s="220"/>
      <c r="HOV61" s="220"/>
      <c r="HOW61" s="220"/>
      <c r="HOX61" s="217"/>
      <c r="HOY61" s="221"/>
      <c r="HOZ61" s="216"/>
      <c r="HPA61" s="217"/>
      <c r="HPB61" s="218"/>
      <c r="HPC61" s="219"/>
      <c r="HPD61" s="220"/>
      <c r="HPE61" s="220"/>
      <c r="HPF61" s="220"/>
      <c r="HPG61" s="220"/>
      <c r="HPH61" s="217"/>
      <c r="HPI61" s="221"/>
      <c r="HPJ61" s="216"/>
      <c r="HPK61" s="217"/>
      <c r="HPL61" s="218"/>
      <c r="HPM61" s="219"/>
      <c r="HPN61" s="220"/>
      <c r="HPO61" s="220"/>
      <c r="HPP61" s="220"/>
      <c r="HPQ61" s="220"/>
      <c r="HPR61" s="217"/>
      <c r="HPS61" s="221"/>
      <c r="HPT61" s="216"/>
      <c r="HPU61" s="217"/>
      <c r="HPV61" s="218"/>
      <c r="HPW61" s="219"/>
      <c r="HPX61" s="220"/>
      <c r="HPY61" s="220"/>
      <c r="HPZ61" s="220"/>
      <c r="HQA61" s="220"/>
      <c r="HQB61" s="217"/>
      <c r="HQC61" s="221"/>
      <c r="HQD61" s="216"/>
      <c r="HQE61" s="217"/>
      <c r="HQF61" s="218"/>
      <c r="HQG61" s="219"/>
      <c r="HQH61" s="220"/>
      <c r="HQI61" s="220"/>
      <c r="HQJ61" s="220"/>
      <c r="HQK61" s="220"/>
      <c r="HQL61" s="217"/>
      <c r="HQM61" s="221"/>
      <c r="HQN61" s="216"/>
      <c r="HQO61" s="217"/>
      <c r="HQP61" s="218"/>
      <c r="HQQ61" s="219"/>
      <c r="HQR61" s="220"/>
      <c r="HQS61" s="220"/>
      <c r="HQT61" s="220"/>
      <c r="HQU61" s="220"/>
      <c r="HQV61" s="217"/>
      <c r="HQW61" s="221"/>
      <c r="HQX61" s="216"/>
      <c r="HQY61" s="217"/>
      <c r="HQZ61" s="218"/>
      <c r="HRA61" s="219"/>
      <c r="HRB61" s="220"/>
      <c r="HRC61" s="220"/>
      <c r="HRD61" s="220"/>
      <c r="HRE61" s="220"/>
      <c r="HRF61" s="217"/>
      <c r="HRG61" s="221"/>
      <c r="HRH61" s="216"/>
      <c r="HRI61" s="217"/>
      <c r="HRJ61" s="218"/>
      <c r="HRK61" s="219"/>
      <c r="HRL61" s="220"/>
      <c r="HRM61" s="220"/>
      <c r="HRN61" s="220"/>
      <c r="HRO61" s="220"/>
      <c r="HRP61" s="217"/>
      <c r="HRQ61" s="221"/>
      <c r="HRR61" s="216"/>
      <c r="HRS61" s="217"/>
      <c r="HRT61" s="218"/>
      <c r="HRU61" s="219"/>
      <c r="HRV61" s="220"/>
      <c r="HRW61" s="220"/>
      <c r="HRX61" s="220"/>
      <c r="HRY61" s="220"/>
      <c r="HRZ61" s="217"/>
      <c r="HSA61" s="221"/>
      <c r="HSB61" s="216"/>
      <c r="HSC61" s="217"/>
      <c r="HSD61" s="218"/>
      <c r="HSE61" s="219"/>
      <c r="HSF61" s="220"/>
      <c r="HSG61" s="220"/>
      <c r="HSH61" s="220"/>
      <c r="HSI61" s="220"/>
      <c r="HSJ61" s="217"/>
      <c r="HSK61" s="221"/>
      <c r="HSL61" s="216"/>
      <c r="HSM61" s="217"/>
      <c r="HSN61" s="218"/>
      <c r="HSO61" s="219"/>
      <c r="HSP61" s="220"/>
      <c r="HSQ61" s="220"/>
      <c r="HSR61" s="220"/>
      <c r="HSS61" s="220"/>
      <c r="HST61" s="217"/>
      <c r="HSU61" s="221"/>
      <c r="HSV61" s="216"/>
      <c r="HSW61" s="217"/>
      <c r="HSX61" s="218"/>
      <c r="HSY61" s="219"/>
      <c r="HSZ61" s="220"/>
      <c r="HTA61" s="220"/>
      <c r="HTB61" s="220"/>
      <c r="HTC61" s="220"/>
      <c r="HTD61" s="217"/>
      <c r="HTE61" s="221"/>
      <c r="HTF61" s="216"/>
      <c r="HTG61" s="217"/>
      <c r="HTH61" s="218"/>
      <c r="HTI61" s="219"/>
      <c r="HTJ61" s="220"/>
      <c r="HTK61" s="220"/>
      <c r="HTL61" s="220"/>
      <c r="HTM61" s="220"/>
      <c r="HTN61" s="217"/>
      <c r="HTO61" s="221"/>
      <c r="HTP61" s="216"/>
      <c r="HTQ61" s="217"/>
      <c r="HTR61" s="218"/>
      <c r="HTS61" s="219"/>
      <c r="HTT61" s="220"/>
      <c r="HTU61" s="220"/>
      <c r="HTV61" s="220"/>
      <c r="HTW61" s="220"/>
      <c r="HTX61" s="217"/>
      <c r="HTY61" s="221"/>
      <c r="HTZ61" s="216"/>
      <c r="HUA61" s="217"/>
      <c r="HUB61" s="218"/>
      <c r="HUC61" s="219"/>
      <c r="HUD61" s="220"/>
      <c r="HUE61" s="220"/>
      <c r="HUF61" s="220"/>
      <c r="HUG61" s="220"/>
      <c r="HUH61" s="217"/>
      <c r="HUI61" s="221"/>
      <c r="HUJ61" s="216"/>
      <c r="HUK61" s="217"/>
      <c r="HUL61" s="218"/>
      <c r="HUM61" s="219"/>
      <c r="HUN61" s="220"/>
      <c r="HUO61" s="220"/>
      <c r="HUP61" s="220"/>
      <c r="HUQ61" s="220"/>
      <c r="HUR61" s="217"/>
      <c r="HUS61" s="221"/>
      <c r="HUT61" s="216"/>
      <c r="HUU61" s="217"/>
      <c r="HUV61" s="218"/>
      <c r="HUW61" s="219"/>
      <c r="HUX61" s="220"/>
      <c r="HUY61" s="220"/>
      <c r="HUZ61" s="220"/>
      <c r="HVA61" s="220"/>
      <c r="HVB61" s="217"/>
      <c r="HVC61" s="221"/>
      <c r="HVD61" s="216"/>
      <c r="HVE61" s="217"/>
      <c r="HVF61" s="218"/>
      <c r="HVG61" s="219"/>
      <c r="HVH61" s="220"/>
      <c r="HVI61" s="220"/>
      <c r="HVJ61" s="220"/>
      <c r="HVK61" s="220"/>
      <c r="HVL61" s="217"/>
      <c r="HVM61" s="221"/>
      <c r="HVN61" s="216"/>
      <c r="HVO61" s="217"/>
      <c r="HVP61" s="218"/>
      <c r="HVQ61" s="219"/>
      <c r="HVR61" s="220"/>
      <c r="HVS61" s="220"/>
      <c r="HVT61" s="220"/>
      <c r="HVU61" s="220"/>
      <c r="HVV61" s="217"/>
      <c r="HVW61" s="221"/>
      <c r="HVX61" s="216"/>
      <c r="HVY61" s="217"/>
      <c r="HVZ61" s="218"/>
      <c r="HWA61" s="219"/>
      <c r="HWB61" s="220"/>
      <c r="HWC61" s="220"/>
      <c r="HWD61" s="220"/>
      <c r="HWE61" s="220"/>
      <c r="HWF61" s="217"/>
      <c r="HWG61" s="221"/>
      <c r="HWH61" s="216"/>
      <c r="HWI61" s="217"/>
      <c r="HWJ61" s="218"/>
      <c r="HWK61" s="219"/>
      <c r="HWL61" s="220"/>
      <c r="HWM61" s="220"/>
      <c r="HWN61" s="220"/>
      <c r="HWO61" s="220"/>
      <c r="HWP61" s="217"/>
      <c r="HWQ61" s="221"/>
      <c r="HWR61" s="216"/>
      <c r="HWS61" s="217"/>
      <c r="HWT61" s="218"/>
      <c r="HWU61" s="219"/>
      <c r="HWV61" s="220"/>
      <c r="HWW61" s="220"/>
      <c r="HWX61" s="220"/>
      <c r="HWY61" s="220"/>
      <c r="HWZ61" s="217"/>
      <c r="HXA61" s="221"/>
      <c r="HXB61" s="216"/>
      <c r="HXC61" s="217"/>
      <c r="HXD61" s="218"/>
      <c r="HXE61" s="219"/>
      <c r="HXF61" s="220"/>
      <c r="HXG61" s="220"/>
      <c r="HXH61" s="220"/>
      <c r="HXI61" s="220"/>
      <c r="HXJ61" s="217"/>
      <c r="HXK61" s="221"/>
      <c r="HXL61" s="216"/>
      <c r="HXM61" s="217"/>
      <c r="HXN61" s="218"/>
      <c r="HXO61" s="219"/>
      <c r="HXP61" s="220"/>
      <c r="HXQ61" s="220"/>
      <c r="HXR61" s="220"/>
      <c r="HXS61" s="220"/>
      <c r="HXT61" s="217"/>
      <c r="HXU61" s="221"/>
      <c r="HXV61" s="216"/>
      <c r="HXW61" s="217"/>
      <c r="HXX61" s="218"/>
      <c r="HXY61" s="219"/>
      <c r="HXZ61" s="220"/>
      <c r="HYA61" s="220"/>
      <c r="HYB61" s="220"/>
      <c r="HYC61" s="220"/>
      <c r="HYD61" s="217"/>
      <c r="HYE61" s="221"/>
      <c r="HYF61" s="216"/>
      <c r="HYG61" s="217"/>
      <c r="HYH61" s="218"/>
      <c r="HYI61" s="219"/>
      <c r="HYJ61" s="220"/>
      <c r="HYK61" s="220"/>
      <c r="HYL61" s="220"/>
      <c r="HYM61" s="220"/>
      <c r="HYN61" s="217"/>
      <c r="HYO61" s="221"/>
      <c r="HYP61" s="216"/>
      <c r="HYQ61" s="217"/>
      <c r="HYR61" s="218"/>
      <c r="HYS61" s="219"/>
      <c r="HYT61" s="220"/>
      <c r="HYU61" s="220"/>
      <c r="HYV61" s="220"/>
      <c r="HYW61" s="220"/>
      <c r="HYX61" s="217"/>
      <c r="HYY61" s="221"/>
      <c r="HYZ61" s="216"/>
      <c r="HZA61" s="217"/>
      <c r="HZB61" s="218"/>
      <c r="HZC61" s="219"/>
      <c r="HZD61" s="220"/>
      <c r="HZE61" s="220"/>
      <c r="HZF61" s="220"/>
      <c r="HZG61" s="220"/>
      <c r="HZH61" s="217"/>
      <c r="HZI61" s="221"/>
      <c r="HZJ61" s="216"/>
      <c r="HZK61" s="217"/>
      <c r="HZL61" s="218"/>
      <c r="HZM61" s="219"/>
      <c r="HZN61" s="220"/>
      <c r="HZO61" s="220"/>
      <c r="HZP61" s="220"/>
      <c r="HZQ61" s="220"/>
      <c r="HZR61" s="217"/>
      <c r="HZS61" s="221"/>
      <c r="HZT61" s="216"/>
      <c r="HZU61" s="217"/>
      <c r="HZV61" s="218"/>
      <c r="HZW61" s="219"/>
      <c r="HZX61" s="220"/>
      <c r="HZY61" s="220"/>
      <c r="HZZ61" s="220"/>
      <c r="IAA61" s="220"/>
      <c r="IAB61" s="217"/>
      <c r="IAC61" s="221"/>
      <c r="IAD61" s="216"/>
      <c r="IAE61" s="217"/>
      <c r="IAF61" s="218"/>
      <c r="IAG61" s="219"/>
      <c r="IAH61" s="220"/>
      <c r="IAI61" s="220"/>
      <c r="IAJ61" s="220"/>
      <c r="IAK61" s="220"/>
      <c r="IAL61" s="217"/>
      <c r="IAM61" s="221"/>
      <c r="IAN61" s="216"/>
      <c r="IAO61" s="217"/>
      <c r="IAP61" s="218"/>
      <c r="IAQ61" s="219"/>
      <c r="IAR61" s="220"/>
      <c r="IAS61" s="220"/>
      <c r="IAT61" s="220"/>
      <c r="IAU61" s="220"/>
      <c r="IAV61" s="217"/>
      <c r="IAW61" s="221"/>
      <c r="IAX61" s="216"/>
      <c r="IAY61" s="217"/>
      <c r="IAZ61" s="218"/>
      <c r="IBA61" s="219"/>
      <c r="IBB61" s="220"/>
      <c r="IBC61" s="220"/>
      <c r="IBD61" s="220"/>
      <c r="IBE61" s="220"/>
      <c r="IBF61" s="217"/>
      <c r="IBG61" s="221"/>
      <c r="IBH61" s="216"/>
      <c r="IBI61" s="217"/>
      <c r="IBJ61" s="218"/>
      <c r="IBK61" s="219"/>
      <c r="IBL61" s="220"/>
      <c r="IBM61" s="220"/>
      <c r="IBN61" s="220"/>
      <c r="IBO61" s="220"/>
      <c r="IBP61" s="217"/>
      <c r="IBQ61" s="221"/>
      <c r="IBR61" s="216"/>
      <c r="IBS61" s="217"/>
      <c r="IBT61" s="218"/>
      <c r="IBU61" s="219"/>
      <c r="IBV61" s="220"/>
      <c r="IBW61" s="220"/>
      <c r="IBX61" s="220"/>
      <c r="IBY61" s="220"/>
      <c r="IBZ61" s="217"/>
      <c r="ICA61" s="221"/>
      <c r="ICB61" s="216"/>
      <c r="ICC61" s="217"/>
      <c r="ICD61" s="218"/>
      <c r="ICE61" s="219"/>
      <c r="ICF61" s="220"/>
      <c r="ICG61" s="220"/>
      <c r="ICH61" s="220"/>
      <c r="ICI61" s="220"/>
      <c r="ICJ61" s="217"/>
      <c r="ICK61" s="221"/>
      <c r="ICL61" s="216"/>
      <c r="ICM61" s="217"/>
      <c r="ICN61" s="218"/>
      <c r="ICO61" s="219"/>
      <c r="ICP61" s="220"/>
      <c r="ICQ61" s="220"/>
      <c r="ICR61" s="220"/>
      <c r="ICS61" s="220"/>
      <c r="ICT61" s="217"/>
      <c r="ICU61" s="221"/>
      <c r="ICV61" s="216"/>
      <c r="ICW61" s="217"/>
      <c r="ICX61" s="218"/>
      <c r="ICY61" s="219"/>
      <c r="ICZ61" s="220"/>
      <c r="IDA61" s="220"/>
      <c r="IDB61" s="220"/>
      <c r="IDC61" s="220"/>
      <c r="IDD61" s="217"/>
      <c r="IDE61" s="221"/>
      <c r="IDF61" s="216"/>
      <c r="IDG61" s="217"/>
      <c r="IDH61" s="218"/>
      <c r="IDI61" s="219"/>
      <c r="IDJ61" s="220"/>
      <c r="IDK61" s="220"/>
      <c r="IDL61" s="220"/>
      <c r="IDM61" s="220"/>
      <c r="IDN61" s="217"/>
      <c r="IDO61" s="221"/>
      <c r="IDP61" s="216"/>
      <c r="IDQ61" s="217"/>
      <c r="IDR61" s="218"/>
      <c r="IDS61" s="219"/>
      <c r="IDT61" s="220"/>
      <c r="IDU61" s="220"/>
      <c r="IDV61" s="220"/>
      <c r="IDW61" s="220"/>
      <c r="IDX61" s="217"/>
      <c r="IDY61" s="221"/>
      <c r="IDZ61" s="216"/>
      <c r="IEA61" s="217"/>
      <c r="IEB61" s="218"/>
      <c r="IEC61" s="219"/>
      <c r="IED61" s="220"/>
      <c r="IEE61" s="220"/>
      <c r="IEF61" s="220"/>
      <c r="IEG61" s="220"/>
      <c r="IEH61" s="217"/>
      <c r="IEI61" s="221"/>
      <c r="IEJ61" s="216"/>
      <c r="IEK61" s="217"/>
      <c r="IEL61" s="218"/>
      <c r="IEM61" s="219"/>
      <c r="IEN61" s="220"/>
      <c r="IEO61" s="220"/>
      <c r="IEP61" s="220"/>
      <c r="IEQ61" s="220"/>
      <c r="IER61" s="217"/>
      <c r="IES61" s="221"/>
      <c r="IET61" s="216"/>
      <c r="IEU61" s="217"/>
      <c r="IEV61" s="218"/>
      <c r="IEW61" s="219"/>
      <c r="IEX61" s="220"/>
      <c r="IEY61" s="220"/>
      <c r="IEZ61" s="220"/>
      <c r="IFA61" s="220"/>
      <c r="IFB61" s="217"/>
      <c r="IFC61" s="221"/>
      <c r="IFD61" s="216"/>
      <c r="IFE61" s="217"/>
      <c r="IFF61" s="218"/>
      <c r="IFG61" s="219"/>
      <c r="IFH61" s="220"/>
      <c r="IFI61" s="220"/>
      <c r="IFJ61" s="220"/>
      <c r="IFK61" s="220"/>
      <c r="IFL61" s="217"/>
      <c r="IFM61" s="221"/>
      <c r="IFN61" s="216"/>
      <c r="IFO61" s="217"/>
      <c r="IFP61" s="218"/>
      <c r="IFQ61" s="219"/>
      <c r="IFR61" s="220"/>
      <c r="IFS61" s="220"/>
      <c r="IFT61" s="220"/>
      <c r="IFU61" s="220"/>
      <c r="IFV61" s="217"/>
      <c r="IFW61" s="221"/>
      <c r="IFX61" s="216"/>
      <c r="IFY61" s="217"/>
      <c r="IFZ61" s="218"/>
      <c r="IGA61" s="219"/>
      <c r="IGB61" s="220"/>
      <c r="IGC61" s="220"/>
      <c r="IGD61" s="220"/>
      <c r="IGE61" s="220"/>
      <c r="IGF61" s="217"/>
      <c r="IGG61" s="221"/>
      <c r="IGH61" s="216"/>
      <c r="IGI61" s="217"/>
      <c r="IGJ61" s="218"/>
      <c r="IGK61" s="219"/>
      <c r="IGL61" s="220"/>
      <c r="IGM61" s="220"/>
      <c r="IGN61" s="220"/>
      <c r="IGO61" s="220"/>
      <c r="IGP61" s="217"/>
      <c r="IGQ61" s="221"/>
      <c r="IGR61" s="216"/>
      <c r="IGS61" s="217"/>
      <c r="IGT61" s="218"/>
      <c r="IGU61" s="219"/>
      <c r="IGV61" s="220"/>
      <c r="IGW61" s="220"/>
      <c r="IGX61" s="220"/>
      <c r="IGY61" s="220"/>
      <c r="IGZ61" s="217"/>
      <c r="IHA61" s="221"/>
      <c r="IHB61" s="216"/>
      <c r="IHC61" s="217"/>
      <c r="IHD61" s="218"/>
      <c r="IHE61" s="219"/>
      <c r="IHF61" s="220"/>
      <c r="IHG61" s="220"/>
      <c r="IHH61" s="220"/>
      <c r="IHI61" s="220"/>
      <c r="IHJ61" s="217"/>
      <c r="IHK61" s="221"/>
      <c r="IHL61" s="216"/>
      <c r="IHM61" s="217"/>
      <c r="IHN61" s="218"/>
      <c r="IHO61" s="219"/>
      <c r="IHP61" s="220"/>
      <c r="IHQ61" s="220"/>
      <c r="IHR61" s="220"/>
      <c r="IHS61" s="220"/>
      <c r="IHT61" s="217"/>
      <c r="IHU61" s="221"/>
      <c r="IHV61" s="216"/>
      <c r="IHW61" s="217"/>
      <c r="IHX61" s="218"/>
      <c r="IHY61" s="219"/>
      <c r="IHZ61" s="220"/>
      <c r="IIA61" s="220"/>
      <c r="IIB61" s="220"/>
      <c r="IIC61" s="220"/>
      <c r="IID61" s="217"/>
      <c r="IIE61" s="221"/>
      <c r="IIF61" s="216"/>
      <c r="IIG61" s="217"/>
      <c r="IIH61" s="218"/>
      <c r="III61" s="219"/>
      <c r="IIJ61" s="220"/>
      <c r="IIK61" s="220"/>
      <c r="IIL61" s="220"/>
      <c r="IIM61" s="220"/>
      <c r="IIN61" s="217"/>
      <c r="IIO61" s="221"/>
      <c r="IIP61" s="216"/>
      <c r="IIQ61" s="217"/>
      <c r="IIR61" s="218"/>
      <c r="IIS61" s="219"/>
      <c r="IIT61" s="220"/>
      <c r="IIU61" s="220"/>
      <c r="IIV61" s="220"/>
      <c r="IIW61" s="220"/>
      <c r="IIX61" s="217"/>
      <c r="IIY61" s="221"/>
      <c r="IIZ61" s="216"/>
      <c r="IJA61" s="217"/>
      <c r="IJB61" s="218"/>
      <c r="IJC61" s="219"/>
      <c r="IJD61" s="220"/>
      <c r="IJE61" s="220"/>
      <c r="IJF61" s="220"/>
      <c r="IJG61" s="220"/>
      <c r="IJH61" s="217"/>
      <c r="IJI61" s="221"/>
      <c r="IJJ61" s="216"/>
      <c r="IJK61" s="217"/>
      <c r="IJL61" s="218"/>
      <c r="IJM61" s="219"/>
      <c r="IJN61" s="220"/>
      <c r="IJO61" s="220"/>
      <c r="IJP61" s="220"/>
      <c r="IJQ61" s="220"/>
      <c r="IJR61" s="217"/>
      <c r="IJS61" s="221"/>
      <c r="IJT61" s="216"/>
      <c r="IJU61" s="217"/>
      <c r="IJV61" s="218"/>
      <c r="IJW61" s="219"/>
      <c r="IJX61" s="220"/>
      <c r="IJY61" s="220"/>
      <c r="IJZ61" s="220"/>
      <c r="IKA61" s="220"/>
      <c r="IKB61" s="217"/>
      <c r="IKC61" s="221"/>
      <c r="IKD61" s="216"/>
      <c r="IKE61" s="217"/>
      <c r="IKF61" s="218"/>
      <c r="IKG61" s="219"/>
      <c r="IKH61" s="220"/>
      <c r="IKI61" s="220"/>
      <c r="IKJ61" s="220"/>
      <c r="IKK61" s="220"/>
      <c r="IKL61" s="217"/>
      <c r="IKM61" s="221"/>
      <c r="IKN61" s="216"/>
      <c r="IKO61" s="217"/>
      <c r="IKP61" s="218"/>
      <c r="IKQ61" s="219"/>
      <c r="IKR61" s="220"/>
      <c r="IKS61" s="220"/>
      <c r="IKT61" s="220"/>
      <c r="IKU61" s="220"/>
      <c r="IKV61" s="217"/>
      <c r="IKW61" s="221"/>
      <c r="IKX61" s="216"/>
      <c r="IKY61" s="217"/>
      <c r="IKZ61" s="218"/>
      <c r="ILA61" s="219"/>
      <c r="ILB61" s="220"/>
      <c r="ILC61" s="220"/>
      <c r="ILD61" s="220"/>
      <c r="ILE61" s="220"/>
      <c r="ILF61" s="217"/>
      <c r="ILG61" s="221"/>
      <c r="ILH61" s="216"/>
      <c r="ILI61" s="217"/>
      <c r="ILJ61" s="218"/>
      <c r="ILK61" s="219"/>
      <c r="ILL61" s="220"/>
      <c r="ILM61" s="220"/>
      <c r="ILN61" s="220"/>
      <c r="ILO61" s="220"/>
      <c r="ILP61" s="217"/>
      <c r="ILQ61" s="221"/>
      <c r="ILR61" s="216"/>
      <c r="ILS61" s="217"/>
      <c r="ILT61" s="218"/>
      <c r="ILU61" s="219"/>
      <c r="ILV61" s="220"/>
      <c r="ILW61" s="220"/>
      <c r="ILX61" s="220"/>
      <c r="ILY61" s="220"/>
      <c r="ILZ61" s="217"/>
      <c r="IMA61" s="221"/>
      <c r="IMB61" s="216"/>
      <c r="IMC61" s="217"/>
      <c r="IMD61" s="218"/>
      <c r="IME61" s="219"/>
      <c r="IMF61" s="220"/>
      <c r="IMG61" s="220"/>
      <c r="IMH61" s="220"/>
      <c r="IMI61" s="220"/>
      <c r="IMJ61" s="217"/>
      <c r="IMK61" s="221"/>
      <c r="IML61" s="216"/>
      <c r="IMM61" s="217"/>
      <c r="IMN61" s="218"/>
      <c r="IMO61" s="219"/>
      <c r="IMP61" s="220"/>
      <c r="IMQ61" s="220"/>
      <c r="IMR61" s="220"/>
      <c r="IMS61" s="220"/>
      <c r="IMT61" s="217"/>
      <c r="IMU61" s="221"/>
      <c r="IMV61" s="216"/>
      <c r="IMW61" s="217"/>
      <c r="IMX61" s="218"/>
      <c r="IMY61" s="219"/>
      <c r="IMZ61" s="220"/>
      <c r="INA61" s="220"/>
      <c r="INB61" s="220"/>
      <c r="INC61" s="220"/>
      <c r="IND61" s="217"/>
      <c r="INE61" s="221"/>
      <c r="INF61" s="216"/>
      <c r="ING61" s="217"/>
      <c r="INH61" s="218"/>
      <c r="INI61" s="219"/>
      <c r="INJ61" s="220"/>
      <c r="INK61" s="220"/>
      <c r="INL61" s="220"/>
      <c r="INM61" s="220"/>
      <c r="INN61" s="217"/>
      <c r="INO61" s="221"/>
      <c r="INP61" s="216"/>
      <c r="INQ61" s="217"/>
      <c r="INR61" s="218"/>
      <c r="INS61" s="219"/>
      <c r="INT61" s="220"/>
      <c r="INU61" s="220"/>
      <c r="INV61" s="220"/>
      <c r="INW61" s="220"/>
      <c r="INX61" s="217"/>
      <c r="INY61" s="221"/>
      <c r="INZ61" s="216"/>
      <c r="IOA61" s="217"/>
      <c r="IOB61" s="218"/>
      <c r="IOC61" s="219"/>
      <c r="IOD61" s="220"/>
      <c r="IOE61" s="220"/>
      <c r="IOF61" s="220"/>
      <c r="IOG61" s="220"/>
      <c r="IOH61" s="217"/>
      <c r="IOI61" s="221"/>
      <c r="IOJ61" s="216"/>
      <c r="IOK61" s="217"/>
      <c r="IOL61" s="218"/>
      <c r="IOM61" s="219"/>
      <c r="ION61" s="220"/>
      <c r="IOO61" s="220"/>
      <c r="IOP61" s="220"/>
      <c r="IOQ61" s="220"/>
      <c r="IOR61" s="217"/>
      <c r="IOS61" s="221"/>
      <c r="IOT61" s="216"/>
      <c r="IOU61" s="217"/>
      <c r="IOV61" s="218"/>
      <c r="IOW61" s="219"/>
      <c r="IOX61" s="220"/>
      <c r="IOY61" s="220"/>
      <c r="IOZ61" s="220"/>
      <c r="IPA61" s="220"/>
      <c r="IPB61" s="217"/>
      <c r="IPC61" s="221"/>
      <c r="IPD61" s="216"/>
      <c r="IPE61" s="217"/>
      <c r="IPF61" s="218"/>
      <c r="IPG61" s="219"/>
      <c r="IPH61" s="220"/>
      <c r="IPI61" s="220"/>
      <c r="IPJ61" s="220"/>
      <c r="IPK61" s="220"/>
      <c r="IPL61" s="217"/>
      <c r="IPM61" s="221"/>
      <c r="IPN61" s="216"/>
      <c r="IPO61" s="217"/>
      <c r="IPP61" s="218"/>
      <c r="IPQ61" s="219"/>
      <c r="IPR61" s="220"/>
      <c r="IPS61" s="220"/>
      <c r="IPT61" s="220"/>
      <c r="IPU61" s="220"/>
      <c r="IPV61" s="217"/>
      <c r="IPW61" s="221"/>
      <c r="IPX61" s="216"/>
      <c r="IPY61" s="217"/>
      <c r="IPZ61" s="218"/>
      <c r="IQA61" s="219"/>
      <c r="IQB61" s="220"/>
      <c r="IQC61" s="220"/>
      <c r="IQD61" s="220"/>
      <c r="IQE61" s="220"/>
      <c r="IQF61" s="217"/>
      <c r="IQG61" s="221"/>
      <c r="IQH61" s="216"/>
      <c r="IQI61" s="217"/>
      <c r="IQJ61" s="218"/>
      <c r="IQK61" s="219"/>
      <c r="IQL61" s="220"/>
      <c r="IQM61" s="220"/>
      <c r="IQN61" s="220"/>
      <c r="IQO61" s="220"/>
      <c r="IQP61" s="217"/>
      <c r="IQQ61" s="221"/>
      <c r="IQR61" s="216"/>
      <c r="IQS61" s="217"/>
      <c r="IQT61" s="218"/>
      <c r="IQU61" s="219"/>
      <c r="IQV61" s="220"/>
      <c r="IQW61" s="220"/>
      <c r="IQX61" s="220"/>
      <c r="IQY61" s="220"/>
      <c r="IQZ61" s="217"/>
      <c r="IRA61" s="221"/>
      <c r="IRB61" s="216"/>
      <c r="IRC61" s="217"/>
      <c r="IRD61" s="218"/>
      <c r="IRE61" s="219"/>
      <c r="IRF61" s="220"/>
      <c r="IRG61" s="220"/>
      <c r="IRH61" s="220"/>
      <c r="IRI61" s="220"/>
      <c r="IRJ61" s="217"/>
      <c r="IRK61" s="221"/>
      <c r="IRL61" s="216"/>
      <c r="IRM61" s="217"/>
      <c r="IRN61" s="218"/>
      <c r="IRO61" s="219"/>
      <c r="IRP61" s="220"/>
      <c r="IRQ61" s="220"/>
      <c r="IRR61" s="220"/>
      <c r="IRS61" s="220"/>
      <c r="IRT61" s="217"/>
      <c r="IRU61" s="221"/>
      <c r="IRV61" s="216"/>
      <c r="IRW61" s="217"/>
      <c r="IRX61" s="218"/>
      <c r="IRY61" s="219"/>
      <c r="IRZ61" s="220"/>
      <c r="ISA61" s="220"/>
      <c r="ISB61" s="220"/>
      <c r="ISC61" s="220"/>
      <c r="ISD61" s="217"/>
      <c r="ISE61" s="221"/>
      <c r="ISF61" s="216"/>
      <c r="ISG61" s="217"/>
      <c r="ISH61" s="218"/>
      <c r="ISI61" s="219"/>
      <c r="ISJ61" s="220"/>
      <c r="ISK61" s="220"/>
      <c r="ISL61" s="220"/>
      <c r="ISM61" s="220"/>
      <c r="ISN61" s="217"/>
      <c r="ISO61" s="221"/>
      <c r="ISP61" s="216"/>
      <c r="ISQ61" s="217"/>
      <c r="ISR61" s="218"/>
      <c r="ISS61" s="219"/>
      <c r="IST61" s="220"/>
      <c r="ISU61" s="220"/>
      <c r="ISV61" s="220"/>
      <c r="ISW61" s="220"/>
      <c r="ISX61" s="217"/>
      <c r="ISY61" s="221"/>
      <c r="ISZ61" s="216"/>
      <c r="ITA61" s="217"/>
      <c r="ITB61" s="218"/>
      <c r="ITC61" s="219"/>
      <c r="ITD61" s="220"/>
      <c r="ITE61" s="220"/>
      <c r="ITF61" s="220"/>
      <c r="ITG61" s="220"/>
      <c r="ITH61" s="217"/>
      <c r="ITI61" s="221"/>
      <c r="ITJ61" s="216"/>
      <c r="ITK61" s="217"/>
      <c r="ITL61" s="218"/>
      <c r="ITM61" s="219"/>
      <c r="ITN61" s="220"/>
      <c r="ITO61" s="220"/>
      <c r="ITP61" s="220"/>
      <c r="ITQ61" s="220"/>
      <c r="ITR61" s="217"/>
      <c r="ITS61" s="221"/>
      <c r="ITT61" s="216"/>
      <c r="ITU61" s="217"/>
      <c r="ITV61" s="218"/>
      <c r="ITW61" s="219"/>
      <c r="ITX61" s="220"/>
      <c r="ITY61" s="220"/>
      <c r="ITZ61" s="220"/>
      <c r="IUA61" s="220"/>
      <c r="IUB61" s="217"/>
      <c r="IUC61" s="221"/>
      <c r="IUD61" s="216"/>
      <c r="IUE61" s="217"/>
      <c r="IUF61" s="218"/>
      <c r="IUG61" s="219"/>
      <c r="IUH61" s="220"/>
      <c r="IUI61" s="220"/>
      <c r="IUJ61" s="220"/>
      <c r="IUK61" s="220"/>
      <c r="IUL61" s="217"/>
      <c r="IUM61" s="221"/>
      <c r="IUN61" s="216"/>
      <c r="IUO61" s="217"/>
      <c r="IUP61" s="218"/>
      <c r="IUQ61" s="219"/>
      <c r="IUR61" s="220"/>
      <c r="IUS61" s="220"/>
      <c r="IUT61" s="220"/>
      <c r="IUU61" s="220"/>
      <c r="IUV61" s="217"/>
      <c r="IUW61" s="221"/>
      <c r="IUX61" s="216"/>
      <c r="IUY61" s="217"/>
      <c r="IUZ61" s="218"/>
      <c r="IVA61" s="219"/>
      <c r="IVB61" s="220"/>
      <c r="IVC61" s="220"/>
      <c r="IVD61" s="220"/>
      <c r="IVE61" s="220"/>
      <c r="IVF61" s="217"/>
      <c r="IVG61" s="221"/>
      <c r="IVH61" s="216"/>
      <c r="IVI61" s="217"/>
      <c r="IVJ61" s="218"/>
      <c r="IVK61" s="219"/>
      <c r="IVL61" s="220"/>
      <c r="IVM61" s="220"/>
      <c r="IVN61" s="220"/>
      <c r="IVO61" s="220"/>
      <c r="IVP61" s="217"/>
      <c r="IVQ61" s="221"/>
      <c r="IVR61" s="216"/>
      <c r="IVS61" s="217"/>
      <c r="IVT61" s="218"/>
      <c r="IVU61" s="219"/>
      <c r="IVV61" s="220"/>
      <c r="IVW61" s="220"/>
      <c r="IVX61" s="220"/>
      <c r="IVY61" s="220"/>
      <c r="IVZ61" s="217"/>
      <c r="IWA61" s="221"/>
      <c r="IWB61" s="216"/>
      <c r="IWC61" s="217"/>
      <c r="IWD61" s="218"/>
      <c r="IWE61" s="219"/>
      <c r="IWF61" s="220"/>
      <c r="IWG61" s="220"/>
      <c r="IWH61" s="220"/>
      <c r="IWI61" s="220"/>
      <c r="IWJ61" s="217"/>
      <c r="IWK61" s="221"/>
      <c r="IWL61" s="216"/>
      <c r="IWM61" s="217"/>
      <c r="IWN61" s="218"/>
      <c r="IWO61" s="219"/>
      <c r="IWP61" s="220"/>
      <c r="IWQ61" s="220"/>
      <c r="IWR61" s="220"/>
      <c r="IWS61" s="220"/>
      <c r="IWT61" s="217"/>
      <c r="IWU61" s="221"/>
      <c r="IWV61" s="216"/>
      <c r="IWW61" s="217"/>
      <c r="IWX61" s="218"/>
      <c r="IWY61" s="219"/>
      <c r="IWZ61" s="220"/>
      <c r="IXA61" s="220"/>
      <c r="IXB61" s="220"/>
      <c r="IXC61" s="220"/>
      <c r="IXD61" s="217"/>
      <c r="IXE61" s="221"/>
      <c r="IXF61" s="216"/>
      <c r="IXG61" s="217"/>
      <c r="IXH61" s="218"/>
      <c r="IXI61" s="219"/>
      <c r="IXJ61" s="220"/>
      <c r="IXK61" s="220"/>
      <c r="IXL61" s="220"/>
      <c r="IXM61" s="220"/>
      <c r="IXN61" s="217"/>
      <c r="IXO61" s="221"/>
      <c r="IXP61" s="216"/>
      <c r="IXQ61" s="217"/>
      <c r="IXR61" s="218"/>
      <c r="IXS61" s="219"/>
      <c r="IXT61" s="220"/>
      <c r="IXU61" s="220"/>
      <c r="IXV61" s="220"/>
      <c r="IXW61" s="220"/>
      <c r="IXX61" s="217"/>
      <c r="IXY61" s="221"/>
      <c r="IXZ61" s="216"/>
      <c r="IYA61" s="217"/>
      <c r="IYB61" s="218"/>
      <c r="IYC61" s="219"/>
      <c r="IYD61" s="220"/>
      <c r="IYE61" s="220"/>
      <c r="IYF61" s="220"/>
      <c r="IYG61" s="220"/>
      <c r="IYH61" s="217"/>
      <c r="IYI61" s="221"/>
      <c r="IYJ61" s="216"/>
      <c r="IYK61" s="217"/>
      <c r="IYL61" s="218"/>
      <c r="IYM61" s="219"/>
      <c r="IYN61" s="220"/>
      <c r="IYO61" s="220"/>
      <c r="IYP61" s="220"/>
      <c r="IYQ61" s="220"/>
      <c r="IYR61" s="217"/>
      <c r="IYS61" s="221"/>
      <c r="IYT61" s="216"/>
      <c r="IYU61" s="217"/>
      <c r="IYV61" s="218"/>
      <c r="IYW61" s="219"/>
      <c r="IYX61" s="220"/>
      <c r="IYY61" s="220"/>
      <c r="IYZ61" s="220"/>
      <c r="IZA61" s="220"/>
      <c r="IZB61" s="217"/>
      <c r="IZC61" s="221"/>
      <c r="IZD61" s="216"/>
      <c r="IZE61" s="217"/>
      <c r="IZF61" s="218"/>
      <c r="IZG61" s="219"/>
      <c r="IZH61" s="220"/>
      <c r="IZI61" s="220"/>
      <c r="IZJ61" s="220"/>
      <c r="IZK61" s="220"/>
      <c r="IZL61" s="217"/>
      <c r="IZM61" s="221"/>
      <c r="IZN61" s="216"/>
      <c r="IZO61" s="217"/>
      <c r="IZP61" s="218"/>
      <c r="IZQ61" s="219"/>
      <c r="IZR61" s="220"/>
      <c r="IZS61" s="220"/>
      <c r="IZT61" s="220"/>
      <c r="IZU61" s="220"/>
      <c r="IZV61" s="217"/>
      <c r="IZW61" s="221"/>
      <c r="IZX61" s="216"/>
      <c r="IZY61" s="217"/>
      <c r="IZZ61" s="218"/>
      <c r="JAA61" s="219"/>
      <c r="JAB61" s="220"/>
      <c r="JAC61" s="220"/>
      <c r="JAD61" s="220"/>
      <c r="JAE61" s="220"/>
      <c r="JAF61" s="217"/>
      <c r="JAG61" s="221"/>
      <c r="JAH61" s="216"/>
      <c r="JAI61" s="217"/>
      <c r="JAJ61" s="218"/>
      <c r="JAK61" s="219"/>
      <c r="JAL61" s="220"/>
      <c r="JAM61" s="220"/>
      <c r="JAN61" s="220"/>
      <c r="JAO61" s="220"/>
      <c r="JAP61" s="217"/>
      <c r="JAQ61" s="221"/>
      <c r="JAR61" s="216"/>
      <c r="JAS61" s="217"/>
      <c r="JAT61" s="218"/>
      <c r="JAU61" s="219"/>
      <c r="JAV61" s="220"/>
      <c r="JAW61" s="220"/>
      <c r="JAX61" s="220"/>
      <c r="JAY61" s="220"/>
      <c r="JAZ61" s="217"/>
      <c r="JBA61" s="221"/>
      <c r="JBB61" s="216"/>
      <c r="JBC61" s="217"/>
      <c r="JBD61" s="218"/>
      <c r="JBE61" s="219"/>
      <c r="JBF61" s="220"/>
      <c r="JBG61" s="220"/>
      <c r="JBH61" s="220"/>
      <c r="JBI61" s="220"/>
      <c r="JBJ61" s="217"/>
      <c r="JBK61" s="221"/>
      <c r="JBL61" s="216"/>
      <c r="JBM61" s="217"/>
      <c r="JBN61" s="218"/>
      <c r="JBO61" s="219"/>
      <c r="JBP61" s="220"/>
      <c r="JBQ61" s="220"/>
      <c r="JBR61" s="220"/>
      <c r="JBS61" s="220"/>
      <c r="JBT61" s="217"/>
      <c r="JBU61" s="221"/>
      <c r="JBV61" s="216"/>
      <c r="JBW61" s="217"/>
      <c r="JBX61" s="218"/>
      <c r="JBY61" s="219"/>
      <c r="JBZ61" s="220"/>
      <c r="JCA61" s="220"/>
      <c r="JCB61" s="220"/>
      <c r="JCC61" s="220"/>
      <c r="JCD61" s="217"/>
      <c r="JCE61" s="221"/>
      <c r="JCF61" s="216"/>
      <c r="JCG61" s="217"/>
      <c r="JCH61" s="218"/>
      <c r="JCI61" s="219"/>
      <c r="JCJ61" s="220"/>
      <c r="JCK61" s="220"/>
      <c r="JCL61" s="220"/>
      <c r="JCM61" s="220"/>
      <c r="JCN61" s="217"/>
      <c r="JCO61" s="221"/>
      <c r="JCP61" s="216"/>
      <c r="JCQ61" s="217"/>
      <c r="JCR61" s="218"/>
      <c r="JCS61" s="219"/>
      <c r="JCT61" s="220"/>
      <c r="JCU61" s="220"/>
      <c r="JCV61" s="220"/>
      <c r="JCW61" s="220"/>
      <c r="JCX61" s="217"/>
      <c r="JCY61" s="221"/>
      <c r="JCZ61" s="216"/>
      <c r="JDA61" s="217"/>
      <c r="JDB61" s="218"/>
      <c r="JDC61" s="219"/>
      <c r="JDD61" s="220"/>
      <c r="JDE61" s="220"/>
      <c r="JDF61" s="220"/>
      <c r="JDG61" s="220"/>
      <c r="JDH61" s="217"/>
      <c r="JDI61" s="221"/>
      <c r="JDJ61" s="216"/>
      <c r="JDK61" s="217"/>
      <c r="JDL61" s="218"/>
      <c r="JDM61" s="219"/>
      <c r="JDN61" s="220"/>
      <c r="JDO61" s="220"/>
      <c r="JDP61" s="220"/>
      <c r="JDQ61" s="220"/>
      <c r="JDR61" s="217"/>
      <c r="JDS61" s="221"/>
      <c r="JDT61" s="216"/>
      <c r="JDU61" s="217"/>
      <c r="JDV61" s="218"/>
      <c r="JDW61" s="219"/>
      <c r="JDX61" s="220"/>
      <c r="JDY61" s="220"/>
      <c r="JDZ61" s="220"/>
      <c r="JEA61" s="220"/>
      <c r="JEB61" s="217"/>
      <c r="JEC61" s="221"/>
      <c r="JED61" s="216"/>
      <c r="JEE61" s="217"/>
      <c r="JEF61" s="218"/>
      <c r="JEG61" s="219"/>
      <c r="JEH61" s="220"/>
      <c r="JEI61" s="220"/>
      <c r="JEJ61" s="220"/>
      <c r="JEK61" s="220"/>
      <c r="JEL61" s="217"/>
      <c r="JEM61" s="221"/>
      <c r="JEN61" s="216"/>
      <c r="JEO61" s="217"/>
      <c r="JEP61" s="218"/>
      <c r="JEQ61" s="219"/>
      <c r="JER61" s="220"/>
      <c r="JES61" s="220"/>
      <c r="JET61" s="220"/>
      <c r="JEU61" s="220"/>
      <c r="JEV61" s="217"/>
      <c r="JEW61" s="221"/>
      <c r="JEX61" s="216"/>
      <c r="JEY61" s="217"/>
      <c r="JEZ61" s="218"/>
      <c r="JFA61" s="219"/>
      <c r="JFB61" s="220"/>
      <c r="JFC61" s="220"/>
      <c r="JFD61" s="220"/>
      <c r="JFE61" s="220"/>
      <c r="JFF61" s="217"/>
      <c r="JFG61" s="221"/>
      <c r="JFH61" s="216"/>
      <c r="JFI61" s="217"/>
      <c r="JFJ61" s="218"/>
      <c r="JFK61" s="219"/>
      <c r="JFL61" s="220"/>
      <c r="JFM61" s="220"/>
      <c r="JFN61" s="220"/>
      <c r="JFO61" s="220"/>
      <c r="JFP61" s="217"/>
      <c r="JFQ61" s="221"/>
      <c r="JFR61" s="216"/>
      <c r="JFS61" s="217"/>
      <c r="JFT61" s="218"/>
      <c r="JFU61" s="219"/>
      <c r="JFV61" s="220"/>
      <c r="JFW61" s="220"/>
      <c r="JFX61" s="220"/>
      <c r="JFY61" s="220"/>
      <c r="JFZ61" s="217"/>
      <c r="JGA61" s="221"/>
      <c r="JGB61" s="216"/>
      <c r="JGC61" s="217"/>
      <c r="JGD61" s="218"/>
      <c r="JGE61" s="219"/>
      <c r="JGF61" s="220"/>
      <c r="JGG61" s="220"/>
      <c r="JGH61" s="220"/>
      <c r="JGI61" s="220"/>
      <c r="JGJ61" s="217"/>
      <c r="JGK61" s="221"/>
      <c r="JGL61" s="216"/>
      <c r="JGM61" s="217"/>
      <c r="JGN61" s="218"/>
      <c r="JGO61" s="219"/>
      <c r="JGP61" s="220"/>
      <c r="JGQ61" s="220"/>
      <c r="JGR61" s="220"/>
      <c r="JGS61" s="220"/>
      <c r="JGT61" s="217"/>
      <c r="JGU61" s="221"/>
      <c r="JGV61" s="216"/>
      <c r="JGW61" s="217"/>
      <c r="JGX61" s="218"/>
      <c r="JGY61" s="219"/>
      <c r="JGZ61" s="220"/>
      <c r="JHA61" s="220"/>
      <c r="JHB61" s="220"/>
      <c r="JHC61" s="220"/>
      <c r="JHD61" s="217"/>
      <c r="JHE61" s="221"/>
      <c r="JHF61" s="216"/>
      <c r="JHG61" s="217"/>
      <c r="JHH61" s="218"/>
      <c r="JHI61" s="219"/>
      <c r="JHJ61" s="220"/>
      <c r="JHK61" s="220"/>
      <c r="JHL61" s="220"/>
      <c r="JHM61" s="220"/>
      <c r="JHN61" s="217"/>
      <c r="JHO61" s="221"/>
      <c r="JHP61" s="216"/>
      <c r="JHQ61" s="217"/>
      <c r="JHR61" s="218"/>
      <c r="JHS61" s="219"/>
      <c r="JHT61" s="220"/>
      <c r="JHU61" s="220"/>
      <c r="JHV61" s="220"/>
      <c r="JHW61" s="220"/>
      <c r="JHX61" s="217"/>
      <c r="JHY61" s="221"/>
      <c r="JHZ61" s="216"/>
      <c r="JIA61" s="217"/>
      <c r="JIB61" s="218"/>
      <c r="JIC61" s="219"/>
      <c r="JID61" s="220"/>
      <c r="JIE61" s="220"/>
      <c r="JIF61" s="220"/>
      <c r="JIG61" s="220"/>
      <c r="JIH61" s="217"/>
      <c r="JII61" s="221"/>
      <c r="JIJ61" s="216"/>
      <c r="JIK61" s="217"/>
      <c r="JIL61" s="218"/>
      <c r="JIM61" s="219"/>
      <c r="JIN61" s="220"/>
      <c r="JIO61" s="220"/>
      <c r="JIP61" s="220"/>
      <c r="JIQ61" s="220"/>
      <c r="JIR61" s="217"/>
      <c r="JIS61" s="221"/>
      <c r="JIT61" s="216"/>
      <c r="JIU61" s="217"/>
      <c r="JIV61" s="218"/>
      <c r="JIW61" s="219"/>
      <c r="JIX61" s="220"/>
      <c r="JIY61" s="220"/>
      <c r="JIZ61" s="220"/>
      <c r="JJA61" s="220"/>
      <c r="JJB61" s="217"/>
      <c r="JJC61" s="221"/>
      <c r="JJD61" s="216"/>
      <c r="JJE61" s="217"/>
      <c r="JJF61" s="218"/>
      <c r="JJG61" s="219"/>
      <c r="JJH61" s="220"/>
      <c r="JJI61" s="220"/>
      <c r="JJJ61" s="220"/>
      <c r="JJK61" s="220"/>
      <c r="JJL61" s="217"/>
      <c r="JJM61" s="221"/>
      <c r="JJN61" s="216"/>
      <c r="JJO61" s="217"/>
      <c r="JJP61" s="218"/>
      <c r="JJQ61" s="219"/>
      <c r="JJR61" s="220"/>
      <c r="JJS61" s="220"/>
      <c r="JJT61" s="220"/>
      <c r="JJU61" s="220"/>
      <c r="JJV61" s="217"/>
      <c r="JJW61" s="221"/>
      <c r="JJX61" s="216"/>
      <c r="JJY61" s="217"/>
      <c r="JJZ61" s="218"/>
      <c r="JKA61" s="219"/>
      <c r="JKB61" s="220"/>
      <c r="JKC61" s="220"/>
      <c r="JKD61" s="220"/>
      <c r="JKE61" s="220"/>
      <c r="JKF61" s="217"/>
      <c r="JKG61" s="221"/>
      <c r="JKH61" s="216"/>
      <c r="JKI61" s="217"/>
      <c r="JKJ61" s="218"/>
      <c r="JKK61" s="219"/>
      <c r="JKL61" s="220"/>
      <c r="JKM61" s="220"/>
      <c r="JKN61" s="220"/>
      <c r="JKO61" s="220"/>
      <c r="JKP61" s="217"/>
      <c r="JKQ61" s="221"/>
      <c r="JKR61" s="216"/>
      <c r="JKS61" s="217"/>
      <c r="JKT61" s="218"/>
      <c r="JKU61" s="219"/>
      <c r="JKV61" s="220"/>
      <c r="JKW61" s="220"/>
      <c r="JKX61" s="220"/>
      <c r="JKY61" s="220"/>
      <c r="JKZ61" s="217"/>
      <c r="JLA61" s="221"/>
      <c r="JLB61" s="216"/>
      <c r="JLC61" s="217"/>
      <c r="JLD61" s="218"/>
      <c r="JLE61" s="219"/>
      <c r="JLF61" s="220"/>
      <c r="JLG61" s="220"/>
      <c r="JLH61" s="220"/>
      <c r="JLI61" s="220"/>
      <c r="JLJ61" s="217"/>
      <c r="JLK61" s="221"/>
      <c r="JLL61" s="216"/>
      <c r="JLM61" s="217"/>
      <c r="JLN61" s="218"/>
      <c r="JLO61" s="219"/>
      <c r="JLP61" s="220"/>
      <c r="JLQ61" s="220"/>
      <c r="JLR61" s="220"/>
      <c r="JLS61" s="220"/>
      <c r="JLT61" s="217"/>
      <c r="JLU61" s="221"/>
      <c r="JLV61" s="216"/>
      <c r="JLW61" s="217"/>
      <c r="JLX61" s="218"/>
      <c r="JLY61" s="219"/>
      <c r="JLZ61" s="220"/>
      <c r="JMA61" s="220"/>
      <c r="JMB61" s="220"/>
      <c r="JMC61" s="220"/>
      <c r="JMD61" s="217"/>
      <c r="JME61" s="221"/>
      <c r="JMF61" s="216"/>
      <c r="JMG61" s="217"/>
      <c r="JMH61" s="218"/>
      <c r="JMI61" s="219"/>
      <c r="JMJ61" s="220"/>
      <c r="JMK61" s="220"/>
      <c r="JML61" s="220"/>
      <c r="JMM61" s="220"/>
      <c r="JMN61" s="217"/>
      <c r="JMO61" s="221"/>
      <c r="JMP61" s="216"/>
      <c r="JMQ61" s="217"/>
      <c r="JMR61" s="218"/>
      <c r="JMS61" s="219"/>
      <c r="JMT61" s="220"/>
      <c r="JMU61" s="220"/>
      <c r="JMV61" s="220"/>
      <c r="JMW61" s="220"/>
      <c r="JMX61" s="217"/>
      <c r="JMY61" s="221"/>
      <c r="JMZ61" s="216"/>
      <c r="JNA61" s="217"/>
      <c r="JNB61" s="218"/>
      <c r="JNC61" s="219"/>
      <c r="JND61" s="220"/>
      <c r="JNE61" s="220"/>
      <c r="JNF61" s="220"/>
      <c r="JNG61" s="220"/>
      <c r="JNH61" s="217"/>
      <c r="JNI61" s="221"/>
      <c r="JNJ61" s="216"/>
      <c r="JNK61" s="217"/>
      <c r="JNL61" s="218"/>
      <c r="JNM61" s="219"/>
      <c r="JNN61" s="220"/>
      <c r="JNO61" s="220"/>
      <c r="JNP61" s="220"/>
      <c r="JNQ61" s="220"/>
      <c r="JNR61" s="217"/>
      <c r="JNS61" s="221"/>
      <c r="JNT61" s="216"/>
      <c r="JNU61" s="217"/>
      <c r="JNV61" s="218"/>
      <c r="JNW61" s="219"/>
      <c r="JNX61" s="220"/>
      <c r="JNY61" s="220"/>
      <c r="JNZ61" s="220"/>
      <c r="JOA61" s="220"/>
      <c r="JOB61" s="217"/>
      <c r="JOC61" s="221"/>
      <c r="JOD61" s="216"/>
      <c r="JOE61" s="217"/>
      <c r="JOF61" s="218"/>
      <c r="JOG61" s="219"/>
      <c r="JOH61" s="220"/>
      <c r="JOI61" s="220"/>
      <c r="JOJ61" s="220"/>
      <c r="JOK61" s="220"/>
      <c r="JOL61" s="217"/>
      <c r="JOM61" s="221"/>
      <c r="JON61" s="216"/>
      <c r="JOO61" s="217"/>
      <c r="JOP61" s="218"/>
      <c r="JOQ61" s="219"/>
      <c r="JOR61" s="220"/>
      <c r="JOS61" s="220"/>
      <c r="JOT61" s="220"/>
      <c r="JOU61" s="220"/>
      <c r="JOV61" s="217"/>
      <c r="JOW61" s="221"/>
      <c r="JOX61" s="216"/>
      <c r="JOY61" s="217"/>
      <c r="JOZ61" s="218"/>
      <c r="JPA61" s="219"/>
      <c r="JPB61" s="220"/>
      <c r="JPC61" s="220"/>
      <c r="JPD61" s="220"/>
      <c r="JPE61" s="220"/>
      <c r="JPF61" s="217"/>
      <c r="JPG61" s="221"/>
      <c r="JPH61" s="216"/>
      <c r="JPI61" s="217"/>
      <c r="JPJ61" s="218"/>
      <c r="JPK61" s="219"/>
      <c r="JPL61" s="220"/>
      <c r="JPM61" s="220"/>
      <c r="JPN61" s="220"/>
      <c r="JPO61" s="220"/>
      <c r="JPP61" s="217"/>
      <c r="JPQ61" s="221"/>
      <c r="JPR61" s="216"/>
      <c r="JPS61" s="217"/>
      <c r="JPT61" s="218"/>
      <c r="JPU61" s="219"/>
      <c r="JPV61" s="220"/>
      <c r="JPW61" s="220"/>
      <c r="JPX61" s="220"/>
      <c r="JPY61" s="220"/>
      <c r="JPZ61" s="217"/>
      <c r="JQA61" s="221"/>
      <c r="JQB61" s="216"/>
      <c r="JQC61" s="217"/>
      <c r="JQD61" s="218"/>
      <c r="JQE61" s="219"/>
      <c r="JQF61" s="220"/>
      <c r="JQG61" s="220"/>
      <c r="JQH61" s="220"/>
      <c r="JQI61" s="220"/>
      <c r="JQJ61" s="217"/>
      <c r="JQK61" s="221"/>
      <c r="JQL61" s="216"/>
      <c r="JQM61" s="217"/>
      <c r="JQN61" s="218"/>
      <c r="JQO61" s="219"/>
      <c r="JQP61" s="220"/>
      <c r="JQQ61" s="220"/>
      <c r="JQR61" s="220"/>
      <c r="JQS61" s="220"/>
      <c r="JQT61" s="217"/>
      <c r="JQU61" s="221"/>
      <c r="JQV61" s="216"/>
      <c r="JQW61" s="217"/>
      <c r="JQX61" s="218"/>
      <c r="JQY61" s="219"/>
      <c r="JQZ61" s="220"/>
      <c r="JRA61" s="220"/>
      <c r="JRB61" s="220"/>
      <c r="JRC61" s="220"/>
      <c r="JRD61" s="217"/>
      <c r="JRE61" s="221"/>
      <c r="JRF61" s="216"/>
      <c r="JRG61" s="217"/>
      <c r="JRH61" s="218"/>
      <c r="JRI61" s="219"/>
      <c r="JRJ61" s="220"/>
      <c r="JRK61" s="220"/>
      <c r="JRL61" s="220"/>
      <c r="JRM61" s="220"/>
      <c r="JRN61" s="217"/>
      <c r="JRO61" s="221"/>
      <c r="JRP61" s="216"/>
      <c r="JRQ61" s="217"/>
      <c r="JRR61" s="218"/>
      <c r="JRS61" s="219"/>
      <c r="JRT61" s="220"/>
      <c r="JRU61" s="220"/>
      <c r="JRV61" s="220"/>
      <c r="JRW61" s="220"/>
      <c r="JRX61" s="217"/>
      <c r="JRY61" s="221"/>
      <c r="JRZ61" s="216"/>
      <c r="JSA61" s="217"/>
      <c r="JSB61" s="218"/>
      <c r="JSC61" s="219"/>
      <c r="JSD61" s="220"/>
      <c r="JSE61" s="220"/>
      <c r="JSF61" s="220"/>
      <c r="JSG61" s="220"/>
      <c r="JSH61" s="217"/>
      <c r="JSI61" s="221"/>
      <c r="JSJ61" s="216"/>
      <c r="JSK61" s="217"/>
      <c r="JSL61" s="218"/>
      <c r="JSM61" s="219"/>
      <c r="JSN61" s="220"/>
      <c r="JSO61" s="220"/>
      <c r="JSP61" s="220"/>
      <c r="JSQ61" s="220"/>
      <c r="JSR61" s="217"/>
      <c r="JSS61" s="221"/>
      <c r="JST61" s="216"/>
      <c r="JSU61" s="217"/>
      <c r="JSV61" s="218"/>
      <c r="JSW61" s="219"/>
      <c r="JSX61" s="220"/>
      <c r="JSY61" s="220"/>
      <c r="JSZ61" s="220"/>
      <c r="JTA61" s="220"/>
      <c r="JTB61" s="217"/>
      <c r="JTC61" s="221"/>
      <c r="JTD61" s="216"/>
      <c r="JTE61" s="217"/>
      <c r="JTF61" s="218"/>
      <c r="JTG61" s="219"/>
      <c r="JTH61" s="220"/>
      <c r="JTI61" s="220"/>
      <c r="JTJ61" s="220"/>
      <c r="JTK61" s="220"/>
      <c r="JTL61" s="217"/>
      <c r="JTM61" s="221"/>
      <c r="JTN61" s="216"/>
      <c r="JTO61" s="217"/>
      <c r="JTP61" s="218"/>
      <c r="JTQ61" s="219"/>
      <c r="JTR61" s="220"/>
      <c r="JTS61" s="220"/>
      <c r="JTT61" s="220"/>
      <c r="JTU61" s="220"/>
      <c r="JTV61" s="217"/>
      <c r="JTW61" s="221"/>
      <c r="JTX61" s="216"/>
      <c r="JTY61" s="217"/>
      <c r="JTZ61" s="218"/>
      <c r="JUA61" s="219"/>
      <c r="JUB61" s="220"/>
      <c r="JUC61" s="220"/>
      <c r="JUD61" s="220"/>
      <c r="JUE61" s="220"/>
      <c r="JUF61" s="217"/>
      <c r="JUG61" s="221"/>
      <c r="JUH61" s="216"/>
      <c r="JUI61" s="217"/>
      <c r="JUJ61" s="218"/>
      <c r="JUK61" s="219"/>
      <c r="JUL61" s="220"/>
      <c r="JUM61" s="220"/>
      <c r="JUN61" s="220"/>
      <c r="JUO61" s="220"/>
      <c r="JUP61" s="217"/>
      <c r="JUQ61" s="221"/>
      <c r="JUR61" s="216"/>
      <c r="JUS61" s="217"/>
      <c r="JUT61" s="218"/>
      <c r="JUU61" s="219"/>
      <c r="JUV61" s="220"/>
      <c r="JUW61" s="220"/>
      <c r="JUX61" s="220"/>
      <c r="JUY61" s="220"/>
      <c r="JUZ61" s="217"/>
      <c r="JVA61" s="221"/>
      <c r="JVB61" s="216"/>
      <c r="JVC61" s="217"/>
      <c r="JVD61" s="218"/>
      <c r="JVE61" s="219"/>
      <c r="JVF61" s="220"/>
      <c r="JVG61" s="220"/>
      <c r="JVH61" s="220"/>
      <c r="JVI61" s="220"/>
      <c r="JVJ61" s="217"/>
      <c r="JVK61" s="221"/>
      <c r="JVL61" s="216"/>
      <c r="JVM61" s="217"/>
      <c r="JVN61" s="218"/>
      <c r="JVO61" s="219"/>
      <c r="JVP61" s="220"/>
      <c r="JVQ61" s="220"/>
      <c r="JVR61" s="220"/>
      <c r="JVS61" s="220"/>
      <c r="JVT61" s="217"/>
      <c r="JVU61" s="221"/>
      <c r="JVV61" s="216"/>
      <c r="JVW61" s="217"/>
      <c r="JVX61" s="218"/>
      <c r="JVY61" s="219"/>
      <c r="JVZ61" s="220"/>
      <c r="JWA61" s="220"/>
      <c r="JWB61" s="220"/>
      <c r="JWC61" s="220"/>
      <c r="JWD61" s="217"/>
      <c r="JWE61" s="221"/>
      <c r="JWF61" s="216"/>
      <c r="JWG61" s="217"/>
      <c r="JWH61" s="218"/>
      <c r="JWI61" s="219"/>
      <c r="JWJ61" s="220"/>
      <c r="JWK61" s="220"/>
      <c r="JWL61" s="220"/>
      <c r="JWM61" s="220"/>
      <c r="JWN61" s="217"/>
      <c r="JWO61" s="221"/>
      <c r="JWP61" s="216"/>
      <c r="JWQ61" s="217"/>
      <c r="JWR61" s="218"/>
      <c r="JWS61" s="219"/>
      <c r="JWT61" s="220"/>
      <c r="JWU61" s="220"/>
      <c r="JWV61" s="220"/>
      <c r="JWW61" s="220"/>
      <c r="JWX61" s="217"/>
      <c r="JWY61" s="221"/>
      <c r="JWZ61" s="216"/>
      <c r="JXA61" s="217"/>
      <c r="JXB61" s="218"/>
      <c r="JXC61" s="219"/>
      <c r="JXD61" s="220"/>
      <c r="JXE61" s="220"/>
      <c r="JXF61" s="220"/>
      <c r="JXG61" s="220"/>
      <c r="JXH61" s="217"/>
      <c r="JXI61" s="221"/>
      <c r="JXJ61" s="216"/>
      <c r="JXK61" s="217"/>
      <c r="JXL61" s="218"/>
      <c r="JXM61" s="219"/>
      <c r="JXN61" s="220"/>
      <c r="JXO61" s="220"/>
      <c r="JXP61" s="220"/>
      <c r="JXQ61" s="220"/>
      <c r="JXR61" s="217"/>
      <c r="JXS61" s="221"/>
      <c r="JXT61" s="216"/>
      <c r="JXU61" s="217"/>
      <c r="JXV61" s="218"/>
      <c r="JXW61" s="219"/>
      <c r="JXX61" s="220"/>
      <c r="JXY61" s="220"/>
      <c r="JXZ61" s="220"/>
      <c r="JYA61" s="220"/>
      <c r="JYB61" s="217"/>
      <c r="JYC61" s="221"/>
      <c r="JYD61" s="216"/>
      <c r="JYE61" s="217"/>
      <c r="JYF61" s="218"/>
      <c r="JYG61" s="219"/>
      <c r="JYH61" s="220"/>
      <c r="JYI61" s="220"/>
      <c r="JYJ61" s="220"/>
      <c r="JYK61" s="220"/>
      <c r="JYL61" s="217"/>
      <c r="JYM61" s="221"/>
      <c r="JYN61" s="216"/>
      <c r="JYO61" s="217"/>
      <c r="JYP61" s="218"/>
      <c r="JYQ61" s="219"/>
      <c r="JYR61" s="220"/>
      <c r="JYS61" s="220"/>
      <c r="JYT61" s="220"/>
      <c r="JYU61" s="220"/>
      <c r="JYV61" s="217"/>
      <c r="JYW61" s="221"/>
      <c r="JYX61" s="216"/>
      <c r="JYY61" s="217"/>
      <c r="JYZ61" s="218"/>
      <c r="JZA61" s="219"/>
      <c r="JZB61" s="220"/>
      <c r="JZC61" s="220"/>
      <c r="JZD61" s="220"/>
      <c r="JZE61" s="220"/>
      <c r="JZF61" s="217"/>
      <c r="JZG61" s="221"/>
      <c r="JZH61" s="216"/>
      <c r="JZI61" s="217"/>
      <c r="JZJ61" s="218"/>
      <c r="JZK61" s="219"/>
      <c r="JZL61" s="220"/>
      <c r="JZM61" s="220"/>
      <c r="JZN61" s="220"/>
      <c r="JZO61" s="220"/>
      <c r="JZP61" s="217"/>
      <c r="JZQ61" s="221"/>
      <c r="JZR61" s="216"/>
      <c r="JZS61" s="217"/>
      <c r="JZT61" s="218"/>
      <c r="JZU61" s="219"/>
      <c r="JZV61" s="220"/>
      <c r="JZW61" s="220"/>
      <c r="JZX61" s="220"/>
      <c r="JZY61" s="220"/>
      <c r="JZZ61" s="217"/>
      <c r="KAA61" s="221"/>
      <c r="KAB61" s="216"/>
      <c r="KAC61" s="217"/>
      <c r="KAD61" s="218"/>
      <c r="KAE61" s="219"/>
      <c r="KAF61" s="220"/>
      <c r="KAG61" s="220"/>
      <c r="KAH61" s="220"/>
      <c r="KAI61" s="220"/>
      <c r="KAJ61" s="217"/>
      <c r="KAK61" s="221"/>
      <c r="KAL61" s="216"/>
      <c r="KAM61" s="217"/>
      <c r="KAN61" s="218"/>
      <c r="KAO61" s="219"/>
      <c r="KAP61" s="220"/>
      <c r="KAQ61" s="220"/>
      <c r="KAR61" s="220"/>
      <c r="KAS61" s="220"/>
      <c r="KAT61" s="217"/>
      <c r="KAU61" s="221"/>
      <c r="KAV61" s="216"/>
      <c r="KAW61" s="217"/>
      <c r="KAX61" s="218"/>
      <c r="KAY61" s="219"/>
      <c r="KAZ61" s="220"/>
      <c r="KBA61" s="220"/>
      <c r="KBB61" s="220"/>
      <c r="KBC61" s="220"/>
      <c r="KBD61" s="217"/>
      <c r="KBE61" s="221"/>
      <c r="KBF61" s="216"/>
      <c r="KBG61" s="217"/>
      <c r="KBH61" s="218"/>
      <c r="KBI61" s="219"/>
      <c r="KBJ61" s="220"/>
      <c r="KBK61" s="220"/>
      <c r="KBL61" s="220"/>
      <c r="KBM61" s="220"/>
      <c r="KBN61" s="217"/>
      <c r="KBO61" s="221"/>
      <c r="KBP61" s="216"/>
      <c r="KBQ61" s="217"/>
      <c r="KBR61" s="218"/>
      <c r="KBS61" s="219"/>
      <c r="KBT61" s="220"/>
      <c r="KBU61" s="220"/>
      <c r="KBV61" s="220"/>
      <c r="KBW61" s="220"/>
      <c r="KBX61" s="217"/>
      <c r="KBY61" s="221"/>
      <c r="KBZ61" s="216"/>
      <c r="KCA61" s="217"/>
      <c r="KCB61" s="218"/>
      <c r="KCC61" s="219"/>
      <c r="KCD61" s="220"/>
      <c r="KCE61" s="220"/>
      <c r="KCF61" s="220"/>
      <c r="KCG61" s="220"/>
      <c r="KCH61" s="217"/>
      <c r="KCI61" s="221"/>
      <c r="KCJ61" s="216"/>
      <c r="KCK61" s="217"/>
      <c r="KCL61" s="218"/>
      <c r="KCM61" s="219"/>
      <c r="KCN61" s="220"/>
      <c r="KCO61" s="220"/>
      <c r="KCP61" s="220"/>
      <c r="KCQ61" s="220"/>
      <c r="KCR61" s="217"/>
      <c r="KCS61" s="221"/>
      <c r="KCT61" s="216"/>
      <c r="KCU61" s="217"/>
      <c r="KCV61" s="218"/>
      <c r="KCW61" s="219"/>
      <c r="KCX61" s="220"/>
      <c r="KCY61" s="220"/>
      <c r="KCZ61" s="220"/>
      <c r="KDA61" s="220"/>
      <c r="KDB61" s="217"/>
      <c r="KDC61" s="221"/>
      <c r="KDD61" s="216"/>
      <c r="KDE61" s="217"/>
      <c r="KDF61" s="218"/>
      <c r="KDG61" s="219"/>
      <c r="KDH61" s="220"/>
      <c r="KDI61" s="220"/>
      <c r="KDJ61" s="220"/>
      <c r="KDK61" s="220"/>
      <c r="KDL61" s="217"/>
      <c r="KDM61" s="221"/>
      <c r="KDN61" s="216"/>
      <c r="KDO61" s="217"/>
      <c r="KDP61" s="218"/>
      <c r="KDQ61" s="219"/>
      <c r="KDR61" s="220"/>
      <c r="KDS61" s="220"/>
      <c r="KDT61" s="220"/>
      <c r="KDU61" s="220"/>
      <c r="KDV61" s="217"/>
      <c r="KDW61" s="221"/>
      <c r="KDX61" s="216"/>
      <c r="KDY61" s="217"/>
      <c r="KDZ61" s="218"/>
      <c r="KEA61" s="219"/>
      <c r="KEB61" s="220"/>
      <c r="KEC61" s="220"/>
      <c r="KED61" s="220"/>
      <c r="KEE61" s="220"/>
      <c r="KEF61" s="217"/>
      <c r="KEG61" s="221"/>
      <c r="KEH61" s="216"/>
      <c r="KEI61" s="217"/>
      <c r="KEJ61" s="218"/>
      <c r="KEK61" s="219"/>
      <c r="KEL61" s="220"/>
      <c r="KEM61" s="220"/>
      <c r="KEN61" s="220"/>
      <c r="KEO61" s="220"/>
      <c r="KEP61" s="217"/>
      <c r="KEQ61" s="221"/>
      <c r="KER61" s="216"/>
      <c r="KES61" s="217"/>
      <c r="KET61" s="218"/>
      <c r="KEU61" s="219"/>
      <c r="KEV61" s="220"/>
      <c r="KEW61" s="220"/>
      <c r="KEX61" s="220"/>
      <c r="KEY61" s="220"/>
      <c r="KEZ61" s="217"/>
      <c r="KFA61" s="221"/>
      <c r="KFB61" s="216"/>
      <c r="KFC61" s="217"/>
      <c r="KFD61" s="218"/>
      <c r="KFE61" s="219"/>
      <c r="KFF61" s="220"/>
      <c r="KFG61" s="220"/>
      <c r="KFH61" s="220"/>
      <c r="KFI61" s="220"/>
      <c r="KFJ61" s="217"/>
      <c r="KFK61" s="221"/>
      <c r="KFL61" s="216"/>
      <c r="KFM61" s="217"/>
      <c r="KFN61" s="218"/>
      <c r="KFO61" s="219"/>
      <c r="KFP61" s="220"/>
      <c r="KFQ61" s="220"/>
      <c r="KFR61" s="220"/>
      <c r="KFS61" s="220"/>
      <c r="KFT61" s="217"/>
      <c r="KFU61" s="221"/>
      <c r="KFV61" s="216"/>
      <c r="KFW61" s="217"/>
      <c r="KFX61" s="218"/>
      <c r="KFY61" s="219"/>
      <c r="KFZ61" s="220"/>
      <c r="KGA61" s="220"/>
      <c r="KGB61" s="220"/>
      <c r="KGC61" s="220"/>
      <c r="KGD61" s="217"/>
      <c r="KGE61" s="221"/>
      <c r="KGF61" s="216"/>
      <c r="KGG61" s="217"/>
      <c r="KGH61" s="218"/>
      <c r="KGI61" s="219"/>
      <c r="KGJ61" s="220"/>
      <c r="KGK61" s="220"/>
      <c r="KGL61" s="220"/>
      <c r="KGM61" s="220"/>
      <c r="KGN61" s="217"/>
      <c r="KGO61" s="221"/>
      <c r="KGP61" s="216"/>
      <c r="KGQ61" s="217"/>
      <c r="KGR61" s="218"/>
      <c r="KGS61" s="219"/>
      <c r="KGT61" s="220"/>
      <c r="KGU61" s="220"/>
      <c r="KGV61" s="220"/>
      <c r="KGW61" s="220"/>
      <c r="KGX61" s="217"/>
      <c r="KGY61" s="221"/>
      <c r="KGZ61" s="216"/>
      <c r="KHA61" s="217"/>
      <c r="KHB61" s="218"/>
      <c r="KHC61" s="219"/>
      <c r="KHD61" s="220"/>
      <c r="KHE61" s="220"/>
      <c r="KHF61" s="220"/>
      <c r="KHG61" s="220"/>
      <c r="KHH61" s="217"/>
      <c r="KHI61" s="221"/>
      <c r="KHJ61" s="216"/>
      <c r="KHK61" s="217"/>
      <c r="KHL61" s="218"/>
      <c r="KHM61" s="219"/>
      <c r="KHN61" s="220"/>
      <c r="KHO61" s="220"/>
      <c r="KHP61" s="220"/>
      <c r="KHQ61" s="220"/>
      <c r="KHR61" s="217"/>
      <c r="KHS61" s="221"/>
      <c r="KHT61" s="216"/>
      <c r="KHU61" s="217"/>
      <c r="KHV61" s="218"/>
      <c r="KHW61" s="219"/>
      <c r="KHX61" s="220"/>
      <c r="KHY61" s="220"/>
      <c r="KHZ61" s="220"/>
      <c r="KIA61" s="220"/>
      <c r="KIB61" s="217"/>
      <c r="KIC61" s="221"/>
      <c r="KID61" s="216"/>
      <c r="KIE61" s="217"/>
      <c r="KIF61" s="218"/>
      <c r="KIG61" s="219"/>
      <c r="KIH61" s="220"/>
      <c r="KII61" s="220"/>
      <c r="KIJ61" s="220"/>
      <c r="KIK61" s="220"/>
      <c r="KIL61" s="217"/>
      <c r="KIM61" s="221"/>
      <c r="KIN61" s="216"/>
      <c r="KIO61" s="217"/>
      <c r="KIP61" s="218"/>
      <c r="KIQ61" s="219"/>
      <c r="KIR61" s="220"/>
      <c r="KIS61" s="220"/>
      <c r="KIT61" s="220"/>
      <c r="KIU61" s="220"/>
      <c r="KIV61" s="217"/>
      <c r="KIW61" s="221"/>
      <c r="KIX61" s="216"/>
      <c r="KIY61" s="217"/>
      <c r="KIZ61" s="218"/>
      <c r="KJA61" s="219"/>
      <c r="KJB61" s="220"/>
      <c r="KJC61" s="220"/>
      <c r="KJD61" s="220"/>
      <c r="KJE61" s="220"/>
      <c r="KJF61" s="217"/>
      <c r="KJG61" s="221"/>
      <c r="KJH61" s="216"/>
      <c r="KJI61" s="217"/>
      <c r="KJJ61" s="218"/>
      <c r="KJK61" s="219"/>
      <c r="KJL61" s="220"/>
      <c r="KJM61" s="220"/>
      <c r="KJN61" s="220"/>
      <c r="KJO61" s="220"/>
      <c r="KJP61" s="217"/>
      <c r="KJQ61" s="221"/>
      <c r="KJR61" s="216"/>
      <c r="KJS61" s="217"/>
      <c r="KJT61" s="218"/>
      <c r="KJU61" s="219"/>
      <c r="KJV61" s="220"/>
      <c r="KJW61" s="220"/>
      <c r="KJX61" s="220"/>
      <c r="KJY61" s="220"/>
      <c r="KJZ61" s="217"/>
      <c r="KKA61" s="221"/>
      <c r="KKB61" s="216"/>
      <c r="KKC61" s="217"/>
      <c r="KKD61" s="218"/>
      <c r="KKE61" s="219"/>
      <c r="KKF61" s="220"/>
      <c r="KKG61" s="220"/>
      <c r="KKH61" s="220"/>
      <c r="KKI61" s="220"/>
      <c r="KKJ61" s="217"/>
      <c r="KKK61" s="221"/>
      <c r="KKL61" s="216"/>
      <c r="KKM61" s="217"/>
      <c r="KKN61" s="218"/>
      <c r="KKO61" s="219"/>
      <c r="KKP61" s="220"/>
      <c r="KKQ61" s="220"/>
      <c r="KKR61" s="220"/>
      <c r="KKS61" s="220"/>
      <c r="KKT61" s="217"/>
      <c r="KKU61" s="221"/>
      <c r="KKV61" s="216"/>
      <c r="KKW61" s="217"/>
      <c r="KKX61" s="218"/>
      <c r="KKY61" s="219"/>
      <c r="KKZ61" s="220"/>
      <c r="KLA61" s="220"/>
      <c r="KLB61" s="220"/>
      <c r="KLC61" s="220"/>
      <c r="KLD61" s="217"/>
      <c r="KLE61" s="221"/>
      <c r="KLF61" s="216"/>
      <c r="KLG61" s="217"/>
      <c r="KLH61" s="218"/>
      <c r="KLI61" s="219"/>
      <c r="KLJ61" s="220"/>
      <c r="KLK61" s="220"/>
      <c r="KLL61" s="220"/>
      <c r="KLM61" s="220"/>
      <c r="KLN61" s="217"/>
      <c r="KLO61" s="221"/>
      <c r="KLP61" s="216"/>
      <c r="KLQ61" s="217"/>
      <c r="KLR61" s="218"/>
      <c r="KLS61" s="219"/>
      <c r="KLT61" s="220"/>
      <c r="KLU61" s="220"/>
      <c r="KLV61" s="220"/>
      <c r="KLW61" s="220"/>
      <c r="KLX61" s="217"/>
      <c r="KLY61" s="221"/>
      <c r="KLZ61" s="216"/>
      <c r="KMA61" s="217"/>
      <c r="KMB61" s="218"/>
      <c r="KMC61" s="219"/>
      <c r="KMD61" s="220"/>
      <c r="KME61" s="220"/>
      <c r="KMF61" s="220"/>
      <c r="KMG61" s="220"/>
      <c r="KMH61" s="217"/>
      <c r="KMI61" s="221"/>
      <c r="KMJ61" s="216"/>
      <c r="KMK61" s="217"/>
      <c r="KML61" s="218"/>
      <c r="KMM61" s="219"/>
      <c r="KMN61" s="220"/>
      <c r="KMO61" s="220"/>
      <c r="KMP61" s="220"/>
      <c r="KMQ61" s="220"/>
      <c r="KMR61" s="217"/>
      <c r="KMS61" s="221"/>
      <c r="KMT61" s="216"/>
      <c r="KMU61" s="217"/>
      <c r="KMV61" s="218"/>
      <c r="KMW61" s="219"/>
      <c r="KMX61" s="220"/>
      <c r="KMY61" s="220"/>
      <c r="KMZ61" s="220"/>
      <c r="KNA61" s="220"/>
      <c r="KNB61" s="217"/>
      <c r="KNC61" s="221"/>
      <c r="KND61" s="216"/>
      <c r="KNE61" s="217"/>
      <c r="KNF61" s="218"/>
      <c r="KNG61" s="219"/>
      <c r="KNH61" s="220"/>
      <c r="KNI61" s="220"/>
      <c r="KNJ61" s="220"/>
      <c r="KNK61" s="220"/>
      <c r="KNL61" s="217"/>
      <c r="KNM61" s="221"/>
      <c r="KNN61" s="216"/>
      <c r="KNO61" s="217"/>
      <c r="KNP61" s="218"/>
      <c r="KNQ61" s="219"/>
      <c r="KNR61" s="220"/>
      <c r="KNS61" s="220"/>
      <c r="KNT61" s="220"/>
      <c r="KNU61" s="220"/>
      <c r="KNV61" s="217"/>
      <c r="KNW61" s="221"/>
      <c r="KNX61" s="216"/>
      <c r="KNY61" s="217"/>
      <c r="KNZ61" s="218"/>
      <c r="KOA61" s="219"/>
      <c r="KOB61" s="220"/>
      <c r="KOC61" s="220"/>
      <c r="KOD61" s="220"/>
      <c r="KOE61" s="220"/>
      <c r="KOF61" s="217"/>
      <c r="KOG61" s="221"/>
      <c r="KOH61" s="216"/>
      <c r="KOI61" s="217"/>
      <c r="KOJ61" s="218"/>
      <c r="KOK61" s="219"/>
      <c r="KOL61" s="220"/>
      <c r="KOM61" s="220"/>
      <c r="KON61" s="220"/>
      <c r="KOO61" s="220"/>
      <c r="KOP61" s="217"/>
      <c r="KOQ61" s="221"/>
      <c r="KOR61" s="216"/>
      <c r="KOS61" s="217"/>
      <c r="KOT61" s="218"/>
      <c r="KOU61" s="219"/>
      <c r="KOV61" s="220"/>
      <c r="KOW61" s="220"/>
      <c r="KOX61" s="220"/>
      <c r="KOY61" s="220"/>
      <c r="KOZ61" s="217"/>
      <c r="KPA61" s="221"/>
      <c r="KPB61" s="216"/>
      <c r="KPC61" s="217"/>
      <c r="KPD61" s="218"/>
      <c r="KPE61" s="219"/>
      <c r="KPF61" s="220"/>
      <c r="KPG61" s="220"/>
      <c r="KPH61" s="220"/>
      <c r="KPI61" s="220"/>
      <c r="KPJ61" s="217"/>
      <c r="KPK61" s="221"/>
      <c r="KPL61" s="216"/>
      <c r="KPM61" s="217"/>
      <c r="KPN61" s="218"/>
      <c r="KPO61" s="219"/>
      <c r="KPP61" s="220"/>
      <c r="KPQ61" s="220"/>
      <c r="KPR61" s="220"/>
      <c r="KPS61" s="220"/>
      <c r="KPT61" s="217"/>
      <c r="KPU61" s="221"/>
      <c r="KPV61" s="216"/>
      <c r="KPW61" s="217"/>
      <c r="KPX61" s="218"/>
      <c r="KPY61" s="219"/>
      <c r="KPZ61" s="220"/>
      <c r="KQA61" s="220"/>
      <c r="KQB61" s="220"/>
      <c r="KQC61" s="220"/>
      <c r="KQD61" s="217"/>
      <c r="KQE61" s="221"/>
      <c r="KQF61" s="216"/>
      <c r="KQG61" s="217"/>
      <c r="KQH61" s="218"/>
      <c r="KQI61" s="219"/>
      <c r="KQJ61" s="220"/>
      <c r="KQK61" s="220"/>
      <c r="KQL61" s="220"/>
      <c r="KQM61" s="220"/>
      <c r="KQN61" s="217"/>
      <c r="KQO61" s="221"/>
      <c r="KQP61" s="216"/>
      <c r="KQQ61" s="217"/>
      <c r="KQR61" s="218"/>
      <c r="KQS61" s="219"/>
      <c r="KQT61" s="220"/>
      <c r="KQU61" s="220"/>
      <c r="KQV61" s="220"/>
      <c r="KQW61" s="220"/>
      <c r="KQX61" s="217"/>
      <c r="KQY61" s="221"/>
      <c r="KQZ61" s="216"/>
      <c r="KRA61" s="217"/>
      <c r="KRB61" s="218"/>
      <c r="KRC61" s="219"/>
      <c r="KRD61" s="220"/>
      <c r="KRE61" s="220"/>
      <c r="KRF61" s="220"/>
      <c r="KRG61" s="220"/>
      <c r="KRH61" s="217"/>
      <c r="KRI61" s="221"/>
      <c r="KRJ61" s="216"/>
      <c r="KRK61" s="217"/>
      <c r="KRL61" s="218"/>
      <c r="KRM61" s="219"/>
      <c r="KRN61" s="220"/>
      <c r="KRO61" s="220"/>
      <c r="KRP61" s="220"/>
      <c r="KRQ61" s="220"/>
      <c r="KRR61" s="217"/>
      <c r="KRS61" s="221"/>
      <c r="KRT61" s="216"/>
      <c r="KRU61" s="217"/>
      <c r="KRV61" s="218"/>
      <c r="KRW61" s="219"/>
      <c r="KRX61" s="220"/>
      <c r="KRY61" s="220"/>
      <c r="KRZ61" s="220"/>
      <c r="KSA61" s="220"/>
      <c r="KSB61" s="217"/>
      <c r="KSC61" s="221"/>
      <c r="KSD61" s="216"/>
      <c r="KSE61" s="217"/>
      <c r="KSF61" s="218"/>
      <c r="KSG61" s="219"/>
      <c r="KSH61" s="220"/>
      <c r="KSI61" s="220"/>
      <c r="KSJ61" s="220"/>
      <c r="KSK61" s="220"/>
      <c r="KSL61" s="217"/>
      <c r="KSM61" s="221"/>
      <c r="KSN61" s="216"/>
      <c r="KSO61" s="217"/>
      <c r="KSP61" s="218"/>
      <c r="KSQ61" s="219"/>
      <c r="KSR61" s="220"/>
      <c r="KSS61" s="220"/>
      <c r="KST61" s="220"/>
      <c r="KSU61" s="220"/>
      <c r="KSV61" s="217"/>
      <c r="KSW61" s="221"/>
      <c r="KSX61" s="216"/>
      <c r="KSY61" s="217"/>
      <c r="KSZ61" s="218"/>
      <c r="KTA61" s="219"/>
      <c r="KTB61" s="220"/>
      <c r="KTC61" s="220"/>
      <c r="KTD61" s="220"/>
      <c r="KTE61" s="220"/>
      <c r="KTF61" s="217"/>
      <c r="KTG61" s="221"/>
      <c r="KTH61" s="216"/>
      <c r="KTI61" s="217"/>
      <c r="KTJ61" s="218"/>
      <c r="KTK61" s="219"/>
      <c r="KTL61" s="220"/>
      <c r="KTM61" s="220"/>
      <c r="KTN61" s="220"/>
      <c r="KTO61" s="220"/>
      <c r="KTP61" s="217"/>
      <c r="KTQ61" s="221"/>
      <c r="KTR61" s="216"/>
      <c r="KTS61" s="217"/>
      <c r="KTT61" s="218"/>
      <c r="KTU61" s="219"/>
      <c r="KTV61" s="220"/>
      <c r="KTW61" s="220"/>
      <c r="KTX61" s="220"/>
      <c r="KTY61" s="220"/>
      <c r="KTZ61" s="217"/>
      <c r="KUA61" s="221"/>
      <c r="KUB61" s="216"/>
      <c r="KUC61" s="217"/>
      <c r="KUD61" s="218"/>
      <c r="KUE61" s="219"/>
      <c r="KUF61" s="220"/>
      <c r="KUG61" s="220"/>
      <c r="KUH61" s="220"/>
      <c r="KUI61" s="220"/>
      <c r="KUJ61" s="217"/>
      <c r="KUK61" s="221"/>
      <c r="KUL61" s="216"/>
      <c r="KUM61" s="217"/>
      <c r="KUN61" s="218"/>
      <c r="KUO61" s="219"/>
      <c r="KUP61" s="220"/>
      <c r="KUQ61" s="220"/>
      <c r="KUR61" s="220"/>
      <c r="KUS61" s="220"/>
      <c r="KUT61" s="217"/>
      <c r="KUU61" s="221"/>
      <c r="KUV61" s="216"/>
      <c r="KUW61" s="217"/>
      <c r="KUX61" s="218"/>
      <c r="KUY61" s="219"/>
      <c r="KUZ61" s="220"/>
      <c r="KVA61" s="220"/>
      <c r="KVB61" s="220"/>
      <c r="KVC61" s="220"/>
      <c r="KVD61" s="217"/>
      <c r="KVE61" s="221"/>
      <c r="KVF61" s="216"/>
      <c r="KVG61" s="217"/>
      <c r="KVH61" s="218"/>
      <c r="KVI61" s="219"/>
      <c r="KVJ61" s="220"/>
      <c r="KVK61" s="220"/>
      <c r="KVL61" s="220"/>
      <c r="KVM61" s="220"/>
      <c r="KVN61" s="217"/>
      <c r="KVO61" s="221"/>
      <c r="KVP61" s="216"/>
      <c r="KVQ61" s="217"/>
      <c r="KVR61" s="218"/>
      <c r="KVS61" s="219"/>
      <c r="KVT61" s="220"/>
      <c r="KVU61" s="220"/>
      <c r="KVV61" s="220"/>
      <c r="KVW61" s="220"/>
      <c r="KVX61" s="217"/>
      <c r="KVY61" s="221"/>
      <c r="KVZ61" s="216"/>
      <c r="KWA61" s="217"/>
      <c r="KWB61" s="218"/>
      <c r="KWC61" s="219"/>
      <c r="KWD61" s="220"/>
      <c r="KWE61" s="220"/>
      <c r="KWF61" s="220"/>
      <c r="KWG61" s="220"/>
      <c r="KWH61" s="217"/>
      <c r="KWI61" s="221"/>
      <c r="KWJ61" s="216"/>
      <c r="KWK61" s="217"/>
      <c r="KWL61" s="218"/>
      <c r="KWM61" s="219"/>
      <c r="KWN61" s="220"/>
      <c r="KWO61" s="220"/>
      <c r="KWP61" s="220"/>
      <c r="KWQ61" s="220"/>
      <c r="KWR61" s="217"/>
      <c r="KWS61" s="221"/>
      <c r="KWT61" s="216"/>
      <c r="KWU61" s="217"/>
      <c r="KWV61" s="218"/>
      <c r="KWW61" s="219"/>
      <c r="KWX61" s="220"/>
      <c r="KWY61" s="220"/>
      <c r="KWZ61" s="220"/>
      <c r="KXA61" s="220"/>
      <c r="KXB61" s="217"/>
      <c r="KXC61" s="221"/>
      <c r="KXD61" s="216"/>
      <c r="KXE61" s="217"/>
      <c r="KXF61" s="218"/>
      <c r="KXG61" s="219"/>
      <c r="KXH61" s="220"/>
      <c r="KXI61" s="220"/>
      <c r="KXJ61" s="220"/>
      <c r="KXK61" s="220"/>
      <c r="KXL61" s="217"/>
      <c r="KXM61" s="221"/>
      <c r="KXN61" s="216"/>
      <c r="KXO61" s="217"/>
      <c r="KXP61" s="218"/>
      <c r="KXQ61" s="219"/>
      <c r="KXR61" s="220"/>
      <c r="KXS61" s="220"/>
      <c r="KXT61" s="220"/>
      <c r="KXU61" s="220"/>
      <c r="KXV61" s="217"/>
      <c r="KXW61" s="221"/>
      <c r="KXX61" s="216"/>
      <c r="KXY61" s="217"/>
      <c r="KXZ61" s="218"/>
      <c r="KYA61" s="219"/>
      <c r="KYB61" s="220"/>
      <c r="KYC61" s="220"/>
      <c r="KYD61" s="220"/>
      <c r="KYE61" s="220"/>
      <c r="KYF61" s="217"/>
      <c r="KYG61" s="221"/>
      <c r="KYH61" s="216"/>
      <c r="KYI61" s="217"/>
      <c r="KYJ61" s="218"/>
      <c r="KYK61" s="219"/>
      <c r="KYL61" s="220"/>
      <c r="KYM61" s="220"/>
      <c r="KYN61" s="220"/>
      <c r="KYO61" s="220"/>
      <c r="KYP61" s="217"/>
      <c r="KYQ61" s="221"/>
      <c r="KYR61" s="216"/>
      <c r="KYS61" s="217"/>
      <c r="KYT61" s="218"/>
      <c r="KYU61" s="219"/>
      <c r="KYV61" s="220"/>
      <c r="KYW61" s="220"/>
      <c r="KYX61" s="220"/>
      <c r="KYY61" s="220"/>
      <c r="KYZ61" s="217"/>
      <c r="KZA61" s="221"/>
      <c r="KZB61" s="216"/>
      <c r="KZC61" s="217"/>
      <c r="KZD61" s="218"/>
      <c r="KZE61" s="219"/>
      <c r="KZF61" s="220"/>
      <c r="KZG61" s="220"/>
      <c r="KZH61" s="220"/>
      <c r="KZI61" s="220"/>
      <c r="KZJ61" s="217"/>
      <c r="KZK61" s="221"/>
      <c r="KZL61" s="216"/>
      <c r="KZM61" s="217"/>
      <c r="KZN61" s="218"/>
      <c r="KZO61" s="219"/>
      <c r="KZP61" s="220"/>
      <c r="KZQ61" s="220"/>
      <c r="KZR61" s="220"/>
      <c r="KZS61" s="220"/>
      <c r="KZT61" s="217"/>
      <c r="KZU61" s="221"/>
      <c r="KZV61" s="216"/>
      <c r="KZW61" s="217"/>
      <c r="KZX61" s="218"/>
      <c r="KZY61" s="219"/>
      <c r="KZZ61" s="220"/>
      <c r="LAA61" s="220"/>
      <c r="LAB61" s="220"/>
      <c r="LAC61" s="220"/>
      <c r="LAD61" s="217"/>
      <c r="LAE61" s="221"/>
      <c r="LAF61" s="216"/>
      <c r="LAG61" s="217"/>
      <c r="LAH61" s="218"/>
      <c r="LAI61" s="219"/>
      <c r="LAJ61" s="220"/>
      <c r="LAK61" s="220"/>
      <c r="LAL61" s="220"/>
      <c r="LAM61" s="220"/>
      <c r="LAN61" s="217"/>
      <c r="LAO61" s="221"/>
      <c r="LAP61" s="216"/>
      <c r="LAQ61" s="217"/>
      <c r="LAR61" s="218"/>
      <c r="LAS61" s="219"/>
      <c r="LAT61" s="220"/>
      <c r="LAU61" s="220"/>
      <c r="LAV61" s="220"/>
      <c r="LAW61" s="220"/>
      <c r="LAX61" s="217"/>
      <c r="LAY61" s="221"/>
      <c r="LAZ61" s="216"/>
      <c r="LBA61" s="217"/>
      <c r="LBB61" s="218"/>
      <c r="LBC61" s="219"/>
      <c r="LBD61" s="220"/>
      <c r="LBE61" s="220"/>
      <c r="LBF61" s="220"/>
      <c r="LBG61" s="220"/>
      <c r="LBH61" s="217"/>
      <c r="LBI61" s="221"/>
      <c r="LBJ61" s="216"/>
      <c r="LBK61" s="217"/>
      <c r="LBL61" s="218"/>
      <c r="LBM61" s="219"/>
      <c r="LBN61" s="220"/>
      <c r="LBO61" s="220"/>
      <c r="LBP61" s="220"/>
      <c r="LBQ61" s="220"/>
      <c r="LBR61" s="217"/>
      <c r="LBS61" s="221"/>
      <c r="LBT61" s="216"/>
      <c r="LBU61" s="217"/>
      <c r="LBV61" s="218"/>
      <c r="LBW61" s="219"/>
      <c r="LBX61" s="220"/>
      <c r="LBY61" s="220"/>
      <c r="LBZ61" s="220"/>
      <c r="LCA61" s="220"/>
      <c r="LCB61" s="217"/>
      <c r="LCC61" s="221"/>
      <c r="LCD61" s="216"/>
      <c r="LCE61" s="217"/>
      <c r="LCF61" s="218"/>
      <c r="LCG61" s="219"/>
      <c r="LCH61" s="220"/>
      <c r="LCI61" s="220"/>
      <c r="LCJ61" s="220"/>
      <c r="LCK61" s="220"/>
      <c r="LCL61" s="217"/>
      <c r="LCM61" s="221"/>
      <c r="LCN61" s="216"/>
      <c r="LCO61" s="217"/>
      <c r="LCP61" s="218"/>
      <c r="LCQ61" s="219"/>
      <c r="LCR61" s="220"/>
      <c r="LCS61" s="220"/>
      <c r="LCT61" s="220"/>
      <c r="LCU61" s="220"/>
      <c r="LCV61" s="217"/>
      <c r="LCW61" s="221"/>
      <c r="LCX61" s="216"/>
      <c r="LCY61" s="217"/>
      <c r="LCZ61" s="218"/>
      <c r="LDA61" s="219"/>
      <c r="LDB61" s="220"/>
      <c r="LDC61" s="220"/>
      <c r="LDD61" s="220"/>
      <c r="LDE61" s="220"/>
      <c r="LDF61" s="217"/>
      <c r="LDG61" s="221"/>
      <c r="LDH61" s="216"/>
      <c r="LDI61" s="217"/>
      <c r="LDJ61" s="218"/>
      <c r="LDK61" s="219"/>
      <c r="LDL61" s="220"/>
      <c r="LDM61" s="220"/>
      <c r="LDN61" s="220"/>
      <c r="LDO61" s="220"/>
      <c r="LDP61" s="217"/>
      <c r="LDQ61" s="221"/>
      <c r="LDR61" s="216"/>
      <c r="LDS61" s="217"/>
      <c r="LDT61" s="218"/>
      <c r="LDU61" s="219"/>
      <c r="LDV61" s="220"/>
      <c r="LDW61" s="220"/>
      <c r="LDX61" s="220"/>
      <c r="LDY61" s="220"/>
      <c r="LDZ61" s="217"/>
      <c r="LEA61" s="221"/>
      <c r="LEB61" s="216"/>
      <c r="LEC61" s="217"/>
      <c r="LED61" s="218"/>
      <c r="LEE61" s="219"/>
      <c r="LEF61" s="220"/>
      <c r="LEG61" s="220"/>
      <c r="LEH61" s="220"/>
      <c r="LEI61" s="220"/>
      <c r="LEJ61" s="217"/>
      <c r="LEK61" s="221"/>
      <c r="LEL61" s="216"/>
      <c r="LEM61" s="217"/>
      <c r="LEN61" s="218"/>
      <c r="LEO61" s="219"/>
      <c r="LEP61" s="220"/>
      <c r="LEQ61" s="220"/>
      <c r="LER61" s="220"/>
      <c r="LES61" s="220"/>
      <c r="LET61" s="217"/>
      <c r="LEU61" s="221"/>
      <c r="LEV61" s="216"/>
      <c r="LEW61" s="217"/>
      <c r="LEX61" s="218"/>
      <c r="LEY61" s="219"/>
      <c r="LEZ61" s="220"/>
      <c r="LFA61" s="220"/>
      <c r="LFB61" s="220"/>
      <c r="LFC61" s="220"/>
      <c r="LFD61" s="217"/>
      <c r="LFE61" s="221"/>
      <c r="LFF61" s="216"/>
      <c r="LFG61" s="217"/>
      <c r="LFH61" s="218"/>
      <c r="LFI61" s="219"/>
      <c r="LFJ61" s="220"/>
      <c r="LFK61" s="220"/>
      <c r="LFL61" s="220"/>
      <c r="LFM61" s="220"/>
      <c r="LFN61" s="217"/>
      <c r="LFO61" s="221"/>
      <c r="LFP61" s="216"/>
      <c r="LFQ61" s="217"/>
      <c r="LFR61" s="218"/>
      <c r="LFS61" s="219"/>
      <c r="LFT61" s="220"/>
      <c r="LFU61" s="220"/>
      <c r="LFV61" s="220"/>
      <c r="LFW61" s="220"/>
      <c r="LFX61" s="217"/>
      <c r="LFY61" s="221"/>
      <c r="LFZ61" s="216"/>
      <c r="LGA61" s="217"/>
      <c r="LGB61" s="218"/>
      <c r="LGC61" s="219"/>
      <c r="LGD61" s="220"/>
      <c r="LGE61" s="220"/>
      <c r="LGF61" s="220"/>
      <c r="LGG61" s="220"/>
      <c r="LGH61" s="217"/>
      <c r="LGI61" s="221"/>
      <c r="LGJ61" s="216"/>
      <c r="LGK61" s="217"/>
      <c r="LGL61" s="218"/>
      <c r="LGM61" s="219"/>
      <c r="LGN61" s="220"/>
      <c r="LGO61" s="220"/>
      <c r="LGP61" s="220"/>
      <c r="LGQ61" s="220"/>
      <c r="LGR61" s="217"/>
      <c r="LGS61" s="221"/>
      <c r="LGT61" s="216"/>
      <c r="LGU61" s="217"/>
      <c r="LGV61" s="218"/>
      <c r="LGW61" s="219"/>
      <c r="LGX61" s="220"/>
      <c r="LGY61" s="220"/>
      <c r="LGZ61" s="220"/>
      <c r="LHA61" s="220"/>
      <c r="LHB61" s="217"/>
      <c r="LHC61" s="221"/>
      <c r="LHD61" s="216"/>
      <c r="LHE61" s="217"/>
      <c r="LHF61" s="218"/>
      <c r="LHG61" s="219"/>
      <c r="LHH61" s="220"/>
      <c r="LHI61" s="220"/>
      <c r="LHJ61" s="220"/>
      <c r="LHK61" s="220"/>
      <c r="LHL61" s="217"/>
      <c r="LHM61" s="221"/>
      <c r="LHN61" s="216"/>
      <c r="LHO61" s="217"/>
      <c r="LHP61" s="218"/>
      <c r="LHQ61" s="219"/>
      <c r="LHR61" s="220"/>
      <c r="LHS61" s="220"/>
      <c r="LHT61" s="220"/>
      <c r="LHU61" s="220"/>
      <c r="LHV61" s="217"/>
      <c r="LHW61" s="221"/>
      <c r="LHX61" s="216"/>
      <c r="LHY61" s="217"/>
      <c r="LHZ61" s="218"/>
      <c r="LIA61" s="219"/>
      <c r="LIB61" s="220"/>
      <c r="LIC61" s="220"/>
      <c r="LID61" s="220"/>
      <c r="LIE61" s="220"/>
      <c r="LIF61" s="217"/>
      <c r="LIG61" s="221"/>
      <c r="LIH61" s="216"/>
      <c r="LII61" s="217"/>
      <c r="LIJ61" s="218"/>
      <c r="LIK61" s="219"/>
      <c r="LIL61" s="220"/>
      <c r="LIM61" s="220"/>
      <c r="LIN61" s="220"/>
      <c r="LIO61" s="220"/>
      <c r="LIP61" s="217"/>
      <c r="LIQ61" s="221"/>
      <c r="LIR61" s="216"/>
      <c r="LIS61" s="217"/>
      <c r="LIT61" s="218"/>
      <c r="LIU61" s="219"/>
      <c r="LIV61" s="220"/>
      <c r="LIW61" s="220"/>
      <c r="LIX61" s="220"/>
      <c r="LIY61" s="220"/>
      <c r="LIZ61" s="217"/>
      <c r="LJA61" s="221"/>
      <c r="LJB61" s="216"/>
      <c r="LJC61" s="217"/>
      <c r="LJD61" s="218"/>
      <c r="LJE61" s="219"/>
      <c r="LJF61" s="220"/>
      <c r="LJG61" s="220"/>
      <c r="LJH61" s="220"/>
      <c r="LJI61" s="220"/>
      <c r="LJJ61" s="217"/>
      <c r="LJK61" s="221"/>
      <c r="LJL61" s="216"/>
      <c r="LJM61" s="217"/>
      <c r="LJN61" s="218"/>
      <c r="LJO61" s="219"/>
      <c r="LJP61" s="220"/>
      <c r="LJQ61" s="220"/>
      <c r="LJR61" s="220"/>
      <c r="LJS61" s="220"/>
      <c r="LJT61" s="217"/>
      <c r="LJU61" s="221"/>
      <c r="LJV61" s="216"/>
      <c r="LJW61" s="217"/>
      <c r="LJX61" s="218"/>
      <c r="LJY61" s="219"/>
      <c r="LJZ61" s="220"/>
      <c r="LKA61" s="220"/>
      <c r="LKB61" s="220"/>
      <c r="LKC61" s="220"/>
      <c r="LKD61" s="217"/>
      <c r="LKE61" s="221"/>
      <c r="LKF61" s="216"/>
      <c r="LKG61" s="217"/>
      <c r="LKH61" s="218"/>
      <c r="LKI61" s="219"/>
      <c r="LKJ61" s="220"/>
      <c r="LKK61" s="220"/>
      <c r="LKL61" s="220"/>
      <c r="LKM61" s="220"/>
      <c r="LKN61" s="217"/>
      <c r="LKO61" s="221"/>
      <c r="LKP61" s="216"/>
      <c r="LKQ61" s="217"/>
      <c r="LKR61" s="218"/>
      <c r="LKS61" s="219"/>
      <c r="LKT61" s="220"/>
      <c r="LKU61" s="220"/>
      <c r="LKV61" s="220"/>
      <c r="LKW61" s="220"/>
      <c r="LKX61" s="217"/>
      <c r="LKY61" s="221"/>
      <c r="LKZ61" s="216"/>
      <c r="LLA61" s="217"/>
      <c r="LLB61" s="218"/>
      <c r="LLC61" s="219"/>
      <c r="LLD61" s="220"/>
      <c r="LLE61" s="220"/>
      <c r="LLF61" s="220"/>
      <c r="LLG61" s="220"/>
      <c r="LLH61" s="217"/>
      <c r="LLI61" s="221"/>
      <c r="LLJ61" s="216"/>
      <c r="LLK61" s="217"/>
      <c r="LLL61" s="218"/>
      <c r="LLM61" s="219"/>
      <c r="LLN61" s="220"/>
      <c r="LLO61" s="220"/>
      <c r="LLP61" s="220"/>
      <c r="LLQ61" s="220"/>
      <c r="LLR61" s="217"/>
      <c r="LLS61" s="221"/>
      <c r="LLT61" s="216"/>
      <c r="LLU61" s="217"/>
      <c r="LLV61" s="218"/>
      <c r="LLW61" s="219"/>
      <c r="LLX61" s="220"/>
      <c r="LLY61" s="220"/>
      <c r="LLZ61" s="220"/>
      <c r="LMA61" s="220"/>
      <c r="LMB61" s="217"/>
      <c r="LMC61" s="221"/>
      <c r="LMD61" s="216"/>
      <c r="LME61" s="217"/>
      <c r="LMF61" s="218"/>
      <c r="LMG61" s="219"/>
      <c r="LMH61" s="220"/>
      <c r="LMI61" s="220"/>
      <c r="LMJ61" s="220"/>
      <c r="LMK61" s="220"/>
      <c r="LML61" s="217"/>
      <c r="LMM61" s="221"/>
      <c r="LMN61" s="216"/>
      <c r="LMO61" s="217"/>
      <c r="LMP61" s="218"/>
      <c r="LMQ61" s="219"/>
      <c r="LMR61" s="220"/>
      <c r="LMS61" s="220"/>
      <c r="LMT61" s="220"/>
      <c r="LMU61" s="220"/>
      <c r="LMV61" s="217"/>
      <c r="LMW61" s="221"/>
      <c r="LMX61" s="216"/>
      <c r="LMY61" s="217"/>
      <c r="LMZ61" s="218"/>
      <c r="LNA61" s="219"/>
      <c r="LNB61" s="220"/>
      <c r="LNC61" s="220"/>
      <c r="LND61" s="220"/>
      <c r="LNE61" s="220"/>
      <c r="LNF61" s="217"/>
      <c r="LNG61" s="221"/>
      <c r="LNH61" s="216"/>
      <c r="LNI61" s="217"/>
      <c r="LNJ61" s="218"/>
      <c r="LNK61" s="219"/>
      <c r="LNL61" s="220"/>
      <c r="LNM61" s="220"/>
      <c r="LNN61" s="220"/>
      <c r="LNO61" s="220"/>
      <c r="LNP61" s="217"/>
      <c r="LNQ61" s="221"/>
      <c r="LNR61" s="216"/>
      <c r="LNS61" s="217"/>
      <c r="LNT61" s="218"/>
      <c r="LNU61" s="219"/>
      <c r="LNV61" s="220"/>
      <c r="LNW61" s="220"/>
      <c r="LNX61" s="220"/>
      <c r="LNY61" s="220"/>
      <c r="LNZ61" s="217"/>
      <c r="LOA61" s="221"/>
      <c r="LOB61" s="216"/>
      <c r="LOC61" s="217"/>
      <c r="LOD61" s="218"/>
      <c r="LOE61" s="219"/>
      <c r="LOF61" s="220"/>
      <c r="LOG61" s="220"/>
      <c r="LOH61" s="220"/>
      <c r="LOI61" s="220"/>
      <c r="LOJ61" s="217"/>
      <c r="LOK61" s="221"/>
      <c r="LOL61" s="216"/>
      <c r="LOM61" s="217"/>
      <c r="LON61" s="218"/>
      <c r="LOO61" s="219"/>
      <c r="LOP61" s="220"/>
      <c r="LOQ61" s="220"/>
      <c r="LOR61" s="220"/>
      <c r="LOS61" s="220"/>
      <c r="LOT61" s="217"/>
      <c r="LOU61" s="221"/>
      <c r="LOV61" s="216"/>
      <c r="LOW61" s="217"/>
      <c r="LOX61" s="218"/>
      <c r="LOY61" s="219"/>
      <c r="LOZ61" s="220"/>
      <c r="LPA61" s="220"/>
      <c r="LPB61" s="220"/>
      <c r="LPC61" s="220"/>
      <c r="LPD61" s="217"/>
      <c r="LPE61" s="221"/>
      <c r="LPF61" s="216"/>
      <c r="LPG61" s="217"/>
      <c r="LPH61" s="218"/>
      <c r="LPI61" s="219"/>
      <c r="LPJ61" s="220"/>
      <c r="LPK61" s="220"/>
      <c r="LPL61" s="220"/>
      <c r="LPM61" s="220"/>
      <c r="LPN61" s="217"/>
      <c r="LPO61" s="221"/>
      <c r="LPP61" s="216"/>
      <c r="LPQ61" s="217"/>
      <c r="LPR61" s="218"/>
      <c r="LPS61" s="219"/>
      <c r="LPT61" s="220"/>
      <c r="LPU61" s="220"/>
      <c r="LPV61" s="220"/>
      <c r="LPW61" s="220"/>
      <c r="LPX61" s="217"/>
      <c r="LPY61" s="221"/>
      <c r="LPZ61" s="216"/>
      <c r="LQA61" s="217"/>
      <c r="LQB61" s="218"/>
      <c r="LQC61" s="219"/>
      <c r="LQD61" s="220"/>
      <c r="LQE61" s="220"/>
      <c r="LQF61" s="220"/>
      <c r="LQG61" s="220"/>
      <c r="LQH61" s="217"/>
      <c r="LQI61" s="221"/>
      <c r="LQJ61" s="216"/>
      <c r="LQK61" s="217"/>
      <c r="LQL61" s="218"/>
      <c r="LQM61" s="219"/>
      <c r="LQN61" s="220"/>
      <c r="LQO61" s="220"/>
      <c r="LQP61" s="220"/>
      <c r="LQQ61" s="220"/>
      <c r="LQR61" s="217"/>
      <c r="LQS61" s="221"/>
      <c r="LQT61" s="216"/>
      <c r="LQU61" s="217"/>
      <c r="LQV61" s="218"/>
      <c r="LQW61" s="219"/>
      <c r="LQX61" s="220"/>
      <c r="LQY61" s="220"/>
      <c r="LQZ61" s="220"/>
      <c r="LRA61" s="220"/>
      <c r="LRB61" s="217"/>
      <c r="LRC61" s="221"/>
      <c r="LRD61" s="216"/>
      <c r="LRE61" s="217"/>
      <c r="LRF61" s="218"/>
      <c r="LRG61" s="219"/>
      <c r="LRH61" s="220"/>
      <c r="LRI61" s="220"/>
      <c r="LRJ61" s="220"/>
      <c r="LRK61" s="220"/>
      <c r="LRL61" s="217"/>
      <c r="LRM61" s="221"/>
      <c r="LRN61" s="216"/>
      <c r="LRO61" s="217"/>
      <c r="LRP61" s="218"/>
      <c r="LRQ61" s="219"/>
      <c r="LRR61" s="220"/>
      <c r="LRS61" s="220"/>
      <c r="LRT61" s="220"/>
      <c r="LRU61" s="220"/>
      <c r="LRV61" s="217"/>
      <c r="LRW61" s="221"/>
      <c r="LRX61" s="216"/>
      <c r="LRY61" s="217"/>
      <c r="LRZ61" s="218"/>
      <c r="LSA61" s="219"/>
      <c r="LSB61" s="220"/>
      <c r="LSC61" s="220"/>
      <c r="LSD61" s="220"/>
      <c r="LSE61" s="220"/>
      <c r="LSF61" s="217"/>
      <c r="LSG61" s="221"/>
      <c r="LSH61" s="216"/>
      <c r="LSI61" s="217"/>
      <c r="LSJ61" s="218"/>
      <c r="LSK61" s="219"/>
      <c r="LSL61" s="220"/>
      <c r="LSM61" s="220"/>
      <c r="LSN61" s="220"/>
      <c r="LSO61" s="220"/>
      <c r="LSP61" s="217"/>
      <c r="LSQ61" s="221"/>
      <c r="LSR61" s="216"/>
      <c r="LSS61" s="217"/>
      <c r="LST61" s="218"/>
      <c r="LSU61" s="219"/>
      <c r="LSV61" s="220"/>
      <c r="LSW61" s="220"/>
      <c r="LSX61" s="220"/>
      <c r="LSY61" s="220"/>
      <c r="LSZ61" s="217"/>
      <c r="LTA61" s="221"/>
      <c r="LTB61" s="216"/>
      <c r="LTC61" s="217"/>
      <c r="LTD61" s="218"/>
      <c r="LTE61" s="219"/>
      <c r="LTF61" s="220"/>
      <c r="LTG61" s="220"/>
      <c r="LTH61" s="220"/>
      <c r="LTI61" s="220"/>
      <c r="LTJ61" s="217"/>
      <c r="LTK61" s="221"/>
      <c r="LTL61" s="216"/>
      <c r="LTM61" s="217"/>
      <c r="LTN61" s="218"/>
      <c r="LTO61" s="219"/>
      <c r="LTP61" s="220"/>
      <c r="LTQ61" s="220"/>
      <c r="LTR61" s="220"/>
      <c r="LTS61" s="220"/>
      <c r="LTT61" s="217"/>
      <c r="LTU61" s="221"/>
      <c r="LTV61" s="216"/>
      <c r="LTW61" s="217"/>
      <c r="LTX61" s="218"/>
      <c r="LTY61" s="219"/>
      <c r="LTZ61" s="220"/>
      <c r="LUA61" s="220"/>
      <c r="LUB61" s="220"/>
      <c r="LUC61" s="220"/>
      <c r="LUD61" s="217"/>
      <c r="LUE61" s="221"/>
      <c r="LUF61" s="216"/>
      <c r="LUG61" s="217"/>
      <c r="LUH61" s="218"/>
      <c r="LUI61" s="219"/>
      <c r="LUJ61" s="220"/>
      <c r="LUK61" s="220"/>
      <c r="LUL61" s="220"/>
      <c r="LUM61" s="220"/>
      <c r="LUN61" s="217"/>
      <c r="LUO61" s="221"/>
      <c r="LUP61" s="216"/>
      <c r="LUQ61" s="217"/>
      <c r="LUR61" s="218"/>
      <c r="LUS61" s="219"/>
      <c r="LUT61" s="220"/>
      <c r="LUU61" s="220"/>
      <c r="LUV61" s="220"/>
      <c r="LUW61" s="220"/>
      <c r="LUX61" s="217"/>
      <c r="LUY61" s="221"/>
      <c r="LUZ61" s="216"/>
      <c r="LVA61" s="217"/>
      <c r="LVB61" s="218"/>
      <c r="LVC61" s="219"/>
      <c r="LVD61" s="220"/>
      <c r="LVE61" s="220"/>
      <c r="LVF61" s="220"/>
      <c r="LVG61" s="220"/>
      <c r="LVH61" s="217"/>
      <c r="LVI61" s="221"/>
      <c r="LVJ61" s="216"/>
      <c r="LVK61" s="217"/>
      <c r="LVL61" s="218"/>
      <c r="LVM61" s="219"/>
      <c r="LVN61" s="220"/>
      <c r="LVO61" s="220"/>
      <c r="LVP61" s="220"/>
      <c r="LVQ61" s="220"/>
      <c r="LVR61" s="217"/>
      <c r="LVS61" s="221"/>
      <c r="LVT61" s="216"/>
      <c r="LVU61" s="217"/>
      <c r="LVV61" s="218"/>
      <c r="LVW61" s="219"/>
      <c r="LVX61" s="220"/>
      <c r="LVY61" s="220"/>
      <c r="LVZ61" s="220"/>
      <c r="LWA61" s="220"/>
      <c r="LWB61" s="217"/>
      <c r="LWC61" s="221"/>
      <c r="LWD61" s="216"/>
      <c r="LWE61" s="217"/>
      <c r="LWF61" s="218"/>
      <c r="LWG61" s="219"/>
      <c r="LWH61" s="220"/>
      <c r="LWI61" s="220"/>
      <c r="LWJ61" s="220"/>
      <c r="LWK61" s="220"/>
      <c r="LWL61" s="217"/>
      <c r="LWM61" s="221"/>
      <c r="LWN61" s="216"/>
      <c r="LWO61" s="217"/>
      <c r="LWP61" s="218"/>
      <c r="LWQ61" s="219"/>
      <c r="LWR61" s="220"/>
      <c r="LWS61" s="220"/>
      <c r="LWT61" s="220"/>
      <c r="LWU61" s="220"/>
      <c r="LWV61" s="217"/>
      <c r="LWW61" s="221"/>
      <c r="LWX61" s="216"/>
      <c r="LWY61" s="217"/>
      <c r="LWZ61" s="218"/>
      <c r="LXA61" s="219"/>
      <c r="LXB61" s="220"/>
      <c r="LXC61" s="220"/>
      <c r="LXD61" s="220"/>
      <c r="LXE61" s="220"/>
      <c r="LXF61" s="217"/>
      <c r="LXG61" s="221"/>
      <c r="LXH61" s="216"/>
      <c r="LXI61" s="217"/>
      <c r="LXJ61" s="218"/>
      <c r="LXK61" s="219"/>
      <c r="LXL61" s="220"/>
      <c r="LXM61" s="220"/>
      <c r="LXN61" s="220"/>
      <c r="LXO61" s="220"/>
      <c r="LXP61" s="217"/>
      <c r="LXQ61" s="221"/>
      <c r="LXR61" s="216"/>
      <c r="LXS61" s="217"/>
      <c r="LXT61" s="218"/>
      <c r="LXU61" s="219"/>
      <c r="LXV61" s="220"/>
      <c r="LXW61" s="220"/>
      <c r="LXX61" s="220"/>
      <c r="LXY61" s="220"/>
      <c r="LXZ61" s="217"/>
      <c r="LYA61" s="221"/>
      <c r="LYB61" s="216"/>
      <c r="LYC61" s="217"/>
      <c r="LYD61" s="218"/>
      <c r="LYE61" s="219"/>
      <c r="LYF61" s="220"/>
      <c r="LYG61" s="220"/>
      <c r="LYH61" s="220"/>
      <c r="LYI61" s="220"/>
      <c r="LYJ61" s="217"/>
      <c r="LYK61" s="221"/>
      <c r="LYL61" s="216"/>
      <c r="LYM61" s="217"/>
      <c r="LYN61" s="218"/>
      <c r="LYO61" s="219"/>
      <c r="LYP61" s="220"/>
      <c r="LYQ61" s="220"/>
      <c r="LYR61" s="220"/>
      <c r="LYS61" s="220"/>
      <c r="LYT61" s="217"/>
      <c r="LYU61" s="221"/>
      <c r="LYV61" s="216"/>
      <c r="LYW61" s="217"/>
      <c r="LYX61" s="218"/>
      <c r="LYY61" s="219"/>
      <c r="LYZ61" s="220"/>
      <c r="LZA61" s="220"/>
      <c r="LZB61" s="220"/>
      <c r="LZC61" s="220"/>
      <c r="LZD61" s="217"/>
      <c r="LZE61" s="221"/>
      <c r="LZF61" s="216"/>
      <c r="LZG61" s="217"/>
      <c r="LZH61" s="218"/>
      <c r="LZI61" s="219"/>
      <c r="LZJ61" s="220"/>
      <c r="LZK61" s="220"/>
      <c r="LZL61" s="220"/>
      <c r="LZM61" s="220"/>
      <c r="LZN61" s="217"/>
      <c r="LZO61" s="221"/>
      <c r="LZP61" s="216"/>
      <c r="LZQ61" s="217"/>
      <c r="LZR61" s="218"/>
      <c r="LZS61" s="219"/>
      <c r="LZT61" s="220"/>
      <c r="LZU61" s="220"/>
      <c r="LZV61" s="220"/>
      <c r="LZW61" s="220"/>
      <c r="LZX61" s="217"/>
      <c r="LZY61" s="221"/>
      <c r="LZZ61" s="216"/>
      <c r="MAA61" s="217"/>
      <c r="MAB61" s="218"/>
      <c r="MAC61" s="219"/>
      <c r="MAD61" s="220"/>
      <c r="MAE61" s="220"/>
      <c r="MAF61" s="220"/>
      <c r="MAG61" s="220"/>
      <c r="MAH61" s="217"/>
      <c r="MAI61" s="221"/>
      <c r="MAJ61" s="216"/>
      <c r="MAK61" s="217"/>
      <c r="MAL61" s="218"/>
      <c r="MAM61" s="219"/>
      <c r="MAN61" s="220"/>
      <c r="MAO61" s="220"/>
      <c r="MAP61" s="220"/>
      <c r="MAQ61" s="220"/>
      <c r="MAR61" s="217"/>
      <c r="MAS61" s="221"/>
      <c r="MAT61" s="216"/>
      <c r="MAU61" s="217"/>
      <c r="MAV61" s="218"/>
      <c r="MAW61" s="219"/>
      <c r="MAX61" s="220"/>
      <c r="MAY61" s="220"/>
      <c r="MAZ61" s="220"/>
      <c r="MBA61" s="220"/>
      <c r="MBB61" s="217"/>
      <c r="MBC61" s="221"/>
      <c r="MBD61" s="216"/>
      <c r="MBE61" s="217"/>
      <c r="MBF61" s="218"/>
      <c r="MBG61" s="219"/>
      <c r="MBH61" s="220"/>
      <c r="MBI61" s="220"/>
      <c r="MBJ61" s="220"/>
      <c r="MBK61" s="220"/>
      <c r="MBL61" s="217"/>
      <c r="MBM61" s="221"/>
      <c r="MBN61" s="216"/>
      <c r="MBO61" s="217"/>
      <c r="MBP61" s="218"/>
      <c r="MBQ61" s="219"/>
      <c r="MBR61" s="220"/>
      <c r="MBS61" s="220"/>
      <c r="MBT61" s="220"/>
      <c r="MBU61" s="220"/>
      <c r="MBV61" s="217"/>
      <c r="MBW61" s="221"/>
      <c r="MBX61" s="216"/>
      <c r="MBY61" s="217"/>
      <c r="MBZ61" s="218"/>
      <c r="MCA61" s="219"/>
      <c r="MCB61" s="220"/>
      <c r="MCC61" s="220"/>
      <c r="MCD61" s="220"/>
      <c r="MCE61" s="220"/>
      <c r="MCF61" s="217"/>
      <c r="MCG61" s="221"/>
      <c r="MCH61" s="216"/>
      <c r="MCI61" s="217"/>
      <c r="MCJ61" s="218"/>
      <c r="MCK61" s="219"/>
      <c r="MCL61" s="220"/>
      <c r="MCM61" s="220"/>
      <c r="MCN61" s="220"/>
      <c r="MCO61" s="220"/>
      <c r="MCP61" s="217"/>
      <c r="MCQ61" s="221"/>
      <c r="MCR61" s="216"/>
      <c r="MCS61" s="217"/>
      <c r="MCT61" s="218"/>
      <c r="MCU61" s="219"/>
      <c r="MCV61" s="220"/>
      <c r="MCW61" s="220"/>
      <c r="MCX61" s="220"/>
      <c r="MCY61" s="220"/>
      <c r="MCZ61" s="217"/>
      <c r="MDA61" s="221"/>
      <c r="MDB61" s="216"/>
      <c r="MDC61" s="217"/>
      <c r="MDD61" s="218"/>
      <c r="MDE61" s="219"/>
      <c r="MDF61" s="220"/>
      <c r="MDG61" s="220"/>
      <c r="MDH61" s="220"/>
      <c r="MDI61" s="220"/>
      <c r="MDJ61" s="217"/>
      <c r="MDK61" s="221"/>
      <c r="MDL61" s="216"/>
      <c r="MDM61" s="217"/>
      <c r="MDN61" s="218"/>
      <c r="MDO61" s="219"/>
      <c r="MDP61" s="220"/>
      <c r="MDQ61" s="220"/>
      <c r="MDR61" s="220"/>
      <c r="MDS61" s="220"/>
      <c r="MDT61" s="217"/>
      <c r="MDU61" s="221"/>
      <c r="MDV61" s="216"/>
      <c r="MDW61" s="217"/>
      <c r="MDX61" s="218"/>
      <c r="MDY61" s="219"/>
      <c r="MDZ61" s="220"/>
      <c r="MEA61" s="220"/>
      <c r="MEB61" s="220"/>
      <c r="MEC61" s="220"/>
      <c r="MED61" s="217"/>
      <c r="MEE61" s="221"/>
      <c r="MEF61" s="216"/>
      <c r="MEG61" s="217"/>
      <c r="MEH61" s="218"/>
      <c r="MEI61" s="219"/>
      <c r="MEJ61" s="220"/>
      <c r="MEK61" s="220"/>
      <c r="MEL61" s="220"/>
      <c r="MEM61" s="220"/>
      <c r="MEN61" s="217"/>
      <c r="MEO61" s="221"/>
      <c r="MEP61" s="216"/>
      <c r="MEQ61" s="217"/>
      <c r="MER61" s="218"/>
      <c r="MES61" s="219"/>
      <c r="MET61" s="220"/>
      <c r="MEU61" s="220"/>
      <c r="MEV61" s="220"/>
      <c r="MEW61" s="220"/>
      <c r="MEX61" s="217"/>
      <c r="MEY61" s="221"/>
      <c r="MEZ61" s="216"/>
      <c r="MFA61" s="217"/>
      <c r="MFB61" s="218"/>
      <c r="MFC61" s="219"/>
      <c r="MFD61" s="220"/>
      <c r="MFE61" s="220"/>
      <c r="MFF61" s="220"/>
      <c r="MFG61" s="220"/>
      <c r="MFH61" s="217"/>
      <c r="MFI61" s="221"/>
      <c r="MFJ61" s="216"/>
      <c r="MFK61" s="217"/>
      <c r="MFL61" s="218"/>
      <c r="MFM61" s="219"/>
      <c r="MFN61" s="220"/>
      <c r="MFO61" s="220"/>
      <c r="MFP61" s="220"/>
      <c r="MFQ61" s="220"/>
      <c r="MFR61" s="217"/>
      <c r="MFS61" s="221"/>
      <c r="MFT61" s="216"/>
      <c r="MFU61" s="217"/>
      <c r="MFV61" s="218"/>
      <c r="MFW61" s="219"/>
      <c r="MFX61" s="220"/>
      <c r="MFY61" s="220"/>
      <c r="MFZ61" s="220"/>
      <c r="MGA61" s="220"/>
      <c r="MGB61" s="217"/>
      <c r="MGC61" s="221"/>
      <c r="MGD61" s="216"/>
      <c r="MGE61" s="217"/>
      <c r="MGF61" s="218"/>
      <c r="MGG61" s="219"/>
      <c r="MGH61" s="220"/>
      <c r="MGI61" s="220"/>
      <c r="MGJ61" s="220"/>
      <c r="MGK61" s="220"/>
      <c r="MGL61" s="217"/>
      <c r="MGM61" s="221"/>
      <c r="MGN61" s="216"/>
      <c r="MGO61" s="217"/>
      <c r="MGP61" s="218"/>
      <c r="MGQ61" s="219"/>
      <c r="MGR61" s="220"/>
      <c r="MGS61" s="220"/>
      <c r="MGT61" s="220"/>
      <c r="MGU61" s="220"/>
      <c r="MGV61" s="217"/>
      <c r="MGW61" s="221"/>
      <c r="MGX61" s="216"/>
      <c r="MGY61" s="217"/>
      <c r="MGZ61" s="218"/>
      <c r="MHA61" s="219"/>
      <c r="MHB61" s="220"/>
      <c r="MHC61" s="220"/>
      <c r="MHD61" s="220"/>
      <c r="MHE61" s="220"/>
      <c r="MHF61" s="217"/>
      <c r="MHG61" s="221"/>
      <c r="MHH61" s="216"/>
      <c r="MHI61" s="217"/>
      <c r="MHJ61" s="218"/>
      <c r="MHK61" s="219"/>
      <c r="MHL61" s="220"/>
      <c r="MHM61" s="220"/>
      <c r="MHN61" s="220"/>
      <c r="MHO61" s="220"/>
      <c r="MHP61" s="217"/>
      <c r="MHQ61" s="221"/>
      <c r="MHR61" s="216"/>
      <c r="MHS61" s="217"/>
      <c r="MHT61" s="218"/>
      <c r="MHU61" s="219"/>
      <c r="MHV61" s="220"/>
      <c r="MHW61" s="220"/>
      <c r="MHX61" s="220"/>
      <c r="MHY61" s="220"/>
      <c r="MHZ61" s="217"/>
      <c r="MIA61" s="221"/>
      <c r="MIB61" s="216"/>
      <c r="MIC61" s="217"/>
      <c r="MID61" s="218"/>
      <c r="MIE61" s="219"/>
      <c r="MIF61" s="220"/>
      <c r="MIG61" s="220"/>
      <c r="MIH61" s="220"/>
      <c r="MII61" s="220"/>
      <c r="MIJ61" s="217"/>
      <c r="MIK61" s="221"/>
      <c r="MIL61" s="216"/>
      <c r="MIM61" s="217"/>
      <c r="MIN61" s="218"/>
      <c r="MIO61" s="219"/>
      <c r="MIP61" s="220"/>
      <c r="MIQ61" s="220"/>
      <c r="MIR61" s="220"/>
      <c r="MIS61" s="220"/>
      <c r="MIT61" s="217"/>
      <c r="MIU61" s="221"/>
      <c r="MIV61" s="216"/>
      <c r="MIW61" s="217"/>
      <c r="MIX61" s="218"/>
      <c r="MIY61" s="219"/>
      <c r="MIZ61" s="220"/>
      <c r="MJA61" s="220"/>
      <c r="MJB61" s="220"/>
      <c r="MJC61" s="220"/>
      <c r="MJD61" s="217"/>
      <c r="MJE61" s="221"/>
      <c r="MJF61" s="216"/>
      <c r="MJG61" s="217"/>
      <c r="MJH61" s="218"/>
      <c r="MJI61" s="219"/>
      <c r="MJJ61" s="220"/>
      <c r="MJK61" s="220"/>
      <c r="MJL61" s="220"/>
      <c r="MJM61" s="220"/>
      <c r="MJN61" s="217"/>
      <c r="MJO61" s="221"/>
      <c r="MJP61" s="216"/>
      <c r="MJQ61" s="217"/>
      <c r="MJR61" s="218"/>
      <c r="MJS61" s="219"/>
      <c r="MJT61" s="220"/>
      <c r="MJU61" s="220"/>
      <c r="MJV61" s="220"/>
      <c r="MJW61" s="220"/>
      <c r="MJX61" s="217"/>
      <c r="MJY61" s="221"/>
      <c r="MJZ61" s="216"/>
      <c r="MKA61" s="217"/>
      <c r="MKB61" s="218"/>
      <c r="MKC61" s="219"/>
      <c r="MKD61" s="220"/>
      <c r="MKE61" s="220"/>
      <c r="MKF61" s="220"/>
      <c r="MKG61" s="220"/>
      <c r="MKH61" s="217"/>
      <c r="MKI61" s="221"/>
      <c r="MKJ61" s="216"/>
      <c r="MKK61" s="217"/>
      <c r="MKL61" s="218"/>
      <c r="MKM61" s="219"/>
      <c r="MKN61" s="220"/>
      <c r="MKO61" s="220"/>
      <c r="MKP61" s="220"/>
      <c r="MKQ61" s="220"/>
      <c r="MKR61" s="217"/>
      <c r="MKS61" s="221"/>
      <c r="MKT61" s="216"/>
      <c r="MKU61" s="217"/>
      <c r="MKV61" s="218"/>
      <c r="MKW61" s="219"/>
      <c r="MKX61" s="220"/>
      <c r="MKY61" s="220"/>
      <c r="MKZ61" s="220"/>
      <c r="MLA61" s="220"/>
      <c r="MLB61" s="217"/>
      <c r="MLC61" s="221"/>
      <c r="MLD61" s="216"/>
      <c r="MLE61" s="217"/>
      <c r="MLF61" s="218"/>
      <c r="MLG61" s="219"/>
      <c r="MLH61" s="220"/>
      <c r="MLI61" s="220"/>
      <c r="MLJ61" s="220"/>
      <c r="MLK61" s="220"/>
      <c r="MLL61" s="217"/>
      <c r="MLM61" s="221"/>
      <c r="MLN61" s="216"/>
      <c r="MLO61" s="217"/>
      <c r="MLP61" s="218"/>
      <c r="MLQ61" s="219"/>
      <c r="MLR61" s="220"/>
      <c r="MLS61" s="220"/>
      <c r="MLT61" s="220"/>
      <c r="MLU61" s="220"/>
      <c r="MLV61" s="217"/>
      <c r="MLW61" s="221"/>
      <c r="MLX61" s="216"/>
      <c r="MLY61" s="217"/>
      <c r="MLZ61" s="218"/>
      <c r="MMA61" s="219"/>
      <c r="MMB61" s="220"/>
      <c r="MMC61" s="220"/>
      <c r="MMD61" s="220"/>
      <c r="MME61" s="220"/>
      <c r="MMF61" s="217"/>
      <c r="MMG61" s="221"/>
      <c r="MMH61" s="216"/>
      <c r="MMI61" s="217"/>
      <c r="MMJ61" s="218"/>
      <c r="MMK61" s="219"/>
      <c r="MML61" s="220"/>
      <c r="MMM61" s="220"/>
      <c r="MMN61" s="220"/>
      <c r="MMO61" s="220"/>
      <c r="MMP61" s="217"/>
      <c r="MMQ61" s="221"/>
      <c r="MMR61" s="216"/>
      <c r="MMS61" s="217"/>
      <c r="MMT61" s="218"/>
      <c r="MMU61" s="219"/>
      <c r="MMV61" s="220"/>
      <c r="MMW61" s="220"/>
      <c r="MMX61" s="220"/>
      <c r="MMY61" s="220"/>
      <c r="MMZ61" s="217"/>
      <c r="MNA61" s="221"/>
      <c r="MNB61" s="216"/>
      <c r="MNC61" s="217"/>
      <c r="MND61" s="218"/>
      <c r="MNE61" s="219"/>
      <c r="MNF61" s="220"/>
      <c r="MNG61" s="220"/>
      <c r="MNH61" s="220"/>
      <c r="MNI61" s="220"/>
      <c r="MNJ61" s="217"/>
      <c r="MNK61" s="221"/>
      <c r="MNL61" s="216"/>
      <c r="MNM61" s="217"/>
      <c r="MNN61" s="218"/>
      <c r="MNO61" s="219"/>
      <c r="MNP61" s="220"/>
      <c r="MNQ61" s="220"/>
      <c r="MNR61" s="220"/>
      <c r="MNS61" s="220"/>
      <c r="MNT61" s="217"/>
      <c r="MNU61" s="221"/>
      <c r="MNV61" s="216"/>
      <c r="MNW61" s="217"/>
      <c r="MNX61" s="218"/>
      <c r="MNY61" s="219"/>
      <c r="MNZ61" s="220"/>
      <c r="MOA61" s="220"/>
      <c r="MOB61" s="220"/>
      <c r="MOC61" s="220"/>
      <c r="MOD61" s="217"/>
      <c r="MOE61" s="221"/>
      <c r="MOF61" s="216"/>
      <c r="MOG61" s="217"/>
      <c r="MOH61" s="218"/>
      <c r="MOI61" s="219"/>
      <c r="MOJ61" s="220"/>
      <c r="MOK61" s="220"/>
      <c r="MOL61" s="220"/>
      <c r="MOM61" s="220"/>
      <c r="MON61" s="217"/>
      <c r="MOO61" s="221"/>
      <c r="MOP61" s="216"/>
      <c r="MOQ61" s="217"/>
      <c r="MOR61" s="218"/>
      <c r="MOS61" s="219"/>
      <c r="MOT61" s="220"/>
      <c r="MOU61" s="220"/>
      <c r="MOV61" s="220"/>
      <c r="MOW61" s="220"/>
      <c r="MOX61" s="217"/>
      <c r="MOY61" s="221"/>
      <c r="MOZ61" s="216"/>
      <c r="MPA61" s="217"/>
      <c r="MPB61" s="218"/>
      <c r="MPC61" s="219"/>
      <c r="MPD61" s="220"/>
      <c r="MPE61" s="220"/>
      <c r="MPF61" s="220"/>
      <c r="MPG61" s="220"/>
      <c r="MPH61" s="217"/>
      <c r="MPI61" s="221"/>
      <c r="MPJ61" s="216"/>
      <c r="MPK61" s="217"/>
      <c r="MPL61" s="218"/>
      <c r="MPM61" s="219"/>
      <c r="MPN61" s="220"/>
      <c r="MPO61" s="220"/>
      <c r="MPP61" s="220"/>
      <c r="MPQ61" s="220"/>
      <c r="MPR61" s="217"/>
      <c r="MPS61" s="221"/>
      <c r="MPT61" s="216"/>
      <c r="MPU61" s="217"/>
      <c r="MPV61" s="218"/>
      <c r="MPW61" s="219"/>
      <c r="MPX61" s="220"/>
      <c r="MPY61" s="220"/>
      <c r="MPZ61" s="220"/>
      <c r="MQA61" s="220"/>
      <c r="MQB61" s="217"/>
      <c r="MQC61" s="221"/>
      <c r="MQD61" s="216"/>
      <c r="MQE61" s="217"/>
      <c r="MQF61" s="218"/>
      <c r="MQG61" s="219"/>
      <c r="MQH61" s="220"/>
      <c r="MQI61" s="220"/>
      <c r="MQJ61" s="220"/>
      <c r="MQK61" s="220"/>
      <c r="MQL61" s="217"/>
      <c r="MQM61" s="221"/>
      <c r="MQN61" s="216"/>
      <c r="MQO61" s="217"/>
      <c r="MQP61" s="218"/>
      <c r="MQQ61" s="219"/>
      <c r="MQR61" s="220"/>
      <c r="MQS61" s="220"/>
      <c r="MQT61" s="220"/>
      <c r="MQU61" s="220"/>
      <c r="MQV61" s="217"/>
      <c r="MQW61" s="221"/>
      <c r="MQX61" s="216"/>
      <c r="MQY61" s="217"/>
      <c r="MQZ61" s="218"/>
      <c r="MRA61" s="219"/>
      <c r="MRB61" s="220"/>
      <c r="MRC61" s="220"/>
      <c r="MRD61" s="220"/>
      <c r="MRE61" s="220"/>
      <c r="MRF61" s="217"/>
      <c r="MRG61" s="221"/>
      <c r="MRH61" s="216"/>
      <c r="MRI61" s="217"/>
      <c r="MRJ61" s="218"/>
      <c r="MRK61" s="219"/>
      <c r="MRL61" s="220"/>
      <c r="MRM61" s="220"/>
      <c r="MRN61" s="220"/>
      <c r="MRO61" s="220"/>
      <c r="MRP61" s="217"/>
      <c r="MRQ61" s="221"/>
      <c r="MRR61" s="216"/>
      <c r="MRS61" s="217"/>
      <c r="MRT61" s="218"/>
      <c r="MRU61" s="219"/>
      <c r="MRV61" s="220"/>
      <c r="MRW61" s="220"/>
      <c r="MRX61" s="220"/>
      <c r="MRY61" s="220"/>
      <c r="MRZ61" s="217"/>
      <c r="MSA61" s="221"/>
      <c r="MSB61" s="216"/>
      <c r="MSC61" s="217"/>
      <c r="MSD61" s="218"/>
      <c r="MSE61" s="219"/>
      <c r="MSF61" s="220"/>
      <c r="MSG61" s="220"/>
      <c r="MSH61" s="220"/>
      <c r="MSI61" s="220"/>
      <c r="MSJ61" s="217"/>
      <c r="MSK61" s="221"/>
      <c r="MSL61" s="216"/>
      <c r="MSM61" s="217"/>
      <c r="MSN61" s="218"/>
      <c r="MSO61" s="219"/>
      <c r="MSP61" s="220"/>
      <c r="MSQ61" s="220"/>
      <c r="MSR61" s="220"/>
      <c r="MSS61" s="220"/>
      <c r="MST61" s="217"/>
      <c r="MSU61" s="221"/>
      <c r="MSV61" s="216"/>
      <c r="MSW61" s="217"/>
      <c r="MSX61" s="218"/>
      <c r="MSY61" s="219"/>
      <c r="MSZ61" s="220"/>
      <c r="MTA61" s="220"/>
      <c r="MTB61" s="220"/>
      <c r="MTC61" s="220"/>
      <c r="MTD61" s="217"/>
      <c r="MTE61" s="221"/>
      <c r="MTF61" s="216"/>
      <c r="MTG61" s="217"/>
      <c r="MTH61" s="218"/>
      <c r="MTI61" s="219"/>
      <c r="MTJ61" s="220"/>
      <c r="MTK61" s="220"/>
      <c r="MTL61" s="220"/>
      <c r="MTM61" s="220"/>
      <c r="MTN61" s="217"/>
      <c r="MTO61" s="221"/>
      <c r="MTP61" s="216"/>
      <c r="MTQ61" s="217"/>
      <c r="MTR61" s="218"/>
      <c r="MTS61" s="219"/>
      <c r="MTT61" s="220"/>
      <c r="MTU61" s="220"/>
      <c r="MTV61" s="220"/>
      <c r="MTW61" s="220"/>
      <c r="MTX61" s="217"/>
      <c r="MTY61" s="221"/>
      <c r="MTZ61" s="216"/>
      <c r="MUA61" s="217"/>
      <c r="MUB61" s="218"/>
      <c r="MUC61" s="219"/>
      <c r="MUD61" s="220"/>
      <c r="MUE61" s="220"/>
      <c r="MUF61" s="220"/>
      <c r="MUG61" s="220"/>
      <c r="MUH61" s="217"/>
      <c r="MUI61" s="221"/>
      <c r="MUJ61" s="216"/>
      <c r="MUK61" s="217"/>
      <c r="MUL61" s="218"/>
      <c r="MUM61" s="219"/>
      <c r="MUN61" s="220"/>
      <c r="MUO61" s="220"/>
      <c r="MUP61" s="220"/>
      <c r="MUQ61" s="220"/>
      <c r="MUR61" s="217"/>
      <c r="MUS61" s="221"/>
      <c r="MUT61" s="216"/>
      <c r="MUU61" s="217"/>
      <c r="MUV61" s="218"/>
      <c r="MUW61" s="219"/>
      <c r="MUX61" s="220"/>
      <c r="MUY61" s="220"/>
      <c r="MUZ61" s="220"/>
      <c r="MVA61" s="220"/>
      <c r="MVB61" s="217"/>
      <c r="MVC61" s="221"/>
      <c r="MVD61" s="216"/>
      <c r="MVE61" s="217"/>
      <c r="MVF61" s="218"/>
      <c r="MVG61" s="219"/>
      <c r="MVH61" s="220"/>
      <c r="MVI61" s="220"/>
      <c r="MVJ61" s="220"/>
      <c r="MVK61" s="220"/>
      <c r="MVL61" s="217"/>
      <c r="MVM61" s="221"/>
      <c r="MVN61" s="216"/>
      <c r="MVO61" s="217"/>
      <c r="MVP61" s="218"/>
      <c r="MVQ61" s="219"/>
      <c r="MVR61" s="220"/>
      <c r="MVS61" s="220"/>
      <c r="MVT61" s="220"/>
      <c r="MVU61" s="220"/>
      <c r="MVV61" s="217"/>
      <c r="MVW61" s="221"/>
      <c r="MVX61" s="216"/>
      <c r="MVY61" s="217"/>
      <c r="MVZ61" s="218"/>
      <c r="MWA61" s="219"/>
      <c r="MWB61" s="220"/>
      <c r="MWC61" s="220"/>
      <c r="MWD61" s="220"/>
      <c r="MWE61" s="220"/>
      <c r="MWF61" s="217"/>
      <c r="MWG61" s="221"/>
      <c r="MWH61" s="216"/>
      <c r="MWI61" s="217"/>
      <c r="MWJ61" s="218"/>
      <c r="MWK61" s="219"/>
      <c r="MWL61" s="220"/>
      <c r="MWM61" s="220"/>
      <c r="MWN61" s="220"/>
      <c r="MWO61" s="220"/>
      <c r="MWP61" s="217"/>
      <c r="MWQ61" s="221"/>
      <c r="MWR61" s="216"/>
      <c r="MWS61" s="217"/>
      <c r="MWT61" s="218"/>
      <c r="MWU61" s="219"/>
      <c r="MWV61" s="220"/>
      <c r="MWW61" s="220"/>
      <c r="MWX61" s="220"/>
      <c r="MWY61" s="220"/>
      <c r="MWZ61" s="217"/>
      <c r="MXA61" s="221"/>
      <c r="MXB61" s="216"/>
      <c r="MXC61" s="217"/>
      <c r="MXD61" s="218"/>
      <c r="MXE61" s="219"/>
      <c r="MXF61" s="220"/>
      <c r="MXG61" s="220"/>
      <c r="MXH61" s="220"/>
      <c r="MXI61" s="220"/>
      <c r="MXJ61" s="217"/>
      <c r="MXK61" s="221"/>
      <c r="MXL61" s="216"/>
      <c r="MXM61" s="217"/>
      <c r="MXN61" s="218"/>
      <c r="MXO61" s="219"/>
      <c r="MXP61" s="220"/>
      <c r="MXQ61" s="220"/>
      <c r="MXR61" s="220"/>
      <c r="MXS61" s="220"/>
      <c r="MXT61" s="217"/>
      <c r="MXU61" s="221"/>
      <c r="MXV61" s="216"/>
      <c r="MXW61" s="217"/>
      <c r="MXX61" s="218"/>
      <c r="MXY61" s="219"/>
      <c r="MXZ61" s="220"/>
      <c r="MYA61" s="220"/>
      <c r="MYB61" s="220"/>
      <c r="MYC61" s="220"/>
      <c r="MYD61" s="217"/>
      <c r="MYE61" s="221"/>
      <c r="MYF61" s="216"/>
      <c r="MYG61" s="217"/>
      <c r="MYH61" s="218"/>
      <c r="MYI61" s="219"/>
      <c r="MYJ61" s="220"/>
      <c r="MYK61" s="220"/>
      <c r="MYL61" s="220"/>
      <c r="MYM61" s="220"/>
      <c r="MYN61" s="217"/>
      <c r="MYO61" s="221"/>
      <c r="MYP61" s="216"/>
      <c r="MYQ61" s="217"/>
      <c r="MYR61" s="218"/>
      <c r="MYS61" s="219"/>
      <c r="MYT61" s="220"/>
      <c r="MYU61" s="220"/>
      <c r="MYV61" s="220"/>
      <c r="MYW61" s="220"/>
      <c r="MYX61" s="217"/>
      <c r="MYY61" s="221"/>
      <c r="MYZ61" s="216"/>
      <c r="MZA61" s="217"/>
      <c r="MZB61" s="218"/>
      <c r="MZC61" s="219"/>
      <c r="MZD61" s="220"/>
      <c r="MZE61" s="220"/>
      <c r="MZF61" s="220"/>
      <c r="MZG61" s="220"/>
      <c r="MZH61" s="217"/>
      <c r="MZI61" s="221"/>
      <c r="MZJ61" s="216"/>
      <c r="MZK61" s="217"/>
      <c r="MZL61" s="218"/>
      <c r="MZM61" s="219"/>
      <c r="MZN61" s="220"/>
      <c r="MZO61" s="220"/>
      <c r="MZP61" s="220"/>
      <c r="MZQ61" s="220"/>
      <c r="MZR61" s="217"/>
      <c r="MZS61" s="221"/>
      <c r="MZT61" s="216"/>
      <c r="MZU61" s="217"/>
      <c r="MZV61" s="218"/>
      <c r="MZW61" s="219"/>
      <c r="MZX61" s="220"/>
      <c r="MZY61" s="220"/>
      <c r="MZZ61" s="220"/>
      <c r="NAA61" s="220"/>
      <c r="NAB61" s="217"/>
      <c r="NAC61" s="221"/>
      <c r="NAD61" s="216"/>
      <c r="NAE61" s="217"/>
      <c r="NAF61" s="218"/>
      <c r="NAG61" s="219"/>
      <c r="NAH61" s="220"/>
      <c r="NAI61" s="220"/>
      <c r="NAJ61" s="220"/>
      <c r="NAK61" s="220"/>
      <c r="NAL61" s="217"/>
      <c r="NAM61" s="221"/>
      <c r="NAN61" s="216"/>
      <c r="NAO61" s="217"/>
      <c r="NAP61" s="218"/>
      <c r="NAQ61" s="219"/>
      <c r="NAR61" s="220"/>
      <c r="NAS61" s="220"/>
      <c r="NAT61" s="220"/>
      <c r="NAU61" s="220"/>
      <c r="NAV61" s="217"/>
      <c r="NAW61" s="221"/>
      <c r="NAX61" s="216"/>
      <c r="NAY61" s="217"/>
      <c r="NAZ61" s="218"/>
      <c r="NBA61" s="219"/>
      <c r="NBB61" s="220"/>
      <c r="NBC61" s="220"/>
      <c r="NBD61" s="220"/>
      <c r="NBE61" s="220"/>
      <c r="NBF61" s="217"/>
      <c r="NBG61" s="221"/>
      <c r="NBH61" s="216"/>
      <c r="NBI61" s="217"/>
      <c r="NBJ61" s="218"/>
      <c r="NBK61" s="219"/>
      <c r="NBL61" s="220"/>
      <c r="NBM61" s="220"/>
      <c r="NBN61" s="220"/>
      <c r="NBO61" s="220"/>
      <c r="NBP61" s="217"/>
      <c r="NBQ61" s="221"/>
      <c r="NBR61" s="216"/>
      <c r="NBS61" s="217"/>
      <c r="NBT61" s="218"/>
      <c r="NBU61" s="219"/>
      <c r="NBV61" s="220"/>
      <c r="NBW61" s="220"/>
      <c r="NBX61" s="220"/>
      <c r="NBY61" s="220"/>
      <c r="NBZ61" s="217"/>
      <c r="NCA61" s="221"/>
      <c r="NCB61" s="216"/>
      <c r="NCC61" s="217"/>
      <c r="NCD61" s="218"/>
      <c r="NCE61" s="219"/>
      <c r="NCF61" s="220"/>
      <c r="NCG61" s="220"/>
      <c r="NCH61" s="220"/>
      <c r="NCI61" s="220"/>
      <c r="NCJ61" s="217"/>
      <c r="NCK61" s="221"/>
      <c r="NCL61" s="216"/>
      <c r="NCM61" s="217"/>
      <c r="NCN61" s="218"/>
      <c r="NCO61" s="219"/>
      <c r="NCP61" s="220"/>
      <c r="NCQ61" s="220"/>
      <c r="NCR61" s="220"/>
      <c r="NCS61" s="220"/>
      <c r="NCT61" s="217"/>
      <c r="NCU61" s="221"/>
      <c r="NCV61" s="216"/>
      <c r="NCW61" s="217"/>
      <c r="NCX61" s="218"/>
      <c r="NCY61" s="219"/>
      <c r="NCZ61" s="220"/>
      <c r="NDA61" s="220"/>
      <c r="NDB61" s="220"/>
      <c r="NDC61" s="220"/>
      <c r="NDD61" s="217"/>
      <c r="NDE61" s="221"/>
      <c r="NDF61" s="216"/>
      <c r="NDG61" s="217"/>
      <c r="NDH61" s="218"/>
      <c r="NDI61" s="219"/>
      <c r="NDJ61" s="220"/>
      <c r="NDK61" s="220"/>
      <c r="NDL61" s="220"/>
      <c r="NDM61" s="220"/>
      <c r="NDN61" s="217"/>
      <c r="NDO61" s="221"/>
      <c r="NDP61" s="216"/>
      <c r="NDQ61" s="217"/>
      <c r="NDR61" s="218"/>
      <c r="NDS61" s="219"/>
      <c r="NDT61" s="220"/>
      <c r="NDU61" s="220"/>
      <c r="NDV61" s="220"/>
      <c r="NDW61" s="220"/>
      <c r="NDX61" s="217"/>
      <c r="NDY61" s="221"/>
      <c r="NDZ61" s="216"/>
      <c r="NEA61" s="217"/>
      <c r="NEB61" s="218"/>
      <c r="NEC61" s="219"/>
      <c r="NED61" s="220"/>
      <c r="NEE61" s="220"/>
      <c r="NEF61" s="220"/>
      <c r="NEG61" s="220"/>
      <c r="NEH61" s="217"/>
      <c r="NEI61" s="221"/>
      <c r="NEJ61" s="216"/>
      <c r="NEK61" s="217"/>
      <c r="NEL61" s="218"/>
      <c r="NEM61" s="219"/>
      <c r="NEN61" s="220"/>
      <c r="NEO61" s="220"/>
      <c r="NEP61" s="220"/>
      <c r="NEQ61" s="220"/>
      <c r="NER61" s="217"/>
      <c r="NES61" s="221"/>
      <c r="NET61" s="216"/>
      <c r="NEU61" s="217"/>
      <c r="NEV61" s="218"/>
      <c r="NEW61" s="219"/>
      <c r="NEX61" s="220"/>
      <c r="NEY61" s="220"/>
      <c r="NEZ61" s="220"/>
      <c r="NFA61" s="220"/>
      <c r="NFB61" s="217"/>
      <c r="NFC61" s="221"/>
      <c r="NFD61" s="216"/>
      <c r="NFE61" s="217"/>
      <c r="NFF61" s="218"/>
      <c r="NFG61" s="219"/>
      <c r="NFH61" s="220"/>
      <c r="NFI61" s="220"/>
      <c r="NFJ61" s="220"/>
      <c r="NFK61" s="220"/>
      <c r="NFL61" s="217"/>
      <c r="NFM61" s="221"/>
      <c r="NFN61" s="216"/>
      <c r="NFO61" s="217"/>
      <c r="NFP61" s="218"/>
      <c r="NFQ61" s="219"/>
      <c r="NFR61" s="220"/>
      <c r="NFS61" s="220"/>
      <c r="NFT61" s="220"/>
      <c r="NFU61" s="220"/>
      <c r="NFV61" s="217"/>
      <c r="NFW61" s="221"/>
      <c r="NFX61" s="216"/>
      <c r="NFY61" s="217"/>
      <c r="NFZ61" s="218"/>
      <c r="NGA61" s="219"/>
      <c r="NGB61" s="220"/>
      <c r="NGC61" s="220"/>
      <c r="NGD61" s="220"/>
      <c r="NGE61" s="220"/>
      <c r="NGF61" s="217"/>
      <c r="NGG61" s="221"/>
      <c r="NGH61" s="216"/>
      <c r="NGI61" s="217"/>
      <c r="NGJ61" s="218"/>
      <c r="NGK61" s="219"/>
      <c r="NGL61" s="220"/>
      <c r="NGM61" s="220"/>
      <c r="NGN61" s="220"/>
      <c r="NGO61" s="220"/>
      <c r="NGP61" s="217"/>
      <c r="NGQ61" s="221"/>
      <c r="NGR61" s="216"/>
      <c r="NGS61" s="217"/>
      <c r="NGT61" s="218"/>
      <c r="NGU61" s="219"/>
      <c r="NGV61" s="220"/>
      <c r="NGW61" s="220"/>
      <c r="NGX61" s="220"/>
      <c r="NGY61" s="220"/>
      <c r="NGZ61" s="217"/>
      <c r="NHA61" s="221"/>
      <c r="NHB61" s="216"/>
      <c r="NHC61" s="217"/>
      <c r="NHD61" s="218"/>
      <c r="NHE61" s="219"/>
      <c r="NHF61" s="220"/>
      <c r="NHG61" s="220"/>
      <c r="NHH61" s="220"/>
      <c r="NHI61" s="220"/>
      <c r="NHJ61" s="217"/>
      <c r="NHK61" s="221"/>
      <c r="NHL61" s="216"/>
      <c r="NHM61" s="217"/>
      <c r="NHN61" s="218"/>
      <c r="NHO61" s="219"/>
      <c r="NHP61" s="220"/>
      <c r="NHQ61" s="220"/>
      <c r="NHR61" s="220"/>
      <c r="NHS61" s="220"/>
      <c r="NHT61" s="217"/>
      <c r="NHU61" s="221"/>
      <c r="NHV61" s="216"/>
      <c r="NHW61" s="217"/>
      <c r="NHX61" s="218"/>
      <c r="NHY61" s="219"/>
      <c r="NHZ61" s="220"/>
      <c r="NIA61" s="220"/>
      <c r="NIB61" s="220"/>
      <c r="NIC61" s="220"/>
      <c r="NID61" s="217"/>
      <c r="NIE61" s="221"/>
      <c r="NIF61" s="216"/>
      <c r="NIG61" s="217"/>
      <c r="NIH61" s="218"/>
      <c r="NII61" s="219"/>
      <c r="NIJ61" s="220"/>
      <c r="NIK61" s="220"/>
      <c r="NIL61" s="220"/>
      <c r="NIM61" s="220"/>
      <c r="NIN61" s="217"/>
      <c r="NIO61" s="221"/>
      <c r="NIP61" s="216"/>
      <c r="NIQ61" s="217"/>
      <c r="NIR61" s="218"/>
      <c r="NIS61" s="219"/>
      <c r="NIT61" s="220"/>
      <c r="NIU61" s="220"/>
      <c r="NIV61" s="220"/>
      <c r="NIW61" s="220"/>
      <c r="NIX61" s="217"/>
      <c r="NIY61" s="221"/>
      <c r="NIZ61" s="216"/>
      <c r="NJA61" s="217"/>
      <c r="NJB61" s="218"/>
      <c r="NJC61" s="219"/>
      <c r="NJD61" s="220"/>
      <c r="NJE61" s="220"/>
      <c r="NJF61" s="220"/>
      <c r="NJG61" s="220"/>
      <c r="NJH61" s="217"/>
      <c r="NJI61" s="221"/>
      <c r="NJJ61" s="216"/>
      <c r="NJK61" s="217"/>
      <c r="NJL61" s="218"/>
      <c r="NJM61" s="219"/>
      <c r="NJN61" s="220"/>
      <c r="NJO61" s="220"/>
      <c r="NJP61" s="220"/>
      <c r="NJQ61" s="220"/>
      <c r="NJR61" s="217"/>
      <c r="NJS61" s="221"/>
      <c r="NJT61" s="216"/>
      <c r="NJU61" s="217"/>
      <c r="NJV61" s="218"/>
      <c r="NJW61" s="219"/>
      <c r="NJX61" s="220"/>
      <c r="NJY61" s="220"/>
      <c r="NJZ61" s="220"/>
      <c r="NKA61" s="220"/>
      <c r="NKB61" s="217"/>
      <c r="NKC61" s="221"/>
      <c r="NKD61" s="216"/>
      <c r="NKE61" s="217"/>
      <c r="NKF61" s="218"/>
      <c r="NKG61" s="219"/>
      <c r="NKH61" s="220"/>
      <c r="NKI61" s="220"/>
      <c r="NKJ61" s="220"/>
      <c r="NKK61" s="220"/>
      <c r="NKL61" s="217"/>
      <c r="NKM61" s="221"/>
      <c r="NKN61" s="216"/>
      <c r="NKO61" s="217"/>
      <c r="NKP61" s="218"/>
      <c r="NKQ61" s="219"/>
      <c r="NKR61" s="220"/>
      <c r="NKS61" s="220"/>
      <c r="NKT61" s="220"/>
      <c r="NKU61" s="220"/>
      <c r="NKV61" s="217"/>
      <c r="NKW61" s="221"/>
      <c r="NKX61" s="216"/>
      <c r="NKY61" s="217"/>
      <c r="NKZ61" s="218"/>
      <c r="NLA61" s="219"/>
      <c r="NLB61" s="220"/>
      <c r="NLC61" s="220"/>
      <c r="NLD61" s="220"/>
      <c r="NLE61" s="220"/>
      <c r="NLF61" s="217"/>
      <c r="NLG61" s="221"/>
      <c r="NLH61" s="216"/>
      <c r="NLI61" s="217"/>
      <c r="NLJ61" s="218"/>
      <c r="NLK61" s="219"/>
      <c r="NLL61" s="220"/>
      <c r="NLM61" s="220"/>
      <c r="NLN61" s="220"/>
      <c r="NLO61" s="220"/>
      <c r="NLP61" s="217"/>
      <c r="NLQ61" s="221"/>
      <c r="NLR61" s="216"/>
      <c r="NLS61" s="217"/>
      <c r="NLT61" s="218"/>
      <c r="NLU61" s="219"/>
      <c r="NLV61" s="220"/>
      <c r="NLW61" s="220"/>
      <c r="NLX61" s="220"/>
      <c r="NLY61" s="220"/>
      <c r="NLZ61" s="217"/>
      <c r="NMA61" s="221"/>
      <c r="NMB61" s="216"/>
      <c r="NMC61" s="217"/>
      <c r="NMD61" s="218"/>
      <c r="NME61" s="219"/>
      <c r="NMF61" s="220"/>
      <c r="NMG61" s="220"/>
      <c r="NMH61" s="220"/>
      <c r="NMI61" s="220"/>
      <c r="NMJ61" s="217"/>
      <c r="NMK61" s="221"/>
      <c r="NML61" s="216"/>
      <c r="NMM61" s="217"/>
      <c r="NMN61" s="218"/>
      <c r="NMO61" s="219"/>
      <c r="NMP61" s="220"/>
      <c r="NMQ61" s="220"/>
      <c r="NMR61" s="220"/>
      <c r="NMS61" s="220"/>
      <c r="NMT61" s="217"/>
      <c r="NMU61" s="221"/>
      <c r="NMV61" s="216"/>
      <c r="NMW61" s="217"/>
      <c r="NMX61" s="218"/>
      <c r="NMY61" s="219"/>
      <c r="NMZ61" s="220"/>
      <c r="NNA61" s="220"/>
      <c r="NNB61" s="220"/>
      <c r="NNC61" s="220"/>
      <c r="NND61" s="217"/>
      <c r="NNE61" s="221"/>
      <c r="NNF61" s="216"/>
      <c r="NNG61" s="217"/>
      <c r="NNH61" s="218"/>
      <c r="NNI61" s="219"/>
      <c r="NNJ61" s="220"/>
      <c r="NNK61" s="220"/>
      <c r="NNL61" s="220"/>
      <c r="NNM61" s="220"/>
      <c r="NNN61" s="217"/>
      <c r="NNO61" s="221"/>
      <c r="NNP61" s="216"/>
      <c r="NNQ61" s="217"/>
      <c r="NNR61" s="218"/>
      <c r="NNS61" s="219"/>
      <c r="NNT61" s="220"/>
      <c r="NNU61" s="220"/>
      <c r="NNV61" s="220"/>
      <c r="NNW61" s="220"/>
      <c r="NNX61" s="217"/>
      <c r="NNY61" s="221"/>
      <c r="NNZ61" s="216"/>
      <c r="NOA61" s="217"/>
      <c r="NOB61" s="218"/>
      <c r="NOC61" s="219"/>
      <c r="NOD61" s="220"/>
      <c r="NOE61" s="220"/>
      <c r="NOF61" s="220"/>
      <c r="NOG61" s="220"/>
      <c r="NOH61" s="217"/>
      <c r="NOI61" s="221"/>
      <c r="NOJ61" s="216"/>
      <c r="NOK61" s="217"/>
      <c r="NOL61" s="218"/>
      <c r="NOM61" s="219"/>
      <c r="NON61" s="220"/>
      <c r="NOO61" s="220"/>
      <c r="NOP61" s="220"/>
      <c r="NOQ61" s="220"/>
      <c r="NOR61" s="217"/>
      <c r="NOS61" s="221"/>
      <c r="NOT61" s="216"/>
      <c r="NOU61" s="217"/>
      <c r="NOV61" s="218"/>
      <c r="NOW61" s="219"/>
      <c r="NOX61" s="220"/>
      <c r="NOY61" s="220"/>
      <c r="NOZ61" s="220"/>
      <c r="NPA61" s="220"/>
      <c r="NPB61" s="217"/>
      <c r="NPC61" s="221"/>
      <c r="NPD61" s="216"/>
      <c r="NPE61" s="217"/>
      <c r="NPF61" s="218"/>
      <c r="NPG61" s="219"/>
      <c r="NPH61" s="220"/>
      <c r="NPI61" s="220"/>
      <c r="NPJ61" s="220"/>
      <c r="NPK61" s="220"/>
      <c r="NPL61" s="217"/>
      <c r="NPM61" s="221"/>
      <c r="NPN61" s="216"/>
      <c r="NPO61" s="217"/>
      <c r="NPP61" s="218"/>
      <c r="NPQ61" s="219"/>
      <c r="NPR61" s="220"/>
      <c r="NPS61" s="220"/>
      <c r="NPT61" s="220"/>
      <c r="NPU61" s="220"/>
      <c r="NPV61" s="217"/>
      <c r="NPW61" s="221"/>
      <c r="NPX61" s="216"/>
      <c r="NPY61" s="217"/>
      <c r="NPZ61" s="218"/>
      <c r="NQA61" s="219"/>
      <c r="NQB61" s="220"/>
      <c r="NQC61" s="220"/>
      <c r="NQD61" s="220"/>
      <c r="NQE61" s="220"/>
      <c r="NQF61" s="217"/>
      <c r="NQG61" s="221"/>
      <c r="NQH61" s="216"/>
      <c r="NQI61" s="217"/>
      <c r="NQJ61" s="218"/>
      <c r="NQK61" s="219"/>
      <c r="NQL61" s="220"/>
      <c r="NQM61" s="220"/>
      <c r="NQN61" s="220"/>
      <c r="NQO61" s="220"/>
      <c r="NQP61" s="217"/>
      <c r="NQQ61" s="221"/>
      <c r="NQR61" s="216"/>
      <c r="NQS61" s="217"/>
      <c r="NQT61" s="218"/>
      <c r="NQU61" s="219"/>
      <c r="NQV61" s="220"/>
      <c r="NQW61" s="220"/>
      <c r="NQX61" s="220"/>
      <c r="NQY61" s="220"/>
      <c r="NQZ61" s="217"/>
      <c r="NRA61" s="221"/>
      <c r="NRB61" s="216"/>
      <c r="NRC61" s="217"/>
      <c r="NRD61" s="218"/>
      <c r="NRE61" s="219"/>
      <c r="NRF61" s="220"/>
      <c r="NRG61" s="220"/>
      <c r="NRH61" s="220"/>
      <c r="NRI61" s="220"/>
      <c r="NRJ61" s="217"/>
      <c r="NRK61" s="221"/>
      <c r="NRL61" s="216"/>
      <c r="NRM61" s="217"/>
      <c r="NRN61" s="218"/>
      <c r="NRO61" s="219"/>
      <c r="NRP61" s="220"/>
      <c r="NRQ61" s="220"/>
      <c r="NRR61" s="220"/>
      <c r="NRS61" s="220"/>
      <c r="NRT61" s="217"/>
      <c r="NRU61" s="221"/>
      <c r="NRV61" s="216"/>
      <c r="NRW61" s="217"/>
      <c r="NRX61" s="218"/>
      <c r="NRY61" s="219"/>
      <c r="NRZ61" s="220"/>
      <c r="NSA61" s="220"/>
      <c r="NSB61" s="220"/>
      <c r="NSC61" s="220"/>
      <c r="NSD61" s="217"/>
      <c r="NSE61" s="221"/>
      <c r="NSF61" s="216"/>
      <c r="NSG61" s="217"/>
      <c r="NSH61" s="218"/>
      <c r="NSI61" s="219"/>
      <c r="NSJ61" s="220"/>
      <c r="NSK61" s="220"/>
      <c r="NSL61" s="220"/>
      <c r="NSM61" s="220"/>
      <c r="NSN61" s="217"/>
      <c r="NSO61" s="221"/>
      <c r="NSP61" s="216"/>
      <c r="NSQ61" s="217"/>
      <c r="NSR61" s="218"/>
      <c r="NSS61" s="219"/>
      <c r="NST61" s="220"/>
      <c r="NSU61" s="220"/>
      <c r="NSV61" s="220"/>
      <c r="NSW61" s="220"/>
      <c r="NSX61" s="217"/>
      <c r="NSY61" s="221"/>
      <c r="NSZ61" s="216"/>
      <c r="NTA61" s="217"/>
      <c r="NTB61" s="218"/>
      <c r="NTC61" s="219"/>
      <c r="NTD61" s="220"/>
      <c r="NTE61" s="220"/>
      <c r="NTF61" s="220"/>
      <c r="NTG61" s="220"/>
      <c r="NTH61" s="217"/>
      <c r="NTI61" s="221"/>
      <c r="NTJ61" s="216"/>
      <c r="NTK61" s="217"/>
      <c r="NTL61" s="218"/>
      <c r="NTM61" s="219"/>
      <c r="NTN61" s="220"/>
      <c r="NTO61" s="220"/>
      <c r="NTP61" s="220"/>
      <c r="NTQ61" s="220"/>
      <c r="NTR61" s="217"/>
      <c r="NTS61" s="221"/>
      <c r="NTT61" s="216"/>
      <c r="NTU61" s="217"/>
      <c r="NTV61" s="218"/>
      <c r="NTW61" s="219"/>
      <c r="NTX61" s="220"/>
      <c r="NTY61" s="220"/>
      <c r="NTZ61" s="220"/>
      <c r="NUA61" s="220"/>
      <c r="NUB61" s="217"/>
      <c r="NUC61" s="221"/>
      <c r="NUD61" s="216"/>
      <c r="NUE61" s="217"/>
      <c r="NUF61" s="218"/>
      <c r="NUG61" s="219"/>
      <c r="NUH61" s="220"/>
      <c r="NUI61" s="220"/>
      <c r="NUJ61" s="220"/>
      <c r="NUK61" s="220"/>
      <c r="NUL61" s="217"/>
      <c r="NUM61" s="221"/>
      <c r="NUN61" s="216"/>
      <c r="NUO61" s="217"/>
      <c r="NUP61" s="218"/>
      <c r="NUQ61" s="219"/>
      <c r="NUR61" s="220"/>
      <c r="NUS61" s="220"/>
      <c r="NUT61" s="220"/>
      <c r="NUU61" s="220"/>
      <c r="NUV61" s="217"/>
      <c r="NUW61" s="221"/>
      <c r="NUX61" s="216"/>
      <c r="NUY61" s="217"/>
      <c r="NUZ61" s="218"/>
      <c r="NVA61" s="219"/>
      <c r="NVB61" s="220"/>
      <c r="NVC61" s="220"/>
      <c r="NVD61" s="220"/>
      <c r="NVE61" s="220"/>
      <c r="NVF61" s="217"/>
      <c r="NVG61" s="221"/>
      <c r="NVH61" s="216"/>
      <c r="NVI61" s="217"/>
      <c r="NVJ61" s="218"/>
      <c r="NVK61" s="219"/>
      <c r="NVL61" s="220"/>
      <c r="NVM61" s="220"/>
      <c r="NVN61" s="220"/>
      <c r="NVO61" s="220"/>
      <c r="NVP61" s="217"/>
      <c r="NVQ61" s="221"/>
      <c r="NVR61" s="216"/>
      <c r="NVS61" s="217"/>
      <c r="NVT61" s="218"/>
      <c r="NVU61" s="219"/>
      <c r="NVV61" s="220"/>
      <c r="NVW61" s="220"/>
      <c r="NVX61" s="220"/>
      <c r="NVY61" s="220"/>
      <c r="NVZ61" s="217"/>
      <c r="NWA61" s="221"/>
      <c r="NWB61" s="216"/>
      <c r="NWC61" s="217"/>
      <c r="NWD61" s="218"/>
      <c r="NWE61" s="219"/>
      <c r="NWF61" s="220"/>
      <c r="NWG61" s="220"/>
      <c r="NWH61" s="220"/>
      <c r="NWI61" s="220"/>
      <c r="NWJ61" s="217"/>
      <c r="NWK61" s="221"/>
      <c r="NWL61" s="216"/>
      <c r="NWM61" s="217"/>
      <c r="NWN61" s="218"/>
      <c r="NWO61" s="219"/>
      <c r="NWP61" s="220"/>
      <c r="NWQ61" s="220"/>
      <c r="NWR61" s="220"/>
      <c r="NWS61" s="220"/>
      <c r="NWT61" s="217"/>
      <c r="NWU61" s="221"/>
      <c r="NWV61" s="216"/>
      <c r="NWW61" s="217"/>
      <c r="NWX61" s="218"/>
      <c r="NWY61" s="219"/>
      <c r="NWZ61" s="220"/>
      <c r="NXA61" s="220"/>
      <c r="NXB61" s="220"/>
      <c r="NXC61" s="220"/>
      <c r="NXD61" s="217"/>
      <c r="NXE61" s="221"/>
      <c r="NXF61" s="216"/>
      <c r="NXG61" s="217"/>
      <c r="NXH61" s="218"/>
      <c r="NXI61" s="219"/>
      <c r="NXJ61" s="220"/>
      <c r="NXK61" s="220"/>
      <c r="NXL61" s="220"/>
      <c r="NXM61" s="220"/>
      <c r="NXN61" s="217"/>
      <c r="NXO61" s="221"/>
      <c r="NXP61" s="216"/>
      <c r="NXQ61" s="217"/>
      <c r="NXR61" s="218"/>
      <c r="NXS61" s="219"/>
      <c r="NXT61" s="220"/>
      <c r="NXU61" s="220"/>
      <c r="NXV61" s="220"/>
      <c r="NXW61" s="220"/>
      <c r="NXX61" s="217"/>
      <c r="NXY61" s="221"/>
      <c r="NXZ61" s="216"/>
      <c r="NYA61" s="217"/>
      <c r="NYB61" s="218"/>
      <c r="NYC61" s="219"/>
      <c r="NYD61" s="220"/>
      <c r="NYE61" s="220"/>
      <c r="NYF61" s="220"/>
      <c r="NYG61" s="220"/>
      <c r="NYH61" s="217"/>
      <c r="NYI61" s="221"/>
      <c r="NYJ61" s="216"/>
      <c r="NYK61" s="217"/>
      <c r="NYL61" s="218"/>
      <c r="NYM61" s="219"/>
      <c r="NYN61" s="220"/>
      <c r="NYO61" s="220"/>
      <c r="NYP61" s="220"/>
      <c r="NYQ61" s="220"/>
      <c r="NYR61" s="217"/>
      <c r="NYS61" s="221"/>
      <c r="NYT61" s="216"/>
      <c r="NYU61" s="217"/>
      <c r="NYV61" s="218"/>
      <c r="NYW61" s="219"/>
      <c r="NYX61" s="220"/>
      <c r="NYY61" s="220"/>
      <c r="NYZ61" s="220"/>
      <c r="NZA61" s="220"/>
      <c r="NZB61" s="217"/>
      <c r="NZC61" s="221"/>
      <c r="NZD61" s="216"/>
      <c r="NZE61" s="217"/>
      <c r="NZF61" s="218"/>
      <c r="NZG61" s="219"/>
      <c r="NZH61" s="220"/>
      <c r="NZI61" s="220"/>
      <c r="NZJ61" s="220"/>
      <c r="NZK61" s="220"/>
      <c r="NZL61" s="217"/>
      <c r="NZM61" s="221"/>
      <c r="NZN61" s="216"/>
      <c r="NZO61" s="217"/>
      <c r="NZP61" s="218"/>
      <c r="NZQ61" s="219"/>
      <c r="NZR61" s="220"/>
      <c r="NZS61" s="220"/>
      <c r="NZT61" s="220"/>
      <c r="NZU61" s="220"/>
      <c r="NZV61" s="217"/>
      <c r="NZW61" s="221"/>
      <c r="NZX61" s="216"/>
      <c r="NZY61" s="217"/>
      <c r="NZZ61" s="218"/>
      <c r="OAA61" s="219"/>
      <c r="OAB61" s="220"/>
      <c r="OAC61" s="220"/>
      <c r="OAD61" s="220"/>
      <c r="OAE61" s="220"/>
      <c r="OAF61" s="217"/>
      <c r="OAG61" s="221"/>
      <c r="OAH61" s="216"/>
      <c r="OAI61" s="217"/>
      <c r="OAJ61" s="218"/>
      <c r="OAK61" s="219"/>
      <c r="OAL61" s="220"/>
      <c r="OAM61" s="220"/>
      <c r="OAN61" s="220"/>
      <c r="OAO61" s="220"/>
      <c r="OAP61" s="217"/>
      <c r="OAQ61" s="221"/>
      <c r="OAR61" s="216"/>
      <c r="OAS61" s="217"/>
      <c r="OAT61" s="218"/>
      <c r="OAU61" s="219"/>
      <c r="OAV61" s="220"/>
      <c r="OAW61" s="220"/>
      <c r="OAX61" s="220"/>
      <c r="OAY61" s="220"/>
      <c r="OAZ61" s="217"/>
      <c r="OBA61" s="221"/>
      <c r="OBB61" s="216"/>
      <c r="OBC61" s="217"/>
      <c r="OBD61" s="218"/>
      <c r="OBE61" s="219"/>
      <c r="OBF61" s="220"/>
      <c r="OBG61" s="220"/>
      <c r="OBH61" s="220"/>
      <c r="OBI61" s="220"/>
      <c r="OBJ61" s="217"/>
      <c r="OBK61" s="221"/>
      <c r="OBL61" s="216"/>
      <c r="OBM61" s="217"/>
      <c r="OBN61" s="218"/>
      <c r="OBO61" s="219"/>
      <c r="OBP61" s="220"/>
      <c r="OBQ61" s="220"/>
      <c r="OBR61" s="220"/>
      <c r="OBS61" s="220"/>
      <c r="OBT61" s="217"/>
      <c r="OBU61" s="221"/>
      <c r="OBV61" s="216"/>
      <c r="OBW61" s="217"/>
      <c r="OBX61" s="218"/>
      <c r="OBY61" s="219"/>
      <c r="OBZ61" s="220"/>
      <c r="OCA61" s="220"/>
      <c r="OCB61" s="220"/>
      <c r="OCC61" s="220"/>
      <c r="OCD61" s="217"/>
      <c r="OCE61" s="221"/>
      <c r="OCF61" s="216"/>
      <c r="OCG61" s="217"/>
      <c r="OCH61" s="218"/>
      <c r="OCI61" s="219"/>
      <c r="OCJ61" s="220"/>
      <c r="OCK61" s="220"/>
      <c r="OCL61" s="220"/>
      <c r="OCM61" s="220"/>
      <c r="OCN61" s="217"/>
      <c r="OCO61" s="221"/>
      <c r="OCP61" s="216"/>
      <c r="OCQ61" s="217"/>
      <c r="OCR61" s="218"/>
      <c r="OCS61" s="219"/>
      <c r="OCT61" s="220"/>
      <c r="OCU61" s="220"/>
      <c r="OCV61" s="220"/>
      <c r="OCW61" s="220"/>
      <c r="OCX61" s="217"/>
      <c r="OCY61" s="221"/>
      <c r="OCZ61" s="216"/>
      <c r="ODA61" s="217"/>
      <c r="ODB61" s="218"/>
      <c r="ODC61" s="219"/>
      <c r="ODD61" s="220"/>
      <c r="ODE61" s="220"/>
      <c r="ODF61" s="220"/>
      <c r="ODG61" s="220"/>
      <c r="ODH61" s="217"/>
      <c r="ODI61" s="221"/>
      <c r="ODJ61" s="216"/>
      <c r="ODK61" s="217"/>
      <c r="ODL61" s="218"/>
      <c r="ODM61" s="219"/>
      <c r="ODN61" s="220"/>
      <c r="ODO61" s="220"/>
      <c r="ODP61" s="220"/>
      <c r="ODQ61" s="220"/>
      <c r="ODR61" s="217"/>
      <c r="ODS61" s="221"/>
      <c r="ODT61" s="216"/>
      <c r="ODU61" s="217"/>
      <c r="ODV61" s="218"/>
      <c r="ODW61" s="219"/>
      <c r="ODX61" s="220"/>
      <c r="ODY61" s="220"/>
      <c r="ODZ61" s="220"/>
      <c r="OEA61" s="220"/>
      <c r="OEB61" s="217"/>
      <c r="OEC61" s="221"/>
      <c r="OED61" s="216"/>
      <c r="OEE61" s="217"/>
      <c r="OEF61" s="218"/>
      <c r="OEG61" s="219"/>
      <c r="OEH61" s="220"/>
      <c r="OEI61" s="220"/>
      <c r="OEJ61" s="220"/>
      <c r="OEK61" s="220"/>
      <c r="OEL61" s="217"/>
      <c r="OEM61" s="221"/>
      <c r="OEN61" s="216"/>
      <c r="OEO61" s="217"/>
      <c r="OEP61" s="218"/>
      <c r="OEQ61" s="219"/>
      <c r="OER61" s="220"/>
      <c r="OES61" s="220"/>
      <c r="OET61" s="220"/>
      <c r="OEU61" s="220"/>
      <c r="OEV61" s="217"/>
      <c r="OEW61" s="221"/>
      <c r="OEX61" s="216"/>
      <c r="OEY61" s="217"/>
      <c r="OEZ61" s="218"/>
      <c r="OFA61" s="219"/>
      <c r="OFB61" s="220"/>
      <c r="OFC61" s="220"/>
      <c r="OFD61" s="220"/>
      <c r="OFE61" s="220"/>
      <c r="OFF61" s="217"/>
      <c r="OFG61" s="221"/>
      <c r="OFH61" s="216"/>
      <c r="OFI61" s="217"/>
      <c r="OFJ61" s="218"/>
      <c r="OFK61" s="219"/>
      <c r="OFL61" s="220"/>
      <c r="OFM61" s="220"/>
      <c r="OFN61" s="220"/>
      <c r="OFO61" s="220"/>
      <c r="OFP61" s="217"/>
      <c r="OFQ61" s="221"/>
      <c r="OFR61" s="216"/>
      <c r="OFS61" s="217"/>
      <c r="OFT61" s="218"/>
      <c r="OFU61" s="219"/>
      <c r="OFV61" s="220"/>
      <c r="OFW61" s="220"/>
      <c r="OFX61" s="220"/>
      <c r="OFY61" s="220"/>
      <c r="OFZ61" s="217"/>
      <c r="OGA61" s="221"/>
      <c r="OGB61" s="216"/>
      <c r="OGC61" s="217"/>
      <c r="OGD61" s="218"/>
      <c r="OGE61" s="219"/>
      <c r="OGF61" s="220"/>
      <c r="OGG61" s="220"/>
      <c r="OGH61" s="220"/>
      <c r="OGI61" s="220"/>
      <c r="OGJ61" s="217"/>
      <c r="OGK61" s="221"/>
      <c r="OGL61" s="216"/>
      <c r="OGM61" s="217"/>
      <c r="OGN61" s="218"/>
      <c r="OGO61" s="219"/>
      <c r="OGP61" s="220"/>
      <c r="OGQ61" s="220"/>
      <c r="OGR61" s="220"/>
      <c r="OGS61" s="220"/>
      <c r="OGT61" s="217"/>
      <c r="OGU61" s="221"/>
      <c r="OGV61" s="216"/>
      <c r="OGW61" s="217"/>
      <c r="OGX61" s="218"/>
      <c r="OGY61" s="219"/>
      <c r="OGZ61" s="220"/>
      <c r="OHA61" s="220"/>
      <c r="OHB61" s="220"/>
      <c r="OHC61" s="220"/>
      <c r="OHD61" s="217"/>
      <c r="OHE61" s="221"/>
      <c r="OHF61" s="216"/>
      <c r="OHG61" s="217"/>
      <c r="OHH61" s="218"/>
      <c r="OHI61" s="219"/>
      <c r="OHJ61" s="220"/>
      <c r="OHK61" s="220"/>
      <c r="OHL61" s="220"/>
      <c r="OHM61" s="220"/>
      <c r="OHN61" s="217"/>
      <c r="OHO61" s="221"/>
      <c r="OHP61" s="216"/>
      <c r="OHQ61" s="217"/>
      <c r="OHR61" s="218"/>
      <c r="OHS61" s="219"/>
      <c r="OHT61" s="220"/>
      <c r="OHU61" s="220"/>
      <c r="OHV61" s="220"/>
      <c r="OHW61" s="220"/>
      <c r="OHX61" s="217"/>
      <c r="OHY61" s="221"/>
      <c r="OHZ61" s="216"/>
      <c r="OIA61" s="217"/>
      <c r="OIB61" s="218"/>
      <c r="OIC61" s="219"/>
      <c r="OID61" s="220"/>
      <c r="OIE61" s="220"/>
      <c r="OIF61" s="220"/>
      <c r="OIG61" s="220"/>
      <c r="OIH61" s="217"/>
      <c r="OII61" s="221"/>
      <c r="OIJ61" s="216"/>
      <c r="OIK61" s="217"/>
      <c r="OIL61" s="218"/>
      <c r="OIM61" s="219"/>
      <c r="OIN61" s="220"/>
      <c r="OIO61" s="220"/>
      <c r="OIP61" s="220"/>
      <c r="OIQ61" s="220"/>
      <c r="OIR61" s="217"/>
      <c r="OIS61" s="221"/>
      <c r="OIT61" s="216"/>
      <c r="OIU61" s="217"/>
      <c r="OIV61" s="218"/>
      <c r="OIW61" s="219"/>
      <c r="OIX61" s="220"/>
      <c r="OIY61" s="220"/>
      <c r="OIZ61" s="220"/>
      <c r="OJA61" s="220"/>
      <c r="OJB61" s="217"/>
      <c r="OJC61" s="221"/>
      <c r="OJD61" s="216"/>
      <c r="OJE61" s="217"/>
      <c r="OJF61" s="218"/>
      <c r="OJG61" s="219"/>
      <c r="OJH61" s="220"/>
      <c r="OJI61" s="220"/>
      <c r="OJJ61" s="220"/>
      <c r="OJK61" s="220"/>
      <c r="OJL61" s="217"/>
      <c r="OJM61" s="221"/>
      <c r="OJN61" s="216"/>
      <c r="OJO61" s="217"/>
      <c r="OJP61" s="218"/>
      <c r="OJQ61" s="219"/>
      <c r="OJR61" s="220"/>
      <c r="OJS61" s="220"/>
      <c r="OJT61" s="220"/>
      <c r="OJU61" s="220"/>
      <c r="OJV61" s="217"/>
      <c r="OJW61" s="221"/>
      <c r="OJX61" s="216"/>
      <c r="OJY61" s="217"/>
      <c r="OJZ61" s="218"/>
      <c r="OKA61" s="219"/>
      <c r="OKB61" s="220"/>
      <c r="OKC61" s="220"/>
      <c r="OKD61" s="220"/>
      <c r="OKE61" s="220"/>
      <c r="OKF61" s="217"/>
      <c r="OKG61" s="221"/>
      <c r="OKH61" s="216"/>
      <c r="OKI61" s="217"/>
      <c r="OKJ61" s="218"/>
      <c r="OKK61" s="219"/>
      <c r="OKL61" s="220"/>
      <c r="OKM61" s="220"/>
      <c r="OKN61" s="220"/>
      <c r="OKO61" s="220"/>
      <c r="OKP61" s="217"/>
      <c r="OKQ61" s="221"/>
      <c r="OKR61" s="216"/>
      <c r="OKS61" s="217"/>
      <c r="OKT61" s="218"/>
      <c r="OKU61" s="219"/>
      <c r="OKV61" s="220"/>
      <c r="OKW61" s="220"/>
      <c r="OKX61" s="220"/>
      <c r="OKY61" s="220"/>
      <c r="OKZ61" s="217"/>
      <c r="OLA61" s="221"/>
      <c r="OLB61" s="216"/>
      <c r="OLC61" s="217"/>
      <c r="OLD61" s="218"/>
      <c r="OLE61" s="219"/>
      <c r="OLF61" s="220"/>
      <c r="OLG61" s="220"/>
      <c r="OLH61" s="220"/>
      <c r="OLI61" s="220"/>
      <c r="OLJ61" s="217"/>
      <c r="OLK61" s="221"/>
      <c r="OLL61" s="216"/>
      <c r="OLM61" s="217"/>
      <c r="OLN61" s="218"/>
      <c r="OLO61" s="219"/>
      <c r="OLP61" s="220"/>
      <c r="OLQ61" s="220"/>
      <c r="OLR61" s="220"/>
      <c r="OLS61" s="220"/>
      <c r="OLT61" s="217"/>
      <c r="OLU61" s="221"/>
      <c r="OLV61" s="216"/>
      <c r="OLW61" s="217"/>
      <c r="OLX61" s="218"/>
      <c r="OLY61" s="219"/>
      <c r="OLZ61" s="220"/>
      <c r="OMA61" s="220"/>
      <c r="OMB61" s="220"/>
      <c r="OMC61" s="220"/>
      <c r="OMD61" s="217"/>
      <c r="OME61" s="221"/>
      <c r="OMF61" s="216"/>
      <c r="OMG61" s="217"/>
      <c r="OMH61" s="218"/>
      <c r="OMI61" s="219"/>
      <c r="OMJ61" s="220"/>
      <c r="OMK61" s="220"/>
      <c r="OML61" s="220"/>
      <c r="OMM61" s="220"/>
      <c r="OMN61" s="217"/>
      <c r="OMO61" s="221"/>
      <c r="OMP61" s="216"/>
      <c r="OMQ61" s="217"/>
      <c r="OMR61" s="218"/>
      <c r="OMS61" s="219"/>
      <c r="OMT61" s="220"/>
      <c r="OMU61" s="220"/>
      <c r="OMV61" s="220"/>
      <c r="OMW61" s="220"/>
      <c r="OMX61" s="217"/>
      <c r="OMY61" s="221"/>
      <c r="OMZ61" s="216"/>
      <c r="ONA61" s="217"/>
      <c r="ONB61" s="218"/>
      <c r="ONC61" s="219"/>
      <c r="OND61" s="220"/>
      <c r="ONE61" s="220"/>
      <c r="ONF61" s="220"/>
      <c r="ONG61" s="220"/>
      <c r="ONH61" s="217"/>
      <c r="ONI61" s="221"/>
      <c r="ONJ61" s="216"/>
      <c r="ONK61" s="217"/>
      <c r="ONL61" s="218"/>
      <c r="ONM61" s="219"/>
      <c r="ONN61" s="220"/>
      <c r="ONO61" s="220"/>
      <c r="ONP61" s="220"/>
      <c r="ONQ61" s="220"/>
      <c r="ONR61" s="217"/>
      <c r="ONS61" s="221"/>
      <c r="ONT61" s="216"/>
      <c r="ONU61" s="217"/>
      <c r="ONV61" s="218"/>
      <c r="ONW61" s="219"/>
      <c r="ONX61" s="220"/>
      <c r="ONY61" s="220"/>
      <c r="ONZ61" s="220"/>
      <c r="OOA61" s="220"/>
      <c r="OOB61" s="217"/>
      <c r="OOC61" s="221"/>
      <c r="OOD61" s="216"/>
      <c r="OOE61" s="217"/>
      <c r="OOF61" s="218"/>
      <c r="OOG61" s="219"/>
      <c r="OOH61" s="220"/>
      <c r="OOI61" s="220"/>
      <c r="OOJ61" s="220"/>
      <c r="OOK61" s="220"/>
      <c r="OOL61" s="217"/>
      <c r="OOM61" s="221"/>
      <c r="OON61" s="216"/>
      <c r="OOO61" s="217"/>
      <c r="OOP61" s="218"/>
      <c r="OOQ61" s="219"/>
      <c r="OOR61" s="220"/>
      <c r="OOS61" s="220"/>
      <c r="OOT61" s="220"/>
      <c r="OOU61" s="220"/>
      <c r="OOV61" s="217"/>
      <c r="OOW61" s="221"/>
      <c r="OOX61" s="216"/>
      <c r="OOY61" s="217"/>
      <c r="OOZ61" s="218"/>
      <c r="OPA61" s="219"/>
      <c r="OPB61" s="220"/>
      <c r="OPC61" s="220"/>
      <c r="OPD61" s="220"/>
      <c r="OPE61" s="220"/>
      <c r="OPF61" s="217"/>
      <c r="OPG61" s="221"/>
      <c r="OPH61" s="216"/>
      <c r="OPI61" s="217"/>
      <c r="OPJ61" s="218"/>
      <c r="OPK61" s="219"/>
      <c r="OPL61" s="220"/>
      <c r="OPM61" s="220"/>
      <c r="OPN61" s="220"/>
      <c r="OPO61" s="220"/>
      <c r="OPP61" s="217"/>
      <c r="OPQ61" s="221"/>
      <c r="OPR61" s="216"/>
      <c r="OPS61" s="217"/>
      <c r="OPT61" s="218"/>
      <c r="OPU61" s="219"/>
      <c r="OPV61" s="220"/>
      <c r="OPW61" s="220"/>
      <c r="OPX61" s="220"/>
      <c r="OPY61" s="220"/>
      <c r="OPZ61" s="217"/>
      <c r="OQA61" s="221"/>
      <c r="OQB61" s="216"/>
      <c r="OQC61" s="217"/>
      <c r="OQD61" s="218"/>
      <c r="OQE61" s="219"/>
      <c r="OQF61" s="220"/>
      <c r="OQG61" s="220"/>
      <c r="OQH61" s="220"/>
      <c r="OQI61" s="220"/>
      <c r="OQJ61" s="217"/>
      <c r="OQK61" s="221"/>
      <c r="OQL61" s="216"/>
      <c r="OQM61" s="217"/>
      <c r="OQN61" s="218"/>
      <c r="OQO61" s="219"/>
      <c r="OQP61" s="220"/>
      <c r="OQQ61" s="220"/>
      <c r="OQR61" s="220"/>
      <c r="OQS61" s="220"/>
      <c r="OQT61" s="217"/>
      <c r="OQU61" s="221"/>
      <c r="OQV61" s="216"/>
      <c r="OQW61" s="217"/>
      <c r="OQX61" s="218"/>
      <c r="OQY61" s="219"/>
      <c r="OQZ61" s="220"/>
      <c r="ORA61" s="220"/>
      <c r="ORB61" s="220"/>
      <c r="ORC61" s="220"/>
      <c r="ORD61" s="217"/>
      <c r="ORE61" s="221"/>
      <c r="ORF61" s="216"/>
      <c r="ORG61" s="217"/>
      <c r="ORH61" s="218"/>
      <c r="ORI61" s="219"/>
      <c r="ORJ61" s="220"/>
      <c r="ORK61" s="220"/>
      <c r="ORL61" s="220"/>
      <c r="ORM61" s="220"/>
      <c r="ORN61" s="217"/>
      <c r="ORO61" s="221"/>
      <c r="ORP61" s="216"/>
      <c r="ORQ61" s="217"/>
      <c r="ORR61" s="218"/>
      <c r="ORS61" s="219"/>
      <c r="ORT61" s="220"/>
      <c r="ORU61" s="220"/>
      <c r="ORV61" s="220"/>
      <c r="ORW61" s="220"/>
      <c r="ORX61" s="217"/>
      <c r="ORY61" s="221"/>
      <c r="ORZ61" s="216"/>
      <c r="OSA61" s="217"/>
      <c r="OSB61" s="218"/>
      <c r="OSC61" s="219"/>
      <c r="OSD61" s="220"/>
      <c r="OSE61" s="220"/>
      <c r="OSF61" s="220"/>
      <c r="OSG61" s="220"/>
      <c r="OSH61" s="217"/>
      <c r="OSI61" s="221"/>
      <c r="OSJ61" s="216"/>
      <c r="OSK61" s="217"/>
      <c r="OSL61" s="218"/>
      <c r="OSM61" s="219"/>
      <c r="OSN61" s="220"/>
      <c r="OSO61" s="220"/>
      <c r="OSP61" s="220"/>
      <c r="OSQ61" s="220"/>
      <c r="OSR61" s="217"/>
      <c r="OSS61" s="221"/>
      <c r="OST61" s="216"/>
      <c r="OSU61" s="217"/>
      <c r="OSV61" s="218"/>
      <c r="OSW61" s="219"/>
      <c r="OSX61" s="220"/>
      <c r="OSY61" s="220"/>
      <c r="OSZ61" s="220"/>
      <c r="OTA61" s="220"/>
      <c r="OTB61" s="217"/>
      <c r="OTC61" s="221"/>
      <c r="OTD61" s="216"/>
      <c r="OTE61" s="217"/>
      <c r="OTF61" s="218"/>
      <c r="OTG61" s="219"/>
      <c r="OTH61" s="220"/>
      <c r="OTI61" s="220"/>
      <c r="OTJ61" s="220"/>
      <c r="OTK61" s="220"/>
      <c r="OTL61" s="217"/>
      <c r="OTM61" s="221"/>
      <c r="OTN61" s="216"/>
      <c r="OTO61" s="217"/>
      <c r="OTP61" s="218"/>
      <c r="OTQ61" s="219"/>
      <c r="OTR61" s="220"/>
      <c r="OTS61" s="220"/>
      <c r="OTT61" s="220"/>
      <c r="OTU61" s="220"/>
      <c r="OTV61" s="217"/>
      <c r="OTW61" s="221"/>
      <c r="OTX61" s="216"/>
      <c r="OTY61" s="217"/>
      <c r="OTZ61" s="218"/>
      <c r="OUA61" s="219"/>
      <c r="OUB61" s="220"/>
      <c r="OUC61" s="220"/>
      <c r="OUD61" s="220"/>
      <c r="OUE61" s="220"/>
      <c r="OUF61" s="217"/>
      <c r="OUG61" s="221"/>
      <c r="OUH61" s="216"/>
      <c r="OUI61" s="217"/>
      <c r="OUJ61" s="218"/>
      <c r="OUK61" s="219"/>
      <c r="OUL61" s="220"/>
      <c r="OUM61" s="220"/>
      <c r="OUN61" s="220"/>
      <c r="OUO61" s="220"/>
      <c r="OUP61" s="217"/>
      <c r="OUQ61" s="221"/>
      <c r="OUR61" s="216"/>
      <c r="OUS61" s="217"/>
      <c r="OUT61" s="218"/>
      <c r="OUU61" s="219"/>
      <c r="OUV61" s="220"/>
      <c r="OUW61" s="220"/>
      <c r="OUX61" s="220"/>
      <c r="OUY61" s="220"/>
      <c r="OUZ61" s="217"/>
      <c r="OVA61" s="221"/>
      <c r="OVB61" s="216"/>
      <c r="OVC61" s="217"/>
      <c r="OVD61" s="218"/>
      <c r="OVE61" s="219"/>
      <c r="OVF61" s="220"/>
      <c r="OVG61" s="220"/>
      <c r="OVH61" s="220"/>
      <c r="OVI61" s="220"/>
      <c r="OVJ61" s="217"/>
      <c r="OVK61" s="221"/>
      <c r="OVL61" s="216"/>
      <c r="OVM61" s="217"/>
      <c r="OVN61" s="218"/>
      <c r="OVO61" s="219"/>
      <c r="OVP61" s="220"/>
      <c r="OVQ61" s="220"/>
      <c r="OVR61" s="220"/>
      <c r="OVS61" s="220"/>
      <c r="OVT61" s="217"/>
      <c r="OVU61" s="221"/>
      <c r="OVV61" s="216"/>
      <c r="OVW61" s="217"/>
      <c r="OVX61" s="218"/>
      <c r="OVY61" s="219"/>
      <c r="OVZ61" s="220"/>
      <c r="OWA61" s="220"/>
      <c r="OWB61" s="220"/>
      <c r="OWC61" s="220"/>
      <c r="OWD61" s="217"/>
      <c r="OWE61" s="221"/>
      <c r="OWF61" s="216"/>
      <c r="OWG61" s="217"/>
      <c r="OWH61" s="218"/>
      <c r="OWI61" s="219"/>
      <c r="OWJ61" s="220"/>
      <c r="OWK61" s="220"/>
      <c r="OWL61" s="220"/>
      <c r="OWM61" s="220"/>
      <c r="OWN61" s="217"/>
      <c r="OWO61" s="221"/>
      <c r="OWP61" s="216"/>
      <c r="OWQ61" s="217"/>
      <c r="OWR61" s="218"/>
      <c r="OWS61" s="219"/>
      <c r="OWT61" s="220"/>
      <c r="OWU61" s="220"/>
      <c r="OWV61" s="220"/>
      <c r="OWW61" s="220"/>
      <c r="OWX61" s="217"/>
      <c r="OWY61" s="221"/>
      <c r="OWZ61" s="216"/>
      <c r="OXA61" s="217"/>
      <c r="OXB61" s="218"/>
      <c r="OXC61" s="219"/>
      <c r="OXD61" s="220"/>
      <c r="OXE61" s="220"/>
      <c r="OXF61" s="220"/>
      <c r="OXG61" s="220"/>
      <c r="OXH61" s="217"/>
      <c r="OXI61" s="221"/>
      <c r="OXJ61" s="216"/>
      <c r="OXK61" s="217"/>
      <c r="OXL61" s="218"/>
      <c r="OXM61" s="219"/>
      <c r="OXN61" s="220"/>
      <c r="OXO61" s="220"/>
      <c r="OXP61" s="220"/>
      <c r="OXQ61" s="220"/>
      <c r="OXR61" s="217"/>
      <c r="OXS61" s="221"/>
      <c r="OXT61" s="216"/>
      <c r="OXU61" s="217"/>
      <c r="OXV61" s="218"/>
      <c r="OXW61" s="219"/>
      <c r="OXX61" s="220"/>
      <c r="OXY61" s="220"/>
      <c r="OXZ61" s="220"/>
      <c r="OYA61" s="220"/>
      <c r="OYB61" s="217"/>
      <c r="OYC61" s="221"/>
      <c r="OYD61" s="216"/>
      <c r="OYE61" s="217"/>
      <c r="OYF61" s="218"/>
      <c r="OYG61" s="219"/>
      <c r="OYH61" s="220"/>
      <c r="OYI61" s="220"/>
      <c r="OYJ61" s="220"/>
      <c r="OYK61" s="220"/>
      <c r="OYL61" s="217"/>
      <c r="OYM61" s="221"/>
      <c r="OYN61" s="216"/>
      <c r="OYO61" s="217"/>
      <c r="OYP61" s="218"/>
      <c r="OYQ61" s="219"/>
      <c r="OYR61" s="220"/>
      <c r="OYS61" s="220"/>
      <c r="OYT61" s="220"/>
      <c r="OYU61" s="220"/>
      <c r="OYV61" s="217"/>
      <c r="OYW61" s="221"/>
      <c r="OYX61" s="216"/>
      <c r="OYY61" s="217"/>
      <c r="OYZ61" s="218"/>
      <c r="OZA61" s="219"/>
      <c r="OZB61" s="220"/>
      <c r="OZC61" s="220"/>
      <c r="OZD61" s="220"/>
      <c r="OZE61" s="220"/>
      <c r="OZF61" s="217"/>
      <c r="OZG61" s="221"/>
      <c r="OZH61" s="216"/>
      <c r="OZI61" s="217"/>
      <c r="OZJ61" s="218"/>
      <c r="OZK61" s="219"/>
      <c r="OZL61" s="220"/>
      <c r="OZM61" s="220"/>
      <c r="OZN61" s="220"/>
      <c r="OZO61" s="220"/>
      <c r="OZP61" s="217"/>
      <c r="OZQ61" s="221"/>
      <c r="OZR61" s="216"/>
      <c r="OZS61" s="217"/>
      <c r="OZT61" s="218"/>
      <c r="OZU61" s="219"/>
      <c r="OZV61" s="220"/>
      <c r="OZW61" s="220"/>
      <c r="OZX61" s="220"/>
      <c r="OZY61" s="220"/>
      <c r="OZZ61" s="217"/>
      <c r="PAA61" s="221"/>
      <c r="PAB61" s="216"/>
      <c r="PAC61" s="217"/>
      <c r="PAD61" s="218"/>
      <c r="PAE61" s="219"/>
      <c r="PAF61" s="220"/>
      <c r="PAG61" s="220"/>
      <c r="PAH61" s="220"/>
      <c r="PAI61" s="220"/>
      <c r="PAJ61" s="217"/>
      <c r="PAK61" s="221"/>
      <c r="PAL61" s="216"/>
      <c r="PAM61" s="217"/>
      <c r="PAN61" s="218"/>
      <c r="PAO61" s="219"/>
      <c r="PAP61" s="220"/>
      <c r="PAQ61" s="220"/>
      <c r="PAR61" s="220"/>
      <c r="PAS61" s="220"/>
      <c r="PAT61" s="217"/>
      <c r="PAU61" s="221"/>
      <c r="PAV61" s="216"/>
      <c r="PAW61" s="217"/>
      <c r="PAX61" s="218"/>
      <c r="PAY61" s="219"/>
      <c r="PAZ61" s="220"/>
      <c r="PBA61" s="220"/>
      <c r="PBB61" s="220"/>
      <c r="PBC61" s="220"/>
      <c r="PBD61" s="217"/>
      <c r="PBE61" s="221"/>
      <c r="PBF61" s="216"/>
      <c r="PBG61" s="217"/>
      <c r="PBH61" s="218"/>
      <c r="PBI61" s="219"/>
      <c r="PBJ61" s="220"/>
      <c r="PBK61" s="220"/>
      <c r="PBL61" s="220"/>
      <c r="PBM61" s="220"/>
      <c r="PBN61" s="217"/>
      <c r="PBO61" s="221"/>
      <c r="PBP61" s="216"/>
      <c r="PBQ61" s="217"/>
      <c r="PBR61" s="218"/>
      <c r="PBS61" s="219"/>
      <c r="PBT61" s="220"/>
      <c r="PBU61" s="220"/>
      <c r="PBV61" s="220"/>
      <c r="PBW61" s="220"/>
      <c r="PBX61" s="217"/>
      <c r="PBY61" s="221"/>
      <c r="PBZ61" s="216"/>
      <c r="PCA61" s="217"/>
      <c r="PCB61" s="218"/>
      <c r="PCC61" s="219"/>
      <c r="PCD61" s="220"/>
      <c r="PCE61" s="220"/>
      <c r="PCF61" s="220"/>
      <c r="PCG61" s="220"/>
      <c r="PCH61" s="217"/>
      <c r="PCI61" s="221"/>
      <c r="PCJ61" s="216"/>
      <c r="PCK61" s="217"/>
      <c r="PCL61" s="218"/>
      <c r="PCM61" s="219"/>
      <c r="PCN61" s="220"/>
      <c r="PCO61" s="220"/>
      <c r="PCP61" s="220"/>
      <c r="PCQ61" s="220"/>
      <c r="PCR61" s="217"/>
      <c r="PCS61" s="221"/>
      <c r="PCT61" s="216"/>
      <c r="PCU61" s="217"/>
      <c r="PCV61" s="218"/>
      <c r="PCW61" s="219"/>
      <c r="PCX61" s="220"/>
      <c r="PCY61" s="220"/>
      <c r="PCZ61" s="220"/>
      <c r="PDA61" s="220"/>
      <c r="PDB61" s="217"/>
      <c r="PDC61" s="221"/>
      <c r="PDD61" s="216"/>
      <c r="PDE61" s="217"/>
      <c r="PDF61" s="218"/>
      <c r="PDG61" s="219"/>
      <c r="PDH61" s="220"/>
      <c r="PDI61" s="220"/>
      <c r="PDJ61" s="220"/>
      <c r="PDK61" s="220"/>
      <c r="PDL61" s="217"/>
      <c r="PDM61" s="221"/>
      <c r="PDN61" s="216"/>
      <c r="PDO61" s="217"/>
      <c r="PDP61" s="218"/>
      <c r="PDQ61" s="219"/>
      <c r="PDR61" s="220"/>
      <c r="PDS61" s="220"/>
      <c r="PDT61" s="220"/>
      <c r="PDU61" s="220"/>
      <c r="PDV61" s="217"/>
      <c r="PDW61" s="221"/>
      <c r="PDX61" s="216"/>
      <c r="PDY61" s="217"/>
      <c r="PDZ61" s="218"/>
      <c r="PEA61" s="219"/>
      <c r="PEB61" s="220"/>
      <c r="PEC61" s="220"/>
      <c r="PED61" s="220"/>
      <c r="PEE61" s="220"/>
      <c r="PEF61" s="217"/>
      <c r="PEG61" s="221"/>
      <c r="PEH61" s="216"/>
      <c r="PEI61" s="217"/>
      <c r="PEJ61" s="218"/>
      <c r="PEK61" s="219"/>
      <c r="PEL61" s="220"/>
      <c r="PEM61" s="220"/>
      <c r="PEN61" s="220"/>
      <c r="PEO61" s="220"/>
      <c r="PEP61" s="217"/>
      <c r="PEQ61" s="221"/>
      <c r="PER61" s="216"/>
      <c r="PES61" s="217"/>
      <c r="PET61" s="218"/>
      <c r="PEU61" s="219"/>
      <c r="PEV61" s="220"/>
      <c r="PEW61" s="220"/>
      <c r="PEX61" s="220"/>
      <c r="PEY61" s="220"/>
      <c r="PEZ61" s="217"/>
      <c r="PFA61" s="221"/>
      <c r="PFB61" s="216"/>
      <c r="PFC61" s="217"/>
      <c r="PFD61" s="218"/>
      <c r="PFE61" s="219"/>
      <c r="PFF61" s="220"/>
      <c r="PFG61" s="220"/>
      <c r="PFH61" s="220"/>
      <c r="PFI61" s="220"/>
      <c r="PFJ61" s="217"/>
      <c r="PFK61" s="221"/>
      <c r="PFL61" s="216"/>
      <c r="PFM61" s="217"/>
      <c r="PFN61" s="218"/>
      <c r="PFO61" s="219"/>
      <c r="PFP61" s="220"/>
      <c r="PFQ61" s="220"/>
      <c r="PFR61" s="220"/>
      <c r="PFS61" s="220"/>
      <c r="PFT61" s="217"/>
      <c r="PFU61" s="221"/>
      <c r="PFV61" s="216"/>
      <c r="PFW61" s="217"/>
      <c r="PFX61" s="218"/>
      <c r="PFY61" s="219"/>
      <c r="PFZ61" s="220"/>
      <c r="PGA61" s="220"/>
      <c r="PGB61" s="220"/>
      <c r="PGC61" s="220"/>
      <c r="PGD61" s="217"/>
      <c r="PGE61" s="221"/>
      <c r="PGF61" s="216"/>
      <c r="PGG61" s="217"/>
      <c r="PGH61" s="218"/>
      <c r="PGI61" s="219"/>
      <c r="PGJ61" s="220"/>
      <c r="PGK61" s="220"/>
      <c r="PGL61" s="220"/>
      <c r="PGM61" s="220"/>
      <c r="PGN61" s="217"/>
      <c r="PGO61" s="221"/>
      <c r="PGP61" s="216"/>
      <c r="PGQ61" s="217"/>
      <c r="PGR61" s="218"/>
      <c r="PGS61" s="219"/>
      <c r="PGT61" s="220"/>
      <c r="PGU61" s="220"/>
      <c r="PGV61" s="220"/>
      <c r="PGW61" s="220"/>
      <c r="PGX61" s="217"/>
      <c r="PGY61" s="221"/>
      <c r="PGZ61" s="216"/>
      <c r="PHA61" s="217"/>
      <c r="PHB61" s="218"/>
      <c r="PHC61" s="219"/>
      <c r="PHD61" s="220"/>
      <c r="PHE61" s="220"/>
      <c r="PHF61" s="220"/>
      <c r="PHG61" s="220"/>
      <c r="PHH61" s="217"/>
      <c r="PHI61" s="221"/>
      <c r="PHJ61" s="216"/>
      <c r="PHK61" s="217"/>
      <c r="PHL61" s="218"/>
      <c r="PHM61" s="219"/>
      <c r="PHN61" s="220"/>
      <c r="PHO61" s="220"/>
      <c r="PHP61" s="220"/>
      <c r="PHQ61" s="220"/>
      <c r="PHR61" s="217"/>
      <c r="PHS61" s="221"/>
      <c r="PHT61" s="216"/>
      <c r="PHU61" s="217"/>
      <c r="PHV61" s="218"/>
      <c r="PHW61" s="219"/>
      <c r="PHX61" s="220"/>
      <c r="PHY61" s="220"/>
      <c r="PHZ61" s="220"/>
      <c r="PIA61" s="220"/>
      <c r="PIB61" s="217"/>
      <c r="PIC61" s="221"/>
      <c r="PID61" s="216"/>
      <c r="PIE61" s="217"/>
      <c r="PIF61" s="218"/>
      <c r="PIG61" s="219"/>
      <c r="PIH61" s="220"/>
      <c r="PII61" s="220"/>
      <c r="PIJ61" s="220"/>
      <c r="PIK61" s="220"/>
      <c r="PIL61" s="217"/>
      <c r="PIM61" s="221"/>
      <c r="PIN61" s="216"/>
      <c r="PIO61" s="217"/>
      <c r="PIP61" s="218"/>
      <c r="PIQ61" s="219"/>
      <c r="PIR61" s="220"/>
      <c r="PIS61" s="220"/>
      <c r="PIT61" s="220"/>
      <c r="PIU61" s="220"/>
      <c r="PIV61" s="217"/>
      <c r="PIW61" s="221"/>
      <c r="PIX61" s="216"/>
      <c r="PIY61" s="217"/>
      <c r="PIZ61" s="218"/>
      <c r="PJA61" s="219"/>
      <c r="PJB61" s="220"/>
      <c r="PJC61" s="220"/>
      <c r="PJD61" s="220"/>
      <c r="PJE61" s="220"/>
      <c r="PJF61" s="217"/>
      <c r="PJG61" s="221"/>
      <c r="PJH61" s="216"/>
      <c r="PJI61" s="217"/>
      <c r="PJJ61" s="218"/>
      <c r="PJK61" s="219"/>
      <c r="PJL61" s="220"/>
      <c r="PJM61" s="220"/>
      <c r="PJN61" s="220"/>
      <c r="PJO61" s="220"/>
      <c r="PJP61" s="217"/>
      <c r="PJQ61" s="221"/>
      <c r="PJR61" s="216"/>
      <c r="PJS61" s="217"/>
      <c r="PJT61" s="218"/>
      <c r="PJU61" s="219"/>
      <c r="PJV61" s="220"/>
      <c r="PJW61" s="220"/>
      <c r="PJX61" s="220"/>
      <c r="PJY61" s="220"/>
      <c r="PJZ61" s="217"/>
      <c r="PKA61" s="221"/>
      <c r="PKB61" s="216"/>
      <c r="PKC61" s="217"/>
      <c r="PKD61" s="218"/>
      <c r="PKE61" s="219"/>
      <c r="PKF61" s="220"/>
      <c r="PKG61" s="220"/>
      <c r="PKH61" s="220"/>
      <c r="PKI61" s="220"/>
      <c r="PKJ61" s="217"/>
      <c r="PKK61" s="221"/>
      <c r="PKL61" s="216"/>
      <c r="PKM61" s="217"/>
      <c r="PKN61" s="218"/>
      <c r="PKO61" s="219"/>
      <c r="PKP61" s="220"/>
      <c r="PKQ61" s="220"/>
      <c r="PKR61" s="220"/>
      <c r="PKS61" s="220"/>
      <c r="PKT61" s="217"/>
      <c r="PKU61" s="221"/>
      <c r="PKV61" s="216"/>
      <c r="PKW61" s="217"/>
      <c r="PKX61" s="218"/>
      <c r="PKY61" s="219"/>
      <c r="PKZ61" s="220"/>
      <c r="PLA61" s="220"/>
      <c r="PLB61" s="220"/>
      <c r="PLC61" s="220"/>
      <c r="PLD61" s="217"/>
      <c r="PLE61" s="221"/>
      <c r="PLF61" s="216"/>
      <c r="PLG61" s="217"/>
      <c r="PLH61" s="218"/>
      <c r="PLI61" s="219"/>
      <c r="PLJ61" s="220"/>
      <c r="PLK61" s="220"/>
      <c r="PLL61" s="220"/>
      <c r="PLM61" s="220"/>
      <c r="PLN61" s="217"/>
      <c r="PLO61" s="221"/>
      <c r="PLP61" s="216"/>
      <c r="PLQ61" s="217"/>
      <c r="PLR61" s="218"/>
      <c r="PLS61" s="219"/>
      <c r="PLT61" s="220"/>
      <c r="PLU61" s="220"/>
      <c r="PLV61" s="220"/>
      <c r="PLW61" s="220"/>
      <c r="PLX61" s="217"/>
      <c r="PLY61" s="221"/>
      <c r="PLZ61" s="216"/>
      <c r="PMA61" s="217"/>
      <c r="PMB61" s="218"/>
      <c r="PMC61" s="219"/>
      <c r="PMD61" s="220"/>
      <c r="PME61" s="220"/>
      <c r="PMF61" s="220"/>
      <c r="PMG61" s="220"/>
      <c r="PMH61" s="217"/>
      <c r="PMI61" s="221"/>
      <c r="PMJ61" s="216"/>
      <c r="PMK61" s="217"/>
      <c r="PML61" s="218"/>
      <c r="PMM61" s="219"/>
      <c r="PMN61" s="220"/>
      <c r="PMO61" s="220"/>
      <c r="PMP61" s="220"/>
      <c r="PMQ61" s="220"/>
      <c r="PMR61" s="217"/>
      <c r="PMS61" s="221"/>
      <c r="PMT61" s="216"/>
      <c r="PMU61" s="217"/>
      <c r="PMV61" s="218"/>
      <c r="PMW61" s="219"/>
      <c r="PMX61" s="220"/>
      <c r="PMY61" s="220"/>
      <c r="PMZ61" s="220"/>
      <c r="PNA61" s="220"/>
      <c r="PNB61" s="217"/>
      <c r="PNC61" s="221"/>
      <c r="PND61" s="216"/>
      <c r="PNE61" s="217"/>
      <c r="PNF61" s="218"/>
      <c r="PNG61" s="219"/>
      <c r="PNH61" s="220"/>
      <c r="PNI61" s="220"/>
      <c r="PNJ61" s="220"/>
      <c r="PNK61" s="220"/>
      <c r="PNL61" s="217"/>
      <c r="PNM61" s="221"/>
      <c r="PNN61" s="216"/>
      <c r="PNO61" s="217"/>
      <c r="PNP61" s="218"/>
      <c r="PNQ61" s="219"/>
      <c r="PNR61" s="220"/>
      <c r="PNS61" s="220"/>
      <c r="PNT61" s="220"/>
      <c r="PNU61" s="220"/>
      <c r="PNV61" s="217"/>
      <c r="PNW61" s="221"/>
      <c r="PNX61" s="216"/>
      <c r="PNY61" s="217"/>
      <c r="PNZ61" s="218"/>
      <c r="POA61" s="219"/>
      <c r="POB61" s="220"/>
      <c r="POC61" s="220"/>
      <c r="POD61" s="220"/>
      <c r="POE61" s="220"/>
      <c r="POF61" s="217"/>
      <c r="POG61" s="221"/>
      <c r="POH61" s="216"/>
      <c r="POI61" s="217"/>
      <c r="POJ61" s="218"/>
      <c r="POK61" s="219"/>
      <c r="POL61" s="220"/>
      <c r="POM61" s="220"/>
      <c r="PON61" s="220"/>
      <c r="POO61" s="220"/>
      <c r="POP61" s="217"/>
      <c r="POQ61" s="221"/>
      <c r="POR61" s="216"/>
      <c r="POS61" s="217"/>
      <c r="POT61" s="218"/>
      <c r="POU61" s="219"/>
      <c r="POV61" s="220"/>
      <c r="POW61" s="220"/>
      <c r="POX61" s="220"/>
      <c r="POY61" s="220"/>
      <c r="POZ61" s="217"/>
      <c r="PPA61" s="221"/>
      <c r="PPB61" s="216"/>
      <c r="PPC61" s="217"/>
      <c r="PPD61" s="218"/>
      <c r="PPE61" s="219"/>
      <c r="PPF61" s="220"/>
      <c r="PPG61" s="220"/>
      <c r="PPH61" s="220"/>
      <c r="PPI61" s="220"/>
      <c r="PPJ61" s="217"/>
      <c r="PPK61" s="221"/>
      <c r="PPL61" s="216"/>
      <c r="PPM61" s="217"/>
      <c r="PPN61" s="218"/>
      <c r="PPO61" s="219"/>
      <c r="PPP61" s="220"/>
      <c r="PPQ61" s="220"/>
      <c r="PPR61" s="220"/>
      <c r="PPS61" s="220"/>
      <c r="PPT61" s="217"/>
      <c r="PPU61" s="221"/>
      <c r="PPV61" s="216"/>
      <c r="PPW61" s="217"/>
      <c r="PPX61" s="218"/>
      <c r="PPY61" s="219"/>
      <c r="PPZ61" s="220"/>
      <c r="PQA61" s="220"/>
      <c r="PQB61" s="220"/>
      <c r="PQC61" s="220"/>
      <c r="PQD61" s="217"/>
      <c r="PQE61" s="221"/>
      <c r="PQF61" s="216"/>
      <c r="PQG61" s="217"/>
      <c r="PQH61" s="218"/>
      <c r="PQI61" s="219"/>
      <c r="PQJ61" s="220"/>
      <c r="PQK61" s="220"/>
      <c r="PQL61" s="220"/>
      <c r="PQM61" s="220"/>
      <c r="PQN61" s="217"/>
      <c r="PQO61" s="221"/>
      <c r="PQP61" s="216"/>
      <c r="PQQ61" s="217"/>
      <c r="PQR61" s="218"/>
      <c r="PQS61" s="219"/>
      <c r="PQT61" s="220"/>
      <c r="PQU61" s="220"/>
      <c r="PQV61" s="220"/>
      <c r="PQW61" s="220"/>
      <c r="PQX61" s="217"/>
      <c r="PQY61" s="221"/>
      <c r="PQZ61" s="216"/>
      <c r="PRA61" s="217"/>
      <c r="PRB61" s="218"/>
      <c r="PRC61" s="219"/>
      <c r="PRD61" s="220"/>
      <c r="PRE61" s="220"/>
      <c r="PRF61" s="220"/>
      <c r="PRG61" s="220"/>
      <c r="PRH61" s="217"/>
      <c r="PRI61" s="221"/>
      <c r="PRJ61" s="216"/>
      <c r="PRK61" s="217"/>
      <c r="PRL61" s="218"/>
      <c r="PRM61" s="219"/>
      <c r="PRN61" s="220"/>
      <c r="PRO61" s="220"/>
      <c r="PRP61" s="220"/>
      <c r="PRQ61" s="220"/>
      <c r="PRR61" s="217"/>
      <c r="PRS61" s="221"/>
      <c r="PRT61" s="216"/>
      <c r="PRU61" s="217"/>
      <c r="PRV61" s="218"/>
      <c r="PRW61" s="219"/>
      <c r="PRX61" s="220"/>
      <c r="PRY61" s="220"/>
      <c r="PRZ61" s="220"/>
      <c r="PSA61" s="220"/>
      <c r="PSB61" s="217"/>
      <c r="PSC61" s="221"/>
      <c r="PSD61" s="216"/>
      <c r="PSE61" s="217"/>
      <c r="PSF61" s="218"/>
      <c r="PSG61" s="219"/>
      <c r="PSH61" s="220"/>
      <c r="PSI61" s="220"/>
      <c r="PSJ61" s="220"/>
      <c r="PSK61" s="220"/>
      <c r="PSL61" s="217"/>
      <c r="PSM61" s="221"/>
      <c r="PSN61" s="216"/>
      <c r="PSO61" s="217"/>
      <c r="PSP61" s="218"/>
      <c r="PSQ61" s="219"/>
      <c r="PSR61" s="220"/>
      <c r="PSS61" s="220"/>
      <c r="PST61" s="220"/>
      <c r="PSU61" s="220"/>
      <c r="PSV61" s="217"/>
      <c r="PSW61" s="221"/>
      <c r="PSX61" s="216"/>
      <c r="PSY61" s="217"/>
      <c r="PSZ61" s="218"/>
      <c r="PTA61" s="219"/>
      <c r="PTB61" s="220"/>
      <c r="PTC61" s="220"/>
      <c r="PTD61" s="220"/>
      <c r="PTE61" s="220"/>
      <c r="PTF61" s="217"/>
      <c r="PTG61" s="221"/>
      <c r="PTH61" s="216"/>
      <c r="PTI61" s="217"/>
      <c r="PTJ61" s="218"/>
      <c r="PTK61" s="219"/>
      <c r="PTL61" s="220"/>
      <c r="PTM61" s="220"/>
      <c r="PTN61" s="220"/>
      <c r="PTO61" s="220"/>
      <c r="PTP61" s="217"/>
      <c r="PTQ61" s="221"/>
      <c r="PTR61" s="216"/>
      <c r="PTS61" s="217"/>
      <c r="PTT61" s="218"/>
      <c r="PTU61" s="219"/>
      <c r="PTV61" s="220"/>
      <c r="PTW61" s="220"/>
      <c r="PTX61" s="220"/>
      <c r="PTY61" s="220"/>
      <c r="PTZ61" s="217"/>
      <c r="PUA61" s="221"/>
      <c r="PUB61" s="216"/>
      <c r="PUC61" s="217"/>
      <c r="PUD61" s="218"/>
      <c r="PUE61" s="219"/>
      <c r="PUF61" s="220"/>
      <c r="PUG61" s="220"/>
      <c r="PUH61" s="220"/>
      <c r="PUI61" s="220"/>
      <c r="PUJ61" s="217"/>
      <c r="PUK61" s="221"/>
      <c r="PUL61" s="216"/>
      <c r="PUM61" s="217"/>
      <c r="PUN61" s="218"/>
      <c r="PUO61" s="219"/>
      <c r="PUP61" s="220"/>
      <c r="PUQ61" s="220"/>
      <c r="PUR61" s="220"/>
      <c r="PUS61" s="220"/>
      <c r="PUT61" s="217"/>
      <c r="PUU61" s="221"/>
      <c r="PUV61" s="216"/>
      <c r="PUW61" s="217"/>
      <c r="PUX61" s="218"/>
      <c r="PUY61" s="219"/>
      <c r="PUZ61" s="220"/>
      <c r="PVA61" s="220"/>
      <c r="PVB61" s="220"/>
      <c r="PVC61" s="220"/>
      <c r="PVD61" s="217"/>
      <c r="PVE61" s="221"/>
      <c r="PVF61" s="216"/>
      <c r="PVG61" s="217"/>
      <c r="PVH61" s="218"/>
      <c r="PVI61" s="219"/>
      <c r="PVJ61" s="220"/>
      <c r="PVK61" s="220"/>
      <c r="PVL61" s="220"/>
      <c r="PVM61" s="220"/>
      <c r="PVN61" s="217"/>
      <c r="PVO61" s="221"/>
      <c r="PVP61" s="216"/>
      <c r="PVQ61" s="217"/>
      <c r="PVR61" s="218"/>
      <c r="PVS61" s="219"/>
      <c r="PVT61" s="220"/>
      <c r="PVU61" s="220"/>
      <c r="PVV61" s="220"/>
      <c r="PVW61" s="220"/>
      <c r="PVX61" s="217"/>
      <c r="PVY61" s="221"/>
      <c r="PVZ61" s="216"/>
      <c r="PWA61" s="217"/>
      <c r="PWB61" s="218"/>
      <c r="PWC61" s="219"/>
      <c r="PWD61" s="220"/>
      <c r="PWE61" s="220"/>
      <c r="PWF61" s="220"/>
      <c r="PWG61" s="220"/>
      <c r="PWH61" s="217"/>
      <c r="PWI61" s="221"/>
      <c r="PWJ61" s="216"/>
      <c r="PWK61" s="217"/>
      <c r="PWL61" s="218"/>
      <c r="PWM61" s="219"/>
      <c r="PWN61" s="220"/>
      <c r="PWO61" s="220"/>
      <c r="PWP61" s="220"/>
      <c r="PWQ61" s="220"/>
      <c r="PWR61" s="217"/>
      <c r="PWS61" s="221"/>
      <c r="PWT61" s="216"/>
      <c r="PWU61" s="217"/>
      <c r="PWV61" s="218"/>
      <c r="PWW61" s="219"/>
      <c r="PWX61" s="220"/>
      <c r="PWY61" s="220"/>
      <c r="PWZ61" s="220"/>
      <c r="PXA61" s="220"/>
      <c r="PXB61" s="217"/>
      <c r="PXC61" s="221"/>
      <c r="PXD61" s="216"/>
      <c r="PXE61" s="217"/>
      <c r="PXF61" s="218"/>
      <c r="PXG61" s="219"/>
      <c r="PXH61" s="220"/>
      <c r="PXI61" s="220"/>
      <c r="PXJ61" s="220"/>
      <c r="PXK61" s="220"/>
      <c r="PXL61" s="217"/>
      <c r="PXM61" s="221"/>
      <c r="PXN61" s="216"/>
      <c r="PXO61" s="217"/>
      <c r="PXP61" s="218"/>
      <c r="PXQ61" s="219"/>
      <c r="PXR61" s="220"/>
      <c r="PXS61" s="220"/>
      <c r="PXT61" s="220"/>
      <c r="PXU61" s="220"/>
      <c r="PXV61" s="217"/>
      <c r="PXW61" s="221"/>
      <c r="PXX61" s="216"/>
      <c r="PXY61" s="217"/>
      <c r="PXZ61" s="218"/>
      <c r="PYA61" s="219"/>
      <c r="PYB61" s="220"/>
      <c r="PYC61" s="220"/>
      <c r="PYD61" s="220"/>
      <c r="PYE61" s="220"/>
      <c r="PYF61" s="217"/>
      <c r="PYG61" s="221"/>
      <c r="PYH61" s="216"/>
      <c r="PYI61" s="217"/>
      <c r="PYJ61" s="218"/>
      <c r="PYK61" s="219"/>
      <c r="PYL61" s="220"/>
      <c r="PYM61" s="220"/>
      <c r="PYN61" s="220"/>
      <c r="PYO61" s="220"/>
      <c r="PYP61" s="217"/>
      <c r="PYQ61" s="221"/>
      <c r="PYR61" s="216"/>
      <c r="PYS61" s="217"/>
      <c r="PYT61" s="218"/>
      <c r="PYU61" s="219"/>
      <c r="PYV61" s="220"/>
      <c r="PYW61" s="220"/>
      <c r="PYX61" s="220"/>
      <c r="PYY61" s="220"/>
      <c r="PYZ61" s="217"/>
      <c r="PZA61" s="221"/>
      <c r="PZB61" s="216"/>
      <c r="PZC61" s="217"/>
      <c r="PZD61" s="218"/>
      <c r="PZE61" s="219"/>
      <c r="PZF61" s="220"/>
      <c r="PZG61" s="220"/>
      <c r="PZH61" s="220"/>
      <c r="PZI61" s="220"/>
      <c r="PZJ61" s="217"/>
      <c r="PZK61" s="221"/>
      <c r="PZL61" s="216"/>
      <c r="PZM61" s="217"/>
      <c r="PZN61" s="218"/>
      <c r="PZO61" s="219"/>
      <c r="PZP61" s="220"/>
      <c r="PZQ61" s="220"/>
      <c r="PZR61" s="220"/>
      <c r="PZS61" s="220"/>
      <c r="PZT61" s="217"/>
      <c r="PZU61" s="221"/>
      <c r="PZV61" s="216"/>
      <c r="PZW61" s="217"/>
      <c r="PZX61" s="218"/>
      <c r="PZY61" s="219"/>
      <c r="PZZ61" s="220"/>
      <c r="QAA61" s="220"/>
      <c r="QAB61" s="220"/>
      <c r="QAC61" s="220"/>
      <c r="QAD61" s="217"/>
      <c r="QAE61" s="221"/>
      <c r="QAF61" s="216"/>
      <c r="QAG61" s="217"/>
      <c r="QAH61" s="218"/>
      <c r="QAI61" s="219"/>
      <c r="QAJ61" s="220"/>
      <c r="QAK61" s="220"/>
      <c r="QAL61" s="220"/>
      <c r="QAM61" s="220"/>
      <c r="QAN61" s="217"/>
      <c r="QAO61" s="221"/>
      <c r="QAP61" s="216"/>
      <c r="QAQ61" s="217"/>
      <c r="QAR61" s="218"/>
      <c r="QAS61" s="219"/>
      <c r="QAT61" s="220"/>
      <c r="QAU61" s="220"/>
      <c r="QAV61" s="220"/>
      <c r="QAW61" s="220"/>
      <c r="QAX61" s="217"/>
      <c r="QAY61" s="221"/>
      <c r="QAZ61" s="216"/>
      <c r="QBA61" s="217"/>
      <c r="QBB61" s="218"/>
      <c r="QBC61" s="219"/>
      <c r="QBD61" s="220"/>
      <c r="QBE61" s="220"/>
      <c r="QBF61" s="220"/>
      <c r="QBG61" s="220"/>
      <c r="QBH61" s="217"/>
      <c r="QBI61" s="221"/>
      <c r="QBJ61" s="216"/>
      <c r="QBK61" s="217"/>
      <c r="QBL61" s="218"/>
      <c r="QBM61" s="219"/>
      <c r="QBN61" s="220"/>
      <c r="QBO61" s="220"/>
      <c r="QBP61" s="220"/>
      <c r="QBQ61" s="220"/>
      <c r="QBR61" s="217"/>
      <c r="QBS61" s="221"/>
      <c r="QBT61" s="216"/>
      <c r="QBU61" s="217"/>
      <c r="QBV61" s="218"/>
      <c r="QBW61" s="219"/>
      <c r="QBX61" s="220"/>
      <c r="QBY61" s="220"/>
      <c r="QBZ61" s="220"/>
      <c r="QCA61" s="220"/>
      <c r="QCB61" s="217"/>
      <c r="QCC61" s="221"/>
      <c r="QCD61" s="216"/>
      <c r="QCE61" s="217"/>
      <c r="QCF61" s="218"/>
      <c r="QCG61" s="219"/>
      <c r="QCH61" s="220"/>
      <c r="QCI61" s="220"/>
      <c r="QCJ61" s="220"/>
      <c r="QCK61" s="220"/>
      <c r="QCL61" s="217"/>
      <c r="QCM61" s="221"/>
      <c r="QCN61" s="216"/>
      <c r="QCO61" s="217"/>
      <c r="QCP61" s="218"/>
      <c r="QCQ61" s="219"/>
      <c r="QCR61" s="220"/>
      <c r="QCS61" s="220"/>
      <c r="QCT61" s="220"/>
      <c r="QCU61" s="220"/>
      <c r="QCV61" s="217"/>
      <c r="QCW61" s="221"/>
      <c r="QCX61" s="216"/>
      <c r="QCY61" s="217"/>
      <c r="QCZ61" s="218"/>
      <c r="QDA61" s="219"/>
      <c r="QDB61" s="220"/>
      <c r="QDC61" s="220"/>
      <c r="QDD61" s="220"/>
      <c r="QDE61" s="220"/>
      <c r="QDF61" s="217"/>
      <c r="QDG61" s="221"/>
      <c r="QDH61" s="216"/>
      <c r="QDI61" s="217"/>
      <c r="QDJ61" s="218"/>
      <c r="QDK61" s="219"/>
      <c r="QDL61" s="220"/>
      <c r="QDM61" s="220"/>
      <c r="QDN61" s="220"/>
      <c r="QDO61" s="220"/>
      <c r="QDP61" s="217"/>
      <c r="QDQ61" s="221"/>
      <c r="QDR61" s="216"/>
      <c r="QDS61" s="217"/>
      <c r="QDT61" s="218"/>
      <c r="QDU61" s="219"/>
      <c r="QDV61" s="220"/>
      <c r="QDW61" s="220"/>
      <c r="QDX61" s="220"/>
      <c r="QDY61" s="220"/>
      <c r="QDZ61" s="217"/>
      <c r="QEA61" s="221"/>
      <c r="QEB61" s="216"/>
      <c r="QEC61" s="217"/>
      <c r="QED61" s="218"/>
      <c r="QEE61" s="219"/>
      <c r="QEF61" s="220"/>
      <c r="QEG61" s="220"/>
      <c r="QEH61" s="220"/>
      <c r="QEI61" s="220"/>
      <c r="QEJ61" s="217"/>
      <c r="QEK61" s="221"/>
      <c r="QEL61" s="216"/>
      <c r="QEM61" s="217"/>
      <c r="QEN61" s="218"/>
      <c r="QEO61" s="219"/>
      <c r="QEP61" s="220"/>
      <c r="QEQ61" s="220"/>
      <c r="QER61" s="220"/>
      <c r="QES61" s="220"/>
      <c r="QET61" s="217"/>
      <c r="QEU61" s="221"/>
      <c r="QEV61" s="216"/>
      <c r="QEW61" s="217"/>
      <c r="QEX61" s="218"/>
      <c r="QEY61" s="219"/>
      <c r="QEZ61" s="220"/>
      <c r="QFA61" s="220"/>
      <c r="QFB61" s="220"/>
      <c r="QFC61" s="220"/>
      <c r="QFD61" s="217"/>
      <c r="QFE61" s="221"/>
      <c r="QFF61" s="216"/>
      <c r="QFG61" s="217"/>
      <c r="QFH61" s="218"/>
      <c r="QFI61" s="219"/>
      <c r="QFJ61" s="220"/>
      <c r="QFK61" s="220"/>
      <c r="QFL61" s="220"/>
      <c r="QFM61" s="220"/>
      <c r="QFN61" s="217"/>
      <c r="QFO61" s="221"/>
      <c r="QFP61" s="216"/>
      <c r="QFQ61" s="217"/>
      <c r="QFR61" s="218"/>
      <c r="QFS61" s="219"/>
      <c r="QFT61" s="220"/>
      <c r="QFU61" s="220"/>
      <c r="QFV61" s="220"/>
      <c r="QFW61" s="220"/>
      <c r="QFX61" s="217"/>
      <c r="QFY61" s="221"/>
      <c r="QFZ61" s="216"/>
      <c r="QGA61" s="217"/>
      <c r="QGB61" s="218"/>
      <c r="QGC61" s="219"/>
      <c r="QGD61" s="220"/>
      <c r="QGE61" s="220"/>
      <c r="QGF61" s="220"/>
      <c r="QGG61" s="220"/>
      <c r="QGH61" s="217"/>
      <c r="QGI61" s="221"/>
      <c r="QGJ61" s="216"/>
      <c r="QGK61" s="217"/>
      <c r="QGL61" s="218"/>
      <c r="QGM61" s="219"/>
      <c r="QGN61" s="220"/>
      <c r="QGO61" s="220"/>
      <c r="QGP61" s="220"/>
      <c r="QGQ61" s="220"/>
      <c r="QGR61" s="217"/>
      <c r="QGS61" s="221"/>
      <c r="QGT61" s="216"/>
      <c r="QGU61" s="217"/>
      <c r="QGV61" s="218"/>
      <c r="QGW61" s="219"/>
      <c r="QGX61" s="220"/>
      <c r="QGY61" s="220"/>
      <c r="QGZ61" s="220"/>
      <c r="QHA61" s="220"/>
      <c r="QHB61" s="217"/>
      <c r="QHC61" s="221"/>
      <c r="QHD61" s="216"/>
      <c r="QHE61" s="217"/>
      <c r="QHF61" s="218"/>
      <c r="QHG61" s="219"/>
      <c r="QHH61" s="220"/>
      <c r="QHI61" s="220"/>
      <c r="QHJ61" s="220"/>
      <c r="QHK61" s="220"/>
      <c r="QHL61" s="217"/>
      <c r="QHM61" s="221"/>
      <c r="QHN61" s="216"/>
      <c r="QHO61" s="217"/>
      <c r="QHP61" s="218"/>
      <c r="QHQ61" s="219"/>
      <c r="QHR61" s="220"/>
      <c r="QHS61" s="220"/>
      <c r="QHT61" s="220"/>
      <c r="QHU61" s="220"/>
      <c r="QHV61" s="217"/>
      <c r="QHW61" s="221"/>
      <c r="QHX61" s="216"/>
      <c r="QHY61" s="217"/>
      <c r="QHZ61" s="218"/>
      <c r="QIA61" s="219"/>
      <c r="QIB61" s="220"/>
      <c r="QIC61" s="220"/>
      <c r="QID61" s="220"/>
      <c r="QIE61" s="220"/>
      <c r="QIF61" s="217"/>
      <c r="QIG61" s="221"/>
      <c r="QIH61" s="216"/>
      <c r="QII61" s="217"/>
      <c r="QIJ61" s="218"/>
      <c r="QIK61" s="219"/>
      <c r="QIL61" s="220"/>
      <c r="QIM61" s="220"/>
      <c r="QIN61" s="220"/>
      <c r="QIO61" s="220"/>
      <c r="QIP61" s="217"/>
      <c r="QIQ61" s="221"/>
      <c r="QIR61" s="216"/>
      <c r="QIS61" s="217"/>
      <c r="QIT61" s="218"/>
      <c r="QIU61" s="219"/>
      <c r="QIV61" s="220"/>
      <c r="QIW61" s="220"/>
      <c r="QIX61" s="220"/>
      <c r="QIY61" s="220"/>
      <c r="QIZ61" s="217"/>
      <c r="QJA61" s="221"/>
      <c r="QJB61" s="216"/>
      <c r="QJC61" s="217"/>
      <c r="QJD61" s="218"/>
      <c r="QJE61" s="219"/>
      <c r="QJF61" s="220"/>
      <c r="QJG61" s="220"/>
      <c r="QJH61" s="220"/>
      <c r="QJI61" s="220"/>
      <c r="QJJ61" s="217"/>
      <c r="QJK61" s="221"/>
      <c r="QJL61" s="216"/>
      <c r="QJM61" s="217"/>
      <c r="QJN61" s="218"/>
      <c r="QJO61" s="219"/>
      <c r="QJP61" s="220"/>
      <c r="QJQ61" s="220"/>
      <c r="QJR61" s="220"/>
      <c r="QJS61" s="220"/>
      <c r="QJT61" s="217"/>
      <c r="QJU61" s="221"/>
      <c r="QJV61" s="216"/>
      <c r="QJW61" s="217"/>
      <c r="QJX61" s="218"/>
      <c r="QJY61" s="219"/>
      <c r="QJZ61" s="220"/>
      <c r="QKA61" s="220"/>
      <c r="QKB61" s="220"/>
      <c r="QKC61" s="220"/>
      <c r="QKD61" s="217"/>
      <c r="QKE61" s="221"/>
      <c r="QKF61" s="216"/>
      <c r="QKG61" s="217"/>
      <c r="QKH61" s="218"/>
      <c r="QKI61" s="219"/>
      <c r="QKJ61" s="220"/>
      <c r="QKK61" s="220"/>
      <c r="QKL61" s="220"/>
      <c r="QKM61" s="220"/>
      <c r="QKN61" s="217"/>
      <c r="QKO61" s="221"/>
      <c r="QKP61" s="216"/>
      <c r="QKQ61" s="217"/>
      <c r="QKR61" s="218"/>
      <c r="QKS61" s="219"/>
      <c r="QKT61" s="220"/>
      <c r="QKU61" s="220"/>
      <c r="QKV61" s="220"/>
      <c r="QKW61" s="220"/>
      <c r="QKX61" s="217"/>
      <c r="QKY61" s="221"/>
      <c r="QKZ61" s="216"/>
      <c r="QLA61" s="217"/>
      <c r="QLB61" s="218"/>
      <c r="QLC61" s="219"/>
      <c r="QLD61" s="220"/>
      <c r="QLE61" s="220"/>
      <c r="QLF61" s="220"/>
      <c r="QLG61" s="220"/>
      <c r="QLH61" s="217"/>
      <c r="QLI61" s="221"/>
      <c r="QLJ61" s="216"/>
      <c r="QLK61" s="217"/>
      <c r="QLL61" s="218"/>
      <c r="QLM61" s="219"/>
      <c r="QLN61" s="220"/>
      <c r="QLO61" s="220"/>
      <c r="QLP61" s="220"/>
      <c r="QLQ61" s="220"/>
      <c r="QLR61" s="217"/>
      <c r="QLS61" s="221"/>
      <c r="QLT61" s="216"/>
      <c r="QLU61" s="217"/>
      <c r="QLV61" s="218"/>
      <c r="QLW61" s="219"/>
      <c r="QLX61" s="220"/>
      <c r="QLY61" s="220"/>
      <c r="QLZ61" s="220"/>
      <c r="QMA61" s="220"/>
      <c r="QMB61" s="217"/>
      <c r="QMC61" s="221"/>
      <c r="QMD61" s="216"/>
      <c r="QME61" s="217"/>
      <c r="QMF61" s="218"/>
      <c r="QMG61" s="219"/>
      <c r="QMH61" s="220"/>
      <c r="QMI61" s="220"/>
      <c r="QMJ61" s="220"/>
      <c r="QMK61" s="220"/>
      <c r="QML61" s="217"/>
      <c r="QMM61" s="221"/>
      <c r="QMN61" s="216"/>
      <c r="QMO61" s="217"/>
      <c r="QMP61" s="218"/>
      <c r="QMQ61" s="219"/>
      <c r="QMR61" s="220"/>
      <c r="QMS61" s="220"/>
      <c r="QMT61" s="220"/>
      <c r="QMU61" s="220"/>
      <c r="QMV61" s="217"/>
      <c r="QMW61" s="221"/>
      <c r="QMX61" s="216"/>
      <c r="QMY61" s="217"/>
      <c r="QMZ61" s="218"/>
      <c r="QNA61" s="219"/>
      <c r="QNB61" s="220"/>
      <c r="QNC61" s="220"/>
      <c r="QND61" s="220"/>
      <c r="QNE61" s="220"/>
      <c r="QNF61" s="217"/>
      <c r="QNG61" s="221"/>
      <c r="QNH61" s="216"/>
      <c r="QNI61" s="217"/>
      <c r="QNJ61" s="218"/>
      <c r="QNK61" s="219"/>
      <c r="QNL61" s="220"/>
      <c r="QNM61" s="220"/>
      <c r="QNN61" s="220"/>
      <c r="QNO61" s="220"/>
      <c r="QNP61" s="217"/>
      <c r="QNQ61" s="221"/>
      <c r="QNR61" s="216"/>
      <c r="QNS61" s="217"/>
      <c r="QNT61" s="218"/>
      <c r="QNU61" s="219"/>
      <c r="QNV61" s="220"/>
      <c r="QNW61" s="220"/>
      <c r="QNX61" s="220"/>
      <c r="QNY61" s="220"/>
      <c r="QNZ61" s="217"/>
      <c r="QOA61" s="221"/>
      <c r="QOB61" s="216"/>
      <c r="QOC61" s="217"/>
      <c r="QOD61" s="218"/>
      <c r="QOE61" s="219"/>
      <c r="QOF61" s="220"/>
      <c r="QOG61" s="220"/>
      <c r="QOH61" s="220"/>
      <c r="QOI61" s="220"/>
      <c r="QOJ61" s="217"/>
      <c r="QOK61" s="221"/>
      <c r="QOL61" s="216"/>
      <c r="QOM61" s="217"/>
      <c r="QON61" s="218"/>
      <c r="QOO61" s="219"/>
      <c r="QOP61" s="220"/>
      <c r="QOQ61" s="220"/>
      <c r="QOR61" s="220"/>
      <c r="QOS61" s="220"/>
      <c r="QOT61" s="217"/>
      <c r="QOU61" s="221"/>
      <c r="QOV61" s="216"/>
      <c r="QOW61" s="217"/>
      <c r="QOX61" s="218"/>
      <c r="QOY61" s="219"/>
      <c r="QOZ61" s="220"/>
      <c r="QPA61" s="220"/>
      <c r="QPB61" s="220"/>
      <c r="QPC61" s="220"/>
      <c r="QPD61" s="217"/>
      <c r="QPE61" s="221"/>
      <c r="QPF61" s="216"/>
      <c r="QPG61" s="217"/>
      <c r="QPH61" s="218"/>
      <c r="QPI61" s="219"/>
      <c r="QPJ61" s="220"/>
      <c r="QPK61" s="220"/>
      <c r="QPL61" s="220"/>
      <c r="QPM61" s="220"/>
      <c r="QPN61" s="217"/>
      <c r="QPO61" s="221"/>
      <c r="QPP61" s="216"/>
      <c r="QPQ61" s="217"/>
      <c r="QPR61" s="218"/>
      <c r="QPS61" s="219"/>
      <c r="QPT61" s="220"/>
      <c r="QPU61" s="220"/>
      <c r="QPV61" s="220"/>
      <c r="QPW61" s="220"/>
      <c r="QPX61" s="217"/>
      <c r="QPY61" s="221"/>
      <c r="QPZ61" s="216"/>
      <c r="QQA61" s="217"/>
      <c r="QQB61" s="218"/>
      <c r="QQC61" s="219"/>
      <c r="QQD61" s="220"/>
      <c r="QQE61" s="220"/>
      <c r="QQF61" s="220"/>
      <c r="QQG61" s="220"/>
      <c r="QQH61" s="217"/>
      <c r="QQI61" s="221"/>
      <c r="QQJ61" s="216"/>
      <c r="QQK61" s="217"/>
      <c r="QQL61" s="218"/>
      <c r="QQM61" s="219"/>
      <c r="QQN61" s="220"/>
      <c r="QQO61" s="220"/>
      <c r="QQP61" s="220"/>
      <c r="QQQ61" s="220"/>
      <c r="QQR61" s="217"/>
      <c r="QQS61" s="221"/>
      <c r="QQT61" s="216"/>
      <c r="QQU61" s="217"/>
      <c r="QQV61" s="218"/>
      <c r="QQW61" s="219"/>
      <c r="QQX61" s="220"/>
      <c r="QQY61" s="220"/>
      <c r="QQZ61" s="220"/>
      <c r="QRA61" s="220"/>
      <c r="QRB61" s="217"/>
      <c r="QRC61" s="221"/>
      <c r="QRD61" s="216"/>
      <c r="QRE61" s="217"/>
      <c r="QRF61" s="218"/>
      <c r="QRG61" s="219"/>
      <c r="QRH61" s="220"/>
      <c r="QRI61" s="220"/>
      <c r="QRJ61" s="220"/>
      <c r="QRK61" s="220"/>
      <c r="QRL61" s="217"/>
      <c r="QRM61" s="221"/>
      <c r="QRN61" s="216"/>
      <c r="QRO61" s="217"/>
      <c r="QRP61" s="218"/>
      <c r="QRQ61" s="219"/>
      <c r="QRR61" s="220"/>
      <c r="QRS61" s="220"/>
      <c r="QRT61" s="220"/>
      <c r="QRU61" s="220"/>
      <c r="QRV61" s="217"/>
      <c r="QRW61" s="221"/>
      <c r="QRX61" s="216"/>
      <c r="QRY61" s="217"/>
      <c r="QRZ61" s="218"/>
      <c r="QSA61" s="219"/>
      <c r="QSB61" s="220"/>
      <c r="QSC61" s="220"/>
      <c r="QSD61" s="220"/>
      <c r="QSE61" s="220"/>
      <c r="QSF61" s="217"/>
      <c r="QSG61" s="221"/>
      <c r="QSH61" s="216"/>
      <c r="QSI61" s="217"/>
      <c r="QSJ61" s="218"/>
      <c r="QSK61" s="219"/>
      <c r="QSL61" s="220"/>
      <c r="QSM61" s="220"/>
      <c r="QSN61" s="220"/>
      <c r="QSO61" s="220"/>
      <c r="QSP61" s="217"/>
      <c r="QSQ61" s="221"/>
      <c r="QSR61" s="216"/>
      <c r="QSS61" s="217"/>
      <c r="QST61" s="218"/>
      <c r="QSU61" s="219"/>
      <c r="QSV61" s="220"/>
      <c r="QSW61" s="220"/>
      <c r="QSX61" s="220"/>
      <c r="QSY61" s="220"/>
      <c r="QSZ61" s="217"/>
      <c r="QTA61" s="221"/>
      <c r="QTB61" s="216"/>
      <c r="QTC61" s="217"/>
      <c r="QTD61" s="218"/>
      <c r="QTE61" s="219"/>
      <c r="QTF61" s="220"/>
      <c r="QTG61" s="220"/>
      <c r="QTH61" s="220"/>
      <c r="QTI61" s="220"/>
      <c r="QTJ61" s="217"/>
      <c r="QTK61" s="221"/>
      <c r="QTL61" s="216"/>
      <c r="QTM61" s="217"/>
      <c r="QTN61" s="218"/>
      <c r="QTO61" s="219"/>
      <c r="QTP61" s="220"/>
      <c r="QTQ61" s="220"/>
      <c r="QTR61" s="220"/>
      <c r="QTS61" s="220"/>
      <c r="QTT61" s="217"/>
      <c r="QTU61" s="221"/>
      <c r="QTV61" s="216"/>
      <c r="QTW61" s="217"/>
      <c r="QTX61" s="218"/>
      <c r="QTY61" s="219"/>
      <c r="QTZ61" s="220"/>
      <c r="QUA61" s="220"/>
      <c r="QUB61" s="220"/>
      <c r="QUC61" s="220"/>
      <c r="QUD61" s="217"/>
      <c r="QUE61" s="221"/>
      <c r="QUF61" s="216"/>
      <c r="QUG61" s="217"/>
      <c r="QUH61" s="218"/>
      <c r="QUI61" s="219"/>
      <c r="QUJ61" s="220"/>
      <c r="QUK61" s="220"/>
      <c r="QUL61" s="220"/>
      <c r="QUM61" s="220"/>
      <c r="QUN61" s="217"/>
      <c r="QUO61" s="221"/>
      <c r="QUP61" s="216"/>
      <c r="QUQ61" s="217"/>
      <c r="QUR61" s="218"/>
      <c r="QUS61" s="219"/>
      <c r="QUT61" s="220"/>
      <c r="QUU61" s="220"/>
      <c r="QUV61" s="220"/>
      <c r="QUW61" s="220"/>
      <c r="QUX61" s="217"/>
      <c r="QUY61" s="221"/>
      <c r="QUZ61" s="216"/>
      <c r="QVA61" s="217"/>
      <c r="QVB61" s="218"/>
      <c r="QVC61" s="219"/>
      <c r="QVD61" s="220"/>
      <c r="QVE61" s="220"/>
      <c r="QVF61" s="220"/>
      <c r="QVG61" s="220"/>
      <c r="QVH61" s="217"/>
      <c r="QVI61" s="221"/>
      <c r="QVJ61" s="216"/>
      <c r="QVK61" s="217"/>
      <c r="QVL61" s="218"/>
      <c r="QVM61" s="219"/>
      <c r="QVN61" s="220"/>
      <c r="QVO61" s="220"/>
      <c r="QVP61" s="220"/>
      <c r="QVQ61" s="220"/>
      <c r="QVR61" s="217"/>
      <c r="QVS61" s="221"/>
      <c r="QVT61" s="216"/>
      <c r="QVU61" s="217"/>
      <c r="QVV61" s="218"/>
      <c r="QVW61" s="219"/>
      <c r="QVX61" s="220"/>
      <c r="QVY61" s="220"/>
      <c r="QVZ61" s="220"/>
      <c r="QWA61" s="220"/>
      <c r="QWB61" s="217"/>
      <c r="QWC61" s="221"/>
      <c r="QWD61" s="216"/>
      <c r="QWE61" s="217"/>
      <c r="QWF61" s="218"/>
      <c r="QWG61" s="219"/>
      <c r="QWH61" s="220"/>
      <c r="QWI61" s="220"/>
      <c r="QWJ61" s="220"/>
      <c r="QWK61" s="220"/>
      <c r="QWL61" s="217"/>
      <c r="QWM61" s="221"/>
      <c r="QWN61" s="216"/>
      <c r="QWO61" s="217"/>
      <c r="QWP61" s="218"/>
      <c r="QWQ61" s="219"/>
      <c r="QWR61" s="220"/>
      <c r="QWS61" s="220"/>
      <c r="QWT61" s="220"/>
      <c r="QWU61" s="220"/>
      <c r="QWV61" s="217"/>
      <c r="QWW61" s="221"/>
      <c r="QWX61" s="216"/>
      <c r="QWY61" s="217"/>
      <c r="QWZ61" s="218"/>
      <c r="QXA61" s="219"/>
      <c r="QXB61" s="220"/>
      <c r="QXC61" s="220"/>
      <c r="QXD61" s="220"/>
      <c r="QXE61" s="220"/>
      <c r="QXF61" s="217"/>
      <c r="QXG61" s="221"/>
      <c r="QXH61" s="216"/>
      <c r="QXI61" s="217"/>
      <c r="QXJ61" s="218"/>
      <c r="QXK61" s="219"/>
      <c r="QXL61" s="220"/>
      <c r="QXM61" s="220"/>
      <c r="QXN61" s="220"/>
      <c r="QXO61" s="220"/>
      <c r="QXP61" s="217"/>
      <c r="QXQ61" s="221"/>
      <c r="QXR61" s="216"/>
      <c r="QXS61" s="217"/>
      <c r="QXT61" s="218"/>
      <c r="QXU61" s="219"/>
      <c r="QXV61" s="220"/>
      <c r="QXW61" s="220"/>
      <c r="QXX61" s="220"/>
      <c r="QXY61" s="220"/>
      <c r="QXZ61" s="217"/>
      <c r="QYA61" s="221"/>
      <c r="QYB61" s="216"/>
      <c r="QYC61" s="217"/>
      <c r="QYD61" s="218"/>
      <c r="QYE61" s="219"/>
      <c r="QYF61" s="220"/>
      <c r="QYG61" s="220"/>
      <c r="QYH61" s="220"/>
      <c r="QYI61" s="220"/>
      <c r="QYJ61" s="217"/>
      <c r="QYK61" s="221"/>
      <c r="QYL61" s="216"/>
      <c r="QYM61" s="217"/>
      <c r="QYN61" s="218"/>
      <c r="QYO61" s="219"/>
      <c r="QYP61" s="220"/>
      <c r="QYQ61" s="220"/>
      <c r="QYR61" s="220"/>
      <c r="QYS61" s="220"/>
      <c r="QYT61" s="217"/>
      <c r="QYU61" s="221"/>
      <c r="QYV61" s="216"/>
      <c r="QYW61" s="217"/>
      <c r="QYX61" s="218"/>
      <c r="QYY61" s="219"/>
      <c r="QYZ61" s="220"/>
      <c r="QZA61" s="220"/>
      <c r="QZB61" s="220"/>
      <c r="QZC61" s="220"/>
      <c r="QZD61" s="217"/>
      <c r="QZE61" s="221"/>
      <c r="QZF61" s="216"/>
      <c r="QZG61" s="217"/>
      <c r="QZH61" s="218"/>
      <c r="QZI61" s="219"/>
      <c r="QZJ61" s="220"/>
      <c r="QZK61" s="220"/>
      <c r="QZL61" s="220"/>
      <c r="QZM61" s="220"/>
      <c r="QZN61" s="217"/>
      <c r="QZO61" s="221"/>
      <c r="QZP61" s="216"/>
      <c r="QZQ61" s="217"/>
      <c r="QZR61" s="218"/>
      <c r="QZS61" s="219"/>
      <c r="QZT61" s="220"/>
      <c r="QZU61" s="220"/>
      <c r="QZV61" s="220"/>
      <c r="QZW61" s="220"/>
      <c r="QZX61" s="217"/>
      <c r="QZY61" s="221"/>
      <c r="QZZ61" s="216"/>
      <c r="RAA61" s="217"/>
      <c r="RAB61" s="218"/>
      <c r="RAC61" s="219"/>
      <c r="RAD61" s="220"/>
      <c r="RAE61" s="220"/>
      <c r="RAF61" s="220"/>
      <c r="RAG61" s="220"/>
      <c r="RAH61" s="217"/>
      <c r="RAI61" s="221"/>
      <c r="RAJ61" s="216"/>
      <c r="RAK61" s="217"/>
      <c r="RAL61" s="218"/>
      <c r="RAM61" s="219"/>
      <c r="RAN61" s="220"/>
      <c r="RAO61" s="220"/>
      <c r="RAP61" s="220"/>
      <c r="RAQ61" s="220"/>
      <c r="RAR61" s="217"/>
      <c r="RAS61" s="221"/>
      <c r="RAT61" s="216"/>
      <c r="RAU61" s="217"/>
      <c r="RAV61" s="218"/>
      <c r="RAW61" s="219"/>
      <c r="RAX61" s="220"/>
      <c r="RAY61" s="220"/>
      <c r="RAZ61" s="220"/>
      <c r="RBA61" s="220"/>
      <c r="RBB61" s="217"/>
      <c r="RBC61" s="221"/>
      <c r="RBD61" s="216"/>
      <c r="RBE61" s="217"/>
      <c r="RBF61" s="218"/>
      <c r="RBG61" s="219"/>
      <c r="RBH61" s="220"/>
      <c r="RBI61" s="220"/>
      <c r="RBJ61" s="220"/>
      <c r="RBK61" s="220"/>
      <c r="RBL61" s="217"/>
      <c r="RBM61" s="221"/>
      <c r="RBN61" s="216"/>
      <c r="RBO61" s="217"/>
      <c r="RBP61" s="218"/>
      <c r="RBQ61" s="219"/>
      <c r="RBR61" s="220"/>
      <c r="RBS61" s="220"/>
      <c r="RBT61" s="220"/>
      <c r="RBU61" s="220"/>
      <c r="RBV61" s="217"/>
      <c r="RBW61" s="221"/>
      <c r="RBX61" s="216"/>
      <c r="RBY61" s="217"/>
      <c r="RBZ61" s="218"/>
      <c r="RCA61" s="219"/>
      <c r="RCB61" s="220"/>
      <c r="RCC61" s="220"/>
      <c r="RCD61" s="220"/>
      <c r="RCE61" s="220"/>
      <c r="RCF61" s="217"/>
      <c r="RCG61" s="221"/>
      <c r="RCH61" s="216"/>
      <c r="RCI61" s="217"/>
      <c r="RCJ61" s="218"/>
      <c r="RCK61" s="219"/>
      <c r="RCL61" s="220"/>
      <c r="RCM61" s="220"/>
      <c r="RCN61" s="220"/>
      <c r="RCO61" s="220"/>
      <c r="RCP61" s="217"/>
      <c r="RCQ61" s="221"/>
      <c r="RCR61" s="216"/>
      <c r="RCS61" s="217"/>
      <c r="RCT61" s="218"/>
      <c r="RCU61" s="219"/>
      <c r="RCV61" s="220"/>
      <c r="RCW61" s="220"/>
      <c r="RCX61" s="220"/>
      <c r="RCY61" s="220"/>
      <c r="RCZ61" s="217"/>
      <c r="RDA61" s="221"/>
      <c r="RDB61" s="216"/>
      <c r="RDC61" s="217"/>
      <c r="RDD61" s="218"/>
      <c r="RDE61" s="219"/>
      <c r="RDF61" s="220"/>
      <c r="RDG61" s="220"/>
      <c r="RDH61" s="220"/>
      <c r="RDI61" s="220"/>
      <c r="RDJ61" s="217"/>
      <c r="RDK61" s="221"/>
      <c r="RDL61" s="216"/>
      <c r="RDM61" s="217"/>
      <c r="RDN61" s="218"/>
      <c r="RDO61" s="219"/>
      <c r="RDP61" s="220"/>
      <c r="RDQ61" s="220"/>
      <c r="RDR61" s="220"/>
      <c r="RDS61" s="220"/>
      <c r="RDT61" s="217"/>
      <c r="RDU61" s="221"/>
      <c r="RDV61" s="216"/>
      <c r="RDW61" s="217"/>
      <c r="RDX61" s="218"/>
      <c r="RDY61" s="219"/>
      <c r="RDZ61" s="220"/>
      <c r="REA61" s="220"/>
      <c r="REB61" s="220"/>
      <c r="REC61" s="220"/>
      <c r="RED61" s="217"/>
      <c r="REE61" s="221"/>
      <c r="REF61" s="216"/>
      <c r="REG61" s="217"/>
      <c r="REH61" s="218"/>
      <c r="REI61" s="219"/>
      <c r="REJ61" s="220"/>
      <c r="REK61" s="220"/>
      <c r="REL61" s="220"/>
      <c r="REM61" s="220"/>
      <c r="REN61" s="217"/>
      <c r="REO61" s="221"/>
      <c r="REP61" s="216"/>
      <c r="REQ61" s="217"/>
      <c r="RER61" s="218"/>
      <c r="RES61" s="219"/>
      <c r="RET61" s="220"/>
      <c r="REU61" s="220"/>
      <c r="REV61" s="220"/>
      <c r="REW61" s="220"/>
      <c r="REX61" s="217"/>
      <c r="REY61" s="221"/>
      <c r="REZ61" s="216"/>
      <c r="RFA61" s="217"/>
      <c r="RFB61" s="218"/>
      <c r="RFC61" s="219"/>
      <c r="RFD61" s="220"/>
      <c r="RFE61" s="220"/>
      <c r="RFF61" s="220"/>
      <c r="RFG61" s="220"/>
      <c r="RFH61" s="217"/>
      <c r="RFI61" s="221"/>
      <c r="RFJ61" s="216"/>
      <c r="RFK61" s="217"/>
      <c r="RFL61" s="218"/>
      <c r="RFM61" s="219"/>
      <c r="RFN61" s="220"/>
      <c r="RFO61" s="220"/>
      <c r="RFP61" s="220"/>
      <c r="RFQ61" s="220"/>
      <c r="RFR61" s="217"/>
      <c r="RFS61" s="221"/>
      <c r="RFT61" s="216"/>
      <c r="RFU61" s="217"/>
      <c r="RFV61" s="218"/>
      <c r="RFW61" s="219"/>
      <c r="RFX61" s="220"/>
      <c r="RFY61" s="220"/>
      <c r="RFZ61" s="220"/>
      <c r="RGA61" s="220"/>
      <c r="RGB61" s="217"/>
      <c r="RGC61" s="221"/>
      <c r="RGD61" s="216"/>
      <c r="RGE61" s="217"/>
      <c r="RGF61" s="218"/>
      <c r="RGG61" s="219"/>
      <c r="RGH61" s="220"/>
      <c r="RGI61" s="220"/>
      <c r="RGJ61" s="220"/>
      <c r="RGK61" s="220"/>
      <c r="RGL61" s="217"/>
      <c r="RGM61" s="221"/>
      <c r="RGN61" s="216"/>
      <c r="RGO61" s="217"/>
      <c r="RGP61" s="218"/>
      <c r="RGQ61" s="219"/>
      <c r="RGR61" s="220"/>
      <c r="RGS61" s="220"/>
      <c r="RGT61" s="220"/>
      <c r="RGU61" s="220"/>
      <c r="RGV61" s="217"/>
      <c r="RGW61" s="221"/>
      <c r="RGX61" s="216"/>
      <c r="RGY61" s="217"/>
      <c r="RGZ61" s="218"/>
      <c r="RHA61" s="219"/>
      <c r="RHB61" s="220"/>
      <c r="RHC61" s="220"/>
      <c r="RHD61" s="220"/>
      <c r="RHE61" s="220"/>
      <c r="RHF61" s="217"/>
      <c r="RHG61" s="221"/>
      <c r="RHH61" s="216"/>
      <c r="RHI61" s="217"/>
      <c r="RHJ61" s="218"/>
      <c r="RHK61" s="219"/>
      <c r="RHL61" s="220"/>
      <c r="RHM61" s="220"/>
      <c r="RHN61" s="220"/>
      <c r="RHO61" s="220"/>
      <c r="RHP61" s="217"/>
      <c r="RHQ61" s="221"/>
      <c r="RHR61" s="216"/>
      <c r="RHS61" s="217"/>
      <c r="RHT61" s="218"/>
      <c r="RHU61" s="219"/>
      <c r="RHV61" s="220"/>
      <c r="RHW61" s="220"/>
      <c r="RHX61" s="220"/>
      <c r="RHY61" s="220"/>
      <c r="RHZ61" s="217"/>
      <c r="RIA61" s="221"/>
      <c r="RIB61" s="216"/>
      <c r="RIC61" s="217"/>
      <c r="RID61" s="218"/>
      <c r="RIE61" s="219"/>
      <c r="RIF61" s="220"/>
      <c r="RIG61" s="220"/>
      <c r="RIH61" s="220"/>
      <c r="RII61" s="220"/>
      <c r="RIJ61" s="217"/>
      <c r="RIK61" s="221"/>
      <c r="RIL61" s="216"/>
      <c r="RIM61" s="217"/>
      <c r="RIN61" s="218"/>
      <c r="RIO61" s="219"/>
      <c r="RIP61" s="220"/>
      <c r="RIQ61" s="220"/>
      <c r="RIR61" s="220"/>
      <c r="RIS61" s="220"/>
      <c r="RIT61" s="217"/>
      <c r="RIU61" s="221"/>
      <c r="RIV61" s="216"/>
      <c r="RIW61" s="217"/>
      <c r="RIX61" s="218"/>
      <c r="RIY61" s="219"/>
      <c r="RIZ61" s="220"/>
      <c r="RJA61" s="220"/>
      <c r="RJB61" s="220"/>
      <c r="RJC61" s="220"/>
      <c r="RJD61" s="217"/>
      <c r="RJE61" s="221"/>
      <c r="RJF61" s="216"/>
      <c r="RJG61" s="217"/>
      <c r="RJH61" s="218"/>
      <c r="RJI61" s="219"/>
      <c r="RJJ61" s="220"/>
      <c r="RJK61" s="220"/>
      <c r="RJL61" s="220"/>
      <c r="RJM61" s="220"/>
      <c r="RJN61" s="217"/>
      <c r="RJO61" s="221"/>
      <c r="RJP61" s="216"/>
      <c r="RJQ61" s="217"/>
      <c r="RJR61" s="218"/>
      <c r="RJS61" s="219"/>
      <c r="RJT61" s="220"/>
      <c r="RJU61" s="220"/>
      <c r="RJV61" s="220"/>
      <c r="RJW61" s="220"/>
      <c r="RJX61" s="217"/>
      <c r="RJY61" s="221"/>
      <c r="RJZ61" s="216"/>
      <c r="RKA61" s="217"/>
      <c r="RKB61" s="218"/>
      <c r="RKC61" s="219"/>
      <c r="RKD61" s="220"/>
      <c r="RKE61" s="220"/>
      <c r="RKF61" s="220"/>
      <c r="RKG61" s="220"/>
      <c r="RKH61" s="217"/>
      <c r="RKI61" s="221"/>
      <c r="RKJ61" s="216"/>
      <c r="RKK61" s="217"/>
      <c r="RKL61" s="218"/>
      <c r="RKM61" s="219"/>
      <c r="RKN61" s="220"/>
      <c r="RKO61" s="220"/>
      <c r="RKP61" s="220"/>
      <c r="RKQ61" s="220"/>
      <c r="RKR61" s="217"/>
      <c r="RKS61" s="221"/>
      <c r="RKT61" s="216"/>
      <c r="RKU61" s="217"/>
      <c r="RKV61" s="218"/>
      <c r="RKW61" s="219"/>
      <c r="RKX61" s="220"/>
      <c r="RKY61" s="220"/>
      <c r="RKZ61" s="220"/>
      <c r="RLA61" s="220"/>
      <c r="RLB61" s="217"/>
      <c r="RLC61" s="221"/>
      <c r="RLD61" s="216"/>
      <c r="RLE61" s="217"/>
      <c r="RLF61" s="218"/>
      <c r="RLG61" s="219"/>
      <c r="RLH61" s="220"/>
      <c r="RLI61" s="220"/>
      <c r="RLJ61" s="220"/>
      <c r="RLK61" s="220"/>
      <c r="RLL61" s="217"/>
      <c r="RLM61" s="221"/>
      <c r="RLN61" s="216"/>
      <c r="RLO61" s="217"/>
      <c r="RLP61" s="218"/>
      <c r="RLQ61" s="219"/>
      <c r="RLR61" s="220"/>
      <c r="RLS61" s="220"/>
      <c r="RLT61" s="220"/>
      <c r="RLU61" s="220"/>
      <c r="RLV61" s="217"/>
      <c r="RLW61" s="221"/>
      <c r="RLX61" s="216"/>
      <c r="RLY61" s="217"/>
      <c r="RLZ61" s="218"/>
      <c r="RMA61" s="219"/>
      <c r="RMB61" s="220"/>
      <c r="RMC61" s="220"/>
      <c r="RMD61" s="220"/>
      <c r="RME61" s="220"/>
      <c r="RMF61" s="217"/>
      <c r="RMG61" s="221"/>
      <c r="RMH61" s="216"/>
      <c r="RMI61" s="217"/>
      <c r="RMJ61" s="218"/>
      <c r="RMK61" s="219"/>
      <c r="RML61" s="220"/>
      <c r="RMM61" s="220"/>
      <c r="RMN61" s="220"/>
      <c r="RMO61" s="220"/>
      <c r="RMP61" s="217"/>
      <c r="RMQ61" s="221"/>
      <c r="RMR61" s="216"/>
      <c r="RMS61" s="217"/>
      <c r="RMT61" s="218"/>
      <c r="RMU61" s="219"/>
      <c r="RMV61" s="220"/>
      <c r="RMW61" s="220"/>
      <c r="RMX61" s="220"/>
      <c r="RMY61" s="220"/>
      <c r="RMZ61" s="217"/>
      <c r="RNA61" s="221"/>
      <c r="RNB61" s="216"/>
      <c r="RNC61" s="217"/>
      <c r="RND61" s="218"/>
      <c r="RNE61" s="219"/>
      <c r="RNF61" s="220"/>
      <c r="RNG61" s="220"/>
      <c r="RNH61" s="220"/>
      <c r="RNI61" s="220"/>
      <c r="RNJ61" s="217"/>
      <c r="RNK61" s="221"/>
      <c r="RNL61" s="216"/>
      <c r="RNM61" s="217"/>
      <c r="RNN61" s="218"/>
      <c r="RNO61" s="219"/>
      <c r="RNP61" s="220"/>
      <c r="RNQ61" s="220"/>
      <c r="RNR61" s="220"/>
      <c r="RNS61" s="220"/>
      <c r="RNT61" s="217"/>
      <c r="RNU61" s="221"/>
      <c r="RNV61" s="216"/>
      <c r="RNW61" s="217"/>
      <c r="RNX61" s="218"/>
      <c r="RNY61" s="219"/>
      <c r="RNZ61" s="220"/>
      <c r="ROA61" s="220"/>
      <c r="ROB61" s="220"/>
      <c r="ROC61" s="220"/>
      <c r="ROD61" s="217"/>
      <c r="ROE61" s="221"/>
      <c r="ROF61" s="216"/>
      <c r="ROG61" s="217"/>
      <c r="ROH61" s="218"/>
      <c r="ROI61" s="219"/>
      <c r="ROJ61" s="220"/>
      <c r="ROK61" s="220"/>
      <c r="ROL61" s="220"/>
      <c r="ROM61" s="220"/>
      <c r="RON61" s="217"/>
      <c r="ROO61" s="221"/>
      <c r="ROP61" s="216"/>
      <c r="ROQ61" s="217"/>
      <c r="ROR61" s="218"/>
      <c r="ROS61" s="219"/>
      <c r="ROT61" s="220"/>
      <c r="ROU61" s="220"/>
      <c r="ROV61" s="220"/>
      <c r="ROW61" s="220"/>
      <c r="ROX61" s="217"/>
      <c r="ROY61" s="221"/>
      <c r="ROZ61" s="216"/>
      <c r="RPA61" s="217"/>
      <c r="RPB61" s="218"/>
      <c r="RPC61" s="219"/>
      <c r="RPD61" s="220"/>
      <c r="RPE61" s="220"/>
      <c r="RPF61" s="220"/>
      <c r="RPG61" s="220"/>
      <c r="RPH61" s="217"/>
      <c r="RPI61" s="221"/>
      <c r="RPJ61" s="216"/>
      <c r="RPK61" s="217"/>
      <c r="RPL61" s="218"/>
      <c r="RPM61" s="219"/>
      <c r="RPN61" s="220"/>
      <c r="RPO61" s="220"/>
      <c r="RPP61" s="220"/>
      <c r="RPQ61" s="220"/>
      <c r="RPR61" s="217"/>
      <c r="RPS61" s="221"/>
      <c r="RPT61" s="216"/>
      <c r="RPU61" s="217"/>
      <c r="RPV61" s="218"/>
      <c r="RPW61" s="219"/>
      <c r="RPX61" s="220"/>
      <c r="RPY61" s="220"/>
      <c r="RPZ61" s="220"/>
      <c r="RQA61" s="220"/>
      <c r="RQB61" s="217"/>
      <c r="RQC61" s="221"/>
      <c r="RQD61" s="216"/>
      <c r="RQE61" s="217"/>
      <c r="RQF61" s="218"/>
      <c r="RQG61" s="219"/>
      <c r="RQH61" s="220"/>
      <c r="RQI61" s="220"/>
      <c r="RQJ61" s="220"/>
      <c r="RQK61" s="220"/>
      <c r="RQL61" s="217"/>
      <c r="RQM61" s="221"/>
      <c r="RQN61" s="216"/>
      <c r="RQO61" s="217"/>
      <c r="RQP61" s="218"/>
      <c r="RQQ61" s="219"/>
      <c r="RQR61" s="220"/>
      <c r="RQS61" s="220"/>
      <c r="RQT61" s="220"/>
      <c r="RQU61" s="220"/>
      <c r="RQV61" s="217"/>
      <c r="RQW61" s="221"/>
      <c r="RQX61" s="216"/>
      <c r="RQY61" s="217"/>
      <c r="RQZ61" s="218"/>
      <c r="RRA61" s="219"/>
      <c r="RRB61" s="220"/>
      <c r="RRC61" s="220"/>
      <c r="RRD61" s="220"/>
      <c r="RRE61" s="220"/>
      <c r="RRF61" s="217"/>
      <c r="RRG61" s="221"/>
      <c r="RRH61" s="216"/>
      <c r="RRI61" s="217"/>
      <c r="RRJ61" s="218"/>
      <c r="RRK61" s="219"/>
      <c r="RRL61" s="220"/>
      <c r="RRM61" s="220"/>
      <c r="RRN61" s="220"/>
      <c r="RRO61" s="220"/>
      <c r="RRP61" s="217"/>
      <c r="RRQ61" s="221"/>
      <c r="RRR61" s="216"/>
      <c r="RRS61" s="217"/>
      <c r="RRT61" s="218"/>
      <c r="RRU61" s="219"/>
      <c r="RRV61" s="220"/>
      <c r="RRW61" s="220"/>
      <c r="RRX61" s="220"/>
      <c r="RRY61" s="220"/>
      <c r="RRZ61" s="217"/>
      <c r="RSA61" s="221"/>
      <c r="RSB61" s="216"/>
      <c r="RSC61" s="217"/>
      <c r="RSD61" s="218"/>
      <c r="RSE61" s="219"/>
      <c r="RSF61" s="220"/>
      <c r="RSG61" s="220"/>
      <c r="RSH61" s="220"/>
      <c r="RSI61" s="220"/>
      <c r="RSJ61" s="217"/>
      <c r="RSK61" s="221"/>
      <c r="RSL61" s="216"/>
      <c r="RSM61" s="217"/>
      <c r="RSN61" s="218"/>
      <c r="RSO61" s="219"/>
      <c r="RSP61" s="220"/>
      <c r="RSQ61" s="220"/>
      <c r="RSR61" s="220"/>
      <c r="RSS61" s="220"/>
      <c r="RST61" s="217"/>
      <c r="RSU61" s="221"/>
      <c r="RSV61" s="216"/>
      <c r="RSW61" s="217"/>
      <c r="RSX61" s="218"/>
      <c r="RSY61" s="219"/>
      <c r="RSZ61" s="220"/>
      <c r="RTA61" s="220"/>
      <c r="RTB61" s="220"/>
      <c r="RTC61" s="220"/>
      <c r="RTD61" s="217"/>
      <c r="RTE61" s="221"/>
      <c r="RTF61" s="216"/>
      <c r="RTG61" s="217"/>
      <c r="RTH61" s="218"/>
      <c r="RTI61" s="219"/>
      <c r="RTJ61" s="220"/>
      <c r="RTK61" s="220"/>
      <c r="RTL61" s="220"/>
      <c r="RTM61" s="220"/>
      <c r="RTN61" s="217"/>
      <c r="RTO61" s="221"/>
      <c r="RTP61" s="216"/>
      <c r="RTQ61" s="217"/>
      <c r="RTR61" s="218"/>
      <c r="RTS61" s="219"/>
      <c r="RTT61" s="220"/>
      <c r="RTU61" s="220"/>
      <c r="RTV61" s="220"/>
      <c r="RTW61" s="220"/>
      <c r="RTX61" s="217"/>
      <c r="RTY61" s="221"/>
      <c r="RTZ61" s="216"/>
      <c r="RUA61" s="217"/>
      <c r="RUB61" s="218"/>
      <c r="RUC61" s="219"/>
      <c r="RUD61" s="220"/>
      <c r="RUE61" s="220"/>
      <c r="RUF61" s="220"/>
      <c r="RUG61" s="220"/>
      <c r="RUH61" s="217"/>
      <c r="RUI61" s="221"/>
      <c r="RUJ61" s="216"/>
      <c r="RUK61" s="217"/>
      <c r="RUL61" s="218"/>
      <c r="RUM61" s="219"/>
      <c r="RUN61" s="220"/>
      <c r="RUO61" s="220"/>
      <c r="RUP61" s="220"/>
      <c r="RUQ61" s="220"/>
      <c r="RUR61" s="217"/>
      <c r="RUS61" s="221"/>
      <c r="RUT61" s="216"/>
      <c r="RUU61" s="217"/>
      <c r="RUV61" s="218"/>
      <c r="RUW61" s="219"/>
      <c r="RUX61" s="220"/>
      <c r="RUY61" s="220"/>
      <c r="RUZ61" s="220"/>
      <c r="RVA61" s="220"/>
      <c r="RVB61" s="217"/>
      <c r="RVC61" s="221"/>
      <c r="RVD61" s="216"/>
      <c r="RVE61" s="217"/>
      <c r="RVF61" s="218"/>
      <c r="RVG61" s="219"/>
      <c r="RVH61" s="220"/>
      <c r="RVI61" s="220"/>
      <c r="RVJ61" s="220"/>
      <c r="RVK61" s="220"/>
      <c r="RVL61" s="217"/>
      <c r="RVM61" s="221"/>
      <c r="RVN61" s="216"/>
      <c r="RVO61" s="217"/>
      <c r="RVP61" s="218"/>
      <c r="RVQ61" s="219"/>
      <c r="RVR61" s="220"/>
      <c r="RVS61" s="220"/>
      <c r="RVT61" s="220"/>
      <c r="RVU61" s="220"/>
      <c r="RVV61" s="217"/>
      <c r="RVW61" s="221"/>
      <c r="RVX61" s="216"/>
      <c r="RVY61" s="217"/>
      <c r="RVZ61" s="218"/>
      <c r="RWA61" s="219"/>
      <c r="RWB61" s="220"/>
      <c r="RWC61" s="220"/>
      <c r="RWD61" s="220"/>
      <c r="RWE61" s="220"/>
      <c r="RWF61" s="217"/>
      <c r="RWG61" s="221"/>
      <c r="RWH61" s="216"/>
      <c r="RWI61" s="217"/>
      <c r="RWJ61" s="218"/>
      <c r="RWK61" s="219"/>
      <c r="RWL61" s="220"/>
      <c r="RWM61" s="220"/>
      <c r="RWN61" s="220"/>
      <c r="RWO61" s="220"/>
      <c r="RWP61" s="217"/>
      <c r="RWQ61" s="221"/>
      <c r="RWR61" s="216"/>
      <c r="RWS61" s="217"/>
      <c r="RWT61" s="218"/>
      <c r="RWU61" s="219"/>
      <c r="RWV61" s="220"/>
      <c r="RWW61" s="220"/>
      <c r="RWX61" s="220"/>
      <c r="RWY61" s="220"/>
      <c r="RWZ61" s="217"/>
      <c r="RXA61" s="221"/>
      <c r="RXB61" s="216"/>
      <c r="RXC61" s="217"/>
      <c r="RXD61" s="218"/>
      <c r="RXE61" s="219"/>
      <c r="RXF61" s="220"/>
      <c r="RXG61" s="220"/>
      <c r="RXH61" s="220"/>
      <c r="RXI61" s="220"/>
      <c r="RXJ61" s="217"/>
      <c r="RXK61" s="221"/>
      <c r="RXL61" s="216"/>
      <c r="RXM61" s="217"/>
      <c r="RXN61" s="218"/>
      <c r="RXO61" s="219"/>
      <c r="RXP61" s="220"/>
      <c r="RXQ61" s="220"/>
      <c r="RXR61" s="220"/>
      <c r="RXS61" s="220"/>
      <c r="RXT61" s="217"/>
      <c r="RXU61" s="221"/>
      <c r="RXV61" s="216"/>
      <c r="RXW61" s="217"/>
      <c r="RXX61" s="218"/>
      <c r="RXY61" s="219"/>
      <c r="RXZ61" s="220"/>
      <c r="RYA61" s="220"/>
      <c r="RYB61" s="220"/>
      <c r="RYC61" s="220"/>
      <c r="RYD61" s="217"/>
      <c r="RYE61" s="221"/>
      <c r="RYF61" s="216"/>
      <c r="RYG61" s="217"/>
      <c r="RYH61" s="218"/>
      <c r="RYI61" s="219"/>
      <c r="RYJ61" s="220"/>
      <c r="RYK61" s="220"/>
      <c r="RYL61" s="220"/>
      <c r="RYM61" s="220"/>
      <c r="RYN61" s="217"/>
      <c r="RYO61" s="221"/>
      <c r="RYP61" s="216"/>
      <c r="RYQ61" s="217"/>
      <c r="RYR61" s="218"/>
      <c r="RYS61" s="219"/>
      <c r="RYT61" s="220"/>
      <c r="RYU61" s="220"/>
      <c r="RYV61" s="220"/>
      <c r="RYW61" s="220"/>
      <c r="RYX61" s="217"/>
      <c r="RYY61" s="221"/>
      <c r="RYZ61" s="216"/>
      <c r="RZA61" s="217"/>
      <c r="RZB61" s="218"/>
      <c r="RZC61" s="219"/>
      <c r="RZD61" s="220"/>
      <c r="RZE61" s="220"/>
      <c r="RZF61" s="220"/>
      <c r="RZG61" s="220"/>
      <c r="RZH61" s="217"/>
      <c r="RZI61" s="221"/>
      <c r="RZJ61" s="216"/>
      <c r="RZK61" s="217"/>
      <c r="RZL61" s="218"/>
      <c r="RZM61" s="219"/>
      <c r="RZN61" s="220"/>
      <c r="RZO61" s="220"/>
      <c r="RZP61" s="220"/>
      <c r="RZQ61" s="220"/>
      <c r="RZR61" s="217"/>
      <c r="RZS61" s="221"/>
      <c r="RZT61" s="216"/>
      <c r="RZU61" s="217"/>
      <c r="RZV61" s="218"/>
      <c r="RZW61" s="219"/>
      <c r="RZX61" s="220"/>
      <c r="RZY61" s="220"/>
      <c r="RZZ61" s="220"/>
      <c r="SAA61" s="220"/>
      <c r="SAB61" s="217"/>
      <c r="SAC61" s="221"/>
      <c r="SAD61" s="216"/>
      <c r="SAE61" s="217"/>
      <c r="SAF61" s="218"/>
      <c r="SAG61" s="219"/>
      <c r="SAH61" s="220"/>
      <c r="SAI61" s="220"/>
      <c r="SAJ61" s="220"/>
      <c r="SAK61" s="220"/>
      <c r="SAL61" s="217"/>
      <c r="SAM61" s="221"/>
      <c r="SAN61" s="216"/>
      <c r="SAO61" s="217"/>
      <c r="SAP61" s="218"/>
      <c r="SAQ61" s="219"/>
      <c r="SAR61" s="220"/>
      <c r="SAS61" s="220"/>
      <c r="SAT61" s="220"/>
      <c r="SAU61" s="220"/>
      <c r="SAV61" s="217"/>
      <c r="SAW61" s="221"/>
      <c r="SAX61" s="216"/>
      <c r="SAY61" s="217"/>
      <c r="SAZ61" s="218"/>
      <c r="SBA61" s="219"/>
      <c r="SBB61" s="220"/>
      <c r="SBC61" s="220"/>
      <c r="SBD61" s="220"/>
      <c r="SBE61" s="220"/>
      <c r="SBF61" s="217"/>
      <c r="SBG61" s="221"/>
      <c r="SBH61" s="216"/>
      <c r="SBI61" s="217"/>
      <c r="SBJ61" s="218"/>
      <c r="SBK61" s="219"/>
      <c r="SBL61" s="220"/>
      <c r="SBM61" s="220"/>
      <c r="SBN61" s="220"/>
      <c r="SBO61" s="220"/>
      <c r="SBP61" s="217"/>
      <c r="SBQ61" s="221"/>
      <c r="SBR61" s="216"/>
      <c r="SBS61" s="217"/>
      <c r="SBT61" s="218"/>
      <c r="SBU61" s="219"/>
      <c r="SBV61" s="220"/>
      <c r="SBW61" s="220"/>
      <c r="SBX61" s="220"/>
      <c r="SBY61" s="220"/>
      <c r="SBZ61" s="217"/>
      <c r="SCA61" s="221"/>
      <c r="SCB61" s="216"/>
      <c r="SCC61" s="217"/>
      <c r="SCD61" s="218"/>
      <c r="SCE61" s="219"/>
      <c r="SCF61" s="220"/>
      <c r="SCG61" s="220"/>
      <c r="SCH61" s="220"/>
      <c r="SCI61" s="220"/>
      <c r="SCJ61" s="217"/>
      <c r="SCK61" s="221"/>
      <c r="SCL61" s="216"/>
      <c r="SCM61" s="217"/>
      <c r="SCN61" s="218"/>
      <c r="SCO61" s="219"/>
      <c r="SCP61" s="220"/>
      <c r="SCQ61" s="220"/>
      <c r="SCR61" s="220"/>
      <c r="SCS61" s="220"/>
      <c r="SCT61" s="217"/>
      <c r="SCU61" s="221"/>
      <c r="SCV61" s="216"/>
      <c r="SCW61" s="217"/>
      <c r="SCX61" s="218"/>
      <c r="SCY61" s="219"/>
      <c r="SCZ61" s="220"/>
      <c r="SDA61" s="220"/>
      <c r="SDB61" s="220"/>
      <c r="SDC61" s="220"/>
      <c r="SDD61" s="217"/>
      <c r="SDE61" s="221"/>
      <c r="SDF61" s="216"/>
      <c r="SDG61" s="217"/>
      <c r="SDH61" s="218"/>
      <c r="SDI61" s="219"/>
      <c r="SDJ61" s="220"/>
      <c r="SDK61" s="220"/>
      <c r="SDL61" s="220"/>
      <c r="SDM61" s="220"/>
      <c r="SDN61" s="217"/>
      <c r="SDO61" s="221"/>
      <c r="SDP61" s="216"/>
      <c r="SDQ61" s="217"/>
      <c r="SDR61" s="218"/>
      <c r="SDS61" s="219"/>
      <c r="SDT61" s="220"/>
      <c r="SDU61" s="220"/>
      <c r="SDV61" s="220"/>
      <c r="SDW61" s="220"/>
      <c r="SDX61" s="217"/>
      <c r="SDY61" s="221"/>
      <c r="SDZ61" s="216"/>
      <c r="SEA61" s="217"/>
      <c r="SEB61" s="218"/>
      <c r="SEC61" s="219"/>
      <c r="SED61" s="220"/>
      <c r="SEE61" s="220"/>
      <c r="SEF61" s="220"/>
      <c r="SEG61" s="220"/>
      <c r="SEH61" s="217"/>
      <c r="SEI61" s="221"/>
      <c r="SEJ61" s="216"/>
      <c r="SEK61" s="217"/>
      <c r="SEL61" s="218"/>
      <c r="SEM61" s="219"/>
      <c r="SEN61" s="220"/>
      <c r="SEO61" s="220"/>
      <c r="SEP61" s="220"/>
      <c r="SEQ61" s="220"/>
      <c r="SER61" s="217"/>
      <c r="SES61" s="221"/>
      <c r="SET61" s="216"/>
      <c r="SEU61" s="217"/>
      <c r="SEV61" s="218"/>
      <c r="SEW61" s="219"/>
      <c r="SEX61" s="220"/>
      <c r="SEY61" s="220"/>
      <c r="SEZ61" s="220"/>
      <c r="SFA61" s="220"/>
      <c r="SFB61" s="217"/>
      <c r="SFC61" s="221"/>
      <c r="SFD61" s="216"/>
      <c r="SFE61" s="217"/>
      <c r="SFF61" s="218"/>
      <c r="SFG61" s="219"/>
      <c r="SFH61" s="220"/>
      <c r="SFI61" s="220"/>
      <c r="SFJ61" s="220"/>
      <c r="SFK61" s="220"/>
      <c r="SFL61" s="217"/>
      <c r="SFM61" s="221"/>
      <c r="SFN61" s="216"/>
      <c r="SFO61" s="217"/>
      <c r="SFP61" s="218"/>
      <c r="SFQ61" s="219"/>
      <c r="SFR61" s="220"/>
      <c r="SFS61" s="220"/>
      <c r="SFT61" s="220"/>
      <c r="SFU61" s="220"/>
      <c r="SFV61" s="217"/>
      <c r="SFW61" s="221"/>
      <c r="SFX61" s="216"/>
      <c r="SFY61" s="217"/>
      <c r="SFZ61" s="218"/>
      <c r="SGA61" s="219"/>
      <c r="SGB61" s="220"/>
      <c r="SGC61" s="220"/>
      <c r="SGD61" s="220"/>
      <c r="SGE61" s="220"/>
      <c r="SGF61" s="217"/>
      <c r="SGG61" s="221"/>
      <c r="SGH61" s="216"/>
      <c r="SGI61" s="217"/>
      <c r="SGJ61" s="218"/>
      <c r="SGK61" s="219"/>
      <c r="SGL61" s="220"/>
      <c r="SGM61" s="220"/>
      <c r="SGN61" s="220"/>
      <c r="SGO61" s="220"/>
      <c r="SGP61" s="217"/>
      <c r="SGQ61" s="221"/>
      <c r="SGR61" s="216"/>
      <c r="SGS61" s="217"/>
      <c r="SGT61" s="218"/>
      <c r="SGU61" s="219"/>
      <c r="SGV61" s="220"/>
      <c r="SGW61" s="220"/>
      <c r="SGX61" s="220"/>
      <c r="SGY61" s="220"/>
      <c r="SGZ61" s="217"/>
      <c r="SHA61" s="221"/>
      <c r="SHB61" s="216"/>
      <c r="SHC61" s="217"/>
      <c r="SHD61" s="218"/>
      <c r="SHE61" s="219"/>
      <c r="SHF61" s="220"/>
      <c r="SHG61" s="220"/>
      <c r="SHH61" s="220"/>
      <c r="SHI61" s="220"/>
      <c r="SHJ61" s="217"/>
      <c r="SHK61" s="221"/>
      <c r="SHL61" s="216"/>
      <c r="SHM61" s="217"/>
      <c r="SHN61" s="218"/>
      <c r="SHO61" s="219"/>
      <c r="SHP61" s="220"/>
      <c r="SHQ61" s="220"/>
      <c r="SHR61" s="220"/>
      <c r="SHS61" s="220"/>
      <c r="SHT61" s="217"/>
      <c r="SHU61" s="221"/>
      <c r="SHV61" s="216"/>
      <c r="SHW61" s="217"/>
      <c r="SHX61" s="218"/>
      <c r="SHY61" s="219"/>
      <c r="SHZ61" s="220"/>
      <c r="SIA61" s="220"/>
      <c r="SIB61" s="220"/>
      <c r="SIC61" s="220"/>
      <c r="SID61" s="217"/>
      <c r="SIE61" s="221"/>
      <c r="SIF61" s="216"/>
      <c r="SIG61" s="217"/>
      <c r="SIH61" s="218"/>
      <c r="SII61" s="219"/>
      <c r="SIJ61" s="220"/>
      <c r="SIK61" s="220"/>
      <c r="SIL61" s="220"/>
      <c r="SIM61" s="220"/>
      <c r="SIN61" s="217"/>
      <c r="SIO61" s="221"/>
      <c r="SIP61" s="216"/>
      <c r="SIQ61" s="217"/>
      <c r="SIR61" s="218"/>
      <c r="SIS61" s="219"/>
      <c r="SIT61" s="220"/>
      <c r="SIU61" s="220"/>
      <c r="SIV61" s="220"/>
      <c r="SIW61" s="220"/>
      <c r="SIX61" s="217"/>
      <c r="SIY61" s="221"/>
      <c r="SIZ61" s="216"/>
      <c r="SJA61" s="217"/>
      <c r="SJB61" s="218"/>
      <c r="SJC61" s="219"/>
      <c r="SJD61" s="220"/>
      <c r="SJE61" s="220"/>
      <c r="SJF61" s="220"/>
      <c r="SJG61" s="220"/>
      <c r="SJH61" s="217"/>
      <c r="SJI61" s="221"/>
      <c r="SJJ61" s="216"/>
      <c r="SJK61" s="217"/>
      <c r="SJL61" s="218"/>
      <c r="SJM61" s="219"/>
      <c r="SJN61" s="220"/>
      <c r="SJO61" s="220"/>
      <c r="SJP61" s="220"/>
      <c r="SJQ61" s="220"/>
      <c r="SJR61" s="217"/>
      <c r="SJS61" s="221"/>
      <c r="SJT61" s="216"/>
      <c r="SJU61" s="217"/>
      <c r="SJV61" s="218"/>
      <c r="SJW61" s="219"/>
      <c r="SJX61" s="220"/>
      <c r="SJY61" s="220"/>
      <c r="SJZ61" s="220"/>
      <c r="SKA61" s="220"/>
      <c r="SKB61" s="217"/>
      <c r="SKC61" s="221"/>
      <c r="SKD61" s="216"/>
      <c r="SKE61" s="217"/>
      <c r="SKF61" s="218"/>
      <c r="SKG61" s="219"/>
      <c r="SKH61" s="220"/>
      <c r="SKI61" s="220"/>
      <c r="SKJ61" s="220"/>
      <c r="SKK61" s="220"/>
      <c r="SKL61" s="217"/>
      <c r="SKM61" s="221"/>
      <c r="SKN61" s="216"/>
      <c r="SKO61" s="217"/>
      <c r="SKP61" s="218"/>
      <c r="SKQ61" s="219"/>
      <c r="SKR61" s="220"/>
      <c r="SKS61" s="220"/>
      <c r="SKT61" s="220"/>
      <c r="SKU61" s="220"/>
      <c r="SKV61" s="217"/>
      <c r="SKW61" s="221"/>
      <c r="SKX61" s="216"/>
      <c r="SKY61" s="217"/>
      <c r="SKZ61" s="218"/>
      <c r="SLA61" s="219"/>
      <c r="SLB61" s="220"/>
      <c r="SLC61" s="220"/>
      <c r="SLD61" s="220"/>
      <c r="SLE61" s="220"/>
      <c r="SLF61" s="217"/>
      <c r="SLG61" s="221"/>
      <c r="SLH61" s="216"/>
      <c r="SLI61" s="217"/>
      <c r="SLJ61" s="218"/>
      <c r="SLK61" s="219"/>
      <c r="SLL61" s="220"/>
      <c r="SLM61" s="220"/>
      <c r="SLN61" s="220"/>
      <c r="SLO61" s="220"/>
      <c r="SLP61" s="217"/>
      <c r="SLQ61" s="221"/>
      <c r="SLR61" s="216"/>
      <c r="SLS61" s="217"/>
      <c r="SLT61" s="218"/>
      <c r="SLU61" s="219"/>
      <c r="SLV61" s="220"/>
      <c r="SLW61" s="220"/>
      <c r="SLX61" s="220"/>
      <c r="SLY61" s="220"/>
      <c r="SLZ61" s="217"/>
      <c r="SMA61" s="221"/>
      <c r="SMB61" s="216"/>
      <c r="SMC61" s="217"/>
      <c r="SMD61" s="218"/>
      <c r="SME61" s="219"/>
      <c r="SMF61" s="220"/>
      <c r="SMG61" s="220"/>
      <c r="SMH61" s="220"/>
      <c r="SMI61" s="220"/>
      <c r="SMJ61" s="217"/>
      <c r="SMK61" s="221"/>
      <c r="SML61" s="216"/>
      <c r="SMM61" s="217"/>
      <c r="SMN61" s="218"/>
      <c r="SMO61" s="219"/>
      <c r="SMP61" s="220"/>
      <c r="SMQ61" s="220"/>
      <c r="SMR61" s="220"/>
      <c r="SMS61" s="220"/>
      <c r="SMT61" s="217"/>
      <c r="SMU61" s="221"/>
      <c r="SMV61" s="216"/>
      <c r="SMW61" s="217"/>
      <c r="SMX61" s="218"/>
      <c r="SMY61" s="219"/>
      <c r="SMZ61" s="220"/>
      <c r="SNA61" s="220"/>
      <c r="SNB61" s="220"/>
      <c r="SNC61" s="220"/>
      <c r="SND61" s="217"/>
      <c r="SNE61" s="221"/>
      <c r="SNF61" s="216"/>
      <c r="SNG61" s="217"/>
      <c r="SNH61" s="218"/>
      <c r="SNI61" s="219"/>
      <c r="SNJ61" s="220"/>
      <c r="SNK61" s="220"/>
      <c r="SNL61" s="220"/>
      <c r="SNM61" s="220"/>
      <c r="SNN61" s="217"/>
      <c r="SNO61" s="221"/>
      <c r="SNP61" s="216"/>
      <c r="SNQ61" s="217"/>
      <c r="SNR61" s="218"/>
      <c r="SNS61" s="219"/>
      <c r="SNT61" s="220"/>
      <c r="SNU61" s="220"/>
      <c r="SNV61" s="220"/>
      <c r="SNW61" s="220"/>
      <c r="SNX61" s="217"/>
      <c r="SNY61" s="221"/>
      <c r="SNZ61" s="216"/>
      <c r="SOA61" s="217"/>
      <c r="SOB61" s="218"/>
      <c r="SOC61" s="219"/>
      <c r="SOD61" s="220"/>
      <c r="SOE61" s="220"/>
      <c r="SOF61" s="220"/>
      <c r="SOG61" s="220"/>
      <c r="SOH61" s="217"/>
      <c r="SOI61" s="221"/>
      <c r="SOJ61" s="216"/>
      <c r="SOK61" s="217"/>
      <c r="SOL61" s="218"/>
      <c r="SOM61" s="219"/>
      <c r="SON61" s="220"/>
      <c r="SOO61" s="220"/>
      <c r="SOP61" s="220"/>
      <c r="SOQ61" s="220"/>
      <c r="SOR61" s="217"/>
      <c r="SOS61" s="221"/>
      <c r="SOT61" s="216"/>
      <c r="SOU61" s="217"/>
      <c r="SOV61" s="218"/>
      <c r="SOW61" s="219"/>
      <c r="SOX61" s="220"/>
      <c r="SOY61" s="220"/>
      <c r="SOZ61" s="220"/>
      <c r="SPA61" s="220"/>
      <c r="SPB61" s="217"/>
      <c r="SPC61" s="221"/>
      <c r="SPD61" s="216"/>
      <c r="SPE61" s="217"/>
      <c r="SPF61" s="218"/>
      <c r="SPG61" s="219"/>
      <c r="SPH61" s="220"/>
      <c r="SPI61" s="220"/>
      <c r="SPJ61" s="220"/>
      <c r="SPK61" s="220"/>
      <c r="SPL61" s="217"/>
      <c r="SPM61" s="221"/>
      <c r="SPN61" s="216"/>
      <c r="SPO61" s="217"/>
      <c r="SPP61" s="218"/>
      <c r="SPQ61" s="219"/>
      <c r="SPR61" s="220"/>
      <c r="SPS61" s="220"/>
      <c r="SPT61" s="220"/>
      <c r="SPU61" s="220"/>
      <c r="SPV61" s="217"/>
      <c r="SPW61" s="221"/>
      <c r="SPX61" s="216"/>
      <c r="SPY61" s="217"/>
      <c r="SPZ61" s="218"/>
      <c r="SQA61" s="219"/>
      <c r="SQB61" s="220"/>
      <c r="SQC61" s="220"/>
      <c r="SQD61" s="220"/>
      <c r="SQE61" s="220"/>
      <c r="SQF61" s="217"/>
      <c r="SQG61" s="221"/>
      <c r="SQH61" s="216"/>
      <c r="SQI61" s="217"/>
      <c r="SQJ61" s="218"/>
      <c r="SQK61" s="219"/>
      <c r="SQL61" s="220"/>
      <c r="SQM61" s="220"/>
      <c r="SQN61" s="220"/>
      <c r="SQO61" s="220"/>
      <c r="SQP61" s="217"/>
      <c r="SQQ61" s="221"/>
      <c r="SQR61" s="216"/>
      <c r="SQS61" s="217"/>
      <c r="SQT61" s="218"/>
      <c r="SQU61" s="219"/>
      <c r="SQV61" s="220"/>
      <c r="SQW61" s="220"/>
      <c r="SQX61" s="220"/>
      <c r="SQY61" s="220"/>
      <c r="SQZ61" s="217"/>
      <c r="SRA61" s="221"/>
      <c r="SRB61" s="216"/>
      <c r="SRC61" s="217"/>
      <c r="SRD61" s="218"/>
      <c r="SRE61" s="219"/>
      <c r="SRF61" s="220"/>
      <c r="SRG61" s="220"/>
      <c r="SRH61" s="220"/>
      <c r="SRI61" s="220"/>
      <c r="SRJ61" s="217"/>
      <c r="SRK61" s="221"/>
      <c r="SRL61" s="216"/>
      <c r="SRM61" s="217"/>
      <c r="SRN61" s="218"/>
      <c r="SRO61" s="219"/>
      <c r="SRP61" s="220"/>
      <c r="SRQ61" s="220"/>
      <c r="SRR61" s="220"/>
      <c r="SRS61" s="220"/>
      <c r="SRT61" s="217"/>
      <c r="SRU61" s="221"/>
      <c r="SRV61" s="216"/>
      <c r="SRW61" s="217"/>
      <c r="SRX61" s="218"/>
      <c r="SRY61" s="219"/>
      <c r="SRZ61" s="220"/>
      <c r="SSA61" s="220"/>
      <c r="SSB61" s="220"/>
      <c r="SSC61" s="220"/>
      <c r="SSD61" s="217"/>
      <c r="SSE61" s="221"/>
      <c r="SSF61" s="216"/>
      <c r="SSG61" s="217"/>
      <c r="SSH61" s="218"/>
      <c r="SSI61" s="219"/>
      <c r="SSJ61" s="220"/>
      <c r="SSK61" s="220"/>
      <c r="SSL61" s="220"/>
      <c r="SSM61" s="220"/>
      <c r="SSN61" s="217"/>
      <c r="SSO61" s="221"/>
      <c r="SSP61" s="216"/>
      <c r="SSQ61" s="217"/>
      <c r="SSR61" s="218"/>
      <c r="SSS61" s="219"/>
      <c r="SST61" s="220"/>
      <c r="SSU61" s="220"/>
      <c r="SSV61" s="220"/>
      <c r="SSW61" s="220"/>
      <c r="SSX61" s="217"/>
      <c r="SSY61" s="221"/>
      <c r="SSZ61" s="216"/>
      <c r="STA61" s="217"/>
      <c r="STB61" s="218"/>
      <c r="STC61" s="219"/>
      <c r="STD61" s="220"/>
      <c r="STE61" s="220"/>
      <c r="STF61" s="220"/>
      <c r="STG61" s="220"/>
      <c r="STH61" s="217"/>
      <c r="STI61" s="221"/>
      <c r="STJ61" s="216"/>
      <c r="STK61" s="217"/>
      <c r="STL61" s="218"/>
      <c r="STM61" s="219"/>
      <c r="STN61" s="220"/>
      <c r="STO61" s="220"/>
      <c r="STP61" s="220"/>
      <c r="STQ61" s="220"/>
      <c r="STR61" s="217"/>
      <c r="STS61" s="221"/>
      <c r="STT61" s="216"/>
      <c r="STU61" s="217"/>
      <c r="STV61" s="218"/>
      <c r="STW61" s="219"/>
      <c r="STX61" s="220"/>
      <c r="STY61" s="220"/>
      <c r="STZ61" s="220"/>
      <c r="SUA61" s="220"/>
      <c r="SUB61" s="217"/>
      <c r="SUC61" s="221"/>
      <c r="SUD61" s="216"/>
      <c r="SUE61" s="217"/>
      <c r="SUF61" s="218"/>
      <c r="SUG61" s="219"/>
      <c r="SUH61" s="220"/>
      <c r="SUI61" s="220"/>
      <c r="SUJ61" s="220"/>
      <c r="SUK61" s="220"/>
      <c r="SUL61" s="217"/>
      <c r="SUM61" s="221"/>
      <c r="SUN61" s="216"/>
      <c r="SUO61" s="217"/>
      <c r="SUP61" s="218"/>
      <c r="SUQ61" s="219"/>
      <c r="SUR61" s="220"/>
      <c r="SUS61" s="220"/>
      <c r="SUT61" s="220"/>
      <c r="SUU61" s="220"/>
      <c r="SUV61" s="217"/>
      <c r="SUW61" s="221"/>
      <c r="SUX61" s="216"/>
      <c r="SUY61" s="217"/>
      <c r="SUZ61" s="218"/>
      <c r="SVA61" s="219"/>
      <c r="SVB61" s="220"/>
      <c r="SVC61" s="220"/>
      <c r="SVD61" s="220"/>
      <c r="SVE61" s="220"/>
      <c r="SVF61" s="217"/>
      <c r="SVG61" s="221"/>
      <c r="SVH61" s="216"/>
      <c r="SVI61" s="217"/>
      <c r="SVJ61" s="218"/>
      <c r="SVK61" s="219"/>
      <c r="SVL61" s="220"/>
      <c r="SVM61" s="220"/>
      <c r="SVN61" s="220"/>
      <c r="SVO61" s="220"/>
      <c r="SVP61" s="217"/>
      <c r="SVQ61" s="221"/>
      <c r="SVR61" s="216"/>
      <c r="SVS61" s="217"/>
      <c r="SVT61" s="218"/>
      <c r="SVU61" s="219"/>
      <c r="SVV61" s="220"/>
      <c r="SVW61" s="220"/>
      <c r="SVX61" s="220"/>
      <c r="SVY61" s="220"/>
      <c r="SVZ61" s="217"/>
      <c r="SWA61" s="221"/>
      <c r="SWB61" s="216"/>
      <c r="SWC61" s="217"/>
      <c r="SWD61" s="218"/>
      <c r="SWE61" s="219"/>
      <c r="SWF61" s="220"/>
      <c r="SWG61" s="220"/>
      <c r="SWH61" s="220"/>
      <c r="SWI61" s="220"/>
      <c r="SWJ61" s="217"/>
      <c r="SWK61" s="221"/>
      <c r="SWL61" s="216"/>
      <c r="SWM61" s="217"/>
      <c r="SWN61" s="218"/>
      <c r="SWO61" s="219"/>
      <c r="SWP61" s="220"/>
      <c r="SWQ61" s="220"/>
      <c r="SWR61" s="220"/>
      <c r="SWS61" s="220"/>
      <c r="SWT61" s="217"/>
      <c r="SWU61" s="221"/>
      <c r="SWV61" s="216"/>
      <c r="SWW61" s="217"/>
      <c r="SWX61" s="218"/>
      <c r="SWY61" s="219"/>
      <c r="SWZ61" s="220"/>
      <c r="SXA61" s="220"/>
      <c r="SXB61" s="220"/>
      <c r="SXC61" s="220"/>
      <c r="SXD61" s="217"/>
      <c r="SXE61" s="221"/>
      <c r="SXF61" s="216"/>
      <c r="SXG61" s="217"/>
      <c r="SXH61" s="218"/>
      <c r="SXI61" s="219"/>
      <c r="SXJ61" s="220"/>
      <c r="SXK61" s="220"/>
      <c r="SXL61" s="220"/>
      <c r="SXM61" s="220"/>
      <c r="SXN61" s="217"/>
      <c r="SXO61" s="221"/>
      <c r="SXP61" s="216"/>
      <c r="SXQ61" s="217"/>
      <c r="SXR61" s="218"/>
      <c r="SXS61" s="219"/>
      <c r="SXT61" s="220"/>
      <c r="SXU61" s="220"/>
      <c r="SXV61" s="220"/>
      <c r="SXW61" s="220"/>
      <c r="SXX61" s="217"/>
      <c r="SXY61" s="221"/>
      <c r="SXZ61" s="216"/>
      <c r="SYA61" s="217"/>
      <c r="SYB61" s="218"/>
      <c r="SYC61" s="219"/>
      <c r="SYD61" s="220"/>
      <c r="SYE61" s="220"/>
      <c r="SYF61" s="220"/>
      <c r="SYG61" s="220"/>
      <c r="SYH61" s="217"/>
      <c r="SYI61" s="221"/>
      <c r="SYJ61" s="216"/>
      <c r="SYK61" s="217"/>
      <c r="SYL61" s="218"/>
      <c r="SYM61" s="219"/>
      <c r="SYN61" s="220"/>
      <c r="SYO61" s="220"/>
      <c r="SYP61" s="220"/>
      <c r="SYQ61" s="220"/>
      <c r="SYR61" s="217"/>
      <c r="SYS61" s="221"/>
      <c r="SYT61" s="216"/>
      <c r="SYU61" s="217"/>
      <c r="SYV61" s="218"/>
      <c r="SYW61" s="219"/>
      <c r="SYX61" s="220"/>
      <c r="SYY61" s="220"/>
      <c r="SYZ61" s="220"/>
      <c r="SZA61" s="220"/>
      <c r="SZB61" s="217"/>
      <c r="SZC61" s="221"/>
      <c r="SZD61" s="216"/>
      <c r="SZE61" s="217"/>
      <c r="SZF61" s="218"/>
      <c r="SZG61" s="219"/>
      <c r="SZH61" s="220"/>
      <c r="SZI61" s="220"/>
      <c r="SZJ61" s="220"/>
      <c r="SZK61" s="220"/>
      <c r="SZL61" s="217"/>
      <c r="SZM61" s="221"/>
      <c r="SZN61" s="216"/>
      <c r="SZO61" s="217"/>
      <c r="SZP61" s="218"/>
      <c r="SZQ61" s="219"/>
      <c r="SZR61" s="220"/>
      <c r="SZS61" s="220"/>
      <c r="SZT61" s="220"/>
      <c r="SZU61" s="220"/>
      <c r="SZV61" s="217"/>
      <c r="SZW61" s="221"/>
      <c r="SZX61" s="216"/>
      <c r="SZY61" s="217"/>
      <c r="SZZ61" s="218"/>
      <c r="TAA61" s="219"/>
      <c r="TAB61" s="220"/>
      <c r="TAC61" s="220"/>
      <c r="TAD61" s="220"/>
      <c r="TAE61" s="220"/>
      <c r="TAF61" s="217"/>
      <c r="TAG61" s="221"/>
      <c r="TAH61" s="216"/>
      <c r="TAI61" s="217"/>
      <c r="TAJ61" s="218"/>
      <c r="TAK61" s="219"/>
      <c r="TAL61" s="220"/>
      <c r="TAM61" s="220"/>
      <c r="TAN61" s="220"/>
      <c r="TAO61" s="220"/>
      <c r="TAP61" s="217"/>
      <c r="TAQ61" s="221"/>
      <c r="TAR61" s="216"/>
      <c r="TAS61" s="217"/>
      <c r="TAT61" s="218"/>
      <c r="TAU61" s="219"/>
      <c r="TAV61" s="220"/>
      <c r="TAW61" s="220"/>
      <c r="TAX61" s="220"/>
      <c r="TAY61" s="220"/>
      <c r="TAZ61" s="217"/>
      <c r="TBA61" s="221"/>
      <c r="TBB61" s="216"/>
      <c r="TBC61" s="217"/>
      <c r="TBD61" s="218"/>
      <c r="TBE61" s="219"/>
      <c r="TBF61" s="220"/>
      <c r="TBG61" s="220"/>
      <c r="TBH61" s="220"/>
      <c r="TBI61" s="220"/>
      <c r="TBJ61" s="217"/>
      <c r="TBK61" s="221"/>
      <c r="TBL61" s="216"/>
      <c r="TBM61" s="217"/>
      <c r="TBN61" s="218"/>
      <c r="TBO61" s="219"/>
      <c r="TBP61" s="220"/>
      <c r="TBQ61" s="220"/>
      <c r="TBR61" s="220"/>
      <c r="TBS61" s="220"/>
      <c r="TBT61" s="217"/>
      <c r="TBU61" s="221"/>
      <c r="TBV61" s="216"/>
      <c r="TBW61" s="217"/>
      <c r="TBX61" s="218"/>
      <c r="TBY61" s="219"/>
      <c r="TBZ61" s="220"/>
      <c r="TCA61" s="220"/>
      <c r="TCB61" s="220"/>
      <c r="TCC61" s="220"/>
      <c r="TCD61" s="217"/>
      <c r="TCE61" s="221"/>
      <c r="TCF61" s="216"/>
      <c r="TCG61" s="217"/>
      <c r="TCH61" s="218"/>
      <c r="TCI61" s="219"/>
      <c r="TCJ61" s="220"/>
      <c r="TCK61" s="220"/>
      <c r="TCL61" s="220"/>
      <c r="TCM61" s="220"/>
      <c r="TCN61" s="217"/>
      <c r="TCO61" s="221"/>
      <c r="TCP61" s="216"/>
      <c r="TCQ61" s="217"/>
      <c r="TCR61" s="218"/>
      <c r="TCS61" s="219"/>
      <c r="TCT61" s="220"/>
      <c r="TCU61" s="220"/>
      <c r="TCV61" s="220"/>
      <c r="TCW61" s="220"/>
      <c r="TCX61" s="217"/>
      <c r="TCY61" s="221"/>
      <c r="TCZ61" s="216"/>
      <c r="TDA61" s="217"/>
      <c r="TDB61" s="218"/>
      <c r="TDC61" s="219"/>
      <c r="TDD61" s="220"/>
      <c r="TDE61" s="220"/>
      <c r="TDF61" s="220"/>
      <c r="TDG61" s="220"/>
      <c r="TDH61" s="217"/>
      <c r="TDI61" s="221"/>
      <c r="TDJ61" s="216"/>
      <c r="TDK61" s="217"/>
      <c r="TDL61" s="218"/>
      <c r="TDM61" s="219"/>
      <c r="TDN61" s="220"/>
      <c r="TDO61" s="220"/>
      <c r="TDP61" s="220"/>
      <c r="TDQ61" s="220"/>
      <c r="TDR61" s="217"/>
      <c r="TDS61" s="221"/>
      <c r="TDT61" s="216"/>
      <c r="TDU61" s="217"/>
      <c r="TDV61" s="218"/>
      <c r="TDW61" s="219"/>
      <c r="TDX61" s="220"/>
      <c r="TDY61" s="220"/>
      <c r="TDZ61" s="220"/>
      <c r="TEA61" s="220"/>
      <c r="TEB61" s="217"/>
      <c r="TEC61" s="221"/>
      <c r="TED61" s="216"/>
      <c r="TEE61" s="217"/>
      <c r="TEF61" s="218"/>
      <c r="TEG61" s="219"/>
      <c r="TEH61" s="220"/>
      <c r="TEI61" s="220"/>
      <c r="TEJ61" s="220"/>
      <c r="TEK61" s="220"/>
      <c r="TEL61" s="217"/>
      <c r="TEM61" s="221"/>
      <c r="TEN61" s="216"/>
      <c r="TEO61" s="217"/>
      <c r="TEP61" s="218"/>
      <c r="TEQ61" s="219"/>
      <c r="TER61" s="220"/>
      <c r="TES61" s="220"/>
      <c r="TET61" s="220"/>
      <c r="TEU61" s="220"/>
      <c r="TEV61" s="217"/>
      <c r="TEW61" s="221"/>
      <c r="TEX61" s="216"/>
      <c r="TEY61" s="217"/>
      <c r="TEZ61" s="218"/>
      <c r="TFA61" s="219"/>
      <c r="TFB61" s="220"/>
      <c r="TFC61" s="220"/>
      <c r="TFD61" s="220"/>
      <c r="TFE61" s="220"/>
      <c r="TFF61" s="217"/>
      <c r="TFG61" s="221"/>
      <c r="TFH61" s="216"/>
      <c r="TFI61" s="217"/>
      <c r="TFJ61" s="218"/>
      <c r="TFK61" s="219"/>
      <c r="TFL61" s="220"/>
      <c r="TFM61" s="220"/>
      <c r="TFN61" s="220"/>
      <c r="TFO61" s="220"/>
      <c r="TFP61" s="217"/>
      <c r="TFQ61" s="221"/>
      <c r="TFR61" s="216"/>
      <c r="TFS61" s="217"/>
      <c r="TFT61" s="218"/>
      <c r="TFU61" s="219"/>
      <c r="TFV61" s="220"/>
      <c r="TFW61" s="220"/>
      <c r="TFX61" s="220"/>
      <c r="TFY61" s="220"/>
      <c r="TFZ61" s="217"/>
      <c r="TGA61" s="221"/>
      <c r="TGB61" s="216"/>
      <c r="TGC61" s="217"/>
      <c r="TGD61" s="218"/>
      <c r="TGE61" s="219"/>
      <c r="TGF61" s="220"/>
      <c r="TGG61" s="220"/>
      <c r="TGH61" s="220"/>
      <c r="TGI61" s="220"/>
      <c r="TGJ61" s="217"/>
      <c r="TGK61" s="221"/>
      <c r="TGL61" s="216"/>
      <c r="TGM61" s="217"/>
      <c r="TGN61" s="218"/>
      <c r="TGO61" s="219"/>
      <c r="TGP61" s="220"/>
      <c r="TGQ61" s="220"/>
      <c r="TGR61" s="220"/>
      <c r="TGS61" s="220"/>
      <c r="TGT61" s="217"/>
      <c r="TGU61" s="221"/>
      <c r="TGV61" s="216"/>
      <c r="TGW61" s="217"/>
      <c r="TGX61" s="218"/>
      <c r="TGY61" s="219"/>
      <c r="TGZ61" s="220"/>
      <c r="THA61" s="220"/>
      <c r="THB61" s="220"/>
      <c r="THC61" s="220"/>
      <c r="THD61" s="217"/>
      <c r="THE61" s="221"/>
      <c r="THF61" s="216"/>
      <c r="THG61" s="217"/>
      <c r="THH61" s="218"/>
      <c r="THI61" s="219"/>
      <c r="THJ61" s="220"/>
      <c r="THK61" s="220"/>
      <c r="THL61" s="220"/>
      <c r="THM61" s="220"/>
      <c r="THN61" s="217"/>
      <c r="THO61" s="221"/>
      <c r="THP61" s="216"/>
      <c r="THQ61" s="217"/>
      <c r="THR61" s="218"/>
      <c r="THS61" s="219"/>
      <c r="THT61" s="220"/>
      <c r="THU61" s="220"/>
      <c r="THV61" s="220"/>
      <c r="THW61" s="220"/>
      <c r="THX61" s="217"/>
      <c r="THY61" s="221"/>
      <c r="THZ61" s="216"/>
      <c r="TIA61" s="217"/>
      <c r="TIB61" s="218"/>
      <c r="TIC61" s="219"/>
      <c r="TID61" s="220"/>
      <c r="TIE61" s="220"/>
      <c r="TIF61" s="220"/>
      <c r="TIG61" s="220"/>
      <c r="TIH61" s="217"/>
      <c r="TII61" s="221"/>
      <c r="TIJ61" s="216"/>
      <c r="TIK61" s="217"/>
      <c r="TIL61" s="218"/>
      <c r="TIM61" s="219"/>
      <c r="TIN61" s="220"/>
      <c r="TIO61" s="220"/>
      <c r="TIP61" s="220"/>
      <c r="TIQ61" s="220"/>
      <c r="TIR61" s="217"/>
      <c r="TIS61" s="221"/>
      <c r="TIT61" s="216"/>
      <c r="TIU61" s="217"/>
      <c r="TIV61" s="218"/>
      <c r="TIW61" s="219"/>
      <c r="TIX61" s="220"/>
      <c r="TIY61" s="220"/>
      <c r="TIZ61" s="220"/>
      <c r="TJA61" s="220"/>
      <c r="TJB61" s="217"/>
      <c r="TJC61" s="221"/>
      <c r="TJD61" s="216"/>
      <c r="TJE61" s="217"/>
      <c r="TJF61" s="218"/>
      <c r="TJG61" s="219"/>
      <c r="TJH61" s="220"/>
      <c r="TJI61" s="220"/>
      <c r="TJJ61" s="220"/>
      <c r="TJK61" s="220"/>
      <c r="TJL61" s="217"/>
      <c r="TJM61" s="221"/>
      <c r="TJN61" s="216"/>
      <c r="TJO61" s="217"/>
      <c r="TJP61" s="218"/>
      <c r="TJQ61" s="219"/>
      <c r="TJR61" s="220"/>
      <c r="TJS61" s="220"/>
      <c r="TJT61" s="220"/>
      <c r="TJU61" s="220"/>
      <c r="TJV61" s="217"/>
      <c r="TJW61" s="221"/>
      <c r="TJX61" s="216"/>
      <c r="TJY61" s="217"/>
      <c r="TJZ61" s="218"/>
      <c r="TKA61" s="219"/>
      <c r="TKB61" s="220"/>
      <c r="TKC61" s="220"/>
      <c r="TKD61" s="220"/>
      <c r="TKE61" s="220"/>
      <c r="TKF61" s="217"/>
      <c r="TKG61" s="221"/>
      <c r="TKH61" s="216"/>
      <c r="TKI61" s="217"/>
      <c r="TKJ61" s="218"/>
      <c r="TKK61" s="219"/>
      <c r="TKL61" s="220"/>
      <c r="TKM61" s="220"/>
      <c r="TKN61" s="220"/>
      <c r="TKO61" s="220"/>
      <c r="TKP61" s="217"/>
      <c r="TKQ61" s="221"/>
      <c r="TKR61" s="216"/>
      <c r="TKS61" s="217"/>
      <c r="TKT61" s="218"/>
      <c r="TKU61" s="219"/>
      <c r="TKV61" s="220"/>
      <c r="TKW61" s="220"/>
      <c r="TKX61" s="220"/>
      <c r="TKY61" s="220"/>
      <c r="TKZ61" s="217"/>
      <c r="TLA61" s="221"/>
      <c r="TLB61" s="216"/>
      <c r="TLC61" s="217"/>
      <c r="TLD61" s="218"/>
      <c r="TLE61" s="219"/>
      <c r="TLF61" s="220"/>
      <c r="TLG61" s="220"/>
      <c r="TLH61" s="220"/>
      <c r="TLI61" s="220"/>
      <c r="TLJ61" s="217"/>
      <c r="TLK61" s="221"/>
      <c r="TLL61" s="216"/>
      <c r="TLM61" s="217"/>
      <c r="TLN61" s="218"/>
      <c r="TLO61" s="219"/>
      <c r="TLP61" s="220"/>
      <c r="TLQ61" s="220"/>
      <c r="TLR61" s="220"/>
      <c r="TLS61" s="220"/>
      <c r="TLT61" s="217"/>
      <c r="TLU61" s="221"/>
      <c r="TLV61" s="216"/>
      <c r="TLW61" s="217"/>
      <c r="TLX61" s="218"/>
      <c r="TLY61" s="219"/>
      <c r="TLZ61" s="220"/>
      <c r="TMA61" s="220"/>
      <c r="TMB61" s="220"/>
      <c r="TMC61" s="220"/>
      <c r="TMD61" s="217"/>
      <c r="TME61" s="221"/>
      <c r="TMF61" s="216"/>
      <c r="TMG61" s="217"/>
      <c r="TMH61" s="218"/>
      <c r="TMI61" s="219"/>
      <c r="TMJ61" s="220"/>
      <c r="TMK61" s="220"/>
      <c r="TML61" s="220"/>
      <c r="TMM61" s="220"/>
      <c r="TMN61" s="217"/>
      <c r="TMO61" s="221"/>
      <c r="TMP61" s="216"/>
      <c r="TMQ61" s="217"/>
      <c r="TMR61" s="218"/>
      <c r="TMS61" s="219"/>
      <c r="TMT61" s="220"/>
      <c r="TMU61" s="220"/>
      <c r="TMV61" s="220"/>
      <c r="TMW61" s="220"/>
      <c r="TMX61" s="217"/>
      <c r="TMY61" s="221"/>
      <c r="TMZ61" s="216"/>
      <c r="TNA61" s="217"/>
      <c r="TNB61" s="218"/>
      <c r="TNC61" s="219"/>
      <c r="TND61" s="220"/>
      <c r="TNE61" s="220"/>
      <c r="TNF61" s="220"/>
      <c r="TNG61" s="220"/>
      <c r="TNH61" s="217"/>
      <c r="TNI61" s="221"/>
      <c r="TNJ61" s="216"/>
      <c r="TNK61" s="217"/>
      <c r="TNL61" s="218"/>
      <c r="TNM61" s="219"/>
      <c r="TNN61" s="220"/>
      <c r="TNO61" s="220"/>
      <c r="TNP61" s="220"/>
      <c r="TNQ61" s="220"/>
      <c r="TNR61" s="217"/>
      <c r="TNS61" s="221"/>
      <c r="TNT61" s="216"/>
      <c r="TNU61" s="217"/>
      <c r="TNV61" s="218"/>
      <c r="TNW61" s="219"/>
      <c r="TNX61" s="220"/>
      <c r="TNY61" s="220"/>
      <c r="TNZ61" s="220"/>
      <c r="TOA61" s="220"/>
      <c r="TOB61" s="217"/>
      <c r="TOC61" s="221"/>
      <c r="TOD61" s="216"/>
      <c r="TOE61" s="217"/>
      <c r="TOF61" s="218"/>
      <c r="TOG61" s="219"/>
      <c r="TOH61" s="220"/>
      <c r="TOI61" s="220"/>
      <c r="TOJ61" s="220"/>
      <c r="TOK61" s="220"/>
      <c r="TOL61" s="217"/>
      <c r="TOM61" s="221"/>
      <c r="TON61" s="216"/>
      <c r="TOO61" s="217"/>
      <c r="TOP61" s="218"/>
      <c r="TOQ61" s="219"/>
      <c r="TOR61" s="220"/>
      <c r="TOS61" s="220"/>
      <c r="TOT61" s="220"/>
      <c r="TOU61" s="220"/>
      <c r="TOV61" s="217"/>
      <c r="TOW61" s="221"/>
      <c r="TOX61" s="216"/>
      <c r="TOY61" s="217"/>
      <c r="TOZ61" s="218"/>
      <c r="TPA61" s="219"/>
      <c r="TPB61" s="220"/>
      <c r="TPC61" s="220"/>
      <c r="TPD61" s="220"/>
      <c r="TPE61" s="220"/>
      <c r="TPF61" s="217"/>
      <c r="TPG61" s="221"/>
      <c r="TPH61" s="216"/>
      <c r="TPI61" s="217"/>
      <c r="TPJ61" s="218"/>
      <c r="TPK61" s="219"/>
      <c r="TPL61" s="220"/>
      <c r="TPM61" s="220"/>
      <c r="TPN61" s="220"/>
      <c r="TPO61" s="220"/>
      <c r="TPP61" s="217"/>
      <c r="TPQ61" s="221"/>
      <c r="TPR61" s="216"/>
      <c r="TPS61" s="217"/>
      <c r="TPT61" s="218"/>
      <c r="TPU61" s="219"/>
      <c r="TPV61" s="220"/>
      <c r="TPW61" s="220"/>
      <c r="TPX61" s="220"/>
      <c r="TPY61" s="220"/>
      <c r="TPZ61" s="217"/>
      <c r="TQA61" s="221"/>
      <c r="TQB61" s="216"/>
      <c r="TQC61" s="217"/>
      <c r="TQD61" s="218"/>
      <c r="TQE61" s="219"/>
      <c r="TQF61" s="220"/>
      <c r="TQG61" s="220"/>
      <c r="TQH61" s="220"/>
      <c r="TQI61" s="220"/>
      <c r="TQJ61" s="217"/>
      <c r="TQK61" s="221"/>
      <c r="TQL61" s="216"/>
      <c r="TQM61" s="217"/>
      <c r="TQN61" s="218"/>
      <c r="TQO61" s="219"/>
      <c r="TQP61" s="220"/>
      <c r="TQQ61" s="220"/>
      <c r="TQR61" s="220"/>
      <c r="TQS61" s="220"/>
      <c r="TQT61" s="217"/>
      <c r="TQU61" s="221"/>
      <c r="TQV61" s="216"/>
      <c r="TQW61" s="217"/>
      <c r="TQX61" s="218"/>
      <c r="TQY61" s="219"/>
      <c r="TQZ61" s="220"/>
      <c r="TRA61" s="220"/>
      <c r="TRB61" s="220"/>
      <c r="TRC61" s="220"/>
      <c r="TRD61" s="217"/>
      <c r="TRE61" s="221"/>
      <c r="TRF61" s="216"/>
      <c r="TRG61" s="217"/>
      <c r="TRH61" s="218"/>
      <c r="TRI61" s="219"/>
      <c r="TRJ61" s="220"/>
      <c r="TRK61" s="220"/>
      <c r="TRL61" s="220"/>
      <c r="TRM61" s="220"/>
      <c r="TRN61" s="217"/>
      <c r="TRO61" s="221"/>
      <c r="TRP61" s="216"/>
      <c r="TRQ61" s="217"/>
      <c r="TRR61" s="218"/>
      <c r="TRS61" s="219"/>
      <c r="TRT61" s="220"/>
      <c r="TRU61" s="220"/>
      <c r="TRV61" s="220"/>
      <c r="TRW61" s="220"/>
      <c r="TRX61" s="217"/>
      <c r="TRY61" s="221"/>
      <c r="TRZ61" s="216"/>
      <c r="TSA61" s="217"/>
      <c r="TSB61" s="218"/>
      <c r="TSC61" s="219"/>
      <c r="TSD61" s="220"/>
      <c r="TSE61" s="220"/>
      <c r="TSF61" s="220"/>
      <c r="TSG61" s="220"/>
      <c r="TSH61" s="217"/>
      <c r="TSI61" s="221"/>
      <c r="TSJ61" s="216"/>
      <c r="TSK61" s="217"/>
      <c r="TSL61" s="218"/>
      <c r="TSM61" s="219"/>
      <c r="TSN61" s="220"/>
      <c r="TSO61" s="220"/>
      <c r="TSP61" s="220"/>
      <c r="TSQ61" s="220"/>
      <c r="TSR61" s="217"/>
      <c r="TSS61" s="221"/>
      <c r="TST61" s="216"/>
      <c r="TSU61" s="217"/>
      <c r="TSV61" s="218"/>
      <c r="TSW61" s="219"/>
      <c r="TSX61" s="220"/>
      <c r="TSY61" s="220"/>
      <c r="TSZ61" s="220"/>
      <c r="TTA61" s="220"/>
      <c r="TTB61" s="217"/>
      <c r="TTC61" s="221"/>
      <c r="TTD61" s="216"/>
      <c r="TTE61" s="217"/>
      <c r="TTF61" s="218"/>
      <c r="TTG61" s="219"/>
      <c r="TTH61" s="220"/>
      <c r="TTI61" s="220"/>
      <c r="TTJ61" s="220"/>
      <c r="TTK61" s="220"/>
      <c r="TTL61" s="217"/>
      <c r="TTM61" s="221"/>
      <c r="TTN61" s="216"/>
      <c r="TTO61" s="217"/>
      <c r="TTP61" s="218"/>
      <c r="TTQ61" s="219"/>
      <c r="TTR61" s="220"/>
      <c r="TTS61" s="220"/>
      <c r="TTT61" s="220"/>
      <c r="TTU61" s="220"/>
      <c r="TTV61" s="217"/>
      <c r="TTW61" s="221"/>
      <c r="TTX61" s="216"/>
      <c r="TTY61" s="217"/>
      <c r="TTZ61" s="218"/>
      <c r="TUA61" s="219"/>
      <c r="TUB61" s="220"/>
      <c r="TUC61" s="220"/>
      <c r="TUD61" s="220"/>
      <c r="TUE61" s="220"/>
      <c r="TUF61" s="217"/>
      <c r="TUG61" s="221"/>
      <c r="TUH61" s="216"/>
      <c r="TUI61" s="217"/>
      <c r="TUJ61" s="218"/>
      <c r="TUK61" s="219"/>
      <c r="TUL61" s="220"/>
      <c r="TUM61" s="220"/>
      <c r="TUN61" s="220"/>
      <c r="TUO61" s="220"/>
      <c r="TUP61" s="217"/>
      <c r="TUQ61" s="221"/>
      <c r="TUR61" s="216"/>
      <c r="TUS61" s="217"/>
      <c r="TUT61" s="218"/>
      <c r="TUU61" s="219"/>
      <c r="TUV61" s="220"/>
      <c r="TUW61" s="220"/>
      <c r="TUX61" s="220"/>
      <c r="TUY61" s="220"/>
      <c r="TUZ61" s="217"/>
      <c r="TVA61" s="221"/>
      <c r="TVB61" s="216"/>
      <c r="TVC61" s="217"/>
      <c r="TVD61" s="218"/>
      <c r="TVE61" s="219"/>
      <c r="TVF61" s="220"/>
      <c r="TVG61" s="220"/>
      <c r="TVH61" s="220"/>
      <c r="TVI61" s="220"/>
      <c r="TVJ61" s="217"/>
      <c r="TVK61" s="221"/>
      <c r="TVL61" s="216"/>
      <c r="TVM61" s="217"/>
      <c r="TVN61" s="218"/>
      <c r="TVO61" s="219"/>
      <c r="TVP61" s="220"/>
      <c r="TVQ61" s="220"/>
      <c r="TVR61" s="220"/>
      <c r="TVS61" s="220"/>
      <c r="TVT61" s="217"/>
      <c r="TVU61" s="221"/>
      <c r="TVV61" s="216"/>
      <c r="TVW61" s="217"/>
      <c r="TVX61" s="218"/>
      <c r="TVY61" s="219"/>
      <c r="TVZ61" s="220"/>
      <c r="TWA61" s="220"/>
      <c r="TWB61" s="220"/>
      <c r="TWC61" s="220"/>
      <c r="TWD61" s="217"/>
      <c r="TWE61" s="221"/>
      <c r="TWF61" s="216"/>
      <c r="TWG61" s="217"/>
      <c r="TWH61" s="218"/>
      <c r="TWI61" s="219"/>
      <c r="TWJ61" s="220"/>
      <c r="TWK61" s="220"/>
      <c r="TWL61" s="220"/>
      <c r="TWM61" s="220"/>
      <c r="TWN61" s="217"/>
      <c r="TWO61" s="221"/>
      <c r="TWP61" s="216"/>
      <c r="TWQ61" s="217"/>
      <c r="TWR61" s="218"/>
      <c r="TWS61" s="219"/>
      <c r="TWT61" s="220"/>
      <c r="TWU61" s="220"/>
      <c r="TWV61" s="220"/>
      <c r="TWW61" s="220"/>
      <c r="TWX61" s="217"/>
      <c r="TWY61" s="221"/>
      <c r="TWZ61" s="216"/>
      <c r="TXA61" s="217"/>
      <c r="TXB61" s="218"/>
      <c r="TXC61" s="219"/>
      <c r="TXD61" s="220"/>
      <c r="TXE61" s="220"/>
      <c r="TXF61" s="220"/>
      <c r="TXG61" s="220"/>
      <c r="TXH61" s="217"/>
      <c r="TXI61" s="221"/>
      <c r="TXJ61" s="216"/>
      <c r="TXK61" s="217"/>
      <c r="TXL61" s="218"/>
      <c r="TXM61" s="219"/>
      <c r="TXN61" s="220"/>
      <c r="TXO61" s="220"/>
      <c r="TXP61" s="220"/>
      <c r="TXQ61" s="220"/>
      <c r="TXR61" s="217"/>
      <c r="TXS61" s="221"/>
      <c r="TXT61" s="216"/>
      <c r="TXU61" s="217"/>
      <c r="TXV61" s="218"/>
      <c r="TXW61" s="219"/>
      <c r="TXX61" s="220"/>
      <c r="TXY61" s="220"/>
      <c r="TXZ61" s="220"/>
      <c r="TYA61" s="220"/>
      <c r="TYB61" s="217"/>
      <c r="TYC61" s="221"/>
      <c r="TYD61" s="216"/>
      <c r="TYE61" s="217"/>
      <c r="TYF61" s="218"/>
      <c r="TYG61" s="219"/>
      <c r="TYH61" s="220"/>
      <c r="TYI61" s="220"/>
      <c r="TYJ61" s="220"/>
      <c r="TYK61" s="220"/>
      <c r="TYL61" s="217"/>
      <c r="TYM61" s="221"/>
      <c r="TYN61" s="216"/>
      <c r="TYO61" s="217"/>
      <c r="TYP61" s="218"/>
      <c r="TYQ61" s="219"/>
      <c r="TYR61" s="220"/>
      <c r="TYS61" s="220"/>
      <c r="TYT61" s="220"/>
      <c r="TYU61" s="220"/>
      <c r="TYV61" s="217"/>
      <c r="TYW61" s="221"/>
      <c r="TYX61" s="216"/>
      <c r="TYY61" s="217"/>
      <c r="TYZ61" s="218"/>
      <c r="TZA61" s="219"/>
      <c r="TZB61" s="220"/>
      <c r="TZC61" s="220"/>
      <c r="TZD61" s="220"/>
      <c r="TZE61" s="220"/>
      <c r="TZF61" s="217"/>
      <c r="TZG61" s="221"/>
      <c r="TZH61" s="216"/>
      <c r="TZI61" s="217"/>
      <c r="TZJ61" s="218"/>
      <c r="TZK61" s="219"/>
      <c r="TZL61" s="220"/>
      <c r="TZM61" s="220"/>
      <c r="TZN61" s="220"/>
      <c r="TZO61" s="220"/>
      <c r="TZP61" s="217"/>
      <c r="TZQ61" s="221"/>
      <c r="TZR61" s="216"/>
      <c r="TZS61" s="217"/>
      <c r="TZT61" s="218"/>
      <c r="TZU61" s="219"/>
      <c r="TZV61" s="220"/>
      <c r="TZW61" s="220"/>
      <c r="TZX61" s="220"/>
      <c r="TZY61" s="220"/>
      <c r="TZZ61" s="217"/>
      <c r="UAA61" s="221"/>
      <c r="UAB61" s="216"/>
      <c r="UAC61" s="217"/>
      <c r="UAD61" s="218"/>
      <c r="UAE61" s="219"/>
      <c r="UAF61" s="220"/>
      <c r="UAG61" s="220"/>
      <c r="UAH61" s="220"/>
      <c r="UAI61" s="220"/>
      <c r="UAJ61" s="217"/>
      <c r="UAK61" s="221"/>
      <c r="UAL61" s="216"/>
      <c r="UAM61" s="217"/>
      <c r="UAN61" s="218"/>
      <c r="UAO61" s="219"/>
      <c r="UAP61" s="220"/>
      <c r="UAQ61" s="220"/>
      <c r="UAR61" s="220"/>
      <c r="UAS61" s="220"/>
      <c r="UAT61" s="217"/>
      <c r="UAU61" s="221"/>
      <c r="UAV61" s="216"/>
      <c r="UAW61" s="217"/>
      <c r="UAX61" s="218"/>
      <c r="UAY61" s="219"/>
      <c r="UAZ61" s="220"/>
      <c r="UBA61" s="220"/>
      <c r="UBB61" s="220"/>
      <c r="UBC61" s="220"/>
      <c r="UBD61" s="217"/>
      <c r="UBE61" s="221"/>
      <c r="UBF61" s="216"/>
      <c r="UBG61" s="217"/>
      <c r="UBH61" s="218"/>
      <c r="UBI61" s="219"/>
      <c r="UBJ61" s="220"/>
      <c r="UBK61" s="220"/>
      <c r="UBL61" s="220"/>
      <c r="UBM61" s="220"/>
      <c r="UBN61" s="217"/>
      <c r="UBO61" s="221"/>
      <c r="UBP61" s="216"/>
      <c r="UBQ61" s="217"/>
      <c r="UBR61" s="218"/>
      <c r="UBS61" s="219"/>
      <c r="UBT61" s="220"/>
      <c r="UBU61" s="220"/>
      <c r="UBV61" s="220"/>
      <c r="UBW61" s="220"/>
      <c r="UBX61" s="217"/>
      <c r="UBY61" s="221"/>
      <c r="UBZ61" s="216"/>
      <c r="UCA61" s="217"/>
      <c r="UCB61" s="218"/>
      <c r="UCC61" s="219"/>
      <c r="UCD61" s="220"/>
      <c r="UCE61" s="220"/>
      <c r="UCF61" s="220"/>
      <c r="UCG61" s="220"/>
      <c r="UCH61" s="217"/>
      <c r="UCI61" s="221"/>
      <c r="UCJ61" s="216"/>
      <c r="UCK61" s="217"/>
      <c r="UCL61" s="218"/>
      <c r="UCM61" s="219"/>
      <c r="UCN61" s="220"/>
      <c r="UCO61" s="220"/>
      <c r="UCP61" s="220"/>
      <c r="UCQ61" s="220"/>
      <c r="UCR61" s="217"/>
      <c r="UCS61" s="221"/>
      <c r="UCT61" s="216"/>
      <c r="UCU61" s="217"/>
      <c r="UCV61" s="218"/>
      <c r="UCW61" s="219"/>
      <c r="UCX61" s="220"/>
      <c r="UCY61" s="220"/>
      <c r="UCZ61" s="220"/>
      <c r="UDA61" s="220"/>
      <c r="UDB61" s="217"/>
      <c r="UDC61" s="221"/>
      <c r="UDD61" s="216"/>
      <c r="UDE61" s="217"/>
      <c r="UDF61" s="218"/>
      <c r="UDG61" s="219"/>
      <c r="UDH61" s="220"/>
      <c r="UDI61" s="220"/>
      <c r="UDJ61" s="220"/>
      <c r="UDK61" s="220"/>
      <c r="UDL61" s="217"/>
      <c r="UDM61" s="221"/>
      <c r="UDN61" s="216"/>
      <c r="UDO61" s="217"/>
      <c r="UDP61" s="218"/>
      <c r="UDQ61" s="219"/>
      <c r="UDR61" s="220"/>
      <c r="UDS61" s="220"/>
      <c r="UDT61" s="220"/>
      <c r="UDU61" s="220"/>
      <c r="UDV61" s="217"/>
      <c r="UDW61" s="221"/>
      <c r="UDX61" s="216"/>
      <c r="UDY61" s="217"/>
      <c r="UDZ61" s="218"/>
      <c r="UEA61" s="219"/>
      <c r="UEB61" s="220"/>
      <c r="UEC61" s="220"/>
      <c r="UED61" s="220"/>
      <c r="UEE61" s="220"/>
      <c r="UEF61" s="217"/>
      <c r="UEG61" s="221"/>
      <c r="UEH61" s="216"/>
      <c r="UEI61" s="217"/>
      <c r="UEJ61" s="218"/>
      <c r="UEK61" s="219"/>
      <c r="UEL61" s="220"/>
      <c r="UEM61" s="220"/>
      <c r="UEN61" s="220"/>
      <c r="UEO61" s="220"/>
      <c r="UEP61" s="217"/>
      <c r="UEQ61" s="221"/>
      <c r="UER61" s="216"/>
      <c r="UES61" s="217"/>
      <c r="UET61" s="218"/>
      <c r="UEU61" s="219"/>
      <c r="UEV61" s="220"/>
      <c r="UEW61" s="220"/>
      <c r="UEX61" s="220"/>
      <c r="UEY61" s="220"/>
      <c r="UEZ61" s="217"/>
      <c r="UFA61" s="221"/>
      <c r="UFB61" s="216"/>
      <c r="UFC61" s="217"/>
      <c r="UFD61" s="218"/>
      <c r="UFE61" s="219"/>
      <c r="UFF61" s="220"/>
      <c r="UFG61" s="220"/>
      <c r="UFH61" s="220"/>
      <c r="UFI61" s="220"/>
      <c r="UFJ61" s="217"/>
      <c r="UFK61" s="221"/>
      <c r="UFL61" s="216"/>
      <c r="UFM61" s="217"/>
      <c r="UFN61" s="218"/>
      <c r="UFO61" s="219"/>
      <c r="UFP61" s="220"/>
      <c r="UFQ61" s="220"/>
      <c r="UFR61" s="220"/>
      <c r="UFS61" s="220"/>
      <c r="UFT61" s="217"/>
      <c r="UFU61" s="221"/>
      <c r="UFV61" s="216"/>
      <c r="UFW61" s="217"/>
      <c r="UFX61" s="218"/>
      <c r="UFY61" s="219"/>
      <c r="UFZ61" s="220"/>
      <c r="UGA61" s="220"/>
      <c r="UGB61" s="220"/>
      <c r="UGC61" s="220"/>
      <c r="UGD61" s="217"/>
      <c r="UGE61" s="221"/>
      <c r="UGF61" s="216"/>
      <c r="UGG61" s="217"/>
      <c r="UGH61" s="218"/>
      <c r="UGI61" s="219"/>
      <c r="UGJ61" s="220"/>
      <c r="UGK61" s="220"/>
      <c r="UGL61" s="220"/>
      <c r="UGM61" s="220"/>
      <c r="UGN61" s="217"/>
      <c r="UGO61" s="221"/>
      <c r="UGP61" s="216"/>
      <c r="UGQ61" s="217"/>
      <c r="UGR61" s="218"/>
      <c r="UGS61" s="219"/>
      <c r="UGT61" s="220"/>
      <c r="UGU61" s="220"/>
      <c r="UGV61" s="220"/>
      <c r="UGW61" s="220"/>
      <c r="UGX61" s="217"/>
      <c r="UGY61" s="221"/>
      <c r="UGZ61" s="216"/>
      <c r="UHA61" s="217"/>
      <c r="UHB61" s="218"/>
      <c r="UHC61" s="219"/>
      <c r="UHD61" s="220"/>
      <c r="UHE61" s="220"/>
      <c r="UHF61" s="220"/>
      <c r="UHG61" s="220"/>
      <c r="UHH61" s="217"/>
      <c r="UHI61" s="221"/>
      <c r="UHJ61" s="216"/>
      <c r="UHK61" s="217"/>
      <c r="UHL61" s="218"/>
      <c r="UHM61" s="219"/>
      <c r="UHN61" s="220"/>
      <c r="UHO61" s="220"/>
      <c r="UHP61" s="220"/>
      <c r="UHQ61" s="220"/>
      <c r="UHR61" s="217"/>
      <c r="UHS61" s="221"/>
      <c r="UHT61" s="216"/>
      <c r="UHU61" s="217"/>
      <c r="UHV61" s="218"/>
      <c r="UHW61" s="219"/>
      <c r="UHX61" s="220"/>
      <c r="UHY61" s="220"/>
      <c r="UHZ61" s="220"/>
      <c r="UIA61" s="220"/>
      <c r="UIB61" s="217"/>
      <c r="UIC61" s="221"/>
      <c r="UID61" s="216"/>
      <c r="UIE61" s="217"/>
      <c r="UIF61" s="218"/>
      <c r="UIG61" s="219"/>
      <c r="UIH61" s="220"/>
      <c r="UII61" s="220"/>
      <c r="UIJ61" s="220"/>
      <c r="UIK61" s="220"/>
      <c r="UIL61" s="217"/>
      <c r="UIM61" s="221"/>
      <c r="UIN61" s="216"/>
      <c r="UIO61" s="217"/>
      <c r="UIP61" s="218"/>
      <c r="UIQ61" s="219"/>
      <c r="UIR61" s="220"/>
      <c r="UIS61" s="220"/>
      <c r="UIT61" s="220"/>
      <c r="UIU61" s="220"/>
      <c r="UIV61" s="217"/>
      <c r="UIW61" s="221"/>
      <c r="UIX61" s="216"/>
      <c r="UIY61" s="217"/>
      <c r="UIZ61" s="218"/>
      <c r="UJA61" s="219"/>
      <c r="UJB61" s="220"/>
      <c r="UJC61" s="220"/>
      <c r="UJD61" s="220"/>
      <c r="UJE61" s="220"/>
      <c r="UJF61" s="217"/>
      <c r="UJG61" s="221"/>
      <c r="UJH61" s="216"/>
      <c r="UJI61" s="217"/>
      <c r="UJJ61" s="218"/>
      <c r="UJK61" s="219"/>
      <c r="UJL61" s="220"/>
      <c r="UJM61" s="220"/>
      <c r="UJN61" s="220"/>
      <c r="UJO61" s="220"/>
      <c r="UJP61" s="217"/>
      <c r="UJQ61" s="221"/>
      <c r="UJR61" s="216"/>
      <c r="UJS61" s="217"/>
      <c r="UJT61" s="218"/>
      <c r="UJU61" s="219"/>
      <c r="UJV61" s="220"/>
      <c r="UJW61" s="220"/>
      <c r="UJX61" s="220"/>
      <c r="UJY61" s="220"/>
      <c r="UJZ61" s="217"/>
      <c r="UKA61" s="221"/>
      <c r="UKB61" s="216"/>
      <c r="UKC61" s="217"/>
      <c r="UKD61" s="218"/>
      <c r="UKE61" s="219"/>
      <c r="UKF61" s="220"/>
      <c r="UKG61" s="220"/>
      <c r="UKH61" s="220"/>
      <c r="UKI61" s="220"/>
      <c r="UKJ61" s="217"/>
      <c r="UKK61" s="221"/>
      <c r="UKL61" s="216"/>
      <c r="UKM61" s="217"/>
      <c r="UKN61" s="218"/>
      <c r="UKO61" s="219"/>
      <c r="UKP61" s="220"/>
      <c r="UKQ61" s="220"/>
      <c r="UKR61" s="220"/>
      <c r="UKS61" s="220"/>
      <c r="UKT61" s="217"/>
      <c r="UKU61" s="221"/>
      <c r="UKV61" s="216"/>
      <c r="UKW61" s="217"/>
      <c r="UKX61" s="218"/>
      <c r="UKY61" s="219"/>
      <c r="UKZ61" s="220"/>
      <c r="ULA61" s="220"/>
      <c r="ULB61" s="220"/>
      <c r="ULC61" s="220"/>
      <c r="ULD61" s="217"/>
      <c r="ULE61" s="221"/>
      <c r="ULF61" s="216"/>
      <c r="ULG61" s="217"/>
      <c r="ULH61" s="218"/>
      <c r="ULI61" s="219"/>
      <c r="ULJ61" s="220"/>
      <c r="ULK61" s="220"/>
      <c r="ULL61" s="220"/>
      <c r="ULM61" s="220"/>
      <c r="ULN61" s="217"/>
      <c r="ULO61" s="221"/>
      <c r="ULP61" s="216"/>
      <c r="ULQ61" s="217"/>
      <c r="ULR61" s="218"/>
      <c r="ULS61" s="219"/>
      <c r="ULT61" s="220"/>
      <c r="ULU61" s="220"/>
      <c r="ULV61" s="220"/>
      <c r="ULW61" s="220"/>
      <c r="ULX61" s="217"/>
      <c r="ULY61" s="221"/>
      <c r="ULZ61" s="216"/>
      <c r="UMA61" s="217"/>
      <c r="UMB61" s="218"/>
      <c r="UMC61" s="219"/>
      <c r="UMD61" s="220"/>
      <c r="UME61" s="220"/>
      <c r="UMF61" s="220"/>
      <c r="UMG61" s="220"/>
      <c r="UMH61" s="217"/>
      <c r="UMI61" s="221"/>
      <c r="UMJ61" s="216"/>
      <c r="UMK61" s="217"/>
      <c r="UML61" s="218"/>
      <c r="UMM61" s="219"/>
      <c r="UMN61" s="220"/>
      <c r="UMO61" s="220"/>
      <c r="UMP61" s="220"/>
      <c r="UMQ61" s="220"/>
      <c r="UMR61" s="217"/>
      <c r="UMS61" s="221"/>
      <c r="UMT61" s="216"/>
      <c r="UMU61" s="217"/>
      <c r="UMV61" s="218"/>
      <c r="UMW61" s="219"/>
      <c r="UMX61" s="220"/>
      <c r="UMY61" s="220"/>
      <c r="UMZ61" s="220"/>
      <c r="UNA61" s="220"/>
      <c r="UNB61" s="217"/>
      <c r="UNC61" s="221"/>
      <c r="UND61" s="216"/>
      <c r="UNE61" s="217"/>
      <c r="UNF61" s="218"/>
      <c r="UNG61" s="219"/>
      <c r="UNH61" s="220"/>
      <c r="UNI61" s="220"/>
      <c r="UNJ61" s="220"/>
      <c r="UNK61" s="220"/>
      <c r="UNL61" s="217"/>
      <c r="UNM61" s="221"/>
      <c r="UNN61" s="216"/>
      <c r="UNO61" s="217"/>
      <c r="UNP61" s="218"/>
      <c r="UNQ61" s="219"/>
      <c r="UNR61" s="220"/>
      <c r="UNS61" s="220"/>
      <c r="UNT61" s="220"/>
      <c r="UNU61" s="220"/>
      <c r="UNV61" s="217"/>
      <c r="UNW61" s="221"/>
      <c r="UNX61" s="216"/>
      <c r="UNY61" s="217"/>
      <c r="UNZ61" s="218"/>
      <c r="UOA61" s="219"/>
      <c r="UOB61" s="220"/>
      <c r="UOC61" s="220"/>
      <c r="UOD61" s="220"/>
      <c r="UOE61" s="220"/>
      <c r="UOF61" s="217"/>
      <c r="UOG61" s="221"/>
      <c r="UOH61" s="216"/>
      <c r="UOI61" s="217"/>
      <c r="UOJ61" s="218"/>
      <c r="UOK61" s="219"/>
      <c r="UOL61" s="220"/>
      <c r="UOM61" s="220"/>
      <c r="UON61" s="220"/>
      <c r="UOO61" s="220"/>
      <c r="UOP61" s="217"/>
      <c r="UOQ61" s="221"/>
      <c r="UOR61" s="216"/>
      <c r="UOS61" s="217"/>
      <c r="UOT61" s="218"/>
      <c r="UOU61" s="219"/>
      <c r="UOV61" s="220"/>
      <c r="UOW61" s="220"/>
      <c r="UOX61" s="220"/>
      <c r="UOY61" s="220"/>
      <c r="UOZ61" s="217"/>
      <c r="UPA61" s="221"/>
      <c r="UPB61" s="216"/>
      <c r="UPC61" s="217"/>
      <c r="UPD61" s="218"/>
      <c r="UPE61" s="219"/>
      <c r="UPF61" s="220"/>
      <c r="UPG61" s="220"/>
      <c r="UPH61" s="220"/>
      <c r="UPI61" s="220"/>
      <c r="UPJ61" s="217"/>
      <c r="UPK61" s="221"/>
      <c r="UPL61" s="216"/>
      <c r="UPM61" s="217"/>
      <c r="UPN61" s="218"/>
      <c r="UPO61" s="219"/>
      <c r="UPP61" s="220"/>
      <c r="UPQ61" s="220"/>
      <c r="UPR61" s="220"/>
      <c r="UPS61" s="220"/>
      <c r="UPT61" s="217"/>
      <c r="UPU61" s="221"/>
      <c r="UPV61" s="216"/>
      <c r="UPW61" s="217"/>
      <c r="UPX61" s="218"/>
      <c r="UPY61" s="219"/>
      <c r="UPZ61" s="220"/>
      <c r="UQA61" s="220"/>
      <c r="UQB61" s="220"/>
      <c r="UQC61" s="220"/>
      <c r="UQD61" s="217"/>
      <c r="UQE61" s="221"/>
      <c r="UQF61" s="216"/>
      <c r="UQG61" s="217"/>
      <c r="UQH61" s="218"/>
      <c r="UQI61" s="219"/>
      <c r="UQJ61" s="220"/>
      <c r="UQK61" s="220"/>
      <c r="UQL61" s="220"/>
      <c r="UQM61" s="220"/>
      <c r="UQN61" s="217"/>
      <c r="UQO61" s="221"/>
      <c r="UQP61" s="216"/>
      <c r="UQQ61" s="217"/>
      <c r="UQR61" s="218"/>
      <c r="UQS61" s="219"/>
      <c r="UQT61" s="220"/>
      <c r="UQU61" s="220"/>
      <c r="UQV61" s="220"/>
      <c r="UQW61" s="220"/>
      <c r="UQX61" s="217"/>
      <c r="UQY61" s="221"/>
      <c r="UQZ61" s="216"/>
      <c r="URA61" s="217"/>
      <c r="URB61" s="218"/>
      <c r="URC61" s="219"/>
      <c r="URD61" s="220"/>
      <c r="URE61" s="220"/>
      <c r="URF61" s="220"/>
      <c r="URG61" s="220"/>
      <c r="URH61" s="217"/>
      <c r="URI61" s="221"/>
      <c r="URJ61" s="216"/>
      <c r="URK61" s="217"/>
      <c r="URL61" s="218"/>
      <c r="URM61" s="219"/>
      <c r="URN61" s="220"/>
      <c r="URO61" s="220"/>
      <c r="URP61" s="220"/>
      <c r="URQ61" s="220"/>
      <c r="URR61" s="217"/>
      <c r="URS61" s="221"/>
      <c r="URT61" s="216"/>
      <c r="URU61" s="217"/>
      <c r="URV61" s="218"/>
      <c r="URW61" s="219"/>
      <c r="URX61" s="220"/>
      <c r="URY61" s="220"/>
      <c r="URZ61" s="220"/>
      <c r="USA61" s="220"/>
      <c r="USB61" s="217"/>
      <c r="USC61" s="221"/>
      <c r="USD61" s="216"/>
      <c r="USE61" s="217"/>
      <c r="USF61" s="218"/>
      <c r="USG61" s="219"/>
      <c r="USH61" s="220"/>
      <c r="USI61" s="220"/>
      <c r="USJ61" s="220"/>
      <c r="USK61" s="220"/>
      <c r="USL61" s="217"/>
      <c r="USM61" s="221"/>
      <c r="USN61" s="216"/>
      <c r="USO61" s="217"/>
      <c r="USP61" s="218"/>
      <c r="USQ61" s="219"/>
      <c r="USR61" s="220"/>
      <c r="USS61" s="220"/>
      <c r="UST61" s="220"/>
      <c r="USU61" s="220"/>
      <c r="USV61" s="217"/>
      <c r="USW61" s="221"/>
      <c r="USX61" s="216"/>
      <c r="USY61" s="217"/>
      <c r="USZ61" s="218"/>
      <c r="UTA61" s="219"/>
      <c r="UTB61" s="220"/>
      <c r="UTC61" s="220"/>
      <c r="UTD61" s="220"/>
      <c r="UTE61" s="220"/>
      <c r="UTF61" s="217"/>
      <c r="UTG61" s="221"/>
      <c r="UTH61" s="216"/>
      <c r="UTI61" s="217"/>
      <c r="UTJ61" s="218"/>
      <c r="UTK61" s="219"/>
      <c r="UTL61" s="220"/>
      <c r="UTM61" s="220"/>
      <c r="UTN61" s="220"/>
      <c r="UTO61" s="220"/>
      <c r="UTP61" s="217"/>
      <c r="UTQ61" s="221"/>
      <c r="UTR61" s="216"/>
      <c r="UTS61" s="217"/>
      <c r="UTT61" s="218"/>
      <c r="UTU61" s="219"/>
      <c r="UTV61" s="220"/>
      <c r="UTW61" s="220"/>
      <c r="UTX61" s="220"/>
      <c r="UTY61" s="220"/>
      <c r="UTZ61" s="217"/>
      <c r="UUA61" s="221"/>
      <c r="UUB61" s="216"/>
      <c r="UUC61" s="217"/>
      <c r="UUD61" s="218"/>
      <c r="UUE61" s="219"/>
      <c r="UUF61" s="220"/>
      <c r="UUG61" s="220"/>
      <c r="UUH61" s="220"/>
      <c r="UUI61" s="220"/>
      <c r="UUJ61" s="217"/>
      <c r="UUK61" s="221"/>
      <c r="UUL61" s="216"/>
      <c r="UUM61" s="217"/>
      <c r="UUN61" s="218"/>
      <c r="UUO61" s="219"/>
      <c r="UUP61" s="220"/>
      <c r="UUQ61" s="220"/>
      <c r="UUR61" s="220"/>
      <c r="UUS61" s="220"/>
      <c r="UUT61" s="217"/>
      <c r="UUU61" s="221"/>
      <c r="UUV61" s="216"/>
      <c r="UUW61" s="217"/>
      <c r="UUX61" s="218"/>
      <c r="UUY61" s="219"/>
      <c r="UUZ61" s="220"/>
      <c r="UVA61" s="220"/>
      <c r="UVB61" s="220"/>
      <c r="UVC61" s="220"/>
      <c r="UVD61" s="217"/>
      <c r="UVE61" s="221"/>
      <c r="UVF61" s="216"/>
      <c r="UVG61" s="217"/>
      <c r="UVH61" s="218"/>
      <c r="UVI61" s="219"/>
      <c r="UVJ61" s="220"/>
      <c r="UVK61" s="220"/>
      <c r="UVL61" s="220"/>
      <c r="UVM61" s="220"/>
      <c r="UVN61" s="217"/>
      <c r="UVO61" s="221"/>
      <c r="UVP61" s="216"/>
      <c r="UVQ61" s="217"/>
      <c r="UVR61" s="218"/>
      <c r="UVS61" s="219"/>
      <c r="UVT61" s="220"/>
      <c r="UVU61" s="220"/>
      <c r="UVV61" s="220"/>
      <c r="UVW61" s="220"/>
      <c r="UVX61" s="217"/>
      <c r="UVY61" s="221"/>
      <c r="UVZ61" s="216"/>
      <c r="UWA61" s="217"/>
      <c r="UWB61" s="218"/>
      <c r="UWC61" s="219"/>
      <c r="UWD61" s="220"/>
      <c r="UWE61" s="220"/>
      <c r="UWF61" s="220"/>
      <c r="UWG61" s="220"/>
      <c r="UWH61" s="217"/>
      <c r="UWI61" s="221"/>
      <c r="UWJ61" s="216"/>
      <c r="UWK61" s="217"/>
      <c r="UWL61" s="218"/>
      <c r="UWM61" s="219"/>
      <c r="UWN61" s="220"/>
      <c r="UWO61" s="220"/>
      <c r="UWP61" s="220"/>
      <c r="UWQ61" s="220"/>
      <c r="UWR61" s="217"/>
      <c r="UWS61" s="221"/>
      <c r="UWT61" s="216"/>
      <c r="UWU61" s="217"/>
      <c r="UWV61" s="218"/>
      <c r="UWW61" s="219"/>
      <c r="UWX61" s="220"/>
      <c r="UWY61" s="220"/>
      <c r="UWZ61" s="220"/>
      <c r="UXA61" s="220"/>
      <c r="UXB61" s="217"/>
      <c r="UXC61" s="221"/>
      <c r="UXD61" s="216"/>
      <c r="UXE61" s="217"/>
      <c r="UXF61" s="218"/>
      <c r="UXG61" s="219"/>
      <c r="UXH61" s="220"/>
      <c r="UXI61" s="220"/>
      <c r="UXJ61" s="220"/>
      <c r="UXK61" s="220"/>
      <c r="UXL61" s="217"/>
      <c r="UXM61" s="221"/>
      <c r="UXN61" s="216"/>
      <c r="UXO61" s="217"/>
      <c r="UXP61" s="218"/>
      <c r="UXQ61" s="219"/>
      <c r="UXR61" s="220"/>
      <c r="UXS61" s="220"/>
      <c r="UXT61" s="220"/>
      <c r="UXU61" s="220"/>
      <c r="UXV61" s="217"/>
      <c r="UXW61" s="221"/>
      <c r="UXX61" s="216"/>
      <c r="UXY61" s="217"/>
      <c r="UXZ61" s="218"/>
      <c r="UYA61" s="219"/>
      <c r="UYB61" s="220"/>
      <c r="UYC61" s="220"/>
      <c r="UYD61" s="220"/>
      <c r="UYE61" s="220"/>
      <c r="UYF61" s="217"/>
      <c r="UYG61" s="221"/>
      <c r="UYH61" s="216"/>
      <c r="UYI61" s="217"/>
      <c r="UYJ61" s="218"/>
      <c r="UYK61" s="219"/>
      <c r="UYL61" s="220"/>
      <c r="UYM61" s="220"/>
      <c r="UYN61" s="220"/>
      <c r="UYO61" s="220"/>
      <c r="UYP61" s="217"/>
      <c r="UYQ61" s="221"/>
      <c r="UYR61" s="216"/>
      <c r="UYS61" s="217"/>
      <c r="UYT61" s="218"/>
      <c r="UYU61" s="219"/>
      <c r="UYV61" s="220"/>
      <c r="UYW61" s="220"/>
      <c r="UYX61" s="220"/>
      <c r="UYY61" s="220"/>
      <c r="UYZ61" s="217"/>
      <c r="UZA61" s="221"/>
      <c r="UZB61" s="216"/>
      <c r="UZC61" s="217"/>
      <c r="UZD61" s="218"/>
      <c r="UZE61" s="219"/>
      <c r="UZF61" s="220"/>
      <c r="UZG61" s="220"/>
      <c r="UZH61" s="220"/>
      <c r="UZI61" s="220"/>
      <c r="UZJ61" s="217"/>
      <c r="UZK61" s="221"/>
      <c r="UZL61" s="216"/>
      <c r="UZM61" s="217"/>
      <c r="UZN61" s="218"/>
      <c r="UZO61" s="219"/>
      <c r="UZP61" s="220"/>
      <c r="UZQ61" s="220"/>
      <c r="UZR61" s="220"/>
      <c r="UZS61" s="220"/>
      <c r="UZT61" s="217"/>
      <c r="UZU61" s="221"/>
      <c r="UZV61" s="216"/>
      <c r="UZW61" s="217"/>
      <c r="UZX61" s="218"/>
      <c r="UZY61" s="219"/>
      <c r="UZZ61" s="220"/>
      <c r="VAA61" s="220"/>
      <c r="VAB61" s="220"/>
      <c r="VAC61" s="220"/>
      <c r="VAD61" s="217"/>
      <c r="VAE61" s="221"/>
      <c r="VAF61" s="216"/>
      <c r="VAG61" s="217"/>
      <c r="VAH61" s="218"/>
      <c r="VAI61" s="219"/>
      <c r="VAJ61" s="220"/>
      <c r="VAK61" s="220"/>
      <c r="VAL61" s="220"/>
      <c r="VAM61" s="220"/>
      <c r="VAN61" s="217"/>
      <c r="VAO61" s="221"/>
      <c r="VAP61" s="216"/>
      <c r="VAQ61" s="217"/>
      <c r="VAR61" s="218"/>
      <c r="VAS61" s="219"/>
      <c r="VAT61" s="220"/>
      <c r="VAU61" s="220"/>
      <c r="VAV61" s="220"/>
      <c r="VAW61" s="220"/>
      <c r="VAX61" s="217"/>
      <c r="VAY61" s="221"/>
      <c r="VAZ61" s="216"/>
      <c r="VBA61" s="217"/>
      <c r="VBB61" s="218"/>
      <c r="VBC61" s="219"/>
      <c r="VBD61" s="220"/>
      <c r="VBE61" s="220"/>
      <c r="VBF61" s="220"/>
      <c r="VBG61" s="220"/>
      <c r="VBH61" s="217"/>
      <c r="VBI61" s="221"/>
      <c r="VBJ61" s="216"/>
      <c r="VBK61" s="217"/>
      <c r="VBL61" s="218"/>
      <c r="VBM61" s="219"/>
      <c r="VBN61" s="220"/>
      <c r="VBO61" s="220"/>
      <c r="VBP61" s="220"/>
      <c r="VBQ61" s="220"/>
      <c r="VBR61" s="217"/>
      <c r="VBS61" s="221"/>
      <c r="VBT61" s="216"/>
      <c r="VBU61" s="217"/>
      <c r="VBV61" s="218"/>
      <c r="VBW61" s="219"/>
      <c r="VBX61" s="220"/>
      <c r="VBY61" s="220"/>
      <c r="VBZ61" s="220"/>
      <c r="VCA61" s="220"/>
      <c r="VCB61" s="217"/>
      <c r="VCC61" s="221"/>
      <c r="VCD61" s="216"/>
      <c r="VCE61" s="217"/>
      <c r="VCF61" s="218"/>
      <c r="VCG61" s="219"/>
      <c r="VCH61" s="220"/>
      <c r="VCI61" s="220"/>
      <c r="VCJ61" s="220"/>
      <c r="VCK61" s="220"/>
      <c r="VCL61" s="217"/>
      <c r="VCM61" s="221"/>
      <c r="VCN61" s="216"/>
      <c r="VCO61" s="217"/>
      <c r="VCP61" s="218"/>
      <c r="VCQ61" s="219"/>
      <c r="VCR61" s="220"/>
      <c r="VCS61" s="220"/>
      <c r="VCT61" s="220"/>
      <c r="VCU61" s="220"/>
      <c r="VCV61" s="217"/>
      <c r="VCW61" s="221"/>
      <c r="VCX61" s="216"/>
      <c r="VCY61" s="217"/>
      <c r="VCZ61" s="218"/>
      <c r="VDA61" s="219"/>
      <c r="VDB61" s="220"/>
      <c r="VDC61" s="220"/>
      <c r="VDD61" s="220"/>
      <c r="VDE61" s="220"/>
      <c r="VDF61" s="217"/>
      <c r="VDG61" s="221"/>
      <c r="VDH61" s="216"/>
      <c r="VDI61" s="217"/>
      <c r="VDJ61" s="218"/>
      <c r="VDK61" s="219"/>
      <c r="VDL61" s="220"/>
      <c r="VDM61" s="220"/>
      <c r="VDN61" s="220"/>
      <c r="VDO61" s="220"/>
      <c r="VDP61" s="217"/>
      <c r="VDQ61" s="221"/>
      <c r="VDR61" s="216"/>
      <c r="VDS61" s="217"/>
      <c r="VDT61" s="218"/>
      <c r="VDU61" s="219"/>
      <c r="VDV61" s="220"/>
      <c r="VDW61" s="220"/>
      <c r="VDX61" s="220"/>
      <c r="VDY61" s="220"/>
      <c r="VDZ61" s="217"/>
      <c r="VEA61" s="221"/>
      <c r="VEB61" s="216"/>
      <c r="VEC61" s="217"/>
      <c r="VED61" s="218"/>
      <c r="VEE61" s="219"/>
      <c r="VEF61" s="220"/>
      <c r="VEG61" s="220"/>
      <c r="VEH61" s="220"/>
      <c r="VEI61" s="220"/>
      <c r="VEJ61" s="217"/>
      <c r="VEK61" s="221"/>
      <c r="VEL61" s="216"/>
      <c r="VEM61" s="217"/>
      <c r="VEN61" s="218"/>
      <c r="VEO61" s="219"/>
      <c r="VEP61" s="220"/>
      <c r="VEQ61" s="220"/>
      <c r="VER61" s="220"/>
      <c r="VES61" s="220"/>
      <c r="VET61" s="217"/>
      <c r="VEU61" s="221"/>
      <c r="VEV61" s="216"/>
      <c r="VEW61" s="217"/>
      <c r="VEX61" s="218"/>
      <c r="VEY61" s="219"/>
      <c r="VEZ61" s="220"/>
      <c r="VFA61" s="220"/>
      <c r="VFB61" s="220"/>
      <c r="VFC61" s="220"/>
      <c r="VFD61" s="217"/>
      <c r="VFE61" s="221"/>
      <c r="VFF61" s="216"/>
      <c r="VFG61" s="217"/>
      <c r="VFH61" s="218"/>
      <c r="VFI61" s="219"/>
      <c r="VFJ61" s="220"/>
      <c r="VFK61" s="220"/>
      <c r="VFL61" s="220"/>
      <c r="VFM61" s="220"/>
      <c r="VFN61" s="217"/>
      <c r="VFO61" s="221"/>
      <c r="VFP61" s="216"/>
      <c r="VFQ61" s="217"/>
      <c r="VFR61" s="218"/>
      <c r="VFS61" s="219"/>
      <c r="VFT61" s="220"/>
      <c r="VFU61" s="220"/>
      <c r="VFV61" s="220"/>
      <c r="VFW61" s="220"/>
      <c r="VFX61" s="217"/>
      <c r="VFY61" s="221"/>
      <c r="VFZ61" s="216"/>
      <c r="VGA61" s="217"/>
      <c r="VGB61" s="218"/>
      <c r="VGC61" s="219"/>
      <c r="VGD61" s="220"/>
      <c r="VGE61" s="220"/>
      <c r="VGF61" s="220"/>
      <c r="VGG61" s="220"/>
      <c r="VGH61" s="217"/>
      <c r="VGI61" s="221"/>
      <c r="VGJ61" s="216"/>
      <c r="VGK61" s="217"/>
      <c r="VGL61" s="218"/>
      <c r="VGM61" s="219"/>
      <c r="VGN61" s="220"/>
      <c r="VGO61" s="220"/>
      <c r="VGP61" s="220"/>
      <c r="VGQ61" s="220"/>
      <c r="VGR61" s="217"/>
      <c r="VGS61" s="221"/>
      <c r="VGT61" s="216"/>
      <c r="VGU61" s="217"/>
      <c r="VGV61" s="218"/>
      <c r="VGW61" s="219"/>
      <c r="VGX61" s="220"/>
      <c r="VGY61" s="220"/>
      <c r="VGZ61" s="220"/>
      <c r="VHA61" s="220"/>
      <c r="VHB61" s="217"/>
      <c r="VHC61" s="221"/>
      <c r="VHD61" s="216"/>
      <c r="VHE61" s="217"/>
      <c r="VHF61" s="218"/>
      <c r="VHG61" s="219"/>
      <c r="VHH61" s="220"/>
      <c r="VHI61" s="220"/>
      <c r="VHJ61" s="220"/>
      <c r="VHK61" s="220"/>
      <c r="VHL61" s="217"/>
      <c r="VHM61" s="221"/>
      <c r="VHN61" s="216"/>
      <c r="VHO61" s="217"/>
      <c r="VHP61" s="218"/>
      <c r="VHQ61" s="219"/>
      <c r="VHR61" s="220"/>
      <c r="VHS61" s="220"/>
      <c r="VHT61" s="220"/>
      <c r="VHU61" s="220"/>
      <c r="VHV61" s="217"/>
      <c r="VHW61" s="221"/>
      <c r="VHX61" s="216"/>
      <c r="VHY61" s="217"/>
      <c r="VHZ61" s="218"/>
      <c r="VIA61" s="219"/>
      <c r="VIB61" s="220"/>
      <c r="VIC61" s="220"/>
      <c r="VID61" s="220"/>
      <c r="VIE61" s="220"/>
      <c r="VIF61" s="217"/>
      <c r="VIG61" s="221"/>
      <c r="VIH61" s="216"/>
      <c r="VII61" s="217"/>
      <c r="VIJ61" s="218"/>
      <c r="VIK61" s="219"/>
      <c r="VIL61" s="220"/>
      <c r="VIM61" s="220"/>
      <c r="VIN61" s="220"/>
      <c r="VIO61" s="220"/>
      <c r="VIP61" s="217"/>
      <c r="VIQ61" s="221"/>
      <c r="VIR61" s="216"/>
      <c r="VIS61" s="217"/>
      <c r="VIT61" s="218"/>
      <c r="VIU61" s="219"/>
      <c r="VIV61" s="220"/>
      <c r="VIW61" s="220"/>
      <c r="VIX61" s="220"/>
      <c r="VIY61" s="220"/>
      <c r="VIZ61" s="217"/>
      <c r="VJA61" s="221"/>
      <c r="VJB61" s="216"/>
      <c r="VJC61" s="217"/>
      <c r="VJD61" s="218"/>
      <c r="VJE61" s="219"/>
      <c r="VJF61" s="220"/>
      <c r="VJG61" s="220"/>
      <c r="VJH61" s="220"/>
      <c r="VJI61" s="220"/>
      <c r="VJJ61" s="217"/>
      <c r="VJK61" s="221"/>
      <c r="VJL61" s="216"/>
      <c r="VJM61" s="217"/>
      <c r="VJN61" s="218"/>
      <c r="VJO61" s="219"/>
      <c r="VJP61" s="220"/>
      <c r="VJQ61" s="220"/>
      <c r="VJR61" s="220"/>
      <c r="VJS61" s="220"/>
      <c r="VJT61" s="217"/>
      <c r="VJU61" s="221"/>
      <c r="VJV61" s="216"/>
      <c r="VJW61" s="217"/>
      <c r="VJX61" s="218"/>
      <c r="VJY61" s="219"/>
      <c r="VJZ61" s="220"/>
      <c r="VKA61" s="220"/>
      <c r="VKB61" s="220"/>
      <c r="VKC61" s="220"/>
      <c r="VKD61" s="217"/>
      <c r="VKE61" s="221"/>
      <c r="VKF61" s="216"/>
      <c r="VKG61" s="217"/>
      <c r="VKH61" s="218"/>
      <c r="VKI61" s="219"/>
      <c r="VKJ61" s="220"/>
      <c r="VKK61" s="220"/>
      <c r="VKL61" s="220"/>
      <c r="VKM61" s="220"/>
      <c r="VKN61" s="217"/>
      <c r="VKO61" s="221"/>
      <c r="VKP61" s="216"/>
      <c r="VKQ61" s="217"/>
      <c r="VKR61" s="218"/>
      <c r="VKS61" s="219"/>
      <c r="VKT61" s="220"/>
      <c r="VKU61" s="220"/>
      <c r="VKV61" s="220"/>
      <c r="VKW61" s="220"/>
      <c r="VKX61" s="217"/>
      <c r="VKY61" s="221"/>
      <c r="VKZ61" s="216"/>
      <c r="VLA61" s="217"/>
      <c r="VLB61" s="218"/>
      <c r="VLC61" s="219"/>
      <c r="VLD61" s="220"/>
      <c r="VLE61" s="220"/>
      <c r="VLF61" s="220"/>
      <c r="VLG61" s="220"/>
      <c r="VLH61" s="217"/>
      <c r="VLI61" s="221"/>
      <c r="VLJ61" s="216"/>
      <c r="VLK61" s="217"/>
      <c r="VLL61" s="218"/>
      <c r="VLM61" s="219"/>
      <c r="VLN61" s="220"/>
      <c r="VLO61" s="220"/>
      <c r="VLP61" s="220"/>
      <c r="VLQ61" s="220"/>
      <c r="VLR61" s="217"/>
      <c r="VLS61" s="221"/>
      <c r="VLT61" s="216"/>
      <c r="VLU61" s="217"/>
      <c r="VLV61" s="218"/>
      <c r="VLW61" s="219"/>
      <c r="VLX61" s="220"/>
      <c r="VLY61" s="220"/>
      <c r="VLZ61" s="220"/>
      <c r="VMA61" s="220"/>
      <c r="VMB61" s="217"/>
      <c r="VMC61" s="221"/>
      <c r="VMD61" s="216"/>
      <c r="VME61" s="217"/>
      <c r="VMF61" s="218"/>
      <c r="VMG61" s="219"/>
      <c r="VMH61" s="220"/>
      <c r="VMI61" s="220"/>
      <c r="VMJ61" s="220"/>
      <c r="VMK61" s="220"/>
      <c r="VML61" s="217"/>
      <c r="VMM61" s="221"/>
      <c r="VMN61" s="216"/>
      <c r="VMO61" s="217"/>
      <c r="VMP61" s="218"/>
      <c r="VMQ61" s="219"/>
      <c r="VMR61" s="220"/>
      <c r="VMS61" s="220"/>
      <c r="VMT61" s="220"/>
      <c r="VMU61" s="220"/>
      <c r="VMV61" s="217"/>
      <c r="VMW61" s="221"/>
      <c r="VMX61" s="216"/>
      <c r="VMY61" s="217"/>
      <c r="VMZ61" s="218"/>
      <c r="VNA61" s="219"/>
      <c r="VNB61" s="220"/>
      <c r="VNC61" s="220"/>
      <c r="VND61" s="220"/>
      <c r="VNE61" s="220"/>
      <c r="VNF61" s="217"/>
      <c r="VNG61" s="221"/>
      <c r="VNH61" s="216"/>
      <c r="VNI61" s="217"/>
      <c r="VNJ61" s="218"/>
      <c r="VNK61" s="219"/>
      <c r="VNL61" s="220"/>
      <c r="VNM61" s="220"/>
      <c r="VNN61" s="220"/>
      <c r="VNO61" s="220"/>
      <c r="VNP61" s="217"/>
      <c r="VNQ61" s="221"/>
      <c r="VNR61" s="216"/>
      <c r="VNS61" s="217"/>
      <c r="VNT61" s="218"/>
      <c r="VNU61" s="219"/>
      <c r="VNV61" s="220"/>
      <c r="VNW61" s="220"/>
      <c r="VNX61" s="220"/>
      <c r="VNY61" s="220"/>
      <c r="VNZ61" s="217"/>
      <c r="VOA61" s="221"/>
      <c r="VOB61" s="216"/>
      <c r="VOC61" s="217"/>
      <c r="VOD61" s="218"/>
      <c r="VOE61" s="219"/>
      <c r="VOF61" s="220"/>
      <c r="VOG61" s="220"/>
      <c r="VOH61" s="220"/>
      <c r="VOI61" s="220"/>
      <c r="VOJ61" s="217"/>
      <c r="VOK61" s="221"/>
      <c r="VOL61" s="216"/>
      <c r="VOM61" s="217"/>
      <c r="VON61" s="218"/>
      <c r="VOO61" s="219"/>
      <c r="VOP61" s="220"/>
      <c r="VOQ61" s="220"/>
      <c r="VOR61" s="220"/>
      <c r="VOS61" s="220"/>
      <c r="VOT61" s="217"/>
      <c r="VOU61" s="221"/>
      <c r="VOV61" s="216"/>
      <c r="VOW61" s="217"/>
      <c r="VOX61" s="218"/>
      <c r="VOY61" s="219"/>
      <c r="VOZ61" s="220"/>
      <c r="VPA61" s="220"/>
      <c r="VPB61" s="220"/>
      <c r="VPC61" s="220"/>
      <c r="VPD61" s="217"/>
      <c r="VPE61" s="221"/>
      <c r="VPF61" s="216"/>
      <c r="VPG61" s="217"/>
      <c r="VPH61" s="218"/>
      <c r="VPI61" s="219"/>
      <c r="VPJ61" s="220"/>
      <c r="VPK61" s="220"/>
      <c r="VPL61" s="220"/>
      <c r="VPM61" s="220"/>
      <c r="VPN61" s="217"/>
      <c r="VPO61" s="221"/>
      <c r="VPP61" s="216"/>
      <c r="VPQ61" s="217"/>
      <c r="VPR61" s="218"/>
      <c r="VPS61" s="219"/>
      <c r="VPT61" s="220"/>
      <c r="VPU61" s="220"/>
      <c r="VPV61" s="220"/>
      <c r="VPW61" s="220"/>
      <c r="VPX61" s="217"/>
      <c r="VPY61" s="221"/>
      <c r="VPZ61" s="216"/>
      <c r="VQA61" s="217"/>
      <c r="VQB61" s="218"/>
      <c r="VQC61" s="219"/>
      <c r="VQD61" s="220"/>
      <c r="VQE61" s="220"/>
      <c r="VQF61" s="220"/>
      <c r="VQG61" s="220"/>
      <c r="VQH61" s="217"/>
      <c r="VQI61" s="221"/>
      <c r="VQJ61" s="216"/>
      <c r="VQK61" s="217"/>
      <c r="VQL61" s="218"/>
      <c r="VQM61" s="219"/>
      <c r="VQN61" s="220"/>
      <c r="VQO61" s="220"/>
      <c r="VQP61" s="220"/>
      <c r="VQQ61" s="220"/>
      <c r="VQR61" s="217"/>
      <c r="VQS61" s="221"/>
      <c r="VQT61" s="216"/>
      <c r="VQU61" s="217"/>
      <c r="VQV61" s="218"/>
      <c r="VQW61" s="219"/>
      <c r="VQX61" s="220"/>
      <c r="VQY61" s="220"/>
      <c r="VQZ61" s="220"/>
      <c r="VRA61" s="220"/>
      <c r="VRB61" s="217"/>
      <c r="VRC61" s="221"/>
      <c r="VRD61" s="216"/>
      <c r="VRE61" s="217"/>
      <c r="VRF61" s="218"/>
      <c r="VRG61" s="219"/>
      <c r="VRH61" s="220"/>
      <c r="VRI61" s="220"/>
      <c r="VRJ61" s="220"/>
      <c r="VRK61" s="220"/>
      <c r="VRL61" s="217"/>
      <c r="VRM61" s="221"/>
      <c r="VRN61" s="216"/>
      <c r="VRO61" s="217"/>
      <c r="VRP61" s="218"/>
      <c r="VRQ61" s="219"/>
      <c r="VRR61" s="220"/>
      <c r="VRS61" s="220"/>
      <c r="VRT61" s="220"/>
      <c r="VRU61" s="220"/>
      <c r="VRV61" s="217"/>
      <c r="VRW61" s="221"/>
      <c r="VRX61" s="216"/>
      <c r="VRY61" s="217"/>
      <c r="VRZ61" s="218"/>
      <c r="VSA61" s="219"/>
      <c r="VSB61" s="220"/>
      <c r="VSC61" s="220"/>
      <c r="VSD61" s="220"/>
      <c r="VSE61" s="220"/>
      <c r="VSF61" s="217"/>
      <c r="VSG61" s="221"/>
      <c r="VSH61" s="216"/>
      <c r="VSI61" s="217"/>
      <c r="VSJ61" s="218"/>
      <c r="VSK61" s="219"/>
      <c r="VSL61" s="220"/>
      <c r="VSM61" s="220"/>
      <c r="VSN61" s="220"/>
      <c r="VSO61" s="220"/>
      <c r="VSP61" s="217"/>
      <c r="VSQ61" s="221"/>
      <c r="VSR61" s="216"/>
      <c r="VSS61" s="217"/>
      <c r="VST61" s="218"/>
      <c r="VSU61" s="219"/>
      <c r="VSV61" s="220"/>
      <c r="VSW61" s="220"/>
      <c r="VSX61" s="220"/>
      <c r="VSY61" s="220"/>
      <c r="VSZ61" s="217"/>
      <c r="VTA61" s="221"/>
      <c r="VTB61" s="216"/>
      <c r="VTC61" s="217"/>
      <c r="VTD61" s="218"/>
      <c r="VTE61" s="219"/>
      <c r="VTF61" s="220"/>
      <c r="VTG61" s="220"/>
      <c r="VTH61" s="220"/>
      <c r="VTI61" s="220"/>
      <c r="VTJ61" s="217"/>
      <c r="VTK61" s="221"/>
      <c r="VTL61" s="216"/>
      <c r="VTM61" s="217"/>
      <c r="VTN61" s="218"/>
      <c r="VTO61" s="219"/>
      <c r="VTP61" s="220"/>
      <c r="VTQ61" s="220"/>
      <c r="VTR61" s="220"/>
      <c r="VTS61" s="220"/>
      <c r="VTT61" s="217"/>
      <c r="VTU61" s="221"/>
      <c r="VTV61" s="216"/>
      <c r="VTW61" s="217"/>
      <c r="VTX61" s="218"/>
      <c r="VTY61" s="219"/>
      <c r="VTZ61" s="220"/>
      <c r="VUA61" s="220"/>
      <c r="VUB61" s="220"/>
      <c r="VUC61" s="220"/>
      <c r="VUD61" s="217"/>
      <c r="VUE61" s="221"/>
      <c r="VUF61" s="216"/>
      <c r="VUG61" s="217"/>
      <c r="VUH61" s="218"/>
      <c r="VUI61" s="219"/>
      <c r="VUJ61" s="220"/>
      <c r="VUK61" s="220"/>
      <c r="VUL61" s="220"/>
      <c r="VUM61" s="220"/>
      <c r="VUN61" s="217"/>
      <c r="VUO61" s="221"/>
      <c r="VUP61" s="216"/>
      <c r="VUQ61" s="217"/>
      <c r="VUR61" s="218"/>
      <c r="VUS61" s="219"/>
      <c r="VUT61" s="220"/>
      <c r="VUU61" s="220"/>
      <c r="VUV61" s="220"/>
      <c r="VUW61" s="220"/>
      <c r="VUX61" s="217"/>
      <c r="VUY61" s="221"/>
      <c r="VUZ61" s="216"/>
      <c r="VVA61" s="217"/>
      <c r="VVB61" s="218"/>
      <c r="VVC61" s="219"/>
      <c r="VVD61" s="220"/>
      <c r="VVE61" s="220"/>
      <c r="VVF61" s="220"/>
      <c r="VVG61" s="220"/>
      <c r="VVH61" s="217"/>
      <c r="VVI61" s="221"/>
      <c r="VVJ61" s="216"/>
      <c r="VVK61" s="217"/>
      <c r="VVL61" s="218"/>
      <c r="VVM61" s="219"/>
      <c r="VVN61" s="220"/>
      <c r="VVO61" s="220"/>
      <c r="VVP61" s="220"/>
      <c r="VVQ61" s="220"/>
      <c r="VVR61" s="217"/>
      <c r="VVS61" s="221"/>
      <c r="VVT61" s="216"/>
      <c r="VVU61" s="217"/>
      <c r="VVV61" s="218"/>
      <c r="VVW61" s="219"/>
      <c r="VVX61" s="220"/>
      <c r="VVY61" s="220"/>
      <c r="VVZ61" s="220"/>
      <c r="VWA61" s="220"/>
      <c r="VWB61" s="217"/>
      <c r="VWC61" s="221"/>
      <c r="VWD61" s="216"/>
      <c r="VWE61" s="217"/>
      <c r="VWF61" s="218"/>
      <c r="VWG61" s="219"/>
      <c r="VWH61" s="220"/>
      <c r="VWI61" s="220"/>
      <c r="VWJ61" s="220"/>
      <c r="VWK61" s="220"/>
      <c r="VWL61" s="217"/>
      <c r="VWM61" s="221"/>
      <c r="VWN61" s="216"/>
      <c r="VWO61" s="217"/>
      <c r="VWP61" s="218"/>
      <c r="VWQ61" s="219"/>
      <c r="VWR61" s="220"/>
      <c r="VWS61" s="220"/>
      <c r="VWT61" s="220"/>
      <c r="VWU61" s="220"/>
      <c r="VWV61" s="217"/>
      <c r="VWW61" s="221"/>
      <c r="VWX61" s="216"/>
      <c r="VWY61" s="217"/>
      <c r="VWZ61" s="218"/>
      <c r="VXA61" s="219"/>
      <c r="VXB61" s="220"/>
      <c r="VXC61" s="220"/>
      <c r="VXD61" s="220"/>
      <c r="VXE61" s="220"/>
      <c r="VXF61" s="217"/>
      <c r="VXG61" s="221"/>
      <c r="VXH61" s="216"/>
      <c r="VXI61" s="217"/>
      <c r="VXJ61" s="218"/>
      <c r="VXK61" s="219"/>
      <c r="VXL61" s="220"/>
      <c r="VXM61" s="220"/>
      <c r="VXN61" s="220"/>
      <c r="VXO61" s="220"/>
      <c r="VXP61" s="217"/>
      <c r="VXQ61" s="221"/>
      <c r="VXR61" s="216"/>
      <c r="VXS61" s="217"/>
      <c r="VXT61" s="218"/>
      <c r="VXU61" s="219"/>
      <c r="VXV61" s="220"/>
      <c r="VXW61" s="220"/>
      <c r="VXX61" s="220"/>
      <c r="VXY61" s="220"/>
      <c r="VXZ61" s="217"/>
      <c r="VYA61" s="221"/>
      <c r="VYB61" s="216"/>
      <c r="VYC61" s="217"/>
      <c r="VYD61" s="218"/>
      <c r="VYE61" s="219"/>
      <c r="VYF61" s="220"/>
      <c r="VYG61" s="220"/>
      <c r="VYH61" s="220"/>
      <c r="VYI61" s="220"/>
      <c r="VYJ61" s="217"/>
      <c r="VYK61" s="221"/>
      <c r="VYL61" s="216"/>
      <c r="VYM61" s="217"/>
      <c r="VYN61" s="218"/>
      <c r="VYO61" s="219"/>
      <c r="VYP61" s="220"/>
      <c r="VYQ61" s="220"/>
      <c r="VYR61" s="220"/>
      <c r="VYS61" s="220"/>
      <c r="VYT61" s="217"/>
      <c r="VYU61" s="221"/>
      <c r="VYV61" s="216"/>
      <c r="VYW61" s="217"/>
      <c r="VYX61" s="218"/>
      <c r="VYY61" s="219"/>
      <c r="VYZ61" s="220"/>
      <c r="VZA61" s="220"/>
      <c r="VZB61" s="220"/>
      <c r="VZC61" s="220"/>
      <c r="VZD61" s="217"/>
      <c r="VZE61" s="221"/>
      <c r="VZF61" s="216"/>
      <c r="VZG61" s="217"/>
      <c r="VZH61" s="218"/>
      <c r="VZI61" s="219"/>
      <c r="VZJ61" s="220"/>
      <c r="VZK61" s="220"/>
      <c r="VZL61" s="220"/>
      <c r="VZM61" s="220"/>
      <c r="VZN61" s="217"/>
      <c r="VZO61" s="221"/>
      <c r="VZP61" s="216"/>
      <c r="VZQ61" s="217"/>
      <c r="VZR61" s="218"/>
      <c r="VZS61" s="219"/>
      <c r="VZT61" s="220"/>
      <c r="VZU61" s="220"/>
      <c r="VZV61" s="220"/>
      <c r="VZW61" s="220"/>
      <c r="VZX61" s="217"/>
      <c r="VZY61" s="221"/>
      <c r="VZZ61" s="216"/>
      <c r="WAA61" s="217"/>
      <c r="WAB61" s="218"/>
      <c r="WAC61" s="219"/>
      <c r="WAD61" s="220"/>
      <c r="WAE61" s="220"/>
      <c r="WAF61" s="220"/>
      <c r="WAG61" s="220"/>
      <c r="WAH61" s="217"/>
      <c r="WAI61" s="221"/>
      <c r="WAJ61" s="216"/>
      <c r="WAK61" s="217"/>
      <c r="WAL61" s="218"/>
      <c r="WAM61" s="219"/>
      <c r="WAN61" s="220"/>
      <c r="WAO61" s="220"/>
      <c r="WAP61" s="220"/>
      <c r="WAQ61" s="220"/>
      <c r="WAR61" s="217"/>
      <c r="WAS61" s="221"/>
      <c r="WAT61" s="216"/>
      <c r="WAU61" s="217"/>
      <c r="WAV61" s="218"/>
      <c r="WAW61" s="219"/>
      <c r="WAX61" s="220"/>
      <c r="WAY61" s="220"/>
      <c r="WAZ61" s="220"/>
      <c r="WBA61" s="220"/>
      <c r="WBB61" s="217"/>
      <c r="WBC61" s="221"/>
      <c r="WBD61" s="216"/>
      <c r="WBE61" s="217"/>
      <c r="WBF61" s="218"/>
      <c r="WBG61" s="219"/>
      <c r="WBH61" s="220"/>
      <c r="WBI61" s="220"/>
      <c r="WBJ61" s="220"/>
      <c r="WBK61" s="220"/>
      <c r="WBL61" s="217"/>
      <c r="WBM61" s="221"/>
      <c r="WBN61" s="216"/>
      <c r="WBO61" s="217"/>
      <c r="WBP61" s="218"/>
      <c r="WBQ61" s="219"/>
      <c r="WBR61" s="220"/>
      <c r="WBS61" s="220"/>
      <c r="WBT61" s="220"/>
      <c r="WBU61" s="220"/>
      <c r="WBV61" s="217"/>
      <c r="WBW61" s="221"/>
      <c r="WBX61" s="216"/>
      <c r="WBY61" s="217"/>
      <c r="WBZ61" s="218"/>
      <c r="WCA61" s="219"/>
      <c r="WCB61" s="220"/>
      <c r="WCC61" s="220"/>
      <c r="WCD61" s="220"/>
      <c r="WCE61" s="220"/>
      <c r="WCF61" s="217"/>
      <c r="WCG61" s="221"/>
      <c r="WCH61" s="216"/>
      <c r="WCI61" s="217"/>
      <c r="WCJ61" s="218"/>
      <c r="WCK61" s="219"/>
      <c r="WCL61" s="220"/>
      <c r="WCM61" s="220"/>
      <c r="WCN61" s="220"/>
      <c r="WCO61" s="220"/>
      <c r="WCP61" s="217"/>
      <c r="WCQ61" s="221"/>
      <c r="WCR61" s="216"/>
      <c r="WCS61" s="217"/>
      <c r="WCT61" s="218"/>
      <c r="WCU61" s="219"/>
      <c r="WCV61" s="220"/>
      <c r="WCW61" s="220"/>
      <c r="WCX61" s="220"/>
      <c r="WCY61" s="220"/>
      <c r="WCZ61" s="217"/>
      <c r="WDA61" s="221"/>
      <c r="WDB61" s="216"/>
      <c r="WDC61" s="217"/>
      <c r="WDD61" s="218"/>
      <c r="WDE61" s="219"/>
      <c r="WDF61" s="220"/>
      <c r="WDG61" s="220"/>
      <c r="WDH61" s="220"/>
      <c r="WDI61" s="220"/>
      <c r="WDJ61" s="217"/>
      <c r="WDK61" s="221"/>
      <c r="WDL61" s="216"/>
      <c r="WDM61" s="217"/>
      <c r="WDN61" s="218"/>
      <c r="WDO61" s="219"/>
      <c r="WDP61" s="220"/>
      <c r="WDQ61" s="220"/>
      <c r="WDR61" s="220"/>
      <c r="WDS61" s="220"/>
      <c r="WDT61" s="217"/>
      <c r="WDU61" s="221"/>
      <c r="WDV61" s="216"/>
      <c r="WDW61" s="217"/>
      <c r="WDX61" s="218"/>
      <c r="WDY61" s="219"/>
      <c r="WDZ61" s="220"/>
      <c r="WEA61" s="220"/>
      <c r="WEB61" s="220"/>
      <c r="WEC61" s="220"/>
      <c r="WED61" s="217"/>
      <c r="WEE61" s="221"/>
      <c r="WEF61" s="216"/>
      <c r="WEG61" s="217"/>
      <c r="WEH61" s="218"/>
      <c r="WEI61" s="219"/>
      <c r="WEJ61" s="220"/>
      <c r="WEK61" s="220"/>
      <c r="WEL61" s="220"/>
      <c r="WEM61" s="220"/>
      <c r="WEN61" s="217"/>
      <c r="WEO61" s="221"/>
      <c r="WEP61" s="216"/>
      <c r="WEQ61" s="217"/>
      <c r="WER61" s="218"/>
      <c r="WES61" s="219"/>
      <c r="WET61" s="220"/>
      <c r="WEU61" s="220"/>
      <c r="WEV61" s="220"/>
      <c r="WEW61" s="220"/>
      <c r="WEX61" s="217"/>
      <c r="WEY61" s="221"/>
      <c r="WEZ61" s="216"/>
      <c r="WFA61" s="217"/>
      <c r="WFB61" s="218"/>
      <c r="WFC61" s="219"/>
      <c r="WFD61" s="220"/>
      <c r="WFE61" s="220"/>
      <c r="WFF61" s="220"/>
      <c r="WFG61" s="220"/>
      <c r="WFH61" s="217"/>
      <c r="WFI61" s="221"/>
      <c r="WFJ61" s="216"/>
      <c r="WFK61" s="217"/>
      <c r="WFL61" s="218"/>
      <c r="WFM61" s="219"/>
      <c r="WFN61" s="220"/>
      <c r="WFO61" s="220"/>
      <c r="WFP61" s="220"/>
      <c r="WFQ61" s="220"/>
      <c r="WFR61" s="217"/>
      <c r="WFS61" s="221"/>
      <c r="WFT61" s="216"/>
      <c r="WFU61" s="217"/>
      <c r="WFV61" s="218"/>
      <c r="WFW61" s="219"/>
      <c r="WFX61" s="220"/>
      <c r="WFY61" s="220"/>
      <c r="WFZ61" s="220"/>
      <c r="WGA61" s="220"/>
      <c r="WGB61" s="217"/>
      <c r="WGC61" s="221"/>
      <c r="WGD61" s="216"/>
      <c r="WGE61" s="217"/>
      <c r="WGF61" s="218"/>
      <c r="WGG61" s="219"/>
      <c r="WGH61" s="220"/>
      <c r="WGI61" s="220"/>
      <c r="WGJ61" s="220"/>
      <c r="WGK61" s="220"/>
      <c r="WGL61" s="217"/>
      <c r="WGM61" s="221"/>
      <c r="WGN61" s="216"/>
      <c r="WGO61" s="217"/>
      <c r="WGP61" s="218"/>
      <c r="WGQ61" s="219"/>
      <c r="WGR61" s="220"/>
      <c r="WGS61" s="220"/>
      <c r="WGT61" s="220"/>
      <c r="WGU61" s="220"/>
      <c r="WGV61" s="217"/>
      <c r="WGW61" s="221"/>
      <c r="WGX61" s="216"/>
      <c r="WGY61" s="217"/>
      <c r="WGZ61" s="218"/>
      <c r="WHA61" s="219"/>
      <c r="WHB61" s="220"/>
      <c r="WHC61" s="220"/>
      <c r="WHD61" s="220"/>
      <c r="WHE61" s="220"/>
      <c r="WHF61" s="217"/>
      <c r="WHG61" s="221"/>
      <c r="WHH61" s="216"/>
      <c r="WHI61" s="217"/>
      <c r="WHJ61" s="218"/>
      <c r="WHK61" s="219"/>
      <c r="WHL61" s="220"/>
      <c r="WHM61" s="220"/>
      <c r="WHN61" s="220"/>
      <c r="WHO61" s="220"/>
      <c r="WHP61" s="217"/>
      <c r="WHQ61" s="221"/>
      <c r="WHR61" s="216"/>
      <c r="WHS61" s="217"/>
      <c r="WHT61" s="218"/>
      <c r="WHU61" s="219"/>
      <c r="WHV61" s="220"/>
      <c r="WHW61" s="220"/>
      <c r="WHX61" s="220"/>
      <c r="WHY61" s="220"/>
      <c r="WHZ61" s="217"/>
      <c r="WIA61" s="221"/>
      <c r="WIB61" s="216"/>
      <c r="WIC61" s="217"/>
      <c r="WID61" s="218"/>
      <c r="WIE61" s="219"/>
      <c r="WIF61" s="220"/>
      <c r="WIG61" s="220"/>
      <c r="WIH61" s="220"/>
      <c r="WII61" s="220"/>
      <c r="WIJ61" s="217"/>
      <c r="WIK61" s="221"/>
      <c r="WIL61" s="216"/>
      <c r="WIM61" s="217"/>
      <c r="WIN61" s="218"/>
      <c r="WIO61" s="219"/>
      <c r="WIP61" s="220"/>
      <c r="WIQ61" s="220"/>
      <c r="WIR61" s="220"/>
      <c r="WIS61" s="220"/>
      <c r="WIT61" s="217"/>
      <c r="WIU61" s="221"/>
      <c r="WIV61" s="216"/>
      <c r="WIW61" s="217"/>
      <c r="WIX61" s="218"/>
      <c r="WIY61" s="219"/>
      <c r="WIZ61" s="220"/>
      <c r="WJA61" s="220"/>
      <c r="WJB61" s="220"/>
      <c r="WJC61" s="220"/>
      <c r="WJD61" s="217"/>
      <c r="WJE61" s="221"/>
      <c r="WJF61" s="216"/>
      <c r="WJG61" s="217"/>
      <c r="WJH61" s="218"/>
      <c r="WJI61" s="219"/>
      <c r="WJJ61" s="220"/>
      <c r="WJK61" s="220"/>
      <c r="WJL61" s="220"/>
      <c r="WJM61" s="220"/>
      <c r="WJN61" s="217"/>
      <c r="WJO61" s="221"/>
      <c r="WJP61" s="216"/>
      <c r="WJQ61" s="217"/>
      <c r="WJR61" s="218"/>
      <c r="WJS61" s="219"/>
      <c r="WJT61" s="220"/>
      <c r="WJU61" s="220"/>
      <c r="WJV61" s="220"/>
      <c r="WJW61" s="220"/>
      <c r="WJX61" s="217"/>
      <c r="WJY61" s="221"/>
      <c r="WJZ61" s="216"/>
      <c r="WKA61" s="217"/>
      <c r="WKB61" s="218"/>
      <c r="WKC61" s="219"/>
      <c r="WKD61" s="220"/>
      <c r="WKE61" s="220"/>
      <c r="WKF61" s="220"/>
      <c r="WKG61" s="220"/>
      <c r="WKH61" s="217"/>
      <c r="WKI61" s="221"/>
      <c r="WKJ61" s="216"/>
      <c r="WKK61" s="217"/>
      <c r="WKL61" s="218"/>
      <c r="WKM61" s="219"/>
      <c r="WKN61" s="220"/>
      <c r="WKO61" s="220"/>
      <c r="WKP61" s="220"/>
      <c r="WKQ61" s="220"/>
      <c r="WKR61" s="217"/>
      <c r="WKS61" s="221"/>
      <c r="WKT61" s="216"/>
      <c r="WKU61" s="217"/>
      <c r="WKV61" s="218"/>
      <c r="WKW61" s="219"/>
      <c r="WKX61" s="220"/>
      <c r="WKY61" s="220"/>
      <c r="WKZ61" s="220"/>
      <c r="WLA61" s="220"/>
      <c r="WLB61" s="217"/>
      <c r="WLC61" s="221"/>
      <c r="WLD61" s="216"/>
      <c r="WLE61" s="217"/>
      <c r="WLF61" s="218"/>
      <c r="WLG61" s="219"/>
      <c r="WLH61" s="220"/>
      <c r="WLI61" s="220"/>
      <c r="WLJ61" s="220"/>
      <c r="WLK61" s="220"/>
      <c r="WLL61" s="217"/>
      <c r="WLM61" s="221"/>
      <c r="WLN61" s="216"/>
      <c r="WLO61" s="217"/>
      <c r="WLP61" s="218"/>
      <c r="WLQ61" s="219"/>
      <c r="WLR61" s="220"/>
      <c r="WLS61" s="220"/>
      <c r="WLT61" s="220"/>
      <c r="WLU61" s="220"/>
      <c r="WLV61" s="217"/>
      <c r="WLW61" s="221"/>
      <c r="WLX61" s="216"/>
      <c r="WLY61" s="217"/>
      <c r="WLZ61" s="218"/>
      <c r="WMA61" s="219"/>
      <c r="WMB61" s="220"/>
      <c r="WMC61" s="220"/>
      <c r="WMD61" s="220"/>
      <c r="WME61" s="220"/>
      <c r="WMF61" s="217"/>
      <c r="WMG61" s="221"/>
      <c r="WMH61" s="216"/>
      <c r="WMI61" s="217"/>
      <c r="WMJ61" s="218"/>
      <c r="WMK61" s="219"/>
      <c r="WML61" s="220"/>
      <c r="WMM61" s="220"/>
      <c r="WMN61" s="220"/>
      <c r="WMO61" s="220"/>
      <c r="WMP61" s="217"/>
      <c r="WMQ61" s="221"/>
      <c r="WMR61" s="216"/>
      <c r="WMS61" s="217"/>
      <c r="WMT61" s="218"/>
      <c r="WMU61" s="219"/>
      <c r="WMV61" s="220"/>
      <c r="WMW61" s="220"/>
      <c r="WMX61" s="220"/>
      <c r="WMY61" s="220"/>
      <c r="WMZ61" s="217"/>
      <c r="WNA61" s="221"/>
      <c r="WNB61" s="216"/>
      <c r="WNC61" s="217"/>
      <c r="WND61" s="218"/>
      <c r="WNE61" s="219"/>
      <c r="WNF61" s="220"/>
      <c r="WNG61" s="220"/>
      <c r="WNH61" s="220"/>
      <c r="WNI61" s="220"/>
      <c r="WNJ61" s="217"/>
      <c r="WNK61" s="221"/>
      <c r="WNL61" s="216"/>
      <c r="WNM61" s="217"/>
      <c r="WNN61" s="218"/>
      <c r="WNO61" s="219"/>
      <c r="WNP61" s="220"/>
      <c r="WNQ61" s="220"/>
      <c r="WNR61" s="220"/>
      <c r="WNS61" s="220"/>
      <c r="WNT61" s="217"/>
      <c r="WNU61" s="221"/>
      <c r="WNV61" s="216"/>
      <c r="WNW61" s="217"/>
      <c r="WNX61" s="218"/>
      <c r="WNY61" s="219"/>
      <c r="WNZ61" s="220"/>
      <c r="WOA61" s="220"/>
      <c r="WOB61" s="220"/>
      <c r="WOC61" s="220"/>
      <c r="WOD61" s="217"/>
      <c r="WOE61" s="221"/>
      <c r="WOF61" s="216"/>
      <c r="WOG61" s="217"/>
      <c r="WOH61" s="218"/>
      <c r="WOI61" s="219"/>
      <c r="WOJ61" s="220"/>
      <c r="WOK61" s="220"/>
      <c r="WOL61" s="220"/>
      <c r="WOM61" s="220"/>
      <c r="WON61" s="217"/>
      <c r="WOO61" s="221"/>
      <c r="WOP61" s="216"/>
      <c r="WOQ61" s="217"/>
      <c r="WOR61" s="218"/>
      <c r="WOS61" s="219"/>
      <c r="WOT61" s="220"/>
      <c r="WOU61" s="220"/>
      <c r="WOV61" s="220"/>
      <c r="WOW61" s="220"/>
      <c r="WOX61" s="217"/>
      <c r="WOY61" s="221"/>
      <c r="WOZ61" s="216"/>
      <c r="WPA61" s="217"/>
      <c r="WPB61" s="218"/>
      <c r="WPC61" s="219"/>
      <c r="WPD61" s="220"/>
      <c r="WPE61" s="220"/>
      <c r="WPF61" s="220"/>
      <c r="WPG61" s="220"/>
      <c r="WPH61" s="217"/>
      <c r="WPI61" s="221"/>
      <c r="WPJ61" s="216"/>
      <c r="WPK61" s="217"/>
      <c r="WPL61" s="218"/>
      <c r="WPM61" s="219"/>
      <c r="WPN61" s="220"/>
      <c r="WPO61" s="220"/>
      <c r="WPP61" s="220"/>
      <c r="WPQ61" s="220"/>
      <c r="WPR61" s="217"/>
      <c r="WPS61" s="221"/>
      <c r="WPT61" s="216"/>
      <c r="WPU61" s="217"/>
      <c r="WPV61" s="218"/>
      <c r="WPW61" s="219"/>
      <c r="WPX61" s="220"/>
      <c r="WPY61" s="220"/>
      <c r="WPZ61" s="220"/>
      <c r="WQA61" s="220"/>
      <c r="WQB61" s="217"/>
      <c r="WQC61" s="221"/>
      <c r="WQD61" s="216"/>
      <c r="WQE61" s="217"/>
      <c r="WQF61" s="218"/>
      <c r="WQG61" s="219"/>
      <c r="WQH61" s="220"/>
      <c r="WQI61" s="220"/>
      <c r="WQJ61" s="220"/>
      <c r="WQK61" s="220"/>
      <c r="WQL61" s="217"/>
      <c r="WQM61" s="221"/>
      <c r="WQN61" s="216"/>
      <c r="WQO61" s="217"/>
      <c r="WQP61" s="218"/>
      <c r="WQQ61" s="219"/>
      <c r="WQR61" s="220"/>
      <c r="WQS61" s="220"/>
      <c r="WQT61" s="220"/>
      <c r="WQU61" s="220"/>
      <c r="WQV61" s="217"/>
      <c r="WQW61" s="221"/>
      <c r="WQX61" s="216"/>
      <c r="WQY61" s="217"/>
      <c r="WQZ61" s="218"/>
      <c r="WRA61" s="219"/>
      <c r="WRB61" s="220"/>
      <c r="WRC61" s="220"/>
      <c r="WRD61" s="220"/>
      <c r="WRE61" s="220"/>
      <c r="WRF61" s="217"/>
      <c r="WRG61" s="221"/>
      <c r="WRH61" s="216"/>
      <c r="WRI61" s="217"/>
      <c r="WRJ61" s="218"/>
      <c r="WRK61" s="219"/>
      <c r="WRL61" s="220"/>
      <c r="WRM61" s="220"/>
      <c r="WRN61" s="220"/>
      <c r="WRO61" s="220"/>
      <c r="WRP61" s="217"/>
      <c r="WRQ61" s="221"/>
      <c r="WRR61" s="216"/>
      <c r="WRS61" s="217"/>
      <c r="WRT61" s="218"/>
      <c r="WRU61" s="219"/>
      <c r="WRV61" s="220"/>
      <c r="WRW61" s="220"/>
      <c r="WRX61" s="220"/>
      <c r="WRY61" s="220"/>
      <c r="WRZ61" s="217"/>
      <c r="WSA61" s="221"/>
      <c r="WSB61" s="216"/>
      <c r="WSC61" s="217"/>
      <c r="WSD61" s="218"/>
      <c r="WSE61" s="219"/>
      <c r="WSF61" s="220"/>
      <c r="WSG61" s="220"/>
      <c r="WSH61" s="220"/>
      <c r="WSI61" s="220"/>
      <c r="WSJ61" s="217"/>
      <c r="WSK61" s="221"/>
      <c r="WSL61" s="216"/>
      <c r="WSM61" s="217"/>
      <c r="WSN61" s="218"/>
      <c r="WSO61" s="219"/>
      <c r="WSP61" s="220"/>
      <c r="WSQ61" s="220"/>
      <c r="WSR61" s="220"/>
      <c r="WSS61" s="220"/>
      <c r="WST61" s="217"/>
      <c r="WSU61" s="221"/>
      <c r="WSV61" s="216"/>
      <c r="WSW61" s="217"/>
      <c r="WSX61" s="218"/>
      <c r="WSY61" s="219"/>
      <c r="WSZ61" s="220"/>
      <c r="WTA61" s="220"/>
      <c r="WTB61" s="220"/>
      <c r="WTC61" s="220"/>
      <c r="WTD61" s="217"/>
      <c r="WTE61" s="221"/>
      <c r="WTF61" s="216"/>
      <c r="WTG61" s="217"/>
      <c r="WTH61" s="218"/>
      <c r="WTI61" s="219"/>
      <c r="WTJ61" s="220"/>
      <c r="WTK61" s="220"/>
      <c r="WTL61" s="220"/>
      <c r="WTM61" s="220"/>
      <c r="WTN61" s="217"/>
      <c r="WTO61" s="221"/>
      <c r="WTP61" s="216"/>
      <c r="WTQ61" s="217"/>
      <c r="WTR61" s="218"/>
      <c r="WTS61" s="219"/>
      <c r="WTT61" s="220"/>
      <c r="WTU61" s="220"/>
      <c r="WTV61" s="220"/>
      <c r="WTW61" s="220"/>
      <c r="WTX61" s="217"/>
      <c r="WTY61" s="221"/>
      <c r="WTZ61" s="216"/>
      <c r="WUA61" s="217"/>
      <c r="WUB61" s="218"/>
      <c r="WUC61" s="219"/>
      <c r="WUD61" s="220"/>
      <c r="WUE61" s="220"/>
      <c r="WUF61" s="220"/>
      <c r="WUG61" s="220"/>
      <c r="WUH61" s="217"/>
      <c r="WUI61" s="221"/>
      <c r="WUJ61" s="216"/>
      <c r="WUK61" s="217"/>
      <c r="WUL61" s="218"/>
      <c r="WUM61" s="219"/>
      <c r="WUN61" s="220"/>
      <c r="WUO61" s="220"/>
      <c r="WUP61" s="220"/>
      <c r="WUQ61" s="220"/>
      <c r="WUR61" s="217"/>
      <c r="WUS61" s="221"/>
      <c r="WUT61" s="216"/>
      <c r="WUU61" s="217"/>
      <c r="WUV61" s="218"/>
      <c r="WUW61" s="219"/>
      <c r="WUX61" s="220"/>
      <c r="WUY61" s="220"/>
      <c r="WUZ61" s="220"/>
      <c r="WVA61" s="220"/>
      <c r="WVB61" s="217"/>
      <c r="WVC61" s="221"/>
      <c r="WVD61" s="216"/>
      <c r="WVE61" s="217"/>
      <c r="WVF61" s="218"/>
      <c r="WVG61" s="219"/>
      <c r="WVH61" s="220"/>
      <c r="WVI61" s="220"/>
      <c r="WVJ61" s="220"/>
      <c r="WVK61" s="220"/>
      <c r="WVL61" s="217"/>
      <c r="WVM61" s="221"/>
      <c r="WVN61" s="216"/>
      <c r="WVO61" s="217"/>
      <c r="WVP61" s="218"/>
      <c r="WVQ61" s="219"/>
      <c r="WVR61" s="220"/>
      <c r="WVS61" s="220"/>
      <c r="WVT61" s="220"/>
      <c r="WVU61" s="220"/>
      <c r="WVV61" s="217"/>
      <c r="WVW61" s="221"/>
      <c r="WVX61" s="216"/>
      <c r="WVY61" s="217"/>
      <c r="WVZ61" s="218"/>
      <c r="WWA61" s="219"/>
      <c r="WWB61" s="220"/>
      <c r="WWC61" s="220"/>
      <c r="WWD61" s="220"/>
      <c r="WWE61" s="220"/>
      <c r="WWF61" s="217"/>
      <c r="WWG61" s="221"/>
      <c r="WWH61" s="216"/>
      <c r="WWI61" s="217"/>
      <c r="WWJ61" s="218"/>
      <c r="WWK61" s="219"/>
      <c r="WWL61" s="220"/>
      <c r="WWM61" s="220"/>
      <c r="WWN61" s="220"/>
      <c r="WWO61" s="220"/>
      <c r="WWP61" s="217"/>
      <c r="WWQ61" s="221"/>
      <c r="WWR61" s="216"/>
      <c r="WWS61" s="217"/>
      <c r="WWT61" s="218"/>
      <c r="WWU61" s="219"/>
      <c r="WWV61" s="220"/>
      <c r="WWW61" s="220"/>
      <c r="WWX61" s="220"/>
      <c r="WWY61" s="220"/>
      <c r="WWZ61" s="217"/>
      <c r="WXA61" s="221"/>
      <c r="WXB61" s="216"/>
      <c r="WXC61" s="217"/>
      <c r="WXD61" s="218"/>
      <c r="WXE61" s="219"/>
      <c r="WXF61" s="220"/>
      <c r="WXG61" s="220"/>
      <c r="WXH61" s="220"/>
      <c r="WXI61" s="220"/>
      <c r="WXJ61" s="217"/>
      <c r="WXK61" s="221"/>
      <c r="WXL61" s="216"/>
      <c r="WXM61" s="217"/>
      <c r="WXN61" s="218"/>
      <c r="WXO61" s="219"/>
      <c r="WXP61" s="220"/>
      <c r="WXQ61" s="220"/>
      <c r="WXR61" s="220"/>
      <c r="WXS61" s="220"/>
      <c r="WXT61" s="217"/>
      <c r="WXU61" s="221"/>
      <c r="WXV61" s="216"/>
      <c r="WXW61" s="217"/>
      <c r="WXX61" s="218"/>
      <c r="WXY61" s="219"/>
      <c r="WXZ61" s="220"/>
      <c r="WYA61" s="220"/>
      <c r="WYB61" s="220"/>
      <c r="WYC61" s="220"/>
      <c r="WYD61" s="217"/>
      <c r="WYE61" s="221"/>
      <c r="WYF61" s="216"/>
      <c r="WYG61" s="217"/>
      <c r="WYH61" s="218"/>
      <c r="WYI61" s="219"/>
      <c r="WYJ61" s="220"/>
      <c r="WYK61" s="220"/>
      <c r="WYL61" s="220"/>
      <c r="WYM61" s="220"/>
      <c r="WYN61" s="217"/>
      <c r="WYO61" s="221"/>
      <c r="WYP61" s="216"/>
      <c r="WYQ61" s="217"/>
      <c r="WYR61" s="218"/>
      <c r="WYS61" s="219"/>
      <c r="WYT61" s="220"/>
      <c r="WYU61" s="220"/>
      <c r="WYV61" s="220"/>
      <c r="WYW61" s="220"/>
      <c r="WYX61" s="217"/>
      <c r="WYY61" s="221"/>
      <c r="WYZ61" s="216"/>
      <c r="WZA61" s="217"/>
      <c r="WZB61" s="218"/>
      <c r="WZC61" s="219"/>
      <c r="WZD61" s="220"/>
      <c r="WZE61" s="220"/>
      <c r="WZF61" s="220"/>
      <c r="WZG61" s="220"/>
      <c r="WZH61" s="217"/>
      <c r="WZI61" s="221"/>
      <c r="WZJ61" s="216"/>
      <c r="WZK61" s="217"/>
      <c r="WZL61" s="218"/>
      <c r="WZM61" s="219"/>
      <c r="WZN61" s="220"/>
      <c r="WZO61" s="220"/>
      <c r="WZP61" s="220"/>
      <c r="WZQ61" s="220"/>
      <c r="WZR61" s="217"/>
      <c r="WZS61" s="221"/>
      <c r="WZT61" s="216"/>
      <c r="WZU61" s="217"/>
      <c r="WZV61" s="218"/>
      <c r="WZW61" s="219"/>
      <c r="WZX61" s="220"/>
      <c r="WZY61" s="220"/>
      <c r="WZZ61" s="220"/>
      <c r="XAA61" s="220"/>
      <c r="XAB61" s="217"/>
      <c r="XAC61" s="221"/>
      <c r="XAD61" s="216"/>
      <c r="XAE61" s="217"/>
      <c r="XAF61" s="218"/>
      <c r="XAG61" s="219"/>
      <c r="XAH61" s="220"/>
      <c r="XAI61" s="220"/>
      <c r="XAJ61" s="220"/>
      <c r="XAK61" s="220"/>
      <c r="XAL61" s="217"/>
      <c r="XAM61" s="221"/>
      <c r="XAN61" s="216"/>
      <c r="XAO61" s="217"/>
      <c r="XAP61" s="218"/>
      <c r="XAQ61" s="219"/>
      <c r="XAR61" s="220"/>
      <c r="XAS61" s="220"/>
      <c r="XAT61" s="220"/>
      <c r="XAU61" s="220"/>
      <c r="XAV61" s="217"/>
      <c r="XAW61" s="221"/>
      <c r="XAX61" s="216"/>
      <c r="XAY61" s="217"/>
      <c r="XAZ61" s="218"/>
      <c r="XBA61" s="219"/>
      <c r="XBB61" s="220"/>
      <c r="XBC61" s="220"/>
      <c r="XBD61" s="220"/>
      <c r="XBE61" s="220"/>
      <c r="XBF61" s="217"/>
      <c r="XBG61" s="221"/>
      <c r="XBH61" s="216"/>
      <c r="XBI61" s="217"/>
      <c r="XBJ61" s="218"/>
      <c r="XBK61" s="219"/>
      <c r="XBL61" s="220"/>
      <c r="XBM61" s="220"/>
      <c r="XBN61" s="220"/>
      <c r="XBO61" s="220"/>
      <c r="XBP61" s="217"/>
      <c r="XBQ61" s="221"/>
      <c r="XBR61" s="216"/>
      <c r="XBS61" s="217"/>
      <c r="XBT61" s="218"/>
      <c r="XBU61" s="219"/>
      <c r="XBV61" s="220"/>
      <c r="XBW61" s="220"/>
      <c r="XBX61" s="220"/>
      <c r="XBY61" s="220"/>
      <c r="XBZ61" s="217"/>
      <c r="XCA61" s="221"/>
      <c r="XCB61" s="216"/>
      <c r="XCC61" s="217"/>
      <c r="XCD61" s="218"/>
      <c r="XCE61" s="219"/>
      <c r="XCF61" s="220"/>
      <c r="XCG61" s="220"/>
      <c r="XCH61" s="220"/>
      <c r="XCI61" s="220"/>
      <c r="XCJ61" s="217"/>
      <c r="XCK61" s="221"/>
      <c r="XCL61" s="216"/>
      <c r="XCM61" s="217"/>
      <c r="XCN61" s="218"/>
      <c r="XCO61" s="219"/>
      <c r="XCP61" s="220"/>
      <c r="XCQ61" s="220"/>
      <c r="XCR61" s="220"/>
      <c r="XCS61" s="220"/>
      <c r="XCT61" s="217"/>
      <c r="XCU61" s="221"/>
      <c r="XCV61" s="216"/>
      <c r="XCW61" s="217"/>
      <c r="XCX61" s="218"/>
      <c r="XCY61" s="219"/>
      <c r="XCZ61" s="220"/>
      <c r="XDA61" s="220"/>
      <c r="XDB61" s="220"/>
      <c r="XDC61" s="220"/>
      <c r="XDD61" s="217"/>
      <c r="XDE61" s="221"/>
      <c r="XDF61" s="216"/>
      <c r="XDG61" s="217"/>
      <c r="XDH61" s="218"/>
      <c r="XDI61" s="219"/>
      <c r="XDJ61" s="220"/>
      <c r="XDK61" s="220"/>
      <c r="XDL61" s="220"/>
      <c r="XDM61" s="220"/>
      <c r="XDN61" s="217"/>
      <c r="XDO61" s="221"/>
      <c r="XDP61" s="216"/>
      <c r="XDQ61" s="217"/>
      <c r="XDR61" s="218"/>
      <c r="XDS61" s="219"/>
      <c r="XDT61" s="220"/>
      <c r="XDU61" s="220"/>
      <c r="XDV61" s="220"/>
      <c r="XDW61" s="220"/>
      <c r="XDX61" s="217"/>
      <c r="XDY61" s="221"/>
      <c r="XDZ61" s="216"/>
      <c r="XEA61" s="217"/>
      <c r="XEB61" s="218"/>
      <c r="XEC61" s="219"/>
      <c r="XED61" s="220"/>
      <c r="XEE61" s="220"/>
      <c r="XEF61" s="220"/>
      <c r="XEG61" s="220"/>
      <c r="XEH61" s="217"/>
      <c r="XEI61" s="221"/>
      <c r="XEJ61" s="216"/>
      <c r="XEK61" s="217"/>
      <c r="XEL61" s="218"/>
      <c r="XEM61" s="219"/>
      <c r="XEN61" s="220"/>
      <c r="XEO61" s="220"/>
      <c r="XEP61" s="220"/>
      <c r="XEQ61" s="220"/>
      <c r="XER61" s="217"/>
      <c r="XES61" s="221"/>
      <c r="XET61" s="216"/>
      <c r="XEU61" s="217"/>
    </row>
    <row r="62" spans="1:16375" s="209" customFormat="1" ht="57" x14ac:dyDescent="0.2">
      <c r="A62" s="208" t="s">
        <v>835</v>
      </c>
      <c r="B62" s="210" t="s">
        <v>1130</v>
      </c>
      <c r="C62" s="211" t="s">
        <v>1131</v>
      </c>
    </row>
    <row r="63" spans="1:16375" s="209" customFormat="1" ht="57" x14ac:dyDescent="0.2">
      <c r="A63" s="208" t="s">
        <v>838</v>
      </c>
      <c r="B63" s="210" t="s">
        <v>1132</v>
      </c>
      <c r="C63" s="211" t="s">
        <v>1133</v>
      </c>
    </row>
    <row r="64" spans="1:16375" s="209" customFormat="1" ht="72" x14ac:dyDescent="0.2">
      <c r="A64" s="206" t="s">
        <v>1031</v>
      </c>
      <c r="B64" s="207" t="s">
        <v>1134</v>
      </c>
      <c r="C64" s="207" t="s">
        <v>1135</v>
      </c>
    </row>
    <row r="65" spans="1:3" s="209" customFormat="1" ht="72" x14ac:dyDescent="0.2">
      <c r="A65" s="206" t="s">
        <v>850</v>
      </c>
      <c r="B65" s="207" t="s">
        <v>1136</v>
      </c>
      <c r="C65" s="207" t="s">
        <v>1137</v>
      </c>
    </row>
    <row r="66" spans="1:3" s="209" customFormat="1" ht="57.75" x14ac:dyDescent="0.2">
      <c r="A66" s="208" t="s">
        <v>1034</v>
      </c>
      <c r="B66" s="207" t="s">
        <v>1138</v>
      </c>
      <c r="C66" s="207" t="s">
        <v>1139</v>
      </c>
    </row>
    <row r="67" spans="1:3" s="209" customFormat="1" ht="57.75" x14ac:dyDescent="0.2">
      <c r="A67" s="208" t="s">
        <v>1036</v>
      </c>
      <c r="B67" s="207" t="s">
        <v>1140</v>
      </c>
      <c r="C67" s="207" t="s">
        <v>1141</v>
      </c>
    </row>
    <row r="68" spans="1:3" s="209" customFormat="1" ht="57.75" x14ac:dyDescent="0.2">
      <c r="A68" s="208" t="s">
        <v>1038</v>
      </c>
      <c r="B68" s="207" t="s">
        <v>1142</v>
      </c>
      <c r="C68" s="207" t="s">
        <v>1143</v>
      </c>
    </row>
    <row r="69" spans="1:3" s="209" customFormat="1" ht="57.75" x14ac:dyDescent="0.2">
      <c r="A69" s="208" t="s">
        <v>1040</v>
      </c>
      <c r="B69" s="207" t="s">
        <v>1144</v>
      </c>
      <c r="C69" s="207" t="s">
        <v>1145</v>
      </c>
    </row>
    <row r="70" spans="1:3" s="209" customFormat="1" ht="57.75" x14ac:dyDescent="0.2">
      <c r="A70" s="208" t="s">
        <v>862</v>
      </c>
      <c r="B70" s="207" t="s">
        <v>1146</v>
      </c>
      <c r="C70" s="207" t="s">
        <v>1147</v>
      </c>
    </row>
    <row r="71" spans="1:3" s="212" customFormat="1" ht="72" x14ac:dyDescent="0.2">
      <c r="A71" s="206" t="s">
        <v>853</v>
      </c>
      <c r="B71" s="207" t="s">
        <v>1148</v>
      </c>
      <c r="C71" s="207" t="s">
        <v>1149</v>
      </c>
    </row>
  </sheetData>
  <sortState xmlns:xlrd2="http://schemas.microsoft.com/office/spreadsheetml/2017/richdata2" ref="A2:C71">
    <sortCondition ref="A2:A71"/>
  </sortState>
  <pageMargins left="0.25" right="0.25" top="0.75" bottom="0.75" header="0.3" footer="0.3"/>
  <pageSetup scale="5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E157"/>
  <sheetViews>
    <sheetView topLeftCell="A11" zoomScaleNormal="100" workbookViewId="0">
      <selection activeCell="D21" sqref="D21"/>
    </sheetView>
  </sheetViews>
  <sheetFormatPr defaultColWidth="8.85546875" defaultRowHeight="15" x14ac:dyDescent="0.25"/>
  <cols>
    <col min="1" max="1" width="19.85546875" style="225" bestFit="1" customWidth="1"/>
    <col min="2" max="2" width="23.5703125" style="225" customWidth="1"/>
    <col min="3" max="3" width="76.42578125" style="225" customWidth="1"/>
    <col min="4" max="4" width="13.5703125" style="230" bestFit="1" customWidth="1"/>
  </cols>
  <sheetData>
    <row r="1" spans="1:5" x14ac:dyDescent="0.25">
      <c r="A1" s="226" t="s">
        <v>1150</v>
      </c>
      <c r="B1" s="226" t="s">
        <v>1151</v>
      </c>
      <c r="C1" s="226" t="s">
        <v>1152</v>
      </c>
      <c r="D1" s="229" t="s">
        <v>1153</v>
      </c>
    </row>
    <row r="2" spans="1:5" hidden="1" x14ac:dyDescent="0.25">
      <c r="A2" s="102" t="s">
        <v>176</v>
      </c>
      <c r="B2" s="225" t="s">
        <v>1045</v>
      </c>
      <c r="C2" s="225" t="s">
        <v>177</v>
      </c>
      <c r="D2" s="230">
        <v>501.6</v>
      </c>
      <c r="E2" t="str">
        <f>VLOOKUP(B2,Sheet1!A:G,1,FALSE)</f>
        <v>SW-CMS1000TP</v>
      </c>
    </row>
    <row r="3" spans="1:5" hidden="1" x14ac:dyDescent="0.25">
      <c r="A3" s="102" t="s">
        <v>181</v>
      </c>
      <c r="B3" s="225" t="s">
        <v>1046</v>
      </c>
      <c r="C3" s="225" t="s">
        <v>182</v>
      </c>
      <c r="D3" s="230">
        <v>984.2</v>
      </c>
      <c r="E3" t="str">
        <f>VLOOKUP(B3,Sheet1!A:G,1,FALSE)</f>
        <v>SW-CMS10CON</v>
      </c>
    </row>
    <row r="4" spans="1:5" hidden="1" x14ac:dyDescent="0.25">
      <c r="A4" s="102" t="s">
        <v>184</v>
      </c>
      <c r="B4" s="225" t="s">
        <v>1047</v>
      </c>
      <c r="C4" s="225" t="s">
        <v>185</v>
      </c>
      <c r="D4" s="230">
        <v>197.6</v>
      </c>
      <c r="E4" t="str">
        <f>VLOOKUP(B4,Sheet1!A:G,1,FALSE)</f>
        <v>SW-CMS5000S</v>
      </c>
    </row>
    <row r="5" spans="1:5" ht="60" hidden="1" x14ac:dyDescent="0.25">
      <c r="A5" s="227" t="s">
        <v>217</v>
      </c>
      <c r="B5" s="225" t="s">
        <v>1154</v>
      </c>
      <c r="C5" s="225" t="s">
        <v>1155</v>
      </c>
      <c r="D5" s="230">
        <v>11045.75</v>
      </c>
      <c r="E5" t="str">
        <f>VLOOKUP(B5,Sheet1!A:G,1,FALSE)</f>
        <v>CMS</v>
      </c>
    </row>
    <row r="6" spans="1:5" ht="60" hidden="1" x14ac:dyDescent="0.25">
      <c r="A6" s="227" t="s">
        <v>217</v>
      </c>
      <c r="B6" s="225" t="s">
        <v>1048</v>
      </c>
      <c r="C6" s="225" t="s">
        <v>1049</v>
      </c>
      <c r="D6" s="230">
        <v>7695</v>
      </c>
      <c r="E6" t="str">
        <f>VLOOKUP(B6,Sheet1!A:G,1,FALSE)</f>
        <v>SW-CMS</v>
      </c>
    </row>
    <row r="7" spans="1:5" ht="30" hidden="1" x14ac:dyDescent="0.25">
      <c r="A7" s="102" t="s">
        <v>190</v>
      </c>
      <c r="B7" s="225" t="s">
        <v>1051</v>
      </c>
      <c r="C7" s="225" t="s">
        <v>191</v>
      </c>
      <c r="D7" s="230">
        <v>4936.2</v>
      </c>
      <c r="E7" t="str">
        <f>VLOOKUP(B7,Sheet1!A:G,1,FALSE)</f>
        <v>SW-CMSINT1</v>
      </c>
    </row>
    <row r="8" spans="1:5" ht="30" hidden="1" x14ac:dyDescent="0.25">
      <c r="A8" s="102" t="s">
        <v>193</v>
      </c>
      <c r="B8" s="225" t="s">
        <v>1052</v>
      </c>
      <c r="C8" s="225" t="s">
        <v>194</v>
      </c>
      <c r="D8" s="230">
        <v>8736.2000000000007</v>
      </c>
      <c r="E8" t="str">
        <f>VLOOKUP(B8,Sheet1!A:G,1,FALSE)</f>
        <v>SW-CMSINT2</v>
      </c>
    </row>
    <row r="9" spans="1:5" x14ac:dyDescent="0.25">
      <c r="A9" s="102" t="s">
        <v>241</v>
      </c>
      <c r="B9" s="225" t="s">
        <v>1156</v>
      </c>
      <c r="C9" s="225" t="s">
        <v>972</v>
      </c>
      <c r="D9" s="230">
        <v>161</v>
      </c>
      <c r="E9" t="e">
        <f>VLOOKUP(B9,Sheet1!A:G,1,FALSE)</f>
        <v>#N/A</v>
      </c>
    </row>
    <row r="10" spans="1:5" x14ac:dyDescent="0.25">
      <c r="A10" s="102" t="s">
        <v>245</v>
      </c>
      <c r="B10" s="225" t="s">
        <v>1157</v>
      </c>
      <c r="C10" s="225" t="s">
        <v>973</v>
      </c>
      <c r="D10" s="230">
        <v>299</v>
      </c>
      <c r="E10" t="e">
        <f>VLOOKUP(B10,Sheet1!A:G,1,FALSE)</f>
        <v>#N/A</v>
      </c>
    </row>
    <row r="11" spans="1:5" x14ac:dyDescent="0.25">
      <c r="A11" s="102" t="s">
        <v>269</v>
      </c>
      <c r="B11" s="225" t="s">
        <v>1158</v>
      </c>
      <c r="C11" s="225" t="s">
        <v>1159</v>
      </c>
      <c r="D11" s="230">
        <v>3491.4</v>
      </c>
      <c r="E11" t="e">
        <f>VLOOKUP(B11,Sheet1!A:G,1,FALSE)</f>
        <v>#N/A</v>
      </c>
    </row>
    <row r="12" spans="1:5" x14ac:dyDescent="0.25">
      <c r="A12" s="102" t="s">
        <v>273</v>
      </c>
      <c r="B12" s="225" t="s">
        <v>1160</v>
      </c>
      <c r="C12" s="225" t="s">
        <v>975</v>
      </c>
      <c r="D12" s="230">
        <v>759</v>
      </c>
      <c r="E12" t="e">
        <f>VLOOKUP(B12,Sheet1!A:G,1,FALSE)</f>
        <v>#N/A</v>
      </c>
    </row>
    <row r="13" spans="1:5" ht="30" x14ac:dyDescent="0.25">
      <c r="A13" s="102" t="s">
        <v>318</v>
      </c>
      <c r="B13" s="225" t="s">
        <v>1161</v>
      </c>
      <c r="C13" s="225" t="s">
        <v>976</v>
      </c>
      <c r="D13" s="230">
        <v>818.80000000000007</v>
      </c>
      <c r="E13" t="e">
        <f>VLOOKUP(B13,Sheet1!A:G,1,FALSE)</f>
        <v>#N/A</v>
      </c>
    </row>
    <row r="14" spans="1:5" ht="30" x14ac:dyDescent="0.25">
      <c r="A14" s="102" t="s">
        <v>373</v>
      </c>
      <c r="B14" s="225" t="s">
        <v>1162</v>
      </c>
      <c r="C14" s="225" t="s">
        <v>1163</v>
      </c>
      <c r="D14" s="230">
        <v>685.4</v>
      </c>
      <c r="E14" t="e">
        <f>VLOOKUP(B14,Sheet1!A:G,1,FALSE)</f>
        <v>#N/A</v>
      </c>
    </row>
    <row r="15" spans="1:5" ht="30" x14ac:dyDescent="0.25">
      <c r="A15" s="102" t="s">
        <v>378</v>
      </c>
      <c r="B15" s="225" t="s">
        <v>1164</v>
      </c>
      <c r="C15" s="225" t="s">
        <v>1165</v>
      </c>
      <c r="D15" s="230">
        <v>409.40000000000003</v>
      </c>
      <c r="E15" t="e">
        <f>VLOOKUP(B15,Sheet1!A:G,1,FALSE)</f>
        <v>#N/A</v>
      </c>
    </row>
    <row r="16" spans="1:5" ht="30" x14ac:dyDescent="0.25">
      <c r="A16" s="102" t="s">
        <v>368</v>
      </c>
      <c r="B16" s="225" t="s">
        <v>1166</v>
      </c>
      <c r="C16" s="225" t="s">
        <v>1167</v>
      </c>
      <c r="D16" s="230">
        <v>575</v>
      </c>
      <c r="E16" t="e">
        <f>VLOOKUP(B16,Sheet1!A:G,1,FALSE)</f>
        <v>#N/A</v>
      </c>
    </row>
    <row r="17" spans="1:5" x14ac:dyDescent="0.25">
      <c r="A17" s="102" t="s">
        <v>417</v>
      </c>
      <c r="B17" s="225" t="s">
        <v>1168</v>
      </c>
      <c r="C17" s="225" t="s">
        <v>1169</v>
      </c>
      <c r="D17" s="230">
        <v>943</v>
      </c>
      <c r="E17" t="e">
        <f>VLOOKUP(B17,Sheet1!A:G,1,FALSE)</f>
        <v>#N/A</v>
      </c>
    </row>
    <row r="18" spans="1:5" ht="30" hidden="1" x14ac:dyDescent="0.25">
      <c r="A18" s="102" t="s">
        <v>417</v>
      </c>
      <c r="B18" s="225" t="s">
        <v>1170</v>
      </c>
      <c r="C18" s="225" t="s">
        <v>1171</v>
      </c>
      <c r="D18" s="230">
        <v>276</v>
      </c>
      <c r="E18" t="str">
        <f>VLOOKUP(B18,Sheet1!A:G,1,FALSE)</f>
        <v>HW-UPG-HPCOMPUTER</v>
      </c>
    </row>
    <row r="19" spans="1:5" x14ac:dyDescent="0.25">
      <c r="A19" s="102" t="s">
        <v>445</v>
      </c>
      <c r="B19" s="225" t="s">
        <v>1172</v>
      </c>
      <c r="C19" s="225" t="s">
        <v>1173</v>
      </c>
      <c r="D19" s="230">
        <v>667</v>
      </c>
      <c r="E19" t="e">
        <f>VLOOKUP(B19,Sheet1!A:G,1,FALSE)</f>
        <v>#N/A</v>
      </c>
    </row>
    <row r="20" spans="1:5" x14ac:dyDescent="0.25">
      <c r="A20" s="102" t="s">
        <v>1174</v>
      </c>
      <c r="B20" s="225" t="s">
        <v>1175</v>
      </c>
      <c r="C20" s="225" t="s">
        <v>1176</v>
      </c>
      <c r="D20" s="230">
        <v>230</v>
      </c>
      <c r="E20" t="e">
        <f>VLOOKUP(B20,Sheet1!A:G,1,FALSE)</f>
        <v>#N/A</v>
      </c>
    </row>
    <row r="21" spans="1:5" x14ac:dyDescent="0.25">
      <c r="A21" s="102" t="s">
        <v>471</v>
      </c>
      <c r="B21" s="225" t="s">
        <v>1177</v>
      </c>
      <c r="C21" s="225" t="s">
        <v>980</v>
      </c>
      <c r="D21" s="230">
        <v>151.80000000000001</v>
      </c>
      <c r="E21" t="e">
        <f>VLOOKUP(B21,Sheet1!A:G,1,FALSE)</f>
        <v>#N/A</v>
      </c>
    </row>
    <row r="22" spans="1:5" x14ac:dyDescent="0.25">
      <c r="A22" s="102" t="s">
        <v>492</v>
      </c>
      <c r="B22" s="225" t="s">
        <v>1178</v>
      </c>
      <c r="C22" s="225" t="s">
        <v>981</v>
      </c>
      <c r="D22" s="230">
        <v>943</v>
      </c>
      <c r="E22" t="e">
        <f>VLOOKUP(B22,Sheet1!A:G,1,FALSE)</f>
        <v>#N/A</v>
      </c>
    </row>
    <row r="23" spans="1:5" x14ac:dyDescent="0.25">
      <c r="A23" s="102" t="s">
        <v>517</v>
      </c>
      <c r="B23" s="225" t="s">
        <v>1179</v>
      </c>
      <c r="C23" s="225" t="s">
        <v>1180</v>
      </c>
      <c r="D23" s="230">
        <v>3675.4</v>
      </c>
      <c r="E23" t="e">
        <f>VLOOKUP(B23,Sheet1!A:G,1,FALSE)</f>
        <v>#N/A</v>
      </c>
    </row>
    <row r="24" spans="1:5" x14ac:dyDescent="0.25">
      <c r="A24" s="102" t="s">
        <v>524</v>
      </c>
      <c r="B24" s="225" t="s">
        <v>1181</v>
      </c>
      <c r="C24" s="225" t="s">
        <v>1182</v>
      </c>
      <c r="D24" s="230">
        <v>667</v>
      </c>
      <c r="E24" t="e">
        <f>VLOOKUP(B24,Sheet1!A:G,1,FALSE)</f>
        <v>#N/A</v>
      </c>
    </row>
    <row r="25" spans="1:5" x14ac:dyDescent="0.25">
      <c r="A25" s="102" t="s">
        <v>525</v>
      </c>
      <c r="B25" s="225" t="s">
        <v>1068</v>
      </c>
      <c r="C25" s="225" t="s">
        <v>1069</v>
      </c>
      <c r="D25" s="230">
        <v>69</v>
      </c>
      <c r="E25" t="e">
        <f>VLOOKUP(B25,Sheet1!A:G,1,FALSE)</f>
        <v>#N/A</v>
      </c>
    </row>
    <row r="26" spans="1:5" x14ac:dyDescent="0.25">
      <c r="A26" s="102" t="s">
        <v>542</v>
      </c>
      <c r="B26" s="225" t="s">
        <v>1183</v>
      </c>
      <c r="C26" s="225" t="s">
        <v>1184</v>
      </c>
      <c r="D26" s="230">
        <v>391</v>
      </c>
      <c r="E26" t="e">
        <f>VLOOKUP(B26,Sheet1!A:G,1,FALSE)</f>
        <v>#N/A</v>
      </c>
    </row>
    <row r="27" spans="1:5" x14ac:dyDescent="0.25">
      <c r="A27" s="102" t="s">
        <v>542</v>
      </c>
      <c r="B27" s="225" t="s">
        <v>1185</v>
      </c>
      <c r="C27" s="225" t="s">
        <v>1186</v>
      </c>
      <c r="D27" s="230">
        <v>289.8</v>
      </c>
      <c r="E27" t="e">
        <f>VLOOKUP(B27,Sheet1!A:G,1,FALSE)</f>
        <v>#N/A</v>
      </c>
    </row>
    <row r="28" spans="1:5" x14ac:dyDescent="0.25">
      <c r="A28" s="102" t="s">
        <v>550</v>
      </c>
      <c r="B28" s="225" t="s">
        <v>1187</v>
      </c>
      <c r="C28" s="225" t="s">
        <v>986</v>
      </c>
      <c r="D28" s="230">
        <v>1094.8</v>
      </c>
      <c r="E28" t="e">
        <f>VLOOKUP(B28,Sheet1!A:G,1,FALSE)</f>
        <v>#N/A</v>
      </c>
    </row>
    <row r="29" spans="1:5" x14ac:dyDescent="0.25">
      <c r="A29" s="102" t="s">
        <v>557</v>
      </c>
      <c r="B29" s="225" t="s">
        <v>1188</v>
      </c>
      <c r="C29" s="225" t="s">
        <v>988</v>
      </c>
      <c r="D29" s="230">
        <v>634.80000000000007</v>
      </c>
      <c r="E29" t="e">
        <f>VLOOKUP(B29,Sheet1!A:G,1,FALSE)</f>
        <v>#N/A</v>
      </c>
    </row>
    <row r="30" spans="1:5" x14ac:dyDescent="0.25">
      <c r="A30" s="102" t="s">
        <v>565</v>
      </c>
      <c r="B30" s="225" t="s">
        <v>1189</v>
      </c>
      <c r="C30" s="225" t="s">
        <v>1190</v>
      </c>
      <c r="D30" s="230">
        <v>12875.400000000001</v>
      </c>
      <c r="E30" t="e">
        <f>VLOOKUP(B30,Sheet1!A:G,1,FALSE)</f>
        <v>#N/A</v>
      </c>
    </row>
    <row r="31" spans="1:5" x14ac:dyDescent="0.25">
      <c r="A31" s="102" t="s">
        <v>568</v>
      </c>
      <c r="B31" s="225" t="s">
        <v>1191</v>
      </c>
      <c r="C31" s="225" t="s">
        <v>1192</v>
      </c>
      <c r="D31" s="230">
        <v>11035.4</v>
      </c>
      <c r="E31" t="e">
        <f>VLOOKUP(B31,Sheet1!A:G,1,FALSE)</f>
        <v>#N/A</v>
      </c>
    </row>
    <row r="32" spans="1:5" x14ac:dyDescent="0.25">
      <c r="A32" s="102" t="s">
        <v>570</v>
      </c>
      <c r="B32" s="225" t="s">
        <v>1193</v>
      </c>
      <c r="C32" s="225" t="s">
        <v>1194</v>
      </c>
      <c r="D32" s="230">
        <v>5515.4000000000005</v>
      </c>
      <c r="E32" t="e">
        <f>VLOOKUP(B32,Sheet1!A:G,1,FALSE)</f>
        <v>#N/A</v>
      </c>
    </row>
    <row r="33" spans="1:5" ht="30" hidden="1" x14ac:dyDescent="0.25">
      <c r="A33" s="102" t="s">
        <v>197</v>
      </c>
      <c r="B33" s="225" t="s">
        <v>1195</v>
      </c>
      <c r="C33" s="225" t="s">
        <v>1196</v>
      </c>
      <c r="D33" s="230">
        <v>3215.4</v>
      </c>
      <c r="E33" t="str">
        <f>VLOOKUP(B33,Sheet1!A:G,1,FALSE)</f>
        <v>HW-CMSServer</v>
      </c>
    </row>
    <row r="34" spans="1:5" ht="30" hidden="1" x14ac:dyDescent="0.25">
      <c r="A34" s="102" t="s">
        <v>206</v>
      </c>
      <c r="B34" s="225" t="s">
        <v>1197</v>
      </c>
      <c r="C34" s="225" t="s">
        <v>1198</v>
      </c>
      <c r="D34" s="230">
        <v>391</v>
      </c>
      <c r="E34" t="str">
        <f>VLOOKUP(B34,Sheet1!A:G,1,FALSE)</f>
        <v>HW-CMSServerStorUPGR</v>
      </c>
    </row>
    <row r="35" spans="1:5" x14ac:dyDescent="0.25">
      <c r="A35" s="102" t="s">
        <v>448</v>
      </c>
      <c r="B35" s="225" t="s">
        <v>1087</v>
      </c>
      <c r="C35" s="225" t="s">
        <v>1000</v>
      </c>
      <c r="D35" s="230">
        <v>358.8</v>
      </c>
      <c r="E35" t="e">
        <f>VLOOKUP(B35,Sheet1!A:G,1,FALSE)</f>
        <v>#N/A</v>
      </c>
    </row>
    <row r="36" spans="1:5" ht="30" x14ac:dyDescent="0.25">
      <c r="A36" s="102" t="s">
        <v>633</v>
      </c>
      <c r="B36" s="225" t="s">
        <v>1199</v>
      </c>
      <c r="C36" s="225" t="s">
        <v>1089</v>
      </c>
      <c r="D36" s="230">
        <v>756.2</v>
      </c>
      <c r="E36" t="e">
        <f>VLOOKUP(B36,Sheet1!A:G,1,FALSE)</f>
        <v>#N/A</v>
      </c>
    </row>
    <row r="37" spans="1:5" ht="30" x14ac:dyDescent="0.25">
      <c r="A37" s="102" t="s">
        <v>639</v>
      </c>
      <c r="B37" s="225" t="s">
        <v>1200</v>
      </c>
      <c r="C37" s="225" t="s">
        <v>1201</v>
      </c>
      <c r="D37" s="230">
        <v>3264.2</v>
      </c>
      <c r="E37" t="e">
        <f>VLOOKUP(B37,Sheet1!A:G,1,FALSE)</f>
        <v>#N/A</v>
      </c>
    </row>
    <row r="38" spans="1:5" ht="30" x14ac:dyDescent="0.25">
      <c r="A38" s="102" t="s">
        <v>646</v>
      </c>
      <c r="B38" s="225" t="s">
        <v>1202</v>
      </c>
      <c r="C38" s="225" t="s">
        <v>1203</v>
      </c>
      <c r="D38" s="230">
        <v>756.2</v>
      </c>
      <c r="E38" t="e">
        <f>VLOOKUP(B38,Sheet1!A:G,1,FALSE)</f>
        <v>#N/A</v>
      </c>
    </row>
    <row r="39" spans="1:5" ht="30" x14ac:dyDescent="0.25">
      <c r="A39" s="102" t="s">
        <v>653</v>
      </c>
      <c r="B39" s="225" t="s">
        <v>1204</v>
      </c>
      <c r="C39" s="225" t="s">
        <v>1205</v>
      </c>
      <c r="D39" s="230">
        <v>3264.2</v>
      </c>
      <c r="E39" t="e">
        <f>VLOOKUP(B39,Sheet1!A:G,1,FALSE)</f>
        <v>#N/A</v>
      </c>
    </row>
    <row r="40" spans="1:5" ht="30" x14ac:dyDescent="0.25">
      <c r="A40" s="102" t="s">
        <v>657</v>
      </c>
      <c r="B40" s="225" t="s">
        <v>1206</v>
      </c>
      <c r="C40" s="225" t="s">
        <v>1207</v>
      </c>
      <c r="D40" s="230">
        <v>197.6</v>
      </c>
      <c r="E40" t="e">
        <f>VLOOKUP(B40,Sheet1!A:G,1,FALSE)</f>
        <v>#N/A</v>
      </c>
    </row>
    <row r="41" spans="1:5" ht="30" x14ac:dyDescent="0.25">
      <c r="A41" s="102" t="s">
        <v>665</v>
      </c>
      <c r="B41" s="225" t="s">
        <v>1208</v>
      </c>
      <c r="C41" s="225" t="s">
        <v>1209</v>
      </c>
      <c r="D41" s="230">
        <v>300.2</v>
      </c>
      <c r="E41" t="e">
        <f>VLOOKUP(B41,Sheet1!A:G,1,FALSE)</f>
        <v>#N/A</v>
      </c>
    </row>
    <row r="42" spans="1:5" ht="30" x14ac:dyDescent="0.25">
      <c r="A42" s="102" t="s">
        <v>667</v>
      </c>
      <c r="B42" s="225" t="s">
        <v>1210</v>
      </c>
      <c r="C42" s="225" t="s">
        <v>1211</v>
      </c>
      <c r="D42" s="230">
        <v>163.4</v>
      </c>
      <c r="E42" t="e">
        <f>VLOOKUP(B42,Sheet1!A:G,1,FALSE)</f>
        <v>#N/A</v>
      </c>
    </row>
    <row r="43" spans="1:5" ht="30" hidden="1" x14ac:dyDescent="0.25">
      <c r="A43" s="102" t="s">
        <v>673</v>
      </c>
      <c r="B43" s="225" t="s">
        <v>1212</v>
      </c>
      <c r="C43" s="225" t="s">
        <v>1213</v>
      </c>
      <c r="D43" s="230">
        <v>247</v>
      </c>
      <c r="E43" t="str">
        <f>VLOOKUP(B43,Sheet1!A:G,1,FALSE)</f>
        <v>SW-LSCON</v>
      </c>
    </row>
    <row r="44" spans="1:5" x14ac:dyDescent="0.25">
      <c r="A44" s="102" t="s">
        <v>677</v>
      </c>
      <c r="B44" s="225" t="s">
        <v>1214</v>
      </c>
      <c r="C44" s="225" t="s">
        <v>1215</v>
      </c>
      <c r="D44" s="230">
        <v>2656.2</v>
      </c>
      <c r="E44" t="e">
        <f>VLOOKUP(B44,Sheet1!A:G,1,FALSE)</f>
        <v>#N/A</v>
      </c>
    </row>
    <row r="45" spans="1:5" ht="30" x14ac:dyDescent="0.25">
      <c r="A45" s="102" t="s">
        <v>685</v>
      </c>
      <c r="B45" s="225" t="s">
        <v>1216</v>
      </c>
      <c r="C45" s="225" t="s">
        <v>1217</v>
      </c>
      <c r="D45" s="230">
        <v>197.6</v>
      </c>
      <c r="E45" t="e">
        <f>VLOOKUP(B45,Sheet1!A:G,1,FALSE)</f>
        <v>#N/A</v>
      </c>
    </row>
    <row r="46" spans="1:5" x14ac:dyDescent="0.25">
      <c r="A46" s="102" t="s">
        <v>669</v>
      </c>
      <c r="B46" s="225" t="s">
        <v>1218</v>
      </c>
      <c r="C46" s="225" t="s">
        <v>1219</v>
      </c>
      <c r="D46" s="230">
        <v>64.599999999999994</v>
      </c>
      <c r="E46" t="e">
        <f>VLOOKUP(B46,Sheet1!A:G,1,FALSE)</f>
        <v>#N/A</v>
      </c>
    </row>
    <row r="47" spans="1:5" hidden="1" x14ac:dyDescent="0.25">
      <c r="A47" s="102" t="s">
        <v>744</v>
      </c>
      <c r="B47" s="225" t="s">
        <v>1115</v>
      </c>
      <c r="C47" s="225" t="s">
        <v>1220</v>
      </c>
      <c r="D47" s="230">
        <v>300.2</v>
      </c>
      <c r="E47" t="str">
        <f>VLOOKUP(B47,Sheet1!A:G,1,FALSE)</f>
        <v>SVCS-CFG</v>
      </c>
    </row>
    <row r="48" spans="1:5" ht="30" hidden="1" x14ac:dyDescent="0.25">
      <c r="A48" s="102" t="s">
        <v>187</v>
      </c>
      <c r="B48" s="225" t="s">
        <v>1221</v>
      </c>
      <c r="C48" s="225" t="s">
        <v>1222</v>
      </c>
      <c r="D48" s="230">
        <v>3340.2</v>
      </c>
      <c r="E48" t="str">
        <f>VLOOKUP(B48,Sheet1!A:G,1,FALSE)</f>
        <v>SCVS-CFGINSTTRCMS</v>
      </c>
    </row>
    <row r="49" spans="1:5" ht="30" hidden="1" x14ac:dyDescent="0.25">
      <c r="A49" s="204" t="s">
        <v>716</v>
      </c>
      <c r="B49" s="225" t="s">
        <v>1223</v>
      </c>
      <c r="C49" s="225" t="s">
        <v>1224</v>
      </c>
      <c r="D49" s="230">
        <v>904.4</v>
      </c>
      <c r="E49" t="str">
        <f>VLOOKUP(B49,Sheet1!A:G,1,FALSE)</f>
        <v>SCVS-CFGINSTTRLSADD</v>
      </c>
    </row>
    <row r="50" spans="1:5" ht="30" hidden="1" x14ac:dyDescent="0.25">
      <c r="A50" s="102" t="s">
        <v>726</v>
      </c>
      <c r="B50" s="225" t="s">
        <v>1225</v>
      </c>
      <c r="C50" s="225" t="s">
        <v>1226</v>
      </c>
      <c r="D50" s="230">
        <v>1592.2</v>
      </c>
      <c r="E50" t="str">
        <f>VLOOKUP(B50,Sheet1!A:G,1,FALSE)</f>
        <v>SCVS-CFGINSTTRLS</v>
      </c>
    </row>
    <row r="51" spans="1:5" ht="30" hidden="1" x14ac:dyDescent="0.25">
      <c r="A51" s="102" t="s">
        <v>726</v>
      </c>
      <c r="B51" s="225" t="s">
        <v>1227</v>
      </c>
      <c r="C51" s="225" t="s">
        <v>1120</v>
      </c>
      <c r="D51" s="230">
        <v>1592.2</v>
      </c>
      <c r="E51" t="str">
        <f>VLOOKUP(B51,Sheet1!A:G,1,FALSE)</f>
        <v>SVCS-INST</v>
      </c>
    </row>
    <row r="52" spans="1:5" ht="60" x14ac:dyDescent="0.25">
      <c r="A52" s="102" t="s">
        <v>850</v>
      </c>
      <c r="B52" s="225" t="s">
        <v>1228</v>
      </c>
      <c r="C52" s="225" t="s">
        <v>1229</v>
      </c>
      <c r="D52" s="230">
        <v>14020.75</v>
      </c>
      <c r="E52" t="e">
        <f>VLOOKUP(B52,Sheet1!A:G,1,FALSE)</f>
        <v>#N/A</v>
      </c>
    </row>
    <row r="53" spans="1:5" ht="60" hidden="1" x14ac:dyDescent="0.25">
      <c r="A53" s="102" t="s">
        <v>856</v>
      </c>
      <c r="B53" s="225" t="s">
        <v>1230</v>
      </c>
      <c r="C53" s="225" t="s">
        <v>1231</v>
      </c>
      <c r="D53" s="230">
        <v>9940.75</v>
      </c>
      <c r="E53" t="str">
        <f>VLOOKUP(B53,Sheet1!A:G,1,FALSE)</f>
        <v>LS-4G-Guardian</v>
      </c>
    </row>
    <row r="54" spans="1:5" ht="30" hidden="1" x14ac:dyDescent="0.25">
      <c r="A54" s="102"/>
      <c r="B54" s="225" t="s">
        <v>1232</v>
      </c>
      <c r="C54" s="225" t="s">
        <v>1233</v>
      </c>
      <c r="D54" s="230" t="s">
        <v>1234</v>
      </c>
      <c r="E54" t="e">
        <f>VLOOKUP(B54,Sheet1!A:G,1,FALSE)</f>
        <v>#N/A</v>
      </c>
    </row>
    <row r="55" spans="1:5" ht="30" hidden="1" x14ac:dyDescent="0.25">
      <c r="A55" s="102"/>
      <c r="B55" s="225" t="s">
        <v>1235</v>
      </c>
      <c r="C55" s="225" t="s">
        <v>1236</v>
      </c>
      <c r="D55" s="230" t="s">
        <v>1234</v>
      </c>
      <c r="E55" t="e">
        <f>VLOOKUP(B55,Sheet1!A:G,1,FALSE)</f>
        <v>#N/A</v>
      </c>
    </row>
    <row r="56" spans="1:5" ht="75" hidden="1" x14ac:dyDescent="0.25">
      <c r="A56" s="228"/>
      <c r="B56" s="225" t="s">
        <v>1237</v>
      </c>
      <c r="C56" s="225" t="s">
        <v>1238</v>
      </c>
      <c r="D56" s="230">
        <v>16570.75</v>
      </c>
      <c r="E56" t="e">
        <f>VLOOKUP(B56,Sheet1!A:G,1,FALSE)</f>
        <v>#N/A</v>
      </c>
    </row>
    <row r="57" spans="1:5" ht="75" hidden="1" x14ac:dyDescent="0.25">
      <c r="A57" s="228"/>
      <c r="B57" s="225" t="s">
        <v>1239</v>
      </c>
      <c r="C57" s="225" t="s">
        <v>1240</v>
      </c>
      <c r="D57" s="230">
        <v>12320.75</v>
      </c>
      <c r="E57" t="e">
        <f>VLOOKUP(B57,Sheet1!A:G,1,FALSE)</f>
        <v>#N/A</v>
      </c>
    </row>
    <row r="58" spans="1:5" ht="60" hidden="1" x14ac:dyDescent="0.25">
      <c r="A58" s="102"/>
      <c r="B58" s="225" t="s">
        <v>1241</v>
      </c>
      <c r="C58" s="225" t="s">
        <v>1242</v>
      </c>
      <c r="D58" s="230">
        <v>9940.75</v>
      </c>
      <c r="E58" t="e">
        <f>VLOOKUP(B58,Sheet1!A:G,1,FALSE)</f>
        <v>#N/A</v>
      </c>
    </row>
    <row r="59" spans="1:5" ht="75" hidden="1" x14ac:dyDescent="0.25">
      <c r="A59" s="228"/>
      <c r="B59" s="225" t="s">
        <v>1243</v>
      </c>
      <c r="C59" s="225" t="s">
        <v>1244</v>
      </c>
      <c r="D59" s="230">
        <v>3645.5650000000001</v>
      </c>
      <c r="E59" t="e">
        <f>VLOOKUP(B59,Sheet1!A:G,1,FALSE)</f>
        <v>#N/A</v>
      </c>
    </row>
    <row r="60" spans="1:5" ht="75" hidden="1" x14ac:dyDescent="0.25">
      <c r="A60" s="228"/>
      <c r="B60" s="225" t="s">
        <v>1245</v>
      </c>
      <c r="C60" s="225" t="s">
        <v>1246</v>
      </c>
      <c r="D60" s="230">
        <v>3084.5650000000001</v>
      </c>
      <c r="E60" t="e">
        <f>VLOOKUP(B60,Sheet1!A:G,1,FALSE)</f>
        <v>#N/A</v>
      </c>
    </row>
    <row r="61" spans="1:5" ht="90" hidden="1" x14ac:dyDescent="0.25">
      <c r="B61" s="225" t="s">
        <v>1247</v>
      </c>
      <c r="C61" s="225" t="s">
        <v>1248</v>
      </c>
      <c r="D61" s="230">
        <v>3084.5650000000001</v>
      </c>
      <c r="E61" t="e">
        <f>VLOOKUP(B61,Sheet1!A:G,1,FALSE)</f>
        <v>#N/A</v>
      </c>
    </row>
    <row r="62" spans="1:5" ht="30" hidden="1" x14ac:dyDescent="0.25">
      <c r="B62" s="225" t="s">
        <v>1249</v>
      </c>
      <c r="C62" s="225" t="s">
        <v>1250</v>
      </c>
      <c r="D62" s="230">
        <v>2832.5880000000002</v>
      </c>
      <c r="E62" t="e">
        <f>VLOOKUP(B62,Sheet1!A:G,1,FALSE)</f>
        <v>#N/A</v>
      </c>
    </row>
    <row r="63" spans="1:5" ht="75" hidden="1" x14ac:dyDescent="0.25">
      <c r="B63" s="225" t="s">
        <v>1251</v>
      </c>
      <c r="C63" s="225" t="s">
        <v>1252</v>
      </c>
      <c r="D63" s="230">
        <v>2710.5650000000001</v>
      </c>
      <c r="E63" t="e">
        <f>VLOOKUP(B63,Sheet1!A:G,1,FALSE)</f>
        <v>#N/A</v>
      </c>
    </row>
    <row r="64" spans="1:5" ht="75" hidden="1" x14ac:dyDescent="0.25">
      <c r="B64" s="225" t="s">
        <v>1253</v>
      </c>
      <c r="C64" s="225" t="s">
        <v>1254</v>
      </c>
      <c r="D64" s="230">
        <v>2430.0650000000001</v>
      </c>
      <c r="E64" t="e">
        <f>VLOOKUP(B64,Sheet1!A:G,1,FALSE)</f>
        <v>#N/A</v>
      </c>
    </row>
    <row r="65" spans="1:5" ht="30" hidden="1" x14ac:dyDescent="0.25">
      <c r="B65" s="225" t="s">
        <v>1255</v>
      </c>
      <c r="C65" s="225" t="s">
        <v>1256</v>
      </c>
      <c r="D65" s="230">
        <v>2427.788</v>
      </c>
      <c r="E65" t="e">
        <f>VLOOKUP(B65,Sheet1!A:G,1,FALSE)</f>
        <v>#N/A</v>
      </c>
    </row>
    <row r="66" spans="1:5" ht="90" hidden="1" x14ac:dyDescent="0.25">
      <c r="B66" s="225" t="s">
        <v>1257</v>
      </c>
      <c r="C66" s="225" t="s">
        <v>1258</v>
      </c>
      <c r="D66" s="230">
        <v>2186.9650000000001</v>
      </c>
      <c r="E66" t="e">
        <f>VLOOKUP(B66,Sheet1!A:G,1,FALSE)</f>
        <v>#N/A</v>
      </c>
    </row>
    <row r="67" spans="1:5" ht="90" hidden="1" x14ac:dyDescent="0.25">
      <c r="B67" s="225" t="s">
        <v>1259</v>
      </c>
      <c r="C67" s="225" t="s">
        <v>1260</v>
      </c>
      <c r="D67" s="230">
        <v>2186.9650000000001</v>
      </c>
      <c r="E67" t="e">
        <f>VLOOKUP(B67,Sheet1!A:G,1,FALSE)</f>
        <v>#N/A</v>
      </c>
    </row>
    <row r="68" spans="1:5" ht="30" hidden="1" x14ac:dyDescent="0.25">
      <c r="A68" s="227"/>
      <c r="B68" s="225" t="s">
        <v>1261</v>
      </c>
      <c r="C68" s="225" t="s">
        <v>1262</v>
      </c>
      <c r="D68" s="230">
        <v>2019.4</v>
      </c>
      <c r="E68" t="e">
        <f>VLOOKUP(B68,Sheet1!A:G,1,FALSE)</f>
        <v>#N/A</v>
      </c>
    </row>
    <row r="69" spans="1:5" ht="45" hidden="1" x14ac:dyDescent="0.25">
      <c r="B69" s="225" t="s">
        <v>1263</v>
      </c>
      <c r="C69" s="225" t="s">
        <v>1264</v>
      </c>
      <c r="D69" s="230">
        <v>1921.9640000000002</v>
      </c>
      <c r="E69" t="e">
        <f>VLOOKUP(B69,Sheet1!A:G,1,FALSE)</f>
        <v>#N/A</v>
      </c>
    </row>
    <row r="70" spans="1:5" ht="75" hidden="1" x14ac:dyDescent="0.25">
      <c r="B70" s="225" t="s">
        <v>1265</v>
      </c>
      <c r="C70" s="225" t="s">
        <v>1266</v>
      </c>
      <c r="D70" s="230">
        <v>1692.9</v>
      </c>
      <c r="E70" t="e">
        <f>VLOOKUP(B70,Sheet1!A:G,1,FALSE)</f>
        <v>#N/A</v>
      </c>
    </row>
    <row r="71" spans="1:5" ht="90" hidden="1" x14ac:dyDescent="0.25">
      <c r="B71" s="225" t="s">
        <v>1267</v>
      </c>
      <c r="C71" s="225" t="s">
        <v>1268</v>
      </c>
      <c r="D71" s="230">
        <v>1682.49</v>
      </c>
      <c r="E71" t="e">
        <f>VLOOKUP(B71,Sheet1!A:G,1,FALSE)</f>
        <v>#N/A</v>
      </c>
    </row>
    <row r="72" spans="1:5" ht="30" hidden="1" x14ac:dyDescent="0.25">
      <c r="B72" s="225" t="s">
        <v>1269</v>
      </c>
      <c r="C72" s="225" t="s">
        <v>1270</v>
      </c>
      <c r="D72" s="230">
        <v>1545.0480000000002</v>
      </c>
      <c r="E72" t="e">
        <f>VLOOKUP(B72,Sheet1!A:G,1,FALSE)</f>
        <v>#N/A</v>
      </c>
    </row>
    <row r="73" spans="1:5" ht="75" hidden="1" x14ac:dyDescent="0.25">
      <c r="B73" s="225" t="s">
        <v>1271</v>
      </c>
      <c r="C73" s="225" t="s">
        <v>1272</v>
      </c>
      <c r="D73" s="230">
        <v>1325.49</v>
      </c>
      <c r="E73" t="e">
        <f>VLOOKUP(B73,Sheet1!A:G,1,FALSE)</f>
        <v>#N/A</v>
      </c>
    </row>
    <row r="74" spans="1:5" ht="30" hidden="1" x14ac:dyDescent="0.25">
      <c r="B74" s="225" t="s">
        <v>1273</v>
      </c>
      <c r="C74" s="225" t="s">
        <v>1274</v>
      </c>
      <c r="D74" s="230">
        <v>1324.2479999999998</v>
      </c>
      <c r="E74" t="e">
        <f>VLOOKUP(B74,Sheet1!A:G,1,FALSE)</f>
        <v>#N/A</v>
      </c>
    </row>
    <row r="75" spans="1:5" hidden="1" x14ac:dyDescent="0.25">
      <c r="B75" s="225" t="s">
        <v>1275</v>
      </c>
      <c r="C75" s="225" t="s">
        <v>1276</v>
      </c>
      <c r="D75" s="230">
        <v>1213.3880000000001</v>
      </c>
      <c r="E75" t="e">
        <f>VLOOKUP(B75,Sheet1!A:G,1,FALSE)</f>
        <v>#N/A</v>
      </c>
    </row>
    <row r="76" spans="1:5" ht="90" hidden="1" x14ac:dyDescent="0.25">
      <c r="B76" s="225" t="s">
        <v>1277</v>
      </c>
      <c r="C76" s="225" t="s">
        <v>1278</v>
      </c>
      <c r="D76" s="230">
        <v>1192.8899999999999</v>
      </c>
      <c r="E76" t="e">
        <f>VLOOKUP(B76,Sheet1!A:G,1,FALSE)</f>
        <v>#N/A</v>
      </c>
    </row>
    <row r="77" spans="1:5" ht="45" hidden="1" x14ac:dyDescent="0.25">
      <c r="B77" s="225" t="s">
        <v>1279</v>
      </c>
      <c r="C77" s="225" t="s">
        <v>1280</v>
      </c>
      <c r="D77" s="230">
        <v>1085.9639999999999</v>
      </c>
      <c r="E77" t="e">
        <f>VLOOKUP(B77,Sheet1!A:G,1,FALSE)</f>
        <v>#N/A</v>
      </c>
    </row>
    <row r="78" spans="1:5" ht="45" hidden="1" x14ac:dyDescent="0.25">
      <c r="B78" s="225" t="s">
        <v>1281</v>
      </c>
      <c r="C78" s="225" t="s">
        <v>1282</v>
      </c>
      <c r="D78" s="230">
        <v>1048.3440000000001</v>
      </c>
      <c r="E78" t="e">
        <f>VLOOKUP(B78,Sheet1!A:G,1,FALSE)</f>
        <v>#N/A</v>
      </c>
    </row>
    <row r="79" spans="1:5" ht="75" hidden="1" x14ac:dyDescent="0.25">
      <c r="B79" s="225" t="s">
        <v>1283</v>
      </c>
      <c r="C79" s="225" t="s">
        <v>1284</v>
      </c>
      <c r="D79" s="230">
        <v>923.4</v>
      </c>
      <c r="E79" t="e">
        <f>VLOOKUP(B79,Sheet1!A:G,1,FALSE)</f>
        <v>#N/A</v>
      </c>
    </row>
    <row r="80" spans="1:5" ht="30" hidden="1" x14ac:dyDescent="0.25">
      <c r="B80" s="225" t="s">
        <v>1285</v>
      </c>
      <c r="C80" s="225" t="s">
        <v>1286</v>
      </c>
      <c r="D80" s="230">
        <v>808.58800000000008</v>
      </c>
      <c r="E80" t="e">
        <f>VLOOKUP(B80,Sheet1!A:G,1,FALSE)</f>
        <v>#N/A</v>
      </c>
    </row>
    <row r="81" spans="1:5" ht="30" hidden="1" x14ac:dyDescent="0.25">
      <c r="B81" s="225" t="s">
        <v>1287</v>
      </c>
      <c r="C81" s="225" t="s">
        <v>1288</v>
      </c>
      <c r="D81" s="230">
        <v>768.10800000000006</v>
      </c>
      <c r="E81" t="e">
        <f>VLOOKUP(B81,Sheet1!A:G,1,FALSE)</f>
        <v>#N/A</v>
      </c>
    </row>
    <row r="82" spans="1:5" ht="30" hidden="1" x14ac:dyDescent="0.25">
      <c r="A82" s="227"/>
      <c r="B82" s="225" t="s">
        <v>1289</v>
      </c>
      <c r="C82" s="225" t="s">
        <v>1010</v>
      </c>
      <c r="D82" s="230">
        <v>756.2</v>
      </c>
      <c r="E82" t="e">
        <f>VLOOKUP(B82,Sheet1!A:G,1,FALSE)</f>
        <v>#N/A</v>
      </c>
    </row>
    <row r="83" spans="1:5" ht="45" hidden="1" x14ac:dyDescent="0.25">
      <c r="B83" s="225" t="s">
        <v>1290</v>
      </c>
      <c r="C83" s="225" t="s">
        <v>1291</v>
      </c>
      <c r="D83" s="230">
        <v>718.12399999999991</v>
      </c>
      <c r="E83" t="e">
        <f>VLOOKUP(B83,Sheet1!A:G,1,FALSE)</f>
        <v>#N/A</v>
      </c>
    </row>
    <row r="84" spans="1:5" ht="45" hidden="1" x14ac:dyDescent="0.25">
      <c r="B84" s="225" t="s">
        <v>1292</v>
      </c>
      <c r="C84" s="225" t="s">
        <v>1293</v>
      </c>
      <c r="D84" s="230">
        <v>718.12399999999991</v>
      </c>
      <c r="E84" t="e">
        <f>VLOOKUP(B84,Sheet1!A:G,1,FALSE)</f>
        <v>#N/A</v>
      </c>
    </row>
    <row r="85" spans="1:5" ht="45" hidden="1" x14ac:dyDescent="0.25">
      <c r="B85" s="225" t="s">
        <v>1294</v>
      </c>
      <c r="C85" s="225" t="s">
        <v>1295</v>
      </c>
      <c r="D85" s="230">
        <v>707.38800000000003</v>
      </c>
      <c r="E85" t="e">
        <f>VLOOKUP(B85,Sheet1!A:G,1,FALSE)</f>
        <v>#N/A</v>
      </c>
    </row>
    <row r="86" spans="1:5" ht="30" hidden="1" x14ac:dyDescent="0.25">
      <c r="B86" s="225" t="s">
        <v>1296</v>
      </c>
      <c r="C86" s="225" t="s">
        <v>1297</v>
      </c>
      <c r="D86" s="230">
        <v>661.84800000000007</v>
      </c>
      <c r="E86" t="e">
        <f>VLOOKUP(B86,Sheet1!A:G,1,FALSE)</f>
        <v>#N/A</v>
      </c>
    </row>
    <row r="87" spans="1:5" ht="45" hidden="1" x14ac:dyDescent="0.25">
      <c r="B87" s="225" t="s">
        <v>1298</v>
      </c>
      <c r="C87" s="225" t="s">
        <v>1299</v>
      </c>
      <c r="D87" s="230">
        <v>592.34399999999994</v>
      </c>
      <c r="E87" t="e">
        <f>VLOOKUP(B87,Sheet1!A:G,1,FALSE)</f>
        <v>#N/A</v>
      </c>
    </row>
    <row r="88" spans="1:5" ht="45" hidden="1" x14ac:dyDescent="0.25">
      <c r="B88" s="225" t="s">
        <v>1300</v>
      </c>
      <c r="C88" s="225" t="s">
        <v>1301</v>
      </c>
      <c r="D88" s="230">
        <v>584.36399999999992</v>
      </c>
      <c r="E88" t="e">
        <f>VLOOKUP(B88,Sheet1!A:G,1,FALSE)</f>
        <v>#N/A</v>
      </c>
    </row>
    <row r="89" spans="1:5" ht="30" hidden="1" x14ac:dyDescent="0.25">
      <c r="B89" s="225" t="s">
        <v>1302</v>
      </c>
      <c r="C89" s="225" t="s">
        <v>1303</v>
      </c>
      <c r="D89" s="230">
        <v>441.048</v>
      </c>
      <c r="E89" t="e">
        <f>VLOOKUP(B89,Sheet1!A:G,1,FALSE)</f>
        <v>#N/A</v>
      </c>
    </row>
    <row r="90" spans="1:5" ht="30" hidden="1" x14ac:dyDescent="0.25">
      <c r="B90" s="225" t="s">
        <v>1304</v>
      </c>
      <c r="C90" s="225" t="s">
        <v>1305</v>
      </c>
      <c r="D90" s="230">
        <v>418.96800000000002</v>
      </c>
      <c r="E90" t="e">
        <f>VLOOKUP(B90,Sheet1!A:G,1,FALSE)</f>
        <v>#N/A</v>
      </c>
    </row>
    <row r="91" spans="1:5" ht="45" hidden="1" x14ac:dyDescent="0.25">
      <c r="B91" s="225" t="s">
        <v>1306</v>
      </c>
      <c r="C91" s="225" t="s">
        <v>1307</v>
      </c>
      <c r="D91" s="230">
        <v>391.70399999999995</v>
      </c>
      <c r="E91" t="e">
        <f>VLOOKUP(B91,Sheet1!A:G,1,FALSE)</f>
        <v>#N/A</v>
      </c>
    </row>
    <row r="92" spans="1:5" ht="45" hidden="1" x14ac:dyDescent="0.25">
      <c r="B92" s="225" t="s">
        <v>1308</v>
      </c>
      <c r="C92" s="225" t="s">
        <v>1309</v>
      </c>
      <c r="D92" s="230">
        <v>391.70399999999995</v>
      </c>
      <c r="E92" t="e">
        <f>VLOOKUP(B92,Sheet1!A:G,1,FALSE)</f>
        <v>#N/A</v>
      </c>
    </row>
    <row r="93" spans="1:5" ht="45" hidden="1" x14ac:dyDescent="0.25">
      <c r="B93" s="225" t="s">
        <v>1310</v>
      </c>
      <c r="C93" s="225" t="s">
        <v>1311</v>
      </c>
      <c r="D93" s="230">
        <v>385.84800000000001</v>
      </c>
      <c r="E93" t="e">
        <f>VLOOKUP(B93,Sheet1!A:G,1,FALSE)</f>
        <v>#N/A</v>
      </c>
    </row>
    <row r="94" spans="1:5" ht="45" hidden="1" x14ac:dyDescent="0.25">
      <c r="B94" s="225" t="s">
        <v>1312</v>
      </c>
      <c r="C94" s="225" t="s">
        <v>1313</v>
      </c>
      <c r="D94" s="230">
        <v>318.74399999999997</v>
      </c>
      <c r="E94" t="e">
        <f>VLOOKUP(B94,Sheet1!A:G,1,FALSE)</f>
        <v>#N/A</v>
      </c>
    </row>
    <row r="95" spans="1:5" ht="30" hidden="1" x14ac:dyDescent="0.25">
      <c r="B95" s="225" t="s">
        <v>1314</v>
      </c>
      <c r="C95" s="225" t="s">
        <v>1315</v>
      </c>
      <c r="D95" s="230">
        <v>240.85599999999999</v>
      </c>
      <c r="E95" t="e">
        <f>VLOOKUP(B95,Sheet1!A:G,1,FALSE)</f>
        <v>#N/A</v>
      </c>
    </row>
    <row r="96" spans="1:5" ht="30" hidden="1" x14ac:dyDescent="0.25">
      <c r="B96" s="225" t="s">
        <v>1316</v>
      </c>
      <c r="C96" s="225" t="s">
        <v>1317</v>
      </c>
      <c r="D96" s="230">
        <v>216.524</v>
      </c>
      <c r="E96" t="e">
        <f>VLOOKUP(B96,Sheet1!A:G,1,FALSE)</f>
        <v>#N/A</v>
      </c>
    </row>
    <row r="97" spans="2:5" ht="30" hidden="1" x14ac:dyDescent="0.25">
      <c r="B97" s="225" t="s">
        <v>1318</v>
      </c>
      <c r="C97" s="225" t="s">
        <v>1319</v>
      </c>
      <c r="D97" s="230">
        <v>207.46</v>
      </c>
      <c r="E97" t="e">
        <f>VLOOKUP(B97,Sheet1!A:G,1,FALSE)</f>
        <v>#N/A</v>
      </c>
    </row>
    <row r="98" spans="2:5" ht="30" hidden="1" x14ac:dyDescent="0.25">
      <c r="B98" s="225" t="s">
        <v>1320</v>
      </c>
      <c r="C98" s="225" t="s">
        <v>1321</v>
      </c>
      <c r="D98" s="230">
        <v>207.46</v>
      </c>
      <c r="E98" t="e">
        <f>VLOOKUP(B98,Sheet1!A:G,1,FALSE)</f>
        <v>#N/A</v>
      </c>
    </row>
    <row r="99" spans="2:5" ht="30" hidden="1" x14ac:dyDescent="0.25">
      <c r="B99" s="225" t="s">
        <v>1322</v>
      </c>
      <c r="C99" s="225" t="s">
        <v>1323</v>
      </c>
      <c r="D99" s="230">
        <v>180.13600000000002</v>
      </c>
      <c r="E99" t="e">
        <f>VLOOKUP(B99,Sheet1!A:G,1,FALSE)</f>
        <v>#N/A</v>
      </c>
    </row>
    <row r="100" spans="2:5" ht="30" hidden="1" x14ac:dyDescent="0.25">
      <c r="B100" s="225" t="s">
        <v>1324</v>
      </c>
      <c r="C100" s="225" t="s">
        <v>1325</v>
      </c>
      <c r="D100" s="230">
        <v>166.98</v>
      </c>
      <c r="E100" t="e">
        <f>VLOOKUP(B100,Sheet1!A:G,1,FALSE)</f>
        <v>#N/A</v>
      </c>
    </row>
    <row r="101" spans="2:5" ht="45" hidden="1" x14ac:dyDescent="0.25">
      <c r="B101" s="225" t="s">
        <v>1326</v>
      </c>
      <c r="C101" s="225" t="s">
        <v>1327</v>
      </c>
      <c r="D101" s="230">
        <v>166.364</v>
      </c>
      <c r="E101" t="e">
        <f>VLOOKUP(B101,Sheet1!A:G,1,FALSE)</f>
        <v>#N/A</v>
      </c>
    </row>
    <row r="102" spans="2:5" ht="45" hidden="1" x14ac:dyDescent="0.25">
      <c r="B102" s="225" t="s">
        <v>1328</v>
      </c>
      <c r="C102" s="225" t="s">
        <v>1329</v>
      </c>
      <c r="D102" s="230">
        <v>166.364</v>
      </c>
      <c r="E102" t="e">
        <f>VLOOKUP(B102,Sheet1!A:G,1,FALSE)</f>
        <v>#N/A</v>
      </c>
    </row>
    <row r="103" spans="2:5" ht="45" hidden="1" x14ac:dyDescent="0.25">
      <c r="B103" s="225" t="s">
        <v>1330</v>
      </c>
      <c r="C103" s="225" t="s">
        <v>1331</v>
      </c>
      <c r="D103" s="230">
        <v>166.364</v>
      </c>
      <c r="E103" t="e">
        <f>VLOOKUP(B103,Sheet1!A:G,1,FALSE)</f>
        <v>#N/A</v>
      </c>
    </row>
    <row r="104" spans="2:5" ht="30" hidden="1" x14ac:dyDescent="0.25">
      <c r="B104" s="225" t="s">
        <v>1332</v>
      </c>
      <c r="C104" s="225" t="s">
        <v>1333</v>
      </c>
      <c r="D104" s="230">
        <v>150.78799999999998</v>
      </c>
      <c r="E104" t="e">
        <f>VLOOKUP(B104,Sheet1!A:G,1,FALSE)</f>
        <v>#N/A</v>
      </c>
    </row>
    <row r="105" spans="2:5" ht="30" hidden="1" x14ac:dyDescent="0.25">
      <c r="B105" s="225" t="s">
        <v>1334</v>
      </c>
      <c r="C105" s="225" t="s">
        <v>1335</v>
      </c>
      <c r="D105" s="230">
        <v>146.74</v>
      </c>
      <c r="E105" t="e">
        <f>VLOOKUP(B105,Sheet1!A:G,1,FALSE)</f>
        <v>#N/A</v>
      </c>
    </row>
    <row r="106" spans="2:5" hidden="1" x14ac:dyDescent="0.25">
      <c r="B106" s="225" t="s">
        <v>1336</v>
      </c>
      <c r="C106" s="225" t="s">
        <v>1337</v>
      </c>
      <c r="D106" s="230">
        <v>146.74</v>
      </c>
      <c r="E106" t="e">
        <f>VLOOKUP(B106,Sheet1!A:G,1,FALSE)</f>
        <v>#N/A</v>
      </c>
    </row>
    <row r="107" spans="2:5" ht="30" hidden="1" x14ac:dyDescent="0.25">
      <c r="B107" s="225" t="s">
        <v>1338</v>
      </c>
      <c r="C107" s="225" t="s">
        <v>1339</v>
      </c>
      <c r="D107" s="230">
        <v>139.65600000000001</v>
      </c>
      <c r="E107" t="e">
        <f>VLOOKUP(B107,Sheet1!A:G,1,FALSE)</f>
        <v>#N/A</v>
      </c>
    </row>
    <row r="108" spans="2:5" ht="30" hidden="1" x14ac:dyDescent="0.25">
      <c r="B108" s="225" t="s">
        <v>1340</v>
      </c>
      <c r="C108" s="225" t="s">
        <v>1341</v>
      </c>
      <c r="D108" s="230">
        <v>131.37599999999998</v>
      </c>
      <c r="E108" t="e">
        <f>VLOOKUP(B108,Sheet1!A:G,1,FALSE)</f>
        <v>#N/A</v>
      </c>
    </row>
    <row r="109" spans="2:5" ht="30" hidden="1" x14ac:dyDescent="0.25">
      <c r="B109" s="225" t="s">
        <v>1342</v>
      </c>
      <c r="C109" s="225" t="s">
        <v>1343</v>
      </c>
      <c r="D109" s="230">
        <v>126.5</v>
      </c>
      <c r="E109" t="e">
        <f>VLOOKUP(B109,Sheet1!A:G,1,FALSE)</f>
        <v>#N/A</v>
      </c>
    </row>
    <row r="110" spans="2:5" hidden="1" x14ac:dyDescent="0.25">
      <c r="B110" s="225" t="s">
        <v>1116</v>
      </c>
      <c r="C110" s="225" t="s">
        <v>1021</v>
      </c>
      <c r="D110" s="230">
        <v>121.6</v>
      </c>
      <c r="E110" t="str">
        <f>VLOOKUP(B110,Sheet1!A:G,1,FALSE)</f>
        <v>SVCS-PROF</v>
      </c>
    </row>
    <row r="111" spans="2:5" ht="30" hidden="1" x14ac:dyDescent="0.25">
      <c r="B111" s="225" t="s">
        <v>1344</v>
      </c>
      <c r="C111" s="225" t="s">
        <v>1345</v>
      </c>
      <c r="D111" s="230">
        <v>118.104</v>
      </c>
      <c r="E111" t="e">
        <f>VLOOKUP(B111,Sheet1!A:G,1,FALSE)</f>
        <v>#N/A</v>
      </c>
    </row>
    <row r="112" spans="2:5" ht="30" hidden="1" x14ac:dyDescent="0.25">
      <c r="B112" s="225" t="s">
        <v>1346</v>
      </c>
      <c r="C112" s="225" t="s">
        <v>1347</v>
      </c>
      <c r="D112" s="230">
        <v>113.16</v>
      </c>
      <c r="E112" t="e">
        <f>VLOOKUP(B112,Sheet1!A:G,1,FALSE)</f>
        <v>#N/A</v>
      </c>
    </row>
    <row r="113" spans="2:5" ht="30" hidden="1" x14ac:dyDescent="0.25">
      <c r="B113" s="225" t="s">
        <v>1348</v>
      </c>
      <c r="C113" s="225" t="s">
        <v>1349</v>
      </c>
      <c r="D113" s="230">
        <v>113.16</v>
      </c>
      <c r="E113" t="e">
        <f>VLOOKUP(B113,Sheet1!A:G,1,FALSE)</f>
        <v>#N/A</v>
      </c>
    </row>
    <row r="114" spans="2:5" ht="45" hidden="1" x14ac:dyDescent="0.25">
      <c r="B114" s="225" t="s">
        <v>1350</v>
      </c>
      <c r="C114" s="225" t="s">
        <v>1351</v>
      </c>
      <c r="D114" s="230">
        <v>110.352</v>
      </c>
      <c r="E114" t="e">
        <f>VLOOKUP(B114,Sheet1!A:G,1,FALSE)</f>
        <v>#N/A</v>
      </c>
    </row>
    <row r="115" spans="2:5" ht="30" hidden="1" x14ac:dyDescent="0.25">
      <c r="B115" s="225" t="s">
        <v>1352</v>
      </c>
      <c r="C115" s="225" t="s">
        <v>1353</v>
      </c>
      <c r="D115" s="230">
        <v>98.256</v>
      </c>
      <c r="E115" t="e">
        <f>VLOOKUP(B115,Sheet1!A:G,1,FALSE)</f>
        <v>#N/A</v>
      </c>
    </row>
    <row r="116" spans="2:5" ht="30" hidden="1" x14ac:dyDescent="0.25">
      <c r="B116" s="225" t="s">
        <v>1354</v>
      </c>
      <c r="C116" s="225" t="s">
        <v>1355</v>
      </c>
      <c r="D116" s="230">
        <v>91.08</v>
      </c>
      <c r="E116" t="e">
        <f>VLOOKUP(B116,Sheet1!A:G,1,FALSE)</f>
        <v>#N/A</v>
      </c>
    </row>
    <row r="117" spans="2:5" ht="45" hidden="1" x14ac:dyDescent="0.25">
      <c r="B117" s="225" t="s">
        <v>1356</v>
      </c>
      <c r="C117" s="225" t="s">
        <v>1357</v>
      </c>
      <c r="D117" s="230">
        <v>90.744</v>
      </c>
      <c r="E117" t="e">
        <f>VLOOKUP(B117,Sheet1!A:G,1,FALSE)</f>
        <v>#N/A</v>
      </c>
    </row>
    <row r="118" spans="2:5" ht="45" hidden="1" x14ac:dyDescent="0.25">
      <c r="B118" s="225" t="s">
        <v>1358</v>
      </c>
      <c r="C118" s="225" t="s">
        <v>1359</v>
      </c>
      <c r="D118" s="230">
        <v>90.744</v>
      </c>
      <c r="E118" t="e">
        <f>VLOOKUP(B118,Sheet1!A:G,1,FALSE)</f>
        <v>#N/A</v>
      </c>
    </row>
    <row r="119" spans="2:5" ht="45" hidden="1" x14ac:dyDescent="0.25">
      <c r="B119" s="225" t="s">
        <v>1360</v>
      </c>
      <c r="C119" s="225" t="s">
        <v>1361</v>
      </c>
      <c r="D119" s="230">
        <v>90.744</v>
      </c>
      <c r="E119" t="e">
        <f>VLOOKUP(B119,Sheet1!A:G,1,FALSE)</f>
        <v>#N/A</v>
      </c>
    </row>
    <row r="120" spans="2:5" ht="30" hidden="1" x14ac:dyDescent="0.25">
      <c r="B120" s="225" t="s">
        <v>1362</v>
      </c>
      <c r="C120" s="225" t="s">
        <v>1363</v>
      </c>
      <c r="D120" s="230">
        <v>90.068000000000012</v>
      </c>
      <c r="E120" t="e">
        <f>VLOOKUP(B120,Sheet1!A:G,1,FALSE)</f>
        <v>#N/A</v>
      </c>
    </row>
    <row r="121" spans="2:5" hidden="1" x14ac:dyDescent="0.25">
      <c r="B121" s="225" t="s">
        <v>1364</v>
      </c>
      <c r="C121" s="225" t="s">
        <v>1365</v>
      </c>
      <c r="D121" s="230">
        <v>86.02</v>
      </c>
      <c r="E121" t="e">
        <f>VLOOKUP(B121,Sheet1!A:G,1,FALSE)</f>
        <v>#N/A</v>
      </c>
    </row>
    <row r="122" spans="2:5" ht="30" hidden="1" x14ac:dyDescent="0.25">
      <c r="B122" s="225" t="s">
        <v>1366</v>
      </c>
      <c r="C122" s="225" t="s">
        <v>1367</v>
      </c>
      <c r="D122" s="230">
        <v>86.02</v>
      </c>
      <c r="E122" t="e">
        <f>VLOOKUP(B122,Sheet1!A:G,1,FALSE)</f>
        <v>#N/A</v>
      </c>
    </row>
    <row r="123" spans="2:5" ht="30" hidden="1" x14ac:dyDescent="0.25">
      <c r="B123" s="225" t="s">
        <v>1368</v>
      </c>
      <c r="C123" s="225" t="s">
        <v>1369</v>
      </c>
      <c r="D123" s="230">
        <v>82.24799999999999</v>
      </c>
      <c r="E123" t="e">
        <f>VLOOKUP(B123,Sheet1!A:G,1,FALSE)</f>
        <v>#N/A</v>
      </c>
    </row>
    <row r="124" spans="2:5" ht="30" hidden="1" x14ac:dyDescent="0.25">
      <c r="B124" s="225" t="s">
        <v>1370</v>
      </c>
      <c r="C124" s="225" t="s">
        <v>1371</v>
      </c>
      <c r="D124" s="230">
        <v>80.039999999999992</v>
      </c>
      <c r="E124" t="e">
        <f>VLOOKUP(B124,Sheet1!A:G,1,FALSE)</f>
        <v>#N/A</v>
      </c>
    </row>
    <row r="125" spans="2:5" ht="30" hidden="1" x14ac:dyDescent="0.25">
      <c r="B125" s="225" t="s">
        <v>1372</v>
      </c>
      <c r="C125" s="225" t="s">
        <v>1373</v>
      </c>
      <c r="D125" s="230">
        <v>80.039999999999992</v>
      </c>
      <c r="E125" t="e">
        <f>VLOOKUP(B125,Sheet1!A:G,1,FALSE)</f>
        <v>#N/A</v>
      </c>
    </row>
    <row r="126" spans="2:5" hidden="1" x14ac:dyDescent="0.25">
      <c r="B126" s="225" t="s">
        <v>1374</v>
      </c>
      <c r="C126" s="225" t="s">
        <v>1375</v>
      </c>
      <c r="D126" s="230">
        <v>78.936000000000007</v>
      </c>
      <c r="E126" t="e">
        <f>VLOOKUP(B126,Sheet1!A:G,1,FALSE)</f>
        <v>#N/A</v>
      </c>
    </row>
    <row r="127" spans="2:5" ht="30" hidden="1" x14ac:dyDescent="0.25">
      <c r="B127" s="225" t="s">
        <v>1376</v>
      </c>
      <c r="C127" s="225" t="s">
        <v>1377</v>
      </c>
      <c r="D127" s="230">
        <v>76.176000000000002</v>
      </c>
      <c r="E127" t="e">
        <f>VLOOKUP(B127,Sheet1!A:G,1,FALSE)</f>
        <v>#N/A</v>
      </c>
    </row>
    <row r="128" spans="2:5" ht="30" hidden="1" x14ac:dyDescent="0.25">
      <c r="B128" s="225" t="s">
        <v>1378</v>
      </c>
      <c r="C128" s="225" t="s">
        <v>1379</v>
      </c>
      <c r="D128" s="230">
        <v>69</v>
      </c>
      <c r="E128" t="e">
        <f>VLOOKUP(B128,Sheet1!A:G,1,FALSE)</f>
        <v>#N/A</v>
      </c>
    </row>
    <row r="129" spans="2:5" ht="45" hidden="1" x14ac:dyDescent="0.25">
      <c r="B129" s="225" t="s">
        <v>1380</v>
      </c>
      <c r="C129" s="225" t="s">
        <v>1381</v>
      </c>
      <c r="D129" s="230">
        <v>66.043999999999997</v>
      </c>
      <c r="E129" t="e">
        <f>VLOOKUP(B129,Sheet1!A:G,1,FALSE)</f>
        <v>#N/A</v>
      </c>
    </row>
    <row r="130" spans="2:5" hidden="1" x14ac:dyDescent="0.25">
      <c r="B130" s="225" t="s">
        <v>1382</v>
      </c>
      <c r="C130" s="225" t="s">
        <v>1383</v>
      </c>
      <c r="D130" s="230">
        <v>65.78</v>
      </c>
      <c r="E130" t="e">
        <f>VLOOKUP(B130,Sheet1!A:G,1,FALSE)</f>
        <v>#N/A</v>
      </c>
    </row>
    <row r="131" spans="2:5" hidden="1" x14ac:dyDescent="0.25">
      <c r="B131" s="225" t="s">
        <v>1384</v>
      </c>
      <c r="C131" s="225" t="s">
        <v>1385</v>
      </c>
      <c r="D131" s="230">
        <v>63.756</v>
      </c>
      <c r="E131" t="e">
        <f>VLOOKUP(B131,Sheet1!A:G,1,FALSE)</f>
        <v>#N/A</v>
      </c>
    </row>
    <row r="132" spans="2:5" ht="45" hidden="1" x14ac:dyDescent="0.25">
      <c r="B132" s="225" t="s">
        <v>1386</v>
      </c>
      <c r="C132" s="225" t="s">
        <v>1387</v>
      </c>
      <c r="D132" s="230">
        <v>60.192</v>
      </c>
      <c r="E132" t="e">
        <f>VLOOKUP(B132,Sheet1!A:G,1,FALSE)</f>
        <v>#N/A</v>
      </c>
    </row>
    <row r="133" spans="2:5" ht="45" hidden="1" x14ac:dyDescent="0.25">
      <c r="B133" s="225" t="s">
        <v>1388</v>
      </c>
      <c r="C133" s="225" t="s">
        <v>1389</v>
      </c>
      <c r="D133" s="230">
        <v>54.34</v>
      </c>
      <c r="E133" t="e">
        <f>VLOOKUP(B133,Sheet1!A:G,1,FALSE)</f>
        <v>#N/A</v>
      </c>
    </row>
    <row r="134" spans="2:5" ht="30" hidden="1" x14ac:dyDescent="0.25">
      <c r="B134" s="225" t="s">
        <v>1390</v>
      </c>
      <c r="C134" s="225" t="s">
        <v>1391</v>
      </c>
      <c r="D134" s="230">
        <v>49.128</v>
      </c>
      <c r="E134" t="e">
        <f>VLOOKUP(B134,Sheet1!A:G,1,FALSE)</f>
        <v>#N/A</v>
      </c>
    </row>
    <row r="135" spans="2:5" ht="30" hidden="1" x14ac:dyDescent="0.25">
      <c r="B135" s="225" t="s">
        <v>1392</v>
      </c>
      <c r="C135" s="225" t="s">
        <v>1393</v>
      </c>
      <c r="D135" s="230">
        <v>46.92</v>
      </c>
      <c r="E135" t="e">
        <f>VLOOKUP(B135,Sheet1!A:G,1,FALSE)</f>
        <v>#N/A</v>
      </c>
    </row>
    <row r="136" spans="2:5" ht="30" hidden="1" x14ac:dyDescent="0.25">
      <c r="B136" s="225" t="s">
        <v>1394</v>
      </c>
      <c r="C136" s="225" t="s">
        <v>1395</v>
      </c>
      <c r="D136" s="230">
        <v>46.92</v>
      </c>
      <c r="E136" t="e">
        <f>VLOOKUP(B136,Sheet1!A:G,1,FALSE)</f>
        <v>#N/A</v>
      </c>
    </row>
    <row r="137" spans="2:5" ht="30" hidden="1" x14ac:dyDescent="0.25">
      <c r="B137" s="225" t="s">
        <v>1396</v>
      </c>
      <c r="C137" s="225" t="s">
        <v>1397</v>
      </c>
      <c r="D137" s="230">
        <v>43.472000000000001</v>
      </c>
      <c r="E137" t="e">
        <f>VLOOKUP(B137,Sheet1!A:G,1,FALSE)</f>
        <v>#N/A</v>
      </c>
    </row>
    <row r="138" spans="2:5" ht="45" hidden="1" x14ac:dyDescent="0.25">
      <c r="B138" s="225" t="s">
        <v>1398</v>
      </c>
      <c r="C138" s="225" t="s">
        <v>1399</v>
      </c>
      <c r="D138" s="230">
        <v>43.472000000000001</v>
      </c>
      <c r="E138" t="e">
        <f>VLOOKUP(B138,Sheet1!A:G,1,FALSE)</f>
        <v>#N/A</v>
      </c>
    </row>
    <row r="139" spans="2:5" ht="45" hidden="1" x14ac:dyDescent="0.25">
      <c r="B139" s="225" t="s">
        <v>1400</v>
      </c>
      <c r="C139" s="225" t="s">
        <v>1401</v>
      </c>
      <c r="D139" s="230">
        <v>43.472000000000001</v>
      </c>
      <c r="E139" t="e">
        <f>VLOOKUP(B139,Sheet1!A:G,1,FALSE)</f>
        <v>#N/A</v>
      </c>
    </row>
    <row r="140" spans="2:5" hidden="1" x14ac:dyDescent="0.25">
      <c r="B140" s="225" t="s">
        <v>1402</v>
      </c>
      <c r="C140" s="225" t="s">
        <v>1403</v>
      </c>
      <c r="D140" s="230">
        <v>43.055999999999997</v>
      </c>
      <c r="E140" t="e">
        <f>VLOOKUP(B140,Sheet1!A:G,1,FALSE)</f>
        <v>#N/A</v>
      </c>
    </row>
    <row r="141" spans="2:5" ht="45" hidden="1" x14ac:dyDescent="0.25">
      <c r="B141" s="225" t="s">
        <v>1404</v>
      </c>
      <c r="C141" s="225" t="s">
        <v>1405</v>
      </c>
      <c r="D141" s="230">
        <v>36.023999999999994</v>
      </c>
      <c r="E141" t="e">
        <f>VLOOKUP(B141,Sheet1!A:G,1,FALSE)</f>
        <v>#N/A</v>
      </c>
    </row>
    <row r="142" spans="2:5" ht="45" hidden="1" x14ac:dyDescent="0.25">
      <c r="B142" s="225" t="s">
        <v>1406</v>
      </c>
      <c r="C142" s="225" t="s">
        <v>1407</v>
      </c>
      <c r="D142" s="230">
        <v>35.948</v>
      </c>
      <c r="E142" t="e">
        <f>VLOOKUP(B142,Sheet1!A:G,1,FALSE)</f>
        <v>#N/A</v>
      </c>
    </row>
    <row r="143" spans="2:5" hidden="1" x14ac:dyDescent="0.25">
      <c r="B143" s="225" t="s">
        <v>1408</v>
      </c>
      <c r="C143" s="225" t="s">
        <v>1409</v>
      </c>
      <c r="D143" s="230">
        <v>35.879999999999995</v>
      </c>
      <c r="E143" t="e">
        <f>VLOOKUP(B143,Sheet1!A:G,1,FALSE)</f>
        <v>#N/A</v>
      </c>
    </row>
    <row r="144" spans="2:5" hidden="1" x14ac:dyDescent="0.25">
      <c r="B144" s="225" t="s">
        <v>1410</v>
      </c>
      <c r="C144" s="225" t="s">
        <v>1411</v>
      </c>
      <c r="D144" s="230">
        <v>35.42</v>
      </c>
      <c r="E144" t="e">
        <f>VLOOKUP(B144,Sheet1!A:G,1,FALSE)</f>
        <v>#N/A</v>
      </c>
    </row>
    <row r="145" spans="2:5" ht="30" hidden="1" x14ac:dyDescent="0.25">
      <c r="B145" s="225" t="s">
        <v>1412</v>
      </c>
      <c r="C145" s="225" t="s">
        <v>1413</v>
      </c>
      <c r="D145" s="230">
        <v>34.776000000000003</v>
      </c>
      <c r="E145" t="e">
        <f>VLOOKUP(B145,Sheet1!A:G,1,FALSE)</f>
        <v>#N/A</v>
      </c>
    </row>
    <row r="146" spans="2:5" ht="30" hidden="1" x14ac:dyDescent="0.25">
      <c r="B146" s="225" t="s">
        <v>1414</v>
      </c>
      <c r="C146" s="225" t="s">
        <v>1415</v>
      </c>
      <c r="D146" s="230">
        <v>33.396000000000001</v>
      </c>
      <c r="E146" t="e">
        <f>VLOOKUP(B146,Sheet1!A:G,1,FALSE)</f>
        <v>#N/A</v>
      </c>
    </row>
    <row r="147" spans="2:5" ht="45" hidden="1" x14ac:dyDescent="0.25">
      <c r="B147" s="225" t="s">
        <v>1416</v>
      </c>
      <c r="C147" s="225" t="s">
        <v>1417</v>
      </c>
      <c r="D147" s="230">
        <v>29.64</v>
      </c>
      <c r="E147" t="e">
        <f>VLOOKUP(B147,Sheet1!A:G,1,FALSE)</f>
        <v>#N/A</v>
      </c>
    </row>
    <row r="148" spans="2:5" ht="30" hidden="1" x14ac:dyDescent="0.25">
      <c r="B148" s="225" t="s">
        <v>1418</v>
      </c>
      <c r="C148" s="225" t="s">
        <v>1419</v>
      </c>
      <c r="D148" s="230">
        <v>23.712</v>
      </c>
      <c r="E148" t="e">
        <f>VLOOKUP(B148,Sheet1!A:G,1,FALSE)</f>
        <v>#N/A</v>
      </c>
    </row>
    <row r="149" spans="2:5" ht="45" hidden="1" x14ac:dyDescent="0.25">
      <c r="B149" s="225" t="s">
        <v>1420</v>
      </c>
      <c r="C149" s="225" t="s">
        <v>1421</v>
      </c>
      <c r="D149" s="230">
        <v>23.712</v>
      </c>
      <c r="E149" t="e">
        <f>VLOOKUP(B149,Sheet1!A:G,1,FALSE)</f>
        <v>#N/A</v>
      </c>
    </row>
    <row r="150" spans="2:5" ht="45" hidden="1" x14ac:dyDescent="0.25">
      <c r="B150" s="225" t="s">
        <v>1422</v>
      </c>
      <c r="C150" s="225" t="s">
        <v>1423</v>
      </c>
      <c r="D150" s="230">
        <v>23.712</v>
      </c>
      <c r="E150" t="e">
        <f>VLOOKUP(B150,Sheet1!A:G,1,FALSE)</f>
        <v>#N/A</v>
      </c>
    </row>
    <row r="151" spans="2:5" ht="45" hidden="1" x14ac:dyDescent="0.25">
      <c r="B151" s="225" t="s">
        <v>1424</v>
      </c>
      <c r="C151" s="225" t="s">
        <v>1425</v>
      </c>
      <c r="D151" s="230">
        <v>19.608000000000001</v>
      </c>
      <c r="E151" t="e">
        <f>VLOOKUP(B151,Sheet1!A:G,1,FALSE)</f>
        <v>#N/A</v>
      </c>
    </row>
    <row r="152" spans="2:5" hidden="1" x14ac:dyDescent="0.25">
      <c r="B152" s="225" t="s">
        <v>1426</v>
      </c>
      <c r="C152" s="225" t="s">
        <v>1427</v>
      </c>
      <c r="D152" s="230">
        <v>19.32</v>
      </c>
      <c r="E152" t="e">
        <f>VLOOKUP(B152,Sheet1!A:G,1,FALSE)</f>
        <v>#N/A</v>
      </c>
    </row>
    <row r="153" spans="2:5" ht="30" hidden="1" x14ac:dyDescent="0.25">
      <c r="B153" s="225" t="s">
        <v>1428</v>
      </c>
      <c r="C153" s="225" t="s">
        <v>1429</v>
      </c>
      <c r="D153" s="230">
        <v>18.216000000000001</v>
      </c>
      <c r="E153" t="e">
        <f>VLOOKUP(B153,Sheet1!A:G,1,FALSE)</f>
        <v>#N/A</v>
      </c>
    </row>
    <row r="154" spans="2:5" hidden="1" x14ac:dyDescent="0.25">
      <c r="B154" s="225" t="s">
        <v>1430</v>
      </c>
      <c r="C154" s="225" t="s">
        <v>1431</v>
      </c>
      <c r="D154" s="230">
        <v>15.18</v>
      </c>
      <c r="E154" t="e">
        <f>VLOOKUP(B154,Sheet1!A:G,1,FALSE)</f>
        <v>#N/A</v>
      </c>
    </row>
    <row r="155" spans="2:5" ht="45" hidden="1" x14ac:dyDescent="0.25">
      <c r="B155" s="225" t="s">
        <v>1432</v>
      </c>
      <c r="C155" s="225" t="s">
        <v>1433</v>
      </c>
      <c r="D155" s="230">
        <v>14.211999999999998</v>
      </c>
      <c r="E155" t="e">
        <f>VLOOKUP(B155,Sheet1!A:G,1,FALSE)</f>
        <v>#N/A</v>
      </c>
    </row>
    <row r="156" spans="2:5" ht="30" hidden="1" x14ac:dyDescent="0.25">
      <c r="B156" s="225" t="s">
        <v>1434</v>
      </c>
      <c r="C156" s="225" t="s">
        <v>1435</v>
      </c>
      <c r="D156" s="230">
        <v>8.2799999999999994</v>
      </c>
      <c r="E156" t="e">
        <f>VLOOKUP(B156,Sheet1!A:G,1,FALSE)</f>
        <v>#N/A</v>
      </c>
    </row>
    <row r="157" spans="2:5" ht="45" hidden="1" x14ac:dyDescent="0.25">
      <c r="B157" s="225" t="s">
        <v>1436</v>
      </c>
      <c r="C157" s="225" t="s">
        <v>1437</v>
      </c>
      <c r="D157" s="230">
        <v>7.7519999999999989</v>
      </c>
      <c r="E157" t="e">
        <f>VLOOKUP(B157,Sheet1!A:G,1,FALSE)</f>
        <v>#N/A</v>
      </c>
    </row>
  </sheetData>
  <autoFilter ref="A1:E157" xr:uid="{5C995402-E942-4140-9FB9-BD72B1A92D93}">
    <filterColumn colId="0">
      <customFilters>
        <customFilter operator="notEqual" val=" "/>
      </customFilters>
    </filterColumn>
    <filterColumn colId="4">
      <filters>
        <filter val="#N/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3D1E-A803-40CD-9424-D2ADCD6BE0F3}">
  <dimension ref="A1:G222"/>
  <sheetViews>
    <sheetView topLeftCell="B1" zoomScale="116" workbookViewId="0">
      <selection activeCell="D215" sqref="D215"/>
    </sheetView>
  </sheetViews>
  <sheetFormatPr defaultColWidth="8.85546875" defaultRowHeight="12.75" x14ac:dyDescent="0.25"/>
  <cols>
    <col min="1" max="1" width="34.85546875" style="284" bestFit="1" customWidth="1"/>
    <col min="2" max="2" width="64" style="284" customWidth="1"/>
    <col min="3" max="3" width="15.140625" style="284" bestFit="1" customWidth="1"/>
    <col min="4" max="4" width="29.5703125" style="284" bestFit="1" customWidth="1"/>
    <col min="5" max="5" width="13.140625" style="284" bestFit="1" customWidth="1"/>
    <col min="6" max="6" width="14.7109375" style="284" bestFit="1" customWidth="1"/>
    <col min="7" max="7" width="11" style="284" bestFit="1" customWidth="1"/>
    <col min="8" max="16384" width="8.85546875" style="284"/>
  </cols>
  <sheetData>
    <row r="1" spans="1:7" x14ac:dyDescent="0.25">
      <c r="A1" s="284" t="s">
        <v>1438</v>
      </c>
      <c r="B1" s="284" t="s">
        <v>1439</v>
      </c>
      <c r="C1" s="284" t="s">
        <v>1440</v>
      </c>
      <c r="D1" s="284" t="s">
        <v>1441</v>
      </c>
      <c r="E1" s="284" t="s">
        <v>1442</v>
      </c>
      <c r="F1" s="284" t="s">
        <v>1443</v>
      </c>
      <c r="G1" s="284" t="s">
        <v>1153</v>
      </c>
    </row>
    <row r="2" spans="1:7" x14ac:dyDescent="0.25">
      <c r="A2" s="284" t="s">
        <v>1154</v>
      </c>
      <c r="B2" s="284" t="s">
        <v>1155</v>
      </c>
      <c r="C2" s="284" t="s">
        <v>1444</v>
      </c>
      <c r="D2" s="284" t="s">
        <v>1445</v>
      </c>
      <c r="E2" s="284">
        <v>12995</v>
      </c>
      <c r="F2" s="284">
        <v>0.15749980761831467</v>
      </c>
      <c r="G2" s="284">
        <v>10948.29</v>
      </c>
    </row>
    <row r="3" spans="1:7" x14ac:dyDescent="0.25">
      <c r="A3" s="284" t="s">
        <v>241</v>
      </c>
      <c r="B3" s="284" t="s">
        <v>972</v>
      </c>
      <c r="C3" s="284" t="s">
        <v>1444</v>
      </c>
      <c r="D3" s="284" t="s">
        <v>1446</v>
      </c>
      <c r="E3" s="284">
        <v>175</v>
      </c>
      <c r="F3" s="284">
        <v>8.7499999999999994E-2</v>
      </c>
      <c r="G3" s="284">
        <v>159.69</v>
      </c>
    </row>
    <row r="4" spans="1:7" x14ac:dyDescent="0.25">
      <c r="A4" s="284" t="s">
        <v>245</v>
      </c>
      <c r="B4" s="284" t="s">
        <v>973</v>
      </c>
      <c r="C4" s="284" t="s">
        <v>1444</v>
      </c>
      <c r="D4" s="284" t="s">
        <v>1446</v>
      </c>
      <c r="E4" s="284">
        <v>325</v>
      </c>
      <c r="F4" s="284">
        <v>8.7499999999999994E-2</v>
      </c>
      <c r="G4" s="284">
        <v>296.56</v>
      </c>
    </row>
    <row r="5" spans="1:7" x14ac:dyDescent="0.25">
      <c r="A5" s="284" t="s">
        <v>269</v>
      </c>
      <c r="B5" s="284" t="s">
        <v>1447</v>
      </c>
      <c r="C5" s="284" t="s">
        <v>1444</v>
      </c>
      <c r="D5" s="284" t="s">
        <v>1446</v>
      </c>
      <c r="E5" s="284">
        <v>3795</v>
      </c>
      <c r="F5" s="284">
        <v>8.7499999999999994E-2</v>
      </c>
      <c r="G5" s="284">
        <v>3462.94</v>
      </c>
    </row>
    <row r="6" spans="1:7" x14ac:dyDescent="0.25">
      <c r="A6" s="284" t="s">
        <v>273</v>
      </c>
      <c r="B6" s="284" t="s">
        <v>975</v>
      </c>
      <c r="C6" s="284" t="s">
        <v>1444</v>
      </c>
      <c r="D6" s="284" t="s">
        <v>1446</v>
      </c>
      <c r="E6" s="284">
        <v>825</v>
      </c>
      <c r="F6" s="284">
        <v>8.7499999999999994E-2</v>
      </c>
      <c r="G6" s="284">
        <v>752.81</v>
      </c>
    </row>
    <row r="7" spans="1:7" x14ac:dyDescent="0.25">
      <c r="A7" s="284" t="s">
        <v>318</v>
      </c>
      <c r="B7" s="284" t="s">
        <v>976</v>
      </c>
      <c r="C7" s="284" t="s">
        <v>1444</v>
      </c>
      <c r="D7" s="284" t="s">
        <v>1446</v>
      </c>
      <c r="E7" s="284">
        <v>890</v>
      </c>
      <c r="F7" s="284">
        <v>8.7499999999999994E-2</v>
      </c>
      <c r="G7" s="284">
        <v>812.13</v>
      </c>
    </row>
    <row r="8" spans="1:7" x14ac:dyDescent="0.25">
      <c r="A8" s="284" t="s">
        <v>340</v>
      </c>
      <c r="B8" s="284" t="s">
        <v>1448</v>
      </c>
      <c r="C8" s="284" t="s">
        <v>1444</v>
      </c>
      <c r="D8" s="284" t="s">
        <v>1446</v>
      </c>
      <c r="E8" s="284">
        <v>499</v>
      </c>
      <c r="F8" s="284">
        <v>8.7499999999999994E-2</v>
      </c>
      <c r="G8" s="284">
        <v>455.34</v>
      </c>
    </row>
    <row r="9" spans="1:7" x14ac:dyDescent="0.25">
      <c r="A9" s="284" t="s">
        <v>344</v>
      </c>
      <c r="B9" s="284" t="s">
        <v>1449</v>
      </c>
      <c r="C9" s="284" t="s">
        <v>1444</v>
      </c>
      <c r="D9" s="284" t="s">
        <v>1446</v>
      </c>
      <c r="E9" s="284">
        <v>50</v>
      </c>
      <c r="F9" s="284">
        <v>8.7499999999999994E-2</v>
      </c>
      <c r="G9" s="284">
        <v>45.63</v>
      </c>
    </row>
    <row r="10" spans="1:7" x14ac:dyDescent="0.25">
      <c r="A10" s="284" t="s">
        <v>373</v>
      </c>
      <c r="B10" s="284" t="s">
        <v>1163</v>
      </c>
      <c r="C10" s="284" t="s">
        <v>1444</v>
      </c>
      <c r="D10" s="284" t="s">
        <v>1446</v>
      </c>
      <c r="E10" s="284">
        <v>745</v>
      </c>
      <c r="F10" s="284">
        <v>8.7499999999999994E-2</v>
      </c>
      <c r="G10" s="284">
        <v>679.81</v>
      </c>
    </row>
    <row r="11" spans="1:7" x14ac:dyDescent="0.25">
      <c r="A11" s="284" t="s">
        <v>368</v>
      </c>
      <c r="B11" s="284" t="s">
        <v>1450</v>
      </c>
      <c r="C11" s="284" t="s">
        <v>1444</v>
      </c>
      <c r="D11" s="284" t="s">
        <v>1446</v>
      </c>
      <c r="E11" s="284">
        <v>445</v>
      </c>
      <c r="F11" s="284">
        <v>8.7499999999999994E-2</v>
      </c>
      <c r="G11" s="284">
        <v>406.06</v>
      </c>
    </row>
    <row r="12" spans="1:7" x14ac:dyDescent="0.25">
      <c r="A12" s="284" t="s">
        <v>1195</v>
      </c>
      <c r="B12" s="284" t="s">
        <v>1196</v>
      </c>
      <c r="C12" s="284" t="s">
        <v>1444</v>
      </c>
      <c r="D12" s="284" t="s">
        <v>1446</v>
      </c>
      <c r="E12" s="284">
        <v>3495</v>
      </c>
      <c r="F12" s="284">
        <v>8.7499284692417731E-2</v>
      </c>
      <c r="G12" s="284">
        <v>3189.19</v>
      </c>
    </row>
    <row r="13" spans="1:7" x14ac:dyDescent="0.25">
      <c r="A13" s="284" t="s">
        <v>1197</v>
      </c>
      <c r="B13" s="284" t="s">
        <v>1198</v>
      </c>
      <c r="C13" s="284" t="s">
        <v>1444</v>
      </c>
      <c r="D13" s="284" t="s">
        <v>1446</v>
      </c>
      <c r="E13" s="284">
        <v>425</v>
      </c>
      <c r="F13" s="284">
        <v>8.7505882352941169E-2</v>
      </c>
      <c r="G13" s="284">
        <v>387.81</v>
      </c>
    </row>
    <row r="14" spans="1:7" x14ac:dyDescent="0.25">
      <c r="A14" s="284" t="s">
        <v>417</v>
      </c>
      <c r="B14" s="284" t="s">
        <v>1169</v>
      </c>
      <c r="C14" s="284" t="s">
        <v>1444</v>
      </c>
      <c r="D14" s="284" t="s">
        <v>1446</v>
      </c>
      <c r="E14" s="284">
        <v>1025</v>
      </c>
      <c r="F14" s="284">
        <v>8.7502439024390297E-2</v>
      </c>
      <c r="G14" s="284">
        <v>935.31</v>
      </c>
    </row>
    <row r="15" spans="1:7" x14ac:dyDescent="0.25">
      <c r="A15" s="284" t="s">
        <v>445</v>
      </c>
      <c r="B15" s="284" t="s">
        <v>1173</v>
      </c>
      <c r="C15" s="284" t="s">
        <v>1444</v>
      </c>
      <c r="D15" s="284" t="s">
        <v>1446</v>
      </c>
      <c r="E15" s="284">
        <v>725</v>
      </c>
      <c r="F15" s="284">
        <v>8.750344827586215E-2</v>
      </c>
      <c r="G15" s="284">
        <v>661.56</v>
      </c>
    </row>
    <row r="16" spans="1:7" x14ac:dyDescent="0.25">
      <c r="A16" s="284" t="s">
        <v>1174</v>
      </c>
      <c r="B16" s="284" t="s">
        <v>1176</v>
      </c>
      <c r="C16" s="284" t="s">
        <v>1444</v>
      </c>
      <c r="D16" s="284" t="s">
        <v>1446</v>
      </c>
      <c r="E16" s="284">
        <v>250</v>
      </c>
      <c r="F16" s="284">
        <v>8.7480000000000016E-2</v>
      </c>
      <c r="G16" s="284">
        <v>228.13</v>
      </c>
    </row>
    <row r="17" spans="1:7" x14ac:dyDescent="0.25">
      <c r="A17" s="284" t="s">
        <v>471</v>
      </c>
      <c r="B17" s="284" t="s">
        <v>980</v>
      </c>
      <c r="C17" s="284" t="s">
        <v>1444</v>
      </c>
      <c r="D17" s="284" t="s">
        <v>1446</v>
      </c>
      <c r="E17" s="284">
        <v>165</v>
      </c>
      <c r="F17" s="284">
        <v>8.7499999999999994E-2</v>
      </c>
      <c r="G17" s="284">
        <v>150.56</v>
      </c>
    </row>
    <row r="18" spans="1:7" x14ac:dyDescent="0.25">
      <c r="A18" s="284" t="s">
        <v>492</v>
      </c>
      <c r="B18" s="284" t="s">
        <v>981</v>
      </c>
      <c r="C18" s="284" t="s">
        <v>1444</v>
      </c>
      <c r="D18" s="284" t="s">
        <v>1446</v>
      </c>
      <c r="E18" s="284">
        <v>1025</v>
      </c>
      <c r="F18" s="284">
        <v>8.7502439024390297E-2</v>
      </c>
      <c r="G18" s="284">
        <v>935.31</v>
      </c>
    </row>
    <row r="19" spans="1:7" x14ac:dyDescent="0.25">
      <c r="A19" s="284" t="s">
        <v>517</v>
      </c>
      <c r="B19" s="284" t="s">
        <v>1180</v>
      </c>
      <c r="C19" s="284" t="s">
        <v>1444</v>
      </c>
      <c r="D19" s="284" t="s">
        <v>1446</v>
      </c>
      <c r="E19" s="284">
        <v>3995</v>
      </c>
      <c r="F19" s="284">
        <v>8.7499374217772208E-2</v>
      </c>
      <c r="G19" s="284">
        <v>3645.44</v>
      </c>
    </row>
    <row r="20" spans="1:7" x14ac:dyDescent="0.25">
      <c r="A20" s="284" t="s">
        <v>524</v>
      </c>
      <c r="B20" s="284" t="s">
        <v>1182</v>
      </c>
      <c r="C20" s="284" t="s">
        <v>1444</v>
      </c>
      <c r="D20" s="284" t="s">
        <v>1446</v>
      </c>
      <c r="E20" s="284">
        <v>725</v>
      </c>
      <c r="F20" s="284">
        <v>8.750344827586215E-2</v>
      </c>
      <c r="G20" s="284">
        <v>661.56</v>
      </c>
    </row>
    <row r="21" spans="1:7" x14ac:dyDescent="0.25">
      <c r="A21" s="284" t="s">
        <v>525</v>
      </c>
      <c r="B21" s="284" t="s">
        <v>1451</v>
      </c>
      <c r="C21" s="284" t="s">
        <v>1444</v>
      </c>
      <c r="D21" s="284" t="s">
        <v>1446</v>
      </c>
      <c r="E21" s="284">
        <v>75</v>
      </c>
      <c r="F21" s="284">
        <v>8.7499999999999994E-2</v>
      </c>
      <c r="G21" s="284">
        <v>68.44</v>
      </c>
    </row>
    <row r="22" spans="1:7" x14ac:dyDescent="0.25">
      <c r="A22" s="284" t="s">
        <v>542</v>
      </c>
      <c r="B22" s="284" t="s">
        <v>1186</v>
      </c>
      <c r="C22" s="284" t="s">
        <v>1444</v>
      </c>
      <c r="D22" s="284" t="s">
        <v>1446</v>
      </c>
      <c r="E22" s="284">
        <v>315</v>
      </c>
      <c r="F22" s="284">
        <v>8.7499999999999994E-2</v>
      </c>
      <c r="G22" s="284">
        <v>287.44</v>
      </c>
    </row>
    <row r="23" spans="1:7" x14ac:dyDescent="0.25">
      <c r="A23" s="284" t="s">
        <v>550</v>
      </c>
      <c r="B23" s="284" t="s">
        <v>986</v>
      </c>
      <c r="C23" s="284" t="s">
        <v>1444</v>
      </c>
      <c r="D23" s="284" t="s">
        <v>1446</v>
      </c>
      <c r="E23" s="284">
        <v>1190</v>
      </c>
      <c r="F23" s="284">
        <v>8.7499999999999994E-2</v>
      </c>
      <c r="G23" s="284">
        <v>1085.8800000000001</v>
      </c>
    </row>
    <row r="24" spans="1:7" x14ac:dyDescent="0.25">
      <c r="A24" s="284" t="s">
        <v>557</v>
      </c>
      <c r="B24" s="284" t="s">
        <v>988</v>
      </c>
      <c r="C24" s="284" t="s">
        <v>1444</v>
      </c>
      <c r="D24" s="284" t="s">
        <v>1446</v>
      </c>
      <c r="E24" s="284">
        <v>690</v>
      </c>
      <c r="F24" s="284">
        <v>8.7499999999999994E-2</v>
      </c>
      <c r="G24" s="284">
        <v>629.63</v>
      </c>
    </row>
    <row r="25" spans="1:7" x14ac:dyDescent="0.25">
      <c r="A25" s="284" t="s">
        <v>565</v>
      </c>
      <c r="B25" s="284" t="s">
        <v>1452</v>
      </c>
      <c r="C25" s="284" t="s">
        <v>1444</v>
      </c>
      <c r="D25" s="284" t="s">
        <v>1446</v>
      </c>
      <c r="E25" s="284">
        <v>12875.400000000001</v>
      </c>
      <c r="F25" s="284">
        <v>9.9057116672103498E-2</v>
      </c>
      <c r="G25" s="284">
        <v>11600</v>
      </c>
    </row>
    <row r="26" spans="1:7" x14ac:dyDescent="0.25">
      <c r="A26" s="284" t="s">
        <v>570</v>
      </c>
      <c r="B26" s="284" t="s">
        <v>1453</v>
      </c>
      <c r="C26" s="284" t="s">
        <v>1444</v>
      </c>
      <c r="D26" s="284" t="s">
        <v>1446</v>
      </c>
      <c r="E26" s="284">
        <v>4400</v>
      </c>
      <c r="F26" s="284">
        <v>0.25</v>
      </c>
      <c r="G26" s="284">
        <v>3300</v>
      </c>
    </row>
    <row r="27" spans="1:7" x14ac:dyDescent="0.25">
      <c r="A27" s="284" t="s">
        <v>568</v>
      </c>
      <c r="B27" s="284" t="s">
        <v>1454</v>
      </c>
      <c r="C27" s="284" t="s">
        <v>1444</v>
      </c>
      <c r="D27" s="284" t="s">
        <v>1446</v>
      </c>
      <c r="E27" s="284">
        <v>11035.4</v>
      </c>
      <c r="F27" s="284">
        <v>0.12644761404208271</v>
      </c>
      <c r="G27" s="284">
        <v>9640</v>
      </c>
    </row>
    <row r="28" spans="1:7" x14ac:dyDescent="0.25">
      <c r="A28" s="284" t="s">
        <v>601</v>
      </c>
      <c r="B28" s="284" t="s">
        <v>1455</v>
      </c>
      <c r="C28" s="284" t="s">
        <v>1444</v>
      </c>
      <c r="D28" s="284" t="s">
        <v>1446</v>
      </c>
      <c r="E28" s="284">
        <v>1620</v>
      </c>
      <c r="F28" s="284">
        <v>0.20370370370370369</v>
      </c>
      <c r="G28" s="284">
        <v>1290</v>
      </c>
    </row>
    <row r="29" spans="1:7" x14ac:dyDescent="0.25">
      <c r="A29" s="284" t="s">
        <v>591</v>
      </c>
      <c r="B29" s="284" t="s">
        <v>1456</v>
      </c>
      <c r="C29" s="284" t="s">
        <v>1444</v>
      </c>
      <c r="D29" s="284" t="s">
        <v>1446</v>
      </c>
      <c r="E29" s="284">
        <v>1250</v>
      </c>
      <c r="F29" s="284">
        <v>0.20799999999999999</v>
      </c>
      <c r="G29" s="284">
        <v>990</v>
      </c>
    </row>
    <row r="30" spans="1:7" x14ac:dyDescent="0.25">
      <c r="A30" s="284" t="s">
        <v>1084</v>
      </c>
      <c r="B30" s="284" t="s">
        <v>1457</v>
      </c>
      <c r="C30" s="284" t="s">
        <v>1444</v>
      </c>
      <c r="D30" s="284" t="s">
        <v>1446</v>
      </c>
      <c r="E30" s="284">
        <v>1810</v>
      </c>
      <c r="F30" s="284">
        <v>0.11602209944751381</v>
      </c>
      <c r="G30" s="284">
        <v>1600</v>
      </c>
    </row>
    <row r="31" spans="1:7" x14ac:dyDescent="0.25">
      <c r="A31" s="284" t="s">
        <v>605</v>
      </c>
      <c r="B31" s="284" t="s">
        <v>1458</v>
      </c>
      <c r="C31" s="284" t="s">
        <v>1444</v>
      </c>
      <c r="D31" s="284" t="s">
        <v>1446</v>
      </c>
      <c r="E31" s="284">
        <v>4830</v>
      </c>
      <c r="F31" s="284">
        <v>0.17391304347826086</v>
      </c>
      <c r="G31" s="284">
        <v>3990</v>
      </c>
    </row>
    <row r="32" spans="1:7" x14ac:dyDescent="0.25">
      <c r="A32" s="284" t="s">
        <v>448</v>
      </c>
      <c r="B32" s="284" t="s">
        <v>1000</v>
      </c>
      <c r="C32" s="284" t="s">
        <v>1444</v>
      </c>
      <c r="D32" s="284" t="s">
        <v>1446</v>
      </c>
      <c r="E32" s="284">
        <v>390</v>
      </c>
      <c r="F32" s="284">
        <v>8.7499999999999994E-2</v>
      </c>
      <c r="G32" s="284">
        <v>355.88</v>
      </c>
    </row>
    <row r="33" spans="1:7" x14ac:dyDescent="0.25">
      <c r="A33" s="284" t="s">
        <v>1459</v>
      </c>
      <c r="B33" s="284" t="s">
        <v>1184</v>
      </c>
      <c r="C33" s="284" t="s">
        <v>1444</v>
      </c>
      <c r="D33" s="284" t="s">
        <v>1446</v>
      </c>
      <c r="E33" s="284">
        <v>425</v>
      </c>
      <c r="F33" s="284">
        <v>8.7499999999999994E-2</v>
      </c>
      <c r="G33" s="284">
        <v>387.81</v>
      </c>
    </row>
    <row r="34" spans="1:7" x14ac:dyDescent="0.25">
      <c r="A34" s="284" t="s">
        <v>1170</v>
      </c>
      <c r="B34" s="284" t="s">
        <v>1460</v>
      </c>
      <c r="C34" s="284" t="s">
        <v>1444</v>
      </c>
      <c r="D34" s="284" t="s">
        <v>1446</v>
      </c>
      <c r="E34" s="284">
        <v>300</v>
      </c>
      <c r="F34" s="284">
        <v>8.7499999999999994E-2</v>
      </c>
      <c r="G34" s="284">
        <v>273.75</v>
      </c>
    </row>
    <row r="35" spans="1:7" x14ac:dyDescent="0.25">
      <c r="A35" s="284" t="s">
        <v>1461</v>
      </c>
      <c r="B35" s="284" t="s">
        <v>1462</v>
      </c>
      <c r="C35" s="284" t="s">
        <v>1444</v>
      </c>
      <c r="D35" s="284" t="s">
        <v>1445</v>
      </c>
      <c r="E35" s="284">
        <v>17190</v>
      </c>
      <c r="F35" s="284">
        <v>0.16230366492146597</v>
      </c>
      <c r="G35" s="284">
        <v>14400</v>
      </c>
    </row>
    <row r="36" spans="1:7" x14ac:dyDescent="0.25">
      <c r="A36" s="284" t="s">
        <v>1463</v>
      </c>
      <c r="B36" s="284" t="s">
        <v>1464</v>
      </c>
      <c r="C36" s="284" t="s">
        <v>1444</v>
      </c>
      <c r="D36" s="284" t="s">
        <v>1445</v>
      </c>
      <c r="E36" s="284">
        <v>14995</v>
      </c>
      <c r="F36" s="284">
        <v>0.17305768589529844</v>
      </c>
      <c r="G36" s="284">
        <v>12400</v>
      </c>
    </row>
    <row r="37" spans="1:7" x14ac:dyDescent="0.25">
      <c r="A37" s="284" t="s">
        <v>633</v>
      </c>
      <c r="B37" s="284" t="s">
        <v>1089</v>
      </c>
      <c r="C37" s="284" t="s">
        <v>1444</v>
      </c>
      <c r="D37" s="284" t="s">
        <v>1465</v>
      </c>
      <c r="E37" s="284">
        <v>995</v>
      </c>
      <c r="F37" s="284">
        <v>0.2475</v>
      </c>
      <c r="G37" s="284">
        <v>748.74</v>
      </c>
    </row>
    <row r="38" spans="1:7" x14ac:dyDescent="0.25">
      <c r="A38" s="284" t="s">
        <v>639</v>
      </c>
      <c r="B38" s="284" t="s">
        <v>1466</v>
      </c>
      <c r="C38" s="284" t="s">
        <v>1444</v>
      </c>
      <c r="D38" s="284" t="s">
        <v>1465</v>
      </c>
      <c r="E38" s="284">
        <v>4295</v>
      </c>
      <c r="F38" s="284">
        <v>0.2475</v>
      </c>
      <c r="G38" s="284">
        <v>3231.99</v>
      </c>
    </row>
    <row r="39" spans="1:7" x14ac:dyDescent="0.25">
      <c r="A39" s="284" t="s">
        <v>646</v>
      </c>
      <c r="B39" s="284" t="s">
        <v>1203</v>
      </c>
      <c r="C39" s="284" t="s">
        <v>1444</v>
      </c>
      <c r="D39" s="284" t="s">
        <v>1465</v>
      </c>
      <c r="E39" s="284">
        <v>995</v>
      </c>
      <c r="F39" s="284">
        <v>0.2475</v>
      </c>
      <c r="G39" s="284">
        <v>748.74</v>
      </c>
    </row>
    <row r="40" spans="1:7" x14ac:dyDescent="0.25">
      <c r="A40" s="284" t="s">
        <v>653</v>
      </c>
      <c r="B40" s="284" t="s">
        <v>1467</v>
      </c>
      <c r="C40" s="284" t="s">
        <v>1444</v>
      </c>
      <c r="D40" s="284" t="s">
        <v>1465</v>
      </c>
      <c r="E40" s="284">
        <v>4295</v>
      </c>
      <c r="F40" s="284">
        <v>0.2475</v>
      </c>
      <c r="G40" s="284">
        <v>3231.99</v>
      </c>
    </row>
    <row r="41" spans="1:7" x14ac:dyDescent="0.25">
      <c r="A41" s="284" t="s">
        <v>657</v>
      </c>
      <c r="B41" s="284" t="s">
        <v>1207</v>
      </c>
      <c r="C41" s="284" t="s">
        <v>1444</v>
      </c>
      <c r="D41" s="284" t="s">
        <v>1465</v>
      </c>
      <c r="E41" s="284">
        <v>260</v>
      </c>
      <c r="F41" s="284">
        <v>0.2475</v>
      </c>
      <c r="G41" s="284">
        <v>195.65</v>
      </c>
    </row>
    <row r="42" spans="1:7" x14ac:dyDescent="0.25">
      <c r="A42" s="284" t="s">
        <v>665</v>
      </c>
      <c r="B42" s="284" t="s">
        <v>1209</v>
      </c>
      <c r="C42" s="284" t="s">
        <v>1444</v>
      </c>
      <c r="D42" s="284" t="s">
        <v>1465</v>
      </c>
      <c r="E42" s="284">
        <v>395</v>
      </c>
      <c r="F42" s="284">
        <v>0.2475</v>
      </c>
      <c r="G42" s="284">
        <v>297.24</v>
      </c>
    </row>
    <row r="43" spans="1:7" x14ac:dyDescent="0.25">
      <c r="A43" s="284" t="s">
        <v>1230</v>
      </c>
      <c r="B43" s="284" t="s">
        <v>1468</v>
      </c>
      <c r="C43" s="284" t="s">
        <v>1444</v>
      </c>
      <c r="D43" s="284" t="s">
        <v>1445</v>
      </c>
      <c r="E43" s="284">
        <v>10195</v>
      </c>
      <c r="F43" s="284">
        <v>0.1575282000980873</v>
      </c>
      <c r="G43" s="284">
        <v>8589</v>
      </c>
    </row>
    <row r="44" spans="1:7" x14ac:dyDescent="0.25">
      <c r="A44" s="284" t="s">
        <v>667</v>
      </c>
      <c r="B44" s="284" t="s">
        <v>1211</v>
      </c>
      <c r="C44" s="284" t="s">
        <v>1444</v>
      </c>
      <c r="D44" s="284" t="s">
        <v>1465</v>
      </c>
      <c r="E44" s="284">
        <v>215</v>
      </c>
      <c r="F44" s="284">
        <v>0.2475</v>
      </c>
      <c r="G44" s="284">
        <v>161.79</v>
      </c>
    </row>
    <row r="45" spans="1:7" x14ac:dyDescent="0.25">
      <c r="A45" s="284" t="s">
        <v>1469</v>
      </c>
      <c r="B45" s="284" t="s">
        <v>1470</v>
      </c>
      <c r="C45" s="284" t="s">
        <v>1444</v>
      </c>
      <c r="D45" s="284" t="s">
        <v>1445</v>
      </c>
      <c r="E45" s="284">
        <v>20190</v>
      </c>
      <c r="F45" s="284">
        <v>0.16146607231302626</v>
      </c>
      <c r="G45" s="284">
        <v>16930</v>
      </c>
    </row>
    <row r="46" spans="1:7" x14ac:dyDescent="0.25">
      <c r="A46" s="284" t="s">
        <v>1471</v>
      </c>
      <c r="B46" s="284" t="s">
        <v>1472</v>
      </c>
      <c r="C46" s="284" t="s">
        <v>1444</v>
      </c>
      <c r="D46" s="284" t="s">
        <v>1445</v>
      </c>
      <c r="E46" s="284">
        <v>17995</v>
      </c>
      <c r="F46" s="284">
        <v>0.17088080022228397</v>
      </c>
      <c r="G46" s="284">
        <v>14920</v>
      </c>
    </row>
    <row r="47" spans="1:7" x14ac:dyDescent="0.25">
      <c r="A47" s="284" t="s">
        <v>1473</v>
      </c>
      <c r="B47" s="284" t="s">
        <v>1474</v>
      </c>
      <c r="C47" s="284" t="s">
        <v>1444</v>
      </c>
      <c r="D47" s="284" t="s">
        <v>1445</v>
      </c>
      <c r="E47" s="284">
        <v>13353.115727002967</v>
      </c>
      <c r="F47" s="284">
        <v>0.15749999999999997</v>
      </c>
      <c r="G47" s="284">
        <v>11250</v>
      </c>
    </row>
    <row r="48" spans="1:7" x14ac:dyDescent="0.25">
      <c r="A48" s="284" t="s">
        <v>677</v>
      </c>
      <c r="B48" s="284" t="s">
        <v>1215</v>
      </c>
      <c r="C48" s="284" t="s">
        <v>1444</v>
      </c>
      <c r="D48" s="284" t="s">
        <v>1465</v>
      </c>
      <c r="E48" s="284">
        <v>3495</v>
      </c>
      <c r="F48" s="284">
        <v>0.2475</v>
      </c>
      <c r="G48" s="284">
        <v>2629.99</v>
      </c>
    </row>
    <row r="49" spans="1:7" x14ac:dyDescent="0.25">
      <c r="A49" s="284" t="s">
        <v>685</v>
      </c>
      <c r="B49" s="284" t="s">
        <v>1217</v>
      </c>
      <c r="C49" s="284" t="s">
        <v>1444</v>
      </c>
      <c r="D49" s="284" t="s">
        <v>1465</v>
      </c>
      <c r="E49" s="284">
        <v>260</v>
      </c>
      <c r="F49" s="284">
        <v>0.2475</v>
      </c>
      <c r="G49" s="284">
        <v>195.65</v>
      </c>
    </row>
    <row r="50" spans="1:7" x14ac:dyDescent="0.25">
      <c r="A50" s="284" t="s">
        <v>669</v>
      </c>
      <c r="B50" s="284" t="s">
        <v>1219</v>
      </c>
      <c r="C50" s="284" t="s">
        <v>1444</v>
      </c>
      <c r="D50" s="284" t="s">
        <v>1465</v>
      </c>
      <c r="E50" s="284">
        <v>85</v>
      </c>
      <c r="F50" s="284">
        <v>0.2475</v>
      </c>
      <c r="G50" s="284">
        <v>63.96</v>
      </c>
    </row>
    <row r="51" spans="1:7" x14ac:dyDescent="0.25">
      <c r="A51" s="284" t="s">
        <v>1221</v>
      </c>
      <c r="B51" s="284" t="s">
        <v>1222</v>
      </c>
      <c r="C51" s="284" t="s">
        <v>1444</v>
      </c>
      <c r="D51" s="284" t="s">
        <v>1475</v>
      </c>
      <c r="E51" s="284">
        <v>4395</v>
      </c>
      <c r="F51" s="284">
        <v>0.2475</v>
      </c>
      <c r="G51" s="284">
        <v>3307.24</v>
      </c>
    </row>
    <row r="52" spans="1:7" x14ac:dyDescent="0.25">
      <c r="A52" s="284" t="s">
        <v>1225</v>
      </c>
      <c r="B52" s="284" t="s">
        <v>1226</v>
      </c>
      <c r="C52" s="284" t="s">
        <v>1476</v>
      </c>
      <c r="D52" s="284" t="s">
        <v>1475</v>
      </c>
      <c r="E52" s="284">
        <v>2095</v>
      </c>
      <c r="F52" s="284">
        <v>0.2475</v>
      </c>
      <c r="G52" s="284">
        <v>1576.49</v>
      </c>
    </row>
    <row r="53" spans="1:7" x14ac:dyDescent="0.25">
      <c r="A53" s="284" t="s">
        <v>1223</v>
      </c>
      <c r="B53" s="284" t="s">
        <v>1224</v>
      </c>
      <c r="C53" s="284" t="s">
        <v>1477</v>
      </c>
      <c r="D53" s="284" t="s">
        <v>1475</v>
      </c>
      <c r="E53" s="284">
        <v>1190</v>
      </c>
      <c r="F53" s="284">
        <v>0.2475</v>
      </c>
      <c r="G53" s="284">
        <v>895.48</v>
      </c>
    </row>
    <row r="54" spans="1:7" x14ac:dyDescent="0.25">
      <c r="A54" s="284" t="s">
        <v>1478</v>
      </c>
      <c r="B54" s="284" t="s">
        <v>1479</v>
      </c>
      <c r="C54" s="284" t="s">
        <v>1444</v>
      </c>
      <c r="D54" s="284" t="s">
        <v>1465</v>
      </c>
      <c r="E54" s="284">
        <v>3.1</v>
      </c>
      <c r="F54" s="284">
        <v>0.2475</v>
      </c>
      <c r="G54" s="284">
        <v>2.33</v>
      </c>
    </row>
    <row r="55" spans="1:7" x14ac:dyDescent="0.25">
      <c r="A55" s="284" t="s">
        <v>1480</v>
      </c>
      <c r="B55" s="284" t="s">
        <v>1481</v>
      </c>
      <c r="C55" s="284" t="s">
        <v>1482</v>
      </c>
      <c r="D55" s="284" t="s">
        <v>1483</v>
      </c>
      <c r="E55" s="284">
        <v>69.3</v>
      </c>
      <c r="F55" s="284">
        <v>8.7499999999999994E-2</v>
      </c>
      <c r="G55" s="284">
        <v>63.24</v>
      </c>
    </row>
    <row r="56" spans="1:7" x14ac:dyDescent="0.25">
      <c r="A56" s="284" t="s">
        <v>1484</v>
      </c>
      <c r="B56" s="284" t="s">
        <v>1485</v>
      </c>
      <c r="C56" s="284" t="s">
        <v>1482</v>
      </c>
      <c r="D56" s="284" t="s">
        <v>1483</v>
      </c>
      <c r="E56" s="284">
        <v>38.5</v>
      </c>
      <c r="F56" s="284">
        <v>8.7499999999999994E-2</v>
      </c>
      <c r="G56" s="284">
        <v>35.130000000000003</v>
      </c>
    </row>
    <row r="57" spans="1:7" x14ac:dyDescent="0.25">
      <c r="A57" s="284" t="s">
        <v>1486</v>
      </c>
      <c r="B57" s="284" t="s">
        <v>1487</v>
      </c>
      <c r="C57" s="284" t="s">
        <v>1482</v>
      </c>
      <c r="D57" s="284" t="s">
        <v>1483</v>
      </c>
      <c r="E57" s="284">
        <v>71.5</v>
      </c>
      <c r="F57" s="284">
        <v>8.7499999999999994E-2</v>
      </c>
      <c r="G57" s="284">
        <v>65.239999999999995</v>
      </c>
    </row>
    <row r="58" spans="1:7" x14ac:dyDescent="0.25">
      <c r="A58" s="284" t="s">
        <v>1488</v>
      </c>
      <c r="B58" s="284" t="s">
        <v>1489</v>
      </c>
      <c r="C58" s="284" t="s">
        <v>1482</v>
      </c>
      <c r="D58" s="284" t="s">
        <v>1483</v>
      </c>
      <c r="E58" s="284">
        <v>195.8</v>
      </c>
      <c r="F58" s="284">
        <v>8.7499999999999994E-2</v>
      </c>
      <c r="G58" s="284">
        <v>178.67</v>
      </c>
    </row>
    <row r="59" spans="1:7" x14ac:dyDescent="0.25">
      <c r="A59" s="284" t="s">
        <v>1490</v>
      </c>
      <c r="B59" s="284" t="s">
        <v>1491</v>
      </c>
      <c r="C59" s="284" t="s">
        <v>1482</v>
      </c>
      <c r="D59" s="284" t="s">
        <v>1483</v>
      </c>
      <c r="E59" s="284">
        <v>163.9</v>
      </c>
      <c r="F59" s="284">
        <v>8.7499999999999994E-2</v>
      </c>
      <c r="G59" s="284">
        <v>149.56</v>
      </c>
    </row>
    <row r="60" spans="1:7" x14ac:dyDescent="0.25">
      <c r="A60" s="284" t="s">
        <v>1492</v>
      </c>
      <c r="B60" s="284" t="s">
        <v>1493</v>
      </c>
      <c r="C60" s="284" t="s">
        <v>1482</v>
      </c>
      <c r="D60" s="284" t="s">
        <v>1483</v>
      </c>
      <c r="E60" s="284">
        <v>137.5</v>
      </c>
      <c r="F60" s="284">
        <v>8.7499999999999994E-2</v>
      </c>
      <c r="G60" s="284">
        <v>125.47</v>
      </c>
    </row>
    <row r="61" spans="1:7" x14ac:dyDescent="0.25">
      <c r="A61" s="284" t="s">
        <v>1494</v>
      </c>
      <c r="B61" s="284" t="s">
        <v>1495</v>
      </c>
      <c r="C61" s="284" t="s">
        <v>1482</v>
      </c>
      <c r="D61" s="284" t="s">
        <v>1483</v>
      </c>
      <c r="E61" s="284">
        <v>97.9</v>
      </c>
      <c r="F61" s="284">
        <v>8.7499999999999994E-2</v>
      </c>
      <c r="G61" s="284">
        <v>89.33</v>
      </c>
    </row>
    <row r="62" spans="1:7" x14ac:dyDescent="0.25">
      <c r="A62" s="284" t="s">
        <v>1496</v>
      </c>
      <c r="B62" s="284" t="s">
        <v>1497</v>
      </c>
      <c r="C62" s="284" t="s">
        <v>1482</v>
      </c>
      <c r="D62" s="284" t="s">
        <v>1483</v>
      </c>
      <c r="E62" s="284">
        <v>834.9</v>
      </c>
      <c r="F62" s="284">
        <v>8.7499999999999994E-2</v>
      </c>
      <c r="G62" s="284">
        <v>761.85</v>
      </c>
    </row>
    <row r="63" spans="1:7" x14ac:dyDescent="0.25">
      <c r="A63" s="284" t="s">
        <v>1498</v>
      </c>
      <c r="B63" s="284" t="s">
        <v>1499</v>
      </c>
      <c r="C63" s="284" t="s">
        <v>1482</v>
      </c>
      <c r="D63" s="284" t="s">
        <v>1483</v>
      </c>
      <c r="E63" s="284">
        <v>181.5</v>
      </c>
      <c r="F63" s="284">
        <v>8.7499999999999994E-2</v>
      </c>
      <c r="G63" s="284">
        <v>165.62</v>
      </c>
    </row>
    <row r="64" spans="1:7" x14ac:dyDescent="0.25">
      <c r="A64" s="284" t="s">
        <v>1500</v>
      </c>
      <c r="B64" s="284" t="s">
        <v>1501</v>
      </c>
      <c r="C64" s="284" t="s">
        <v>1482</v>
      </c>
      <c r="D64" s="284" t="s">
        <v>1483</v>
      </c>
      <c r="E64" s="284">
        <v>16.5</v>
      </c>
      <c r="F64" s="284">
        <v>8.7499999999999994E-2</v>
      </c>
      <c r="G64" s="284">
        <v>15.06</v>
      </c>
    </row>
    <row r="65" spans="1:7" x14ac:dyDescent="0.25">
      <c r="A65" s="284" t="s">
        <v>1502</v>
      </c>
      <c r="B65" s="284" t="s">
        <v>1503</v>
      </c>
      <c r="C65" s="284" t="s">
        <v>1482</v>
      </c>
      <c r="D65" s="284" t="s">
        <v>1483</v>
      </c>
      <c r="E65" s="284">
        <v>261.8</v>
      </c>
      <c r="F65" s="284">
        <v>8.7499999999999994E-2</v>
      </c>
      <c r="G65" s="284">
        <v>238.89</v>
      </c>
    </row>
    <row r="66" spans="1:7" x14ac:dyDescent="0.25">
      <c r="A66" s="284" t="s">
        <v>1504</v>
      </c>
      <c r="B66" s="284" t="s">
        <v>1505</v>
      </c>
      <c r="C66" s="284" t="s">
        <v>1482</v>
      </c>
      <c r="D66" s="284" t="s">
        <v>1483</v>
      </c>
      <c r="E66" s="284">
        <v>151.80000000000001</v>
      </c>
      <c r="F66" s="284">
        <v>8.7499999999999994E-2</v>
      </c>
      <c r="G66" s="284">
        <v>138.52000000000001</v>
      </c>
    </row>
    <row r="67" spans="1:7" x14ac:dyDescent="0.25">
      <c r="A67" s="284" t="s">
        <v>1506</v>
      </c>
      <c r="B67" s="284" t="s">
        <v>1507</v>
      </c>
      <c r="C67" s="284" t="s">
        <v>1482</v>
      </c>
      <c r="D67" s="284" t="s">
        <v>1483</v>
      </c>
      <c r="E67" s="284">
        <v>85.8</v>
      </c>
      <c r="F67" s="284">
        <v>8.7499999999999994E-2</v>
      </c>
      <c r="G67" s="284">
        <v>78.290000000000006</v>
      </c>
    </row>
    <row r="68" spans="1:7" x14ac:dyDescent="0.25">
      <c r="A68" s="284" t="s">
        <v>1508</v>
      </c>
      <c r="B68" s="284" t="s">
        <v>1509</v>
      </c>
      <c r="C68" s="284" t="s">
        <v>1482</v>
      </c>
      <c r="D68" s="284" t="s">
        <v>1483</v>
      </c>
      <c r="E68" s="284">
        <v>1530.65</v>
      </c>
      <c r="F68" s="284">
        <v>8.7499999999999994E-2</v>
      </c>
      <c r="G68" s="284">
        <v>10.039999999999999</v>
      </c>
    </row>
    <row r="69" spans="1:7" x14ac:dyDescent="0.25">
      <c r="A69" s="284" t="s">
        <v>1510</v>
      </c>
      <c r="B69" s="284" t="s">
        <v>1511</v>
      </c>
      <c r="C69" s="284" t="s">
        <v>1482</v>
      </c>
      <c r="D69" s="284" t="s">
        <v>1483</v>
      </c>
      <c r="E69" s="284">
        <v>332.75</v>
      </c>
      <c r="F69" s="284">
        <v>8.7499999999999994E-2</v>
      </c>
      <c r="G69" s="284">
        <v>100.17</v>
      </c>
    </row>
    <row r="70" spans="1:7" x14ac:dyDescent="0.25">
      <c r="A70" s="284" t="s">
        <v>1512</v>
      </c>
      <c r="B70" s="284" t="s">
        <v>1513</v>
      </c>
      <c r="C70" s="284" t="s">
        <v>1482</v>
      </c>
      <c r="D70" s="284" t="s">
        <v>1483</v>
      </c>
      <c r="E70" s="284">
        <v>93.5</v>
      </c>
      <c r="F70" s="284">
        <v>8.7499999999999994E-2</v>
      </c>
      <c r="G70" s="284">
        <v>85.32</v>
      </c>
    </row>
    <row r="71" spans="1:7" x14ac:dyDescent="0.25">
      <c r="A71" s="284" t="s">
        <v>1514</v>
      </c>
      <c r="B71" s="284" t="s">
        <v>1515</v>
      </c>
      <c r="C71" s="284" t="s">
        <v>1482</v>
      </c>
      <c r="D71" s="284" t="s">
        <v>1483</v>
      </c>
      <c r="E71" s="284">
        <v>36.299999999999997</v>
      </c>
      <c r="F71" s="284">
        <v>8.7499999999999994E-2</v>
      </c>
      <c r="G71" s="284">
        <v>33.119999999999997</v>
      </c>
    </row>
    <row r="72" spans="1:7" x14ac:dyDescent="0.25">
      <c r="A72" s="284" t="s">
        <v>1516</v>
      </c>
      <c r="B72" s="284" t="s">
        <v>1517</v>
      </c>
      <c r="C72" s="284" t="s">
        <v>1482</v>
      </c>
      <c r="D72" s="284" t="s">
        <v>1483</v>
      </c>
      <c r="E72" s="284">
        <v>56.7</v>
      </c>
      <c r="F72" s="284">
        <v>8.7499999999999994E-2</v>
      </c>
      <c r="G72" s="284">
        <v>51.74</v>
      </c>
    </row>
    <row r="73" spans="1:7" x14ac:dyDescent="0.25">
      <c r="A73" s="284" t="s">
        <v>1518</v>
      </c>
      <c r="B73" s="284" t="s">
        <v>1519</v>
      </c>
      <c r="C73" s="284" t="s">
        <v>1482</v>
      </c>
      <c r="D73" s="284" t="s">
        <v>1483</v>
      </c>
      <c r="E73" s="284">
        <v>37.799999999999997</v>
      </c>
      <c r="F73" s="284">
        <v>8.7499999999999994E-2</v>
      </c>
      <c r="G73" s="284">
        <v>34.49</v>
      </c>
    </row>
    <row r="74" spans="1:7" x14ac:dyDescent="0.25">
      <c r="A74" s="284" t="s">
        <v>1520</v>
      </c>
      <c r="B74" s="284" t="s">
        <v>1521</v>
      </c>
      <c r="C74" s="284" t="s">
        <v>1482</v>
      </c>
      <c r="D74" s="284" t="s">
        <v>1483</v>
      </c>
      <c r="E74" s="284">
        <v>31.5</v>
      </c>
      <c r="F74" s="284">
        <v>8.7499999999999994E-2</v>
      </c>
      <c r="G74" s="284">
        <v>28.74</v>
      </c>
    </row>
    <row r="75" spans="1:7" x14ac:dyDescent="0.25">
      <c r="A75" s="284" t="s">
        <v>1522</v>
      </c>
      <c r="B75" s="284" t="s">
        <v>1523</v>
      </c>
      <c r="C75" s="284" t="s">
        <v>1482</v>
      </c>
      <c r="D75" s="284" t="s">
        <v>1483</v>
      </c>
      <c r="E75" s="284">
        <v>21</v>
      </c>
      <c r="F75" s="284">
        <v>8.7499999999999994E-2</v>
      </c>
      <c r="G75" s="284">
        <v>19.16</v>
      </c>
    </row>
    <row r="76" spans="1:7" x14ac:dyDescent="0.25">
      <c r="A76" s="284" t="s">
        <v>1524</v>
      </c>
      <c r="B76" s="284" t="s">
        <v>1525</v>
      </c>
      <c r="C76" s="284" t="s">
        <v>1482</v>
      </c>
      <c r="D76" s="284" t="s">
        <v>1483</v>
      </c>
      <c r="E76" s="284">
        <v>58.5</v>
      </c>
      <c r="F76" s="284">
        <v>8.7499999999999994E-2</v>
      </c>
      <c r="G76" s="284">
        <v>53.38</v>
      </c>
    </row>
    <row r="77" spans="1:7" x14ac:dyDescent="0.25">
      <c r="A77" s="284" t="s">
        <v>1526</v>
      </c>
      <c r="B77" s="284" t="s">
        <v>1527</v>
      </c>
      <c r="C77" s="284" t="s">
        <v>1482</v>
      </c>
      <c r="D77" s="284" t="s">
        <v>1483</v>
      </c>
      <c r="E77" s="284">
        <v>39</v>
      </c>
      <c r="F77" s="284">
        <v>8.7499999999999994E-2</v>
      </c>
      <c r="G77" s="284">
        <v>35.590000000000003</v>
      </c>
    </row>
    <row r="78" spans="1:7" x14ac:dyDescent="0.25">
      <c r="A78" s="284" t="s">
        <v>1528</v>
      </c>
      <c r="B78" s="284" t="s">
        <v>1529</v>
      </c>
      <c r="C78" s="284" t="s">
        <v>1482</v>
      </c>
      <c r="D78" s="284" t="s">
        <v>1483</v>
      </c>
      <c r="E78" s="284">
        <v>160.19999999999999</v>
      </c>
      <c r="F78" s="284">
        <v>8.7499999999999994E-2</v>
      </c>
      <c r="G78" s="284">
        <v>146.18</v>
      </c>
    </row>
    <row r="79" spans="1:7" x14ac:dyDescent="0.25">
      <c r="A79" s="284" t="s">
        <v>1530</v>
      </c>
      <c r="B79" s="284" t="s">
        <v>1531</v>
      </c>
      <c r="C79" s="284" t="s">
        <v>1482</v>
      </c>
      <c r="D79" s="284" t="s">
        <v>1483</v>
      </c>
      <c r="E79" s="284">
        <v>106.8</v>
      </c>
      <c r="F79" s="284">
        <v>8.7499999999999994E-2</v>
      </c>
      <c r="G79" s="284">
        <v>97.46</v>
      </c>
    </row>
    <row r="80" spans="1:7" x14ac:dyDescent="0.25">
      <c r="A80" s="284" t="s">
        <v>1532</v>
      </c>
      <c r="B80" s="284" t="s">
        <v>1533</v>
      </c>
      <c r="C80" s="284" t="s">
        <v>1482</v>
      </c>
      <c r="D80" s="284" t="s">
        <v>1483</v>
      </c>
      <c r="E80" s="284">
        <v>134.1</v>
      </c>
      <c r="F80" s="284">
        <v>8.7499999999999994E-2</v>
      </c>
      <c r="G80" s="284">
        <v>122.37</v>
      </c>
    </row>
    <row r="81" spans="1:7" x14ac:dyDescent="0.25">
      <c r="A81" s="284" t="s">
        <v>1534</v>
      </c>
      <c r="B81" s="284" t="s">
        <v>1535</v>
      </c>
      <c r="C81" s="284" t="s">
        <v>1482</v>
      </c>
      <c r="D81" s="284" t="s">
        <v>1483</v>
      </c>
      <c r="E81" s="284">
        <v>89.4</v>
      </c>
      <c r="F81" s="284">
        <v>8.7499999999999994E-2</v>
      </c>
      <c r="G81" s="284">
        <v>81.58</v>
      </c>
    </row>
    <row r="82" spans="1:7" x14ac:dyDescent="0.25">
      <c r="A82" s="284" t="s">
        <v>1536</v>
      </c>
      <c r="B82" s="284" t="s">
        <v>1537</v>
      </c>
      <c r="C82" s="284" t="s">
        <v>1482</v>
      </c>
      <c r="D82" s="284" t="s">
        <v>1483</v>
      </c>
      <c r="E82" s="284">
        <v>112.5</v>
      </c>
      <c r="F82" s="284">
        <v>8.7499999999999994E-2</v>
      </c>
      <c r="G82" s="284">
        <v>102.66</v>
      </c>
    </row>
    <row r="83" spans="1:7" x14ac:dyDescent="0.25">
      <c r="A83" s="284" t="s">
        <v>1538</v>
      </c>
      <c r="B83" s="284" t="s">
        <v>1539</v>
      </c>
      <c r="C83" s="284" t="s">
        <v>1482</v>
      </c>
      <c r="D83" s="284" t="s">
        <v>1483</v>
      </c>
      <c r="E83" s="284">
        <v>75</v>
      </c>
      <c r="F83" s="284">
        <v>8.7499999999999994E-2</v>
      </c>
      <c r="G83" s="284">
        <v>68.44</v>
      </c>
    </row>
    <row r="84" spans="1:7" x14ac:dyDescent="0.25">
      <c r="A84" s="284" t="s">
        <v>1540</v>
      </c>
      <c r="B84" s="284" t="s">
        <v>1541</v>
      </c>
      <c r="C84" s="284" t="s">
        <v>1482</v>
      </c>
      <c r="D84" s="284" t="s">
        <v>1483</v>
      </c>
      <c r="E84" s="284">
        <v>80.099999999999994</v>
      </c>
      <c r="F84" s="284">
        <v>8.7499999999999994E-2</v>
      </c>
      <c r="G84" s="284">
        <v>73.09</v>
      </c>
    </row>
    <row r="85" spans="1:7" x14ac:dyDescent="0.25">
      <c r="A85" s="284" t="s">
        <v>1542</v>
      </c>
      <c r="B85" s="284" t="s">
        <v>1543</v>
      </c>
      <c r="C85" s="284" t="s">
        <v>1482</v>
      </c>
      <c r="D85" s="284" t="s">
        <v>1483</v>
      </c>
      <c r="E85" s="284">
        <v>53.4</v>
      </c>
      <c r="F85" s="284">
        <v>8.7499999999999994E-2</v>
      </c>
      <c r="G85" s="284">
        <v>48.73</v>
      </c>
    </row>
    <row r="86" spans="1:7" x14ac:dyDescent="0.25">
      <c r="A86" s="284" t="s">
        <v>1544</v>
      </c>
      <c r="B86" s="284" t="s">
        <v>1545</v>
      </c>
      <c r="C86" s="284" t="s">
        <v>1482</v>
      </c>
      <c r="D86" s="284" t="s">
        <v>1483</v>
      </c>
      <c r="E86" s="284">
        <v>683.1</v>
      </c>
      <c r="F86" s="284">
        <v>8.7499999999999994E-2</v>
      </c>
      <c r="G86" s="284">
        <v>623.33000000000004</v>
      </c>
    </row>
    <row r="87" spans="1:7" x14ac:dyDescent="0.25">
      <c r="A87" s="284" t="s">
        <v>1546</v>
      </c>
      <c r="B87" s="284" t="s">
        <v>1547</v>
      </c>
      <c r="C87" s="284" t="s">
        <v>1482</v>
      </c>
      <c r="D87" s="284" t="s">
        <v>1483</v>
      </c>
      <c r="E87" s="284">
        <v>455.4</v>
      </c>
      <c r="F87" s="284">
        <v>8.7499999999999994E-2</v>
      </c>
      <c r="G87" s="284">
        <v>415.55</v>
      </c>
    </row>
    <row r="88" spans="1:7" x14ac:dyDescent="0.25">
      <c r="A88" s="284" t="s">
        <v>1548</v>
      </c>
      <c r="B88" s="284" t="s">
        <v>1549</v>
      </c>
      <c r="C88" s="284" t="s">
        <v>1482</v>
      </c>
      <c r="D88" s="284" t="s">
        <v>1483</v>
      </c>
      <c r="E88" s="284">
        <v>148.5</v>
      </c>
      <c r="F88" s="284">
        <v>8.7499999999999994E-2</v>
      </c>
      <c r="G88" s="284">
        <v>135.51</v>
      </c>
    </row>
    <row r="89" spans="1:7" x14ac:dyDescent="0.25">
      <c r="A89" s="284" t="s">
        <v>1550</v>
      </c>
      <c r="B89" s="284" t="s">
        <v>1551</v>
      </c>
      <c r="C89" s="284" t="s">
        <v>1482</v>
      </c>
      <c r="D89" s="284" t="s">
        <v>1483</v>
      </c>
      <c r="E89" s="284">
        <v>99</v>
      </c>
      <c r="F89" s="284">
        <v>8.7499999999999994E-2</v>
      </c>
      <c r="G89" s="284">
        <v>90.34</v>
      </c>
    </row>
    <row r="90" spans="1:7" x14ac:dyDescent="0.25">
      <c r="A90" s="284" t="s">
        <v>1552</v>
      </c>
      <c r="B90" s="284" t="s">
        <v>1553</v>
      </c>
      <c r="C90" s="284" t="s">
        <v>1482</v>
      </c>
      <c r="D90" s="284" t="s">
        <v>1483</v>
      </c>
      <c r="E90" s="284">
        <v>13.5</v>
      </c>
      <c r="F90" s="284">
        <v>8.7499999999999994E-2</v>
      </c>
      <c r="G90" s="284">
        <v>12.32</v>
      </c>
    </row>
    <row r="91" spans="1:7" x14ac:dyDescent="0.25">
      <c r="A91" s="284" t="s">
        <v>1554</v>
      </c>
      <c r="B91" s="284" t="s">
        <v>1555</v>
      </c>
      <c r="C91" s="284" t="s">
        <v>1482</v>
      </c>
      <c r="D91" s="284" t="s">
        <v>1483</v>
      </c>
      <c r="E91" s="284">
        <v>9</v>
      </c>
      <c r="F91" s="284">
        <v>8.7499999999999994E-2</v>
      </c>
      <c r="G91" s="284">
        <v>8.2100000000000009</v>
      </c>
    </row>
    <row r="92" spans="1:7" x14ac:dyDescent="0.25">
      <c r="A92" s="284" t="s">
        <v>1556</v>
      </c>
      <c r="B92" s="284" t="s">
        <v>1557</v>
      </c>
      <c r="C92" s="284" t="s">
        <v>1482</v>
      </c>
      <c r="D92" s="284" t="s">
        <v>1483</v>
      </c>
      <c r="E92" s="284">
        <v>214.2</v>
      </c>
      <c r="F92" s="284">
        <v>8.7499999999999994E-2</v>
      </c>
      <c r="G92" s="284">
        <v>195.46</v>
      </c>
    </row>
    <row r="93" spans="1:7" x14ac:dyDescent="0.25">
      <c r="A93" s="284" t="s">
        <v>1558</v>
      </c>
      <c r="B93" s="284" t="s">
        <v>1559</v>
      </c>
      <c r="C93" s="284" t="s">
        <v>1482</v>
      </c>
      <c r="D93" s="284" t="s">
        <v>1483</v>
      </c>
      <c r="E93" s="284">
        <v>142.80000000000001</v>
      </c>
      <c r="F93" s="284">
        <v>8.7499999999999994E-2</v>
      </c>
      <c r="G93" s="284">
        <v>130.31</v>
      </c>
    </row>
    <row r="94" spans="1:7" x14ac:dyDescent="0.25">
      <c r="A94" s="284" t="s">
        <v>1560</v>
      </c>
      <c r="B94" s="284" t="s">
        <v>1561</v>
      </c>
      <c r="C94" s="284" t="s">
        <v>1482</v>
      </c>
      <c r="D94" s="284" t="s">
        <v>1483</v>
      </c>
      <c r="E94" s="284">
        <v>124.2</v>
      </c>
      <c r="F94" s="284">
        <v>8.7499999999999994E-2</v>
      </c>
      <c r="G94" s="284">
        <v>113.33</v>
      </c>
    </row>
    <row r="95" spans="1:7" x14ac:dyDescent="0.25">
      <c r="A95" s="284" t="s">
        <v>1562</v>
      </c>
      <c r="B95" s="284" t="s">
        <v>1563</v>
      </c>
      <c r="C95" s="284" t="s">
        <v>1482</v>
      </c>
      <c r="D95" s="284" t="s">
        <v>1483</v>
      </c>
      <c r="E95" s="284">
        <v>82.8</v>
      </c>
      <c r="F95" s="284">
        <v>8.7499999999999994E-2</v>
      </c>
      <c r="G95" s="284">
        <v>75.56</v>
      </c>
    </row>
    <row r="96" spans="1:7" x14ac:dyDescent="0.25">
      <c r="A96" s="284" t="s">
        <v>1564</v>
      </c>
      <c r="B96" s="284" t="s">
        <v>1565</v>
      </c>
      <c r="C96" s="284" t="s">
        <v>1482</v>
      </c>
      <c r="D96" s="284" t="s">
        <v>1483</v>
      </c>
      <c r="E96" s="284">
        <v>70.2</v>
      </c>
      <c r="F96" s="284">
        <v>8.7499999999999994E-2</v>
      </c>
      <c r="G96" s="284">
        <v>64.06</v>
      </c>
    </row>
    <row r="97" spans="1:7" x14ac:dyDescent="0.25">
      <c r="A97" s="284" t="s">
        <v>1566</v>
      </c>
      <c r="B97" s="284" t="s">
        <v>1567</v>
      </c>
      <c r="C97" s="284" t="s">
        <v>1482</v>
      </c>
      <c r="D97" s="284" t="s">
        <v>1483</v>
      </c>
      <c r="E97" s="284">
        <v>46.8</v>
      </c>
      <c r="F97" s="284">
        <v>8.7499999999999994E-2</v>
      </c>
      <c r="G97" s="284">
        <v>42.71</v>
      </c>
    </row>
    <row r="98" spans="1:7" x14ac:dyDescent="0.25">
      <c r="A98" s="284" t="s">
        <v>1568</v>
      </c>
      <c r="B98" s="284" t="s">
        <v>1569</v>
      </c>
      <c r="C98" s="284" t="s">
        <v>1482</v>
      </c>
      <c r="D98" s="284" t="s">
        <v>1483</v>
      </c>
      <c r="E98" s="284">
        <v>9</v>
      </c>
      <c r="F98" s="284">
        <v>8.7499999999999994E-2</v>
      </c>
      <c r="G98" s="284">
        <v>10.95</v>
      </c>
    </row>
    <row r="99" spans="1:7" x14ac:dyDescent="0.25">
      <c r="A99" s="284" t="s">
        <v>1570</v>
      </c>
      <c r="B99" s="284" t="s">
        <v>1571</v>
      </c>
      <c r="C99" s="284" t="s">
        <v>1482</v>
      </c>
      <c r="D99" s="284" t="s">
        <v>1483</v>
      </c>
      <c r="E99" s="284">
        <v>6</v>
      </c>
      <c r="F99" s="284">
        <v>8.7499999999999994E-2</v>
      </c>
      <c r="G99" s="284">
        <v>5.48</v>
      </c>
    </row>
    <row r="100" spans="1:7" x14ac:dyDescent="0.25">
      <c r="A100" s="284" t="s">
        <v>1572</v>
      </c>
      <c r="B100" s="284" t="s">
        <v>1573</v>
      </c>
      <c r="C100" s="284" t="s">
        <v>1482</v>
      </c>
      <c r="D100" s="284" t="s">
        <v>1483</v>
      </c>
      <c r="E100" s="284">
        <v>59.88</v>
      </c>
      <c r="F100" s="284">
        <v>8.7499999999999994E-2</v>
      </c>
      <c r="G100" s="284">
        <v>54.64</v>
      </c>
    </row>
    <row r="101" spans="1:7" x14ac:dyDescent="0.25">
      <c r="A101" s="284" t="s">
        <v>1574</v>
      </c>
      <c r="B101" s="284" t="s">
        <v>1575</v>
      </c>
      <c r="C101" s="284" t="s">
        <v>1482</v>
      </c>
      <c r="D101" s="284" t="s">
        <v>1483</v>
      </c>
      <c r="E101" s="284">
        <v>76.5</v>
      </c>
      <c r="F101" s="284">
        <v>8.7499999999999994E-2</v>
      </c>
      <c r="G101" s="284">
        <v>69.81</v>
      </c>
    </row>
    <row r="102" spans="1:7" x14ac:dyDescent="0.25">
      <c r="A102" s="284" t="s">
        <v>1576</v>
      </c>
      <c r="B102" s="284" t="s">
        <v>1577</v>
      </c>
      <c r="C102" s="284" t="s">
        <v>1482</v>
      </c>
      <c r="D102" s="284" t="s">
        <v>1483</v>
      </c>
      <c r="E102" s="284">
        <v>51</v>
      </c>
      <c r="F102" s="284">
        <v>8.7499999999999994E-2</v>
      </c>
      <c r="G102" s="284">
        <v>46.54</v>
      </c>
    </row>
    <row r="103" spans="1:7" x14ac:dyDescent="0.25">
      <c r="A103" s="284" t="s">
        <v>1578</v>
      </c>
      <c r="B103" s="284" t="s">
        <v>1579</v>
      </c>
      <c r="C103" s="284" t="s">
        <v>1482</v>
      </c>
      <c r="D103" s="284" t="s">
        <v>1483</v>
      </c>
      <c r="E103" s="284">
        <v>29.7</v>
      </c>
      <c r="F103" s="284">
        <v>8.7499999999999994E-2</v>
      </c>
      <c r="G103" s="284">
        <v>27.1</v>
      </c>
    </row>
    <row r="104" spans="1:7" x14ac:dyDescent="0.25">
      <c r="A104" s="284" t="s">
        <v>1580</v>
      </c>
      <c r="B104" s="284" t="s">
        <v>1581</v>
      </c>
      <c r="C104" s="284" t="s">
        <v>1482</v>
      </c>
      <c r="D104" s="284" t="s">
        <v>1483</v>
      </c>
      <c r="E104" s="284">
        <v>19.8</v>
      </c>
      <c r="F104" s="284">
        <v>8.7499999999999994E-2</v>
      </c>
      <c r="G104" s="284">
        <v>18.07</v>
      </c>
    </row>
    <row r="105" spans="1:7" x14ac:dyDescent="0.25">
      <c r="A105" s="284" t="s">
        <v>1115</v>
      </c>
      <c r="B105" s="284" t="s">
        <v>1220</v>
      </c>
      <c r="C105" s="284" t="s">
        <v>1444</v>
      </c>
      <c r="D105" s="284" t="s">
        <v>1475</v>
      </c>
      <c r="E105" s="284">
        <v>395</v>
      </c>
      <c r="F105" s="284">
        <v>0.2475</v>
      </c>
      <c r="G105" s="284">
        <v>297.24</v>
      </c>
    </row>
    <row r="106" spans="1:7" x14ac:dyDescent="0.25">
      <c r="A106" s="284" t="s">
        <v>1227</v>
      </c>
      <c r="B106" s="284" t="s">
        <v>1120</v>
      </c>
      <c r="C106" s="284" t="s">
        <v>1476</v>
      </c>
      <c r="D106" s="284" t="s">
        <v>1475</v>
      </c>
      <c r="E106" s="284">
        <v>2095</v>
      </c>
      <c r="F106" s="284">
        <v>0.2475</v>
      </c>
      <c r="G106" s="284">
        <v>1576.49</v>
      </c>
    </row>
    <row r="107" spans="1:7" x14ac:dyDescent="0.25">
      <c r="A107" s="284" t="s">
        <v>1116</v>
      </c>
      <c r="B107" s="284" t="s">
        <v>1021</v>
      </c>
      <c r="C107" s="284" t="s">
        <v>1582</v>
      </c>
      <c r="D107" s="284" t="s">
        <v>1475</v>
      </c>
      <c r="E107" s="284">
        <v>160</v>
      </c>
      <c r="F107" s="284">
        <v>0.2475</v>
      </c>
      <c r="G107" s="284">
        <v>120.4</v>
      </c>
    </row>
    <row r="108" spans="1:7" x14ac:dyDescent="0.25">
      <c r="A108" s="284" t="s">
        <v>1583</v>
      </c>
      <c r="B108" s="284" t="s">
        <v>1584</v>
      </c>
      <c r="C108" s="284" t="s">
        <v>1482</v>
      </c>
      <c r="D108" s="284" t="s">
        <v>1585</v>
      </c>
      <c r="E108" s="284">
        <v>2858.9</v>
      </c>
      <c r="F108" s="284">
        <v>0.1575</v>
      </c>
      <c r="G108" s="284">
        <v>2408.62</v>
      </c>
    </row>
    <row r="109" spans="1:7" x14ac:dyDescent="0.25">
      <c r="A109" s="284" t="s">
        <v>1586</v>
      </c>
      <c r="B109" s="284" t="s">
        <v>1587</v>
      </c>
      <c r="C109" s="284" t="s">
        <v>1482</v>
      </c>
      <c r="D109" s="284" t="s">
        <v>1483</v>
      </c>
      <c r="E109" s="284">
        <v>768.9</v>
      </c>
      <c r="F109" s="284">
        <v>8.7499999999999994E-2</v>
      </c>
      <c r="G109" s="284">
        <v>701.62</v>
      </c>
    </row>
    <row r="110" spans="1:7" x14ac:dyDescent="0.25">
      <c r="A110" s="284" t="s">
        <v>1588</v>
      </c>
      <c r="B110" s="284" t="s">
        <v>1589</v>
      </c>
      <c r="C110" s="284" t="s">
        <v>1482</v>
      </c>
      <c r="D110" s="284" t="s">
        <v>1483</v>
      </c>
      <c r="E110" s="284">
        <v>93.5</v>
      </c>
      <c r="F110" s="284">
        <v>8.7499999999999994E-2</v>
      </c>
      <c r="G110" s="284">
        <v>85.32</v>
      </c>
    </row>
    <row r="111" spans="1:7" x14ac:dyDescent="0.25">
      <c r="A111" s="284" t="s">
        <v>1590</v>
      </c>
      <c r="B111" s="284" t="s">
        <v>1591</v>
      </c>
      <c r="C111" s="284" t="s">
        <v>1482</v>
      </c>
      <c r="D111" s="284" t="s">
        <v>1483</v>
      </c>
      <c r="E111" s="284">
        <v>159.5</v>
      </c>
      <c r="F111" s="284">
        <v>8.7499999999999994E-2</v>
      </c>
      <c r="G111" s="284">
        <v>145.54</v>
      </c>
    </row>
    <row r="112" spans="1:7" x14ac:dyDescent="0.25">
      <c r="A112" s="284" t="s">
        <v>1592</v>
      </c>
      <c r="B112" s="284" t="s">
        <v>1593</v>
      </c>
      <c r="C112" s="284" t="s">
        <v>1482</v>
      </c>
      <c r="D112" s="284" t="s">
        <v>1483</v>
      </c>
      <c r="E112" s="284">
        <v>225.5</v>
      </c>
      <c r="F112" s="284">
        <v>8.7499999999999994E-2</v>
      </c>
      <c r="G112" s="284">
        <v>205.77</v>
      </c>
    </row>
    <row r="113" spans="1:7" x14ac:dyDescent="0.25">
      <c r="A113" s="284" t="s">
        <v>1594</v>
      </c>
      <c r="B113" s="284" t="s">
        <v>1595</v>
      </c>
      <c r="C113" s="284" t="s">
        <v>1482</v>
      </c>
      <c r="D113" s="284" t="s">
        <v>1483</v>
      </c>
      <c r="E113" s="284">
        <v>225.5</v>
      </c>
      <c r="F113" s="284">
        <v>8.7499999999999994E-2</v>
      </c>
      <c r="G113" s="284">
        <v>205.77</v>
      </c>
    </row>
    <row r="114" spans="1:7" x14ac:dyDescent="0.25">
      <c r="A114" s="284" t="s">
        <v>1596</v>
      </c>
      <c r="B114" s="284" t="s">
        <v>1597</v>
      </c>
      <c r="C114" s="284" t="s">
        <v>1482</v>
      </c>
      <c r="D114" s="284" t="s">
        <v>1483</v>
      </c>
      <c r="E114" s="284">
        <v>159.5</v>
      </c>
      <c r="F114" s="284">
        <v>8.7499999999999994E-2</v>
      </c>
      <c r="G114" s="284">
        <v>145.54</v>
      </c>
    </row>
    <row r="115" spans="1:7" x14ac:dyDescent="0.25">
      <c r="A115" s="284" t="s">
        <v>1598</v>
      </c>
      <c r="B115" s="284" t="s">
        <v>1599</v>
      </c>
      <c r="C115" s="284" t="s">
        <v>1482</v>
      </c>
      <c r="D115" s="284" t="s">
        <v>1483</v>
      </c>
      <c r="E115" s="284">
        <v>878.9</v>
      </c>
      <c r="F115" s="284">
        <v>8.7499999999999994E-2</v>
      </c>
      <c r="G115" s="284">
        <v>802</v>
      </c>
    </row>
    <row r="116" spans="1:7" x14ac:dyDescent="0.25">
      <c r="A116" s="284" t="s">
        <v>1600</v>
      </c>
      <c r="B116" s="284" t="s">
        <v>1601</v>
      </c>
      <c r="C116" s="284" t="s">
        <v>1482</v>
      </c>
      <c r="D116" s="284" t="s">
        <v>1483</v>
      </c>
      <c r="E116" s="284">
        <v>1318.9</v>
      </c>
      <c r="F116" s="284">
        <v>8.7499999999999994E-2</v>
      </c>
      <c r="G116" s="284">
        <v>1203.5</v>
      </c>
    </row>
    <row r="117" spans="1:7" x14ac:dyDescent="0.25">
      <c r="A117" s="284" t="s">
        <v>1602</v>
      </c>
      <c r="B117" s="284" t="s">
        <v>1603</v>
      </c>
      <c r="C117" s="284" t="s">
        <v>1482</v>
      </c>
      <c r="D117" s="284" t="s">
        <v>1483</v>
      </c>
      <c r="E117" s="284">
        <v>3078.9</v>
      </c>
      <c r="F117" s="284">
        <v>8.7499999999999994E-2</v>
      </c>
      <c r="G117" s="284">
        <v>2809.5</v>
      </c>
    </row>
    <row r="118" spans="1:7" x14ac:dyDescent="0.25">
      <c r="A118" s="284" t="s">
        <v>1604</v>
      </c>
      <c r="B118" s="284" t="s">
        <v>1605</v>
      </c>
      <c r="C118" s="284" t="s">
        <v>1482</v>
      </c>
      <c r="D118" s="284" t="s">
        <v>1483</v>
      </c>
      <c r="E118" s="284">
        <v>2638.9</v>
      </c>
      <c r="F118" s="284">
        <v>8.7499999999999994E-2</v>
      </c>
      <c r="G118" s="284">
        <v>2408</v>
      </c>
    </row>
    <row r="119" spans="1:7" x14ac:dyDescent="0.25">
      <c r="A119" s="284" t="s">
        <v>1606</v>
      </c>
      <c r="B119" s="284" t="s">
        <v>1607</v>
      </c>
      <c r="C119" s="284" t="s">
        <v>1482</v>
      </c>
      <c r="D119" s="284" t="s">
        <v>1585</v>
      </c>
      <c r="E119" s="284">
        <v>4068.9</v>
      </c>
      <c r="F119" s="284">
        <v>0.1575</v>
      </c>
      <c r="G119" s="284">
        <v>3428.05</v>
      </c>
    </row>
    <row r="120" spans="1:7" x14ac:dyDescent="0.25">
      <c r="A120" s="284" t="s">
        <v>1608</v>
      </c>
      <c r="B120" s="284" t="s">
        <v>1607</v>
      </c>
      <c r="C120" s="284" t="s">
        <v>1482</v>
      </c>
      <c r="D120" s="284" t="s">
        <v>1585</v>
      </c>
      <c r="E120" s="284">
        <v>4728.8999999999996</v>
      </c>
      <c r="F120" s="284">
        <v>0.1575</v>
      </c>
      <c r="G120" s="284">
        <v>4014.9</v>
      </c>
    </row>
    <row r="121" spans="1:7" x14ac:dyDescent="0.25">
      <c r="A121" s="284" t="s">
        <v>1609</v>
      </c>
      <c r="B121" s="284" t="s">
        <v>1607</v>
      </c>
      <c r="C121" s="284" t="s">
        <v>1482</v>
      </c>
      <c r="D121" s="284" t="s">
        <v>1585</v>
      </c>
      <c r="E121" s="284">
        <v>3628.9</v>
      </c>
      <c r="F121" s="284">
        <v>0.1575</v>
      </c>
      <c r="G121" s="284">
        <v>3057.35</v>
      </c>
    </row>
    <row r="122" spans="1:7" x14ac:dyDescent="0.25">
      <c r="A122" s="284" t="s">
        <v>1610</v>
      </c>
      <c r="B122" s="284" t="s">
        <v>1607</v>
      </c>
      <c r="C122" s="284" t="s">
        <v>1482</v>
      </c>
      <c r="D122" s="284" t="s">
        <v>1585</v>
      </c>
      <c r="E122" s="284">
        <v>4288.8999999999996</v>
      </c>
      <c r="F122" s="284">
        <v>0.1575</v>
      </c>
      <c r="G122" s="284">
        <v>3613.4</v>
      </c>
    </row>
    <row r="123" spans="1:7" x14ac:dyDescent="0.25">
      <c r="A123" s="284" t="s">
        <v>1611</v>
      </c>
      <c r="B123" s="284" t="s">
        <v>1607</v>
      </c>
      <c r="C123" s="284" t="s">
        <v>1482</v>
      </c>
      <c r="D123" s="284" t="s">
        <v>1585</v>
      </c>
      <c r="E123" s="284">
        <v>2572.9</v>
      </c>
      <c r="F123" s="284">
        <v>0.1575</v>
      </c>
      <c r="G123" s="284">
        <v>2167.67</v>
      </c>
    </row>
    <row r="124" spans="1:7" x14ac:dyDescent="0.25">
      <c r="A124" s="284" t="s">
        <v>1612</v>
      </c>
      <c r="B124" s="284" t="s">
        <v>1607</v>
      </c>
      <c r="C124" s="284" t="s">
        <v>1482</v>
      </c>
      <c r="D124" s="284" t="s">
        <v>1585</v>
      </c>
      <c r="E124" s="284">
        <v>3188.9</v>
      </c>
      <c r="F124" s="284">
        <v>0.1575</v>
      </c>
      <c r="G124" s="284">
        <v>2686.65</v>
      </c>
    </row>
    <row r="125" spans="1:7" x14ac:dyDescent="0.25">
      <c r="A125" s="284" t="s">
        <v>1613</v>
      </c>
      <c r="B125" s="284" t="s">
        <v>1614</v>
      </c>
      <c r="C125" s="284" t="s">
        <v>1482</v>
      </c>
      <c r="D125" s="284" t="s">
        <v>1585</v>
      </c>
      <c r="E125" s="284">
        <v>2339.1</v>
      </c>
      <c r="F125" s="284">
        <v>0.1575</v>
      </c>
      <c r="G125" s="284">
        <v>1970.69</v>
      </c>
    </row>
    <row r="126" spans="1:7" x14ac:dyDescent="0.25">
      <c r="A126" s="284" t="s">
        <v>1615</v>
      </c>
      <c r="B126" s="284" t="s">
        <v>1616</v>
      </c>
      <c r="C126" s="284" t="s">
        <v>1482</v>
      </c>
      <c r="D126" s="284" t="s">
        <v>1585</v>
      </c>
      <c r="E126" s="284">
        <v>1559.4</v>
      </c>
      <c r="F126" s="284">
        <v>0.1575</v>
      </c>
      <c r="G126" s="284">
        <v>1313.79</v>
      </c>
    </row>
    <row r="127" spans="1:7" x14ac:dyDescent="0.25">
      <c r="A127" s="284" t="s">
        <v>1617</v>
      </c>
      <c r="B127" s="284" t="s">
        <v>1618</v>
      </c>
      <c r="C127" s="284" t="s">
        <v>1482</v>
      </c>
      <c r="D127" s="284" t="s">
        <v>1483</v>
      </c>
      <c r="E127" s="284">
        <v>629.1</v>
      </c>
      <c r="F127" s="284">
        <v>8.7499999999999994E-2</v>
      </c>
      <c r="G127" s="284">
        <v>574.04999999999995</v>
      </c>
    </row>
    <row r="128" spans="1:7" x14ac:dyDescent="0.25">
      <c r="A128" s="284" t="s">
        <v>1619</v>
      </c>
      <c r="B128" s="284" t="s">
        <v>1620</v>
      </c>
      <c r="C128" s="284" t="s">
        <v>1482</v>
      </c>
      <c r="D128" s="284" t="s">
        <v>1483</v>
      </c>
      <c r="E128" s="284">
        <v>419.4</v>
      </c>
      <c r="F128" s="284">
        <v>8.7499999999999994E-2</v>
      </c>
      <c r="G128" s="284">
        <v>382.7</v>
      </c>
    </row>
    <row r="129" spans="1:7" x14ac:dyDescent="0.25">
      <c r="A129" s="284" t="s">
        <v>1621</v>
      </c>
      <c r="B129" s="284" t="s">
        <v>1622</v>
      </c>
      <c r="C129" s="284" t="s">
        <v>1482</v>
      </c>
      <c r="D129" s="284" t="s">
        <v>1483</v>
      </c>
      <c r="E129" s="284">
        <v>76.5</v>
      </c>
      <c r="F129" s="284">
        <v>8.7499999999999994E-2</v>
      </c>
      <c r="G129" s="284">
        <v>69.81</v>
      </c>
    </row>
    <row r="130" spans="1:7" x14ac:dyDescent="0.25">
      <c r="A130" s="284" t="s">
        <v>1623</v>
      </c>
      <c r="B130" s="284" t="s">
        <v>1624</v>
      </c>
      <c r="C130" s="284" t="s">
        <v>1482</v>
      </c>
      <c r="D130" s="284" t="s">
        <v>1483</v>
      </c>
      <c r="E130" s="284">
        <v>51</v>
      </c>
      <c r="F130" s="284">
        <v>8.7499999999999994E-2</v>
      </c>
      <c r="G130" s="284">
        <v>46.54</v>
      </c>
    </row>
    <row r="131" spans="1:7" x14ac:dyDescent="0.25">
      <c r="A131" s="284" t="s">
        <v>1625</v>
      </c>
      <c r="B131" s="284" t="s">
        <v>1626</v>
      </c>
      <c r="C131" s="284" t="s">
        <v>1482</v>
      </c>
      <c r="D131" s="284" t="s">
        <v>1483</v>
      </c>
      <c r="E131" s="284">
        <v>130.5</v>
      </c>
      <c r="F131" s="284">
        <v>8.7499999999999994E-2</v>
      </c>
      <c r="G131" s="284">
        <v>119.08</v>
      </c>
    </row>
    <row r="132" spans="1:7" x14ac:dyDescent="0.25">
      <c r="A132" s="284" t="s">
        <v>1627</v>
      </c>
      <c r="B132" s="284" t="s">
        <v>1628</v>
      </c>
      <c r="C132" s="284" t="s">
        <v>1482</v>
      </c>
      <c r="D132" s="284" t="s">
        <v>1483</v>
      </c>
      <c r="E132" s="284">
        <v>87</v>
      </c>
      <c r="F132" s="284">
        <v>8.7499999999999994E-2</v>
      </c>
      <c r="G132" s="284">
        <v>79.39</v>
      </c>
    </row>
    <row r="133" spans="1:7" x14ac:dyDescent="0.25">
      <c r="A133" s="284" t="s">
        <v>1629</v>
      </c>
      <c r="B133" s="284" t="s">
        <v>1630</v>
      </c>
      <c r="C133" s="284" t="s">
        <v>1482</v>
      </c>
      <c r="D133" s="284" t="s">
        <v>1483</v>
      </c>
      <c r="E133" s="284">
        <v>184.5</v>
      </c>
      <c r="F133" s="284">
        <v>8.7499999999999994E-2</v>
      </c>
      <c r="G133" s="284">
        <v>168.36</v>
      </c>
    </row>
    <row r="134" spans="1:7" x14ac:dyDescent="0.25">
      <c r="A134" s="284" t="s">
        <v>1631</v>
      </c>
      <c r="B134" s="284" t="s">
        <v>1632</v>
      </c>
      <c r="C134" s="284" t="s">
        <v>1482</v>
      </c>
      <c r="D134" s="284" t="s">
        <v>1483</v>
      </c>
      <c r="E134" s="284">
        <v>123</v>
      </c>
      <c r="F134" s="284">
        <v>8.7499999999999994E-2</v>
      </c>
      <c r="G134" s="284">
        <v>112.24</v>
      </c>
    </row>
    <row r="135" spans="1:7" x14ac:dyDescent="0.25">
      <c r="A135" s="284" t="s">
        <v>1633</v>
      </c>
      <c r="B135" s="284" t="s">
        <v>1634</v>
      </c>
      <c r="C135" s="284" t="s">
        <v>1482</v>
      </c>
      <c r="D135" s="284" t="s">
        <v>1483</v>
      </c>
      <c r="E135" s="284">
        <v>184.5</v>
      </c>
      <c r="F135" s="284">
        <v>8.7499999999999994E-2</v>
      </c>
      <c r="G135" s="284">
        <v>168.36</v>
      </c>
    </row>
    <row r="136" spans="1:7" x14ac:dyDescent="0.25">
      <c r="A136" s="284" t="s">
        <v>1635</v>
      </c>
      <c r="B136" s="284" t="s">
        <v>1636</v>
      </c>
      <c r="C136" s="284" t="s">
        <v>1482</v>
      </c>
      <c r="D136" s="284" t="s">
        <v>1483</v>
      </c>
      <c r="E136" s="284">
        <v>123</v>
      </c>
      <c r="F136" s="284">
        <v>8.7499999999999994E-2</v>
      </c>
      <c r="G136" s="284">
        <v>112.24</v>
      </c>
    </row>
    <row r="137" spans="1:7" x14ac:dyDescent="0.25">
      <c r="A137" s="284" t="s">
        <v>1637</v>
      </c>
      <c r="B137" s="284" t="s">
        <v>1638</v>
      </c>
      <c r="C137" s="284" t="s">
        <v>1482</v>
      </c>
      <c r="D137" s="284" t="s">
        <v>1483</v>
      </c>
      <c r="E137" s="284">
        <v>130.5</v>
      </c>
      <c r="F137" s="284">
        <v>8.7499999999999994E-2</v>
      </c>
      <c r="G137" s="284">
        <v>119.08</v>
      </c>
    </row>
    <row r="138" spans="1:7" x14ac:dyDescent="0.25">
      <c r="A138" s="284" t="s">
        <v>1639</v>
      </c>
      <c r="B138" s="284" t="s">
        <v>1640</v>
      </c>
      <c r="C138" s="284" t="s">
        <v>1482</v>
      </c>
      <c r="D138" s="284" t="s">
        <v>1483</v>
      </c>
      <c r="E138" s="284">
        <v>87</v>
      </c>
      <c r="F138" s="284">
        <v>8.7499999999999994E-2</v>
      </c>
      <c r="G138" s="284">
        <v>79.39</v>
      </c>
    </row>
    <row r="139" spans="1:7" x14ac:dyDescent="0.25">
      <c r="A139" s="284" t="s">
        <v>1641</v>
      </c>
      <c r="B139" s="284" t="s">
        <v>1642</v>
      </c>
      <c r="C139" s="284" t="s">
        <v>1482</v>
      </c>
      <c r="D139" s="284" t="s">
        <v>1483</v>
      </c>
      <c r="E139" s="284">
        <v>719.1</v>
      </c>
      <c r="F139" s="284">
        <v>8.7499999999999994E-2</v>
      </c>
      <c r="G139" s="284">
        <v>656.18</v>
      </c>
    </row>
    <row r="140" spans="1:7" x14ac:dyDescent="0.25">
      <c r="A140" s="284" t="s">
        <v>1643</v>
      </c>
      <c r="B140" s="284" t="s">
        <v>1644</v>
      </c>
      <c r="C140" s="284" t="s">
        <v>1482</v>
      </c>
      <c r="D140" s="284" t="s">
        <v>1483</v>
      </c>
      <c r="E140" s="284">
        <v>479.4</v>
      </c>
      <c r="F140" s="284">
        <v>8.7499999999999994E-2</v>
      </c>
      <c r="G140" s="284">
        <v>437.45</v>
      </c>
    </row>
    <row r="141" spans="1:7" x14ac:dyDescent="0.25">
      <c r="A141" s="284" t="s">
        <v>1645</v>
      </c>
      <c r="B141" s="284" t="s">
        <v>1646</v>
      </c>
      <c r="C141" s="284" t="s">
        <v>1482</v>
      </c>
      <c r="D141" s="284" t="s">
        <v>1483</v>
      </c>
      <c r="E141" s="284">
        <v>1079.0999999999999</v>
      </c>
      <c r="F141" s="284">
        <v>8.7499999999999994E-2</v>
      </c>
      <c r="G141" s="284">
        <v>984.68</v>
      </c>
    </row>
    <row r="142" spans="1:7" x14ac:dyDescent="0.25">
      <c r="A142" s="284" t="s">
        <v>1647</v>
      </c>
      <c r="B142" s="284" t="s">
        <v>1648</v>
      </c>
      <c r="C142" s="284" t="s">
        <v>1482</v>
      </c>
      <c r="D142" s="284" t="s">
        <v>1483</v>
      </c>
      <c r="E142" s="284">
        <v>719.4</v>
      </c>
      <c r="F142" s="284">
        <v>8.7499999999999994E-2</v>
      </c>
      <c r="G142" s="284">
        <v>656.45</v>
      </c>
    </row>
    <row r="143" spans="1:7" x14ac:dyDescent="0.25">
      <c r="A143" s="284" t="s">
        <v>1649</v>
      </c>
      <c r="B143" s="284" t="s">
        <v>1650</v>
      </c>
      <c r="C143" s="284" t="s">
        <v>1482</v>
      </c>
      <c r="D143" s="284" t="s">
        <v>1483</v>
      </c>
      <c r="E143" s="284">
        <v>2519.1</v>
      </c>
      <c r="F143" s="284">
        <v>8.7499999999999994E-2</v>
      </c>
      <c r="G143" s="284">
        <v>2298.6799999999998</v>
      </c>
    </row>
    <row r="144" spans="1:7" x14ac:dyDescent="0.25">
      <c r="A144" s="284" t="s">
        <v>1651</v>
      </c>
      <c r="B144" s="284" t="s">
        <v>1652</v>
      </c>
      <c r="C144" s="284" t="s">
        <v>1482</v>
      </c>
      <c r="D144" s="284" t="s">
        <v>1483</v>
      </c>
      <c r="E144" s="284">
        <v>1679.4</v>
      </c>
      <c r="F144" s="284">
        <v>8.7499999999999994E-2</v>
      </c>
      <c r="G144" s="284">
        <v>1532.45</v>
      </c>
    </row>
    <row r="145" spans="1:7" x14ac:dyDescent="0.25">
      <c r="A145" s="284" t="s">
        <v>1653</v>
      </c>
      <c r="B145" s="284" t="s">
        <v>1654</v>
      </c>
      <c r="C145" s="284" t="s">
        <v>1482</v>
      </c>
      <c r="D145" s="284" t="s">
        <v>1585</v>
      </c>
      <c r="E145" s="284">
        <v>3329.1</v>
      </c>
      <c r="F145" s="284">
        <v>0.1575</v>
      </c>
      <c r="G145" s="284">
        <v>2804.77</v>
      </c>
    </row>
    <row r="146" spans="1:7" x14ac:dyDescent="0.25">
      <c r="A146" s="284" t="s">
        <v>1655</v>
      </c>
      <c r="B146" s="284" t="s">
        <v>1656</v>
      </c>
      <c r="C146" s="284" t="s">
        <v>1482</v>
      </c>
      <c r="D146" s="284" t="s">
        <v>1483</v>
      </c>
      <c r="E146" s="284">
        <v>2159.1</v>
      </c>
      <c r="F146" s="284">
        <v>8.7499999999999994E-2</v>
      </c>
      <c r="G146" s="284">
        <v>1970.18</v>
      </c>
    </row>
    <row r="147" spans="1:7" x14ac:dyDescent="0.25">
      <c r="A147" s="284" t="s">
        <v>1657</v>
      </c>
      <c r="B147" s="284" t="s">
        <v>1658</v>
      </c>
      <c r="C147" s="284" t="s">
        <v>1482</v>
      </c>
      <c r="D147" s="284" t="s">
        <v>1483</v>
      </c>
      <c r="E147" s="284">
        <v>1439.4</v>
      </c>
      <c r="F147" s="284">
        <v>8.7499999999999994E-2</v>
      </c>
      <c r="G147" s="284">
        <v>1313.45</v>
      </c>
    </row>
    <row r="148" spans="1:7" x14ac:dyDescent="0.25">
      <c r="A148" s="284" t="s">
        <v>1659</v>
      </c>
      <c r="B148" s="284" t="s">
        <v>1654</v>
      </c>
      <c r="C148" s="284" t="s">
        <v>1482</v>
      </c>
      <c r="D148" s="284" t="s">
        <v>1585</v>
      </c>
      <c r="E148" s="284">
        <v>3869.1</v>
      </c>
      <c r="F148" s="284">
        <v>0.1575</v>
      </c>
      <c r="G148" s="284">
        <v>3259.72</v>
      </c>
    </row>
    <row r="149" spans="1:7" x14ac:dyDescent="0.25">
      <c r="A149" s="284" t="s">
        <v>1660</v>
      </c>
      <c r="B149" s="284" t="s">
        <v>1661</v>
      </c>
      <c r="C149" s="284" t="s">
        <v>1482</v>
      </c>
      <c r="D149" s="284" t="s">
        <v>1585</v>
      </c>
      <c r="E149" s="284">
        <v>2579.4</v>
      </c>
      <c r="F149" s="284">
        <v>0.1575</v>
      </c>
      <c r="G149" s="284">
        <v>2189.94</v>
      </c>
    </row>
    <row r="150" spans="1:7" x14ac:dyDescent="0.25">
      <c r="A150" s="284" t="s">
        <v>1662</v>
      </c>
      <c r="B150" s="284" t="s">
        <v>1654</v>
      </c>
      <c r="C150" s="284" t="s">
        <v>1482</v>
      </c>
      <c r="D150" s="284" t="s">
        <v>1585</v>
      </c>
      <c r="E150" s="284">
        <v>2105.1</v>
      </c>
      <c r="F150" s="284">
        <v>0.1575</v>
      </c>
      <c r="G150" s="284">
        <v>1773.55</v>
      </c>
    </row>
    <row r="151" spans="1:7" x14ac:dyDescent="0.25">
      <c r="A151" s="284" t="s">
        <v>1663</v>
      </c>
      <c r="B151" s="284" t="s">
        <v>1661</v>
      </c>
      <c r="C151" s="284" t="s">
        <v>1482</v>
      </c>
      <c r="D151" s="284" t="s">
        <v>1585</v>
      </c>
      <c r="E151" s="284">
        <v>1403.4</v>
      </c>
      <c r="F151" s="284">
        <v>0.1575</v>
      </c>
      <c r="G151" s="284">
        <v>1182.3599999999999</v>
      </c>
    </row>
    <row r="152" spans="1:7" x14ac:dyDescent="0.25">
      <c r="A152" s="284" t="s">
        <v>1664</v>
      </c>
      <c r="B152" s="284" t="s">
        <v>1654</v>
      </c>
      <c r="C152" s="284" t="s">
        <v>1482</v>
      </c>
      <c r="D152" s="284" t="s">
        <v>1585</v>
      </c>
      <c r="E152" s="284">
        <v>2609.1</v>
      </c>
      <c r="F152" s="284">
        <v>0.1575</v>
      </c>
      <c r="G152" s="284">
        <v>2198.17</v>
      </c>
    </row>
    <row r="153" spans="1:7" x14ac:dyDescent="0.25">
      <c r="A153" s="284" t="s">
        <v>1665</v>
      </c>
      <c r="B153" s="284" t="s">
        <v>1661</v>
      </c>
      <c r="C153" s="284" t="s">
        <v>1482</v>
      </c>
      <c r="D153" s="284" t="s">
        <v>1585</v>
      </c>
      <c r="E153" s="284">
        <v>1739.4</v>
      </c>
      <c r="F153" s="284">
        <v>0.1575</v>
      </c>
      <c r="G153" s="284">
        <v>1465.44</v>
      </c>
    </row>
    <row r="154" spans="1:7" x14ac:dyDescent="0.25">
      <c r="A154" s="284" t="s">
        <v>1666</v>
      </c>
      <c r="B154" s="284" t="s">
        <v>1661</v>
      </c>
      <c r="C154" s="284" t="s">
        <v>1482</v>
      </c>
      <c r="D154" s="284" t="s">
        <v>1585</v>
      </c>
      <c r="E154" s="284">
        <v>2219.4</v>
      </c>
      <c r="F154" s="284">
        <v>0.1575</v>
      </c>
      <c r="G154" s="284">
        <v>1886.64</v>
      </c>
    </row>
    <row r="155" spans="1:7" x14ac:dyDescent="0.25">
      <c r="A155" s="284" t="s">
        <v>1667</v>
      </c>
      <c r="B155" s="284" t="s">
        <v>1654</v>
      </c>
      <c r="C155" s="284" t="s">
        <v>1482</v>
      </c>
      <c r="D155" s="284" t="s">
        <v>1585</v>
      </c>
      <c r="E155" s="284">
        <v>2969.1</v>
      </c>
      <c r="F155" s="284">
        <v>0.1575</v>
      </c>
      <c r="G155" s="284">
        <v>2501.4699999999998</v>
      </c>
    </row>
    <row r="156" spans="1:7" x14ac:dyDescent="0.25">
      <c r="A156" s="284" t="s">
        <v>1668</v>
      </c>
      <c r="B156" s="284" t="s">
        <v>1661</v>
      </c>
      <c r="C156" s="284" t="s">
        <v>1482</v>
      </c>
      <c r="D156" s="284" t="s">
        <v>1585</v>
      </c>
      <c r="E156" s="284">
        <v>1979.4</v>
      </c>
      <c r="F156" s="284">
        <v>0.1575</v>
      </c>
      <c r="G156" s="284">
        <v>1667.64</v>
      </c>
    </row>
    <row r="157" spans="1:7" x14ac:dyDescent="0.25">
      <c r="A157" s="284" t="s">
        <v>1669</v>
      </c>
      <c r="B157" s="284" t="s">
        <v>1654</v>
      </c>
      <c r="C157" s="284" t="s">
        <v>1482</v>
      </c>
      <c r="D157" s="284" t="s">
        <v>1585</v>
      </c>
      <c r="E157" s="284">
        <v>3509.1</v>
      </c>
      <c r="F157" s="284">
        <v>0.1575</v>
      </c>
      <c r="G157" s="284">
        <v>2956.42</v>
      </c>
    </row>
    <row r="158" spans="1:7" x14ac:dyDescent="0.25">
      <c r="A158" s="284" t="s">
        <v>1670</v>
      </c>
      <c r="B158" s="284" t="s">
        <v>1661</v>
      </c>
      <c r="C158" s="284" t="s">
        <v>1482</v>
      </c>
      <c r="D158" s="284" t="s">
        <v>1585</v>
      </c>
      <c r="E158" s="284">
        <v>2339.4</v>
      </c>
      <c r="F158" s="284">
        <v>0.1575</v>
      </c>
      <c r="G158" s="284">
        <v>1970.94</v>
      </c>
    </row>
    <row r="159" spans="1:7" x14ac:dyDescent="0.25">
      <c r="A159" s="284" t="s">
        <v>1671</v>
      </c>
      <c r="B159" s="284" t="s">
        <v>1672</v>
      </c>
      <c r="C159" s="284" t="s">
        <v>1482</v>
      </c>
      <c r="D159" s="284" t="s">
        <v>1673</v>
      </c>
      <c r="E159" s="284">
        <v>145.19999999999999</v>
      </c>
      <c r="F159" s="284">
        <v>0.2475</v>
      </c>
      <c r="G159" s="284">
        <v>109.26</v>
      </c>
    </row>
    <row r="160" spans="1:7" x14ac:dyDescent="0.25">
      <c r="A160" s="284" t="s">
        <v>1674</v>
      </c>
      <c r="B160" s="284" t="s">
        <v>1675</v>
      </c>
      <c r="C160" s="284" t="s">
        <v>1482</v>
      </c>
      <c r="D160" s="284" t="s">
        <v>1673</v>
      </c>
      <c r="E160" s="284">
        <v>284.89999999999998</v>
      </c>
      <c r="F160" s="284">
        <v>0.2475</v>
      </c>
      <c r="G160" s="284">
        <v>214.39</v>
      </c>
    </row>
    <row r="161" spans="1:7" x14ac:dyDescent="0.25">
      <c r="A161" s="284" t="s">
        <v>1676</v>
      </c>
      <c r="B161" s="284" t="s">
        <v>1677</v>
      </c>
      <c r="C161" s="284" t="s">
        <v>1482</v>
      </c>
      <c r="D161" s="284" t="s">
        <v>1673</v>
      </c>
      <c r="E161" s="284">
        <v>57.2</v>
      </c>
      <c r="F161" s="284">
        <v>0.2475</v>
      </c>
      <c r="G161" s="284">
        <v>43.04</v>
      </c>
    </row>
    <row r="162" spans="1:7" x14ac:dyDescent="0.25">
      <c r="A162" s="284" t="s">
        <v>1678</v>
      </c>
      <c r="B162" s="284" t="s">
        <v>1679</v>
      </c>
      <c r="C162" s="284" t="s">
        <v>1482</v>
      </c>
      <c r="D162" s="284" t="s">
        <v>1673</v>
      </c>
      <c r="E162" s="284">
        <v>2227.5</v>
      </c>
      <c r="F162" s="284">
        <v>0.2475</v>
      </c>
      <c r="G162" s="284">
        <v>1676.19</v>
      </c>
    </row>
    <row r="163" spans="1:7" x14ac:dyDescent="0.25">
      <c r="A163" s="284" t="s">
        <v>1680</v>
      </c>
      <c r="B163" s="284" t="s">
        <v>1681</v>
      </c>
      <c r="C163" s="284" t="s">
        <v>1482</v>
      </c>
      <c r="D163" s="284" t="s">
        <v>1673</v>
      </c>
      <c r="E163" s="284">
        <v>1428.9</v>
      </c>
      <c r="F163" s="284">
        <v>0.2475</v>
      </c>
      <c r="G163" s="284">
        <v>1075.25</v>
      </c>
    </row>
    <row r="164" spans="1:7" x14ac:dyDescent="0.25">
      <c r="A164" s="284" t="s">
        <v>1682</v>
      </c>
      <c r="B164" s="284" t="s">
        <v>1683</v>
      </c>
      <c r="C164" s="284" t="s">
        <v>1482</v>
      </c>
      <c r="D164" s="284" t="s">
        <v>1673</v>
      </c>
      <c r="E164" s="284">
        <v>2528.9</v>
      </c>
      <c r="F164" s="284">
        <v>0.2475</v>
      </c>
      <c r="G164" s="284">
        <v>1903</v>
      </c>
    </row>
    <row r="165" spans="1:7" x14ac:dyDescent="0.25">
      <c r="A165" s="284" t="s">
        <v>1684</v>
      </c>
      <c r="B165" s="284" t="s">
        <v>1685</v>
      </c>
      <c r="C165" s="284" t="s">
        <v>1444</v>
      </c>
      <c r="D165" s="284" t="s">
        <v>1465</v>
      </c>
      <c r="E165" s="284">
        <v>19.12</v>
      </c>
      <c r="F165" s="284">
        <v>0.2475</v>
      </c>
      <c r="G165" s="284">
        <v>14.39</v>
      </c>
    </row>
    <row r="166" spans="1:7" x14ac:dyDescent="0.25">
      <c r="A166" s="284" t="s">
        <v>1686</v>
      </c>
      <c r="B166" s="284" t="s">
        <v>1687</v>
      </c>
      <c r="C166" s="284" t="s">
        <v>1482</v>
      </c>
      <c r="D166" s="284" t="s">
        <v>1673</v>
      </c>
      <c r="E166" s="284">
        <v>944.9</v>
      </c>
      <c r="F166" s="284">
        <v>0.2475</v>
      </c>
      <c r="G166" s="284">
        <v>711.04</v>
      </c>
    </row>
    <row r="167" spans="1:7" x14ac:dyDescent="0.25">
      <c r="A167" s="284" t="s">
        <v>1688</v>
      </c>
      <c r="B167" s="284" t="s">
        <v>1689</v>
      </c>
      <c r="C167" s="284" t="s">
        <v>1482</v>
      </c>
      <c r="D167" s="284" t="s">
        <v>1673</v>
      </c>
      <c r="E167" s="284">
        <v>944.9</v>
      </c>
      <c r="F167" s="284">
        <v>0.2475</v>
      </c>
      <c r="G167" s="284">
        <v>711.04</v>
      </c>
    </row>
    <row r="168" spans="1:7" x14ac:dyDescent="0.25">
      <c r="A168" s="284" t="s">
        <v>1690</v>
      </c>
      <c r="B168" s="284" t="s">
        <v>1691</v>
      </c>
      <c r="C168" s="284" t="s">
        <v>1482</v>
      </c>
      <c r="D168" s="284" t="s">
        <v>1673</v>
      </c>
      <c r="E168" s="284">
        <v>218.9</v>
      </c>
      <c r="F168" s="284">
        <v>0.2475</v>
      </c>
      <c r="G168" s="284">
        <v>164.72</v>
      </c>
    </row>
    <row r="169" spans="1:7" x14ac:dyDescent="0.25">
      <c r="A169" s="284" t="s">
        <v>1692</v>
      </c>
      <c r="B169" s="284" t="s">
        <v>1693</v>
      </c>
      <c r="C169" s="284" t="s">
        <v>1482</v>
      </c>
      <c r="D169" s="284" t="s">
        <v>1673</v>
      </c>
      <c r="E169" s="284">
        <v>218.9</v>
      </c>
      <c r="F169" s="284">
        <v>0.2475</v>
      </c>
      <c r="G169" s="284">
        <v>164.72</v>
      </c>
    </row>
    <row r="170" spans="1:7" x14ac:dyDescent="0.25">
      <c r="A170" s="284" t="s">
        <v>1694</v>
      </c>
      <c r="B170" s="284" t="s">
        <v>1695</v>
      </c>
      <c r="C170" s="284" t="s">
        <v>1482</v>
      </c>
      <c r="D170" s="284" t="s">
        <v>1673</v>
      </c>
      <c r="E170" s="284">
        <v>218.9</v>
      </c>
      <c r="F170" s="284">
        <v>0.2475</v>
      </c>
      <c r="G170" s="284">
        <v>164.72</v>
      </c>
    </row>
    <row r="171" spans="1:7" x14ac:dyDescent="0.25">
      <c r="A171" s="284" t="s">
        <v>1696</v>
      </c>
      <c r="B171" s="284" t="s">
        <v>1697</v>
      </c>
      <c r="C171" s="284" t="s">
        <v>1482</v>
      </c>
      <c r="D171" s="284" t="s">
        <v>1673</v>
      </c>
      <c r="E171" s="284">
        <v>71.5</v>
      </c>
      <c r="F171" s="284">
        <v>0.2475</v>
      </c>
      <c r="G171" s="284">
        <v>53.8</v>
      </c>
    </row>
    <row r="172" spans="1:7" x14ac:dyDescent="0.25">
      <c r="A172" s="284" t="s">
        <v>1698</v>
      </c>
      <c r="B172" s="284" t="s">
        <v>1699</v>
      </c>
      <c r="C172" s="284" t="s">
        <v>1482</v>
      </c>
      <c r="D172" s="284" t="s">
        <v>1673</v>
      </c>
      <c r="E172" s="284">
        <v>47.3</v>
      </c>
      <c r="F172" s="284">
        <v>0.2475</v>
      </c>
      <c r="G172" s="284">
        <v>35.590000000000003</v>
      </c>
    </row>
    <row r="173" spans="1:7" x14ac:dyDescent="0.25">
      <c r="A173" s="284" t="s">
        <v>1700</v>
      </c>
      <c r="B173" s="284" t="s">
        <v>1701</v>
      </c>
      <c r="C173" s="284" t="s">
        <v>1482</v>
      </c>
      <c r="D173" s="284" t="s">
        <v>1673</v>
      </c>
      <c r="E173" s="284">
        <v>57.2</v>
      </c>
      <c r="F173" s="284">
        <v>0.2475</v>
      </c>
      <c r="G173" s="284">
        <v>43.04</v>
      </c>
    </row>
    <row r="174" spans="1:7" x14ac:dyDescent="0.25">
      <c r="A174" s="284" t="s">
        <v>1702</v>
      </c>
      <c r="B174" s="284" t="s">
        <v>1703</v>
      </c>
      <c r="C174" s="284" t="s">
        <v>1482</v>
      </c>
      <c r="D174" s="284" t="s">
        <v>1673</v>
      </c>
      <c r="E174" s="284">
        <v>86.9</v>
      </c>
      <c r="F174" s="284">
        <v>0.2475</v>
      </c>
      <c r="G174" s="284">
        <v>65.39</v>
      </c>
    </row>
    <row r="175" spans="1:7" x14ac:dyDescent="0.25">
      <c r="A175" s="284" t="s">
        <v>1704</v>
      </c>
      <c r="B175" s="284" t="s">
        <v>1705</v>
      </c>
      <c r="C175" s="284" t="s">
        <v>1482</v>
      </c>
      <c r="D175" s="284" t="s">
        <v>1673</v>
      </c>
      <c r="E175" s="284">
        <v>768.9</v>
      </c>
      <c r="F175" s="284">
        <v>0.2475</v>
      </c>
      <c r="G175" s="284">
        <v>578.6</v>
      </c>
    </row>
    <row r="176" spans="1:7" x14ac:dyDescent="0.25">
      <c r="A176" s="284" t="s">
        <v>1706</v>
      </c>
      <c r="B176" s="284" t="s">
        <v>1707</v>
      </c>
      <c r="C176" s="284" t="s">
        <v>1482</v>
      </c>
      <c r="D176" s="284" t="s">
        <v>1673</v>
      </c>
      <c r="E176" s="284">
        <v>57.2</v>
      </c>
      <c r="F176" s="284">
        <v>0.2475</v>
      </c>
      <c r="G176" s="284">
        <v>43.04</v>
      </c>
    </row>
    <row r="177" spans="1:7" x14ac:dyDescent="0.25">
      <c r="A177" s="284" t="s">
        <v>1708</v>
      </c>
      <c r="B177" s="284" t="s">
        <v>1709</v>
      </c>
      <c r="C177" s="284" t="s">
        <v>1482</v>
      </c>
      <c r="D177" s="284" t="s">
        <v>1673</v>
      </c>
      <c r="E177" s="284">
        <v>18.7</v>
      </c>
      <c r="F177" s="284">
        <v>0.2475</v>
      </c>
      <c r="G177" s="284">
        <v>14.07</v>
      </c>
    </row>
    <row r="178" spans="1:7" x14ac:dyDescent="0.25">
      <c r="A178" s="284" t="s">
        <v>1710</v>
      </c>
      <c r="B178" s="284" t="s">
        <v>1711</v>
      </c>
      <c r="C178" s="284" t="s">
        <v>1482</v>
      </c>
      <c r="D178" s="284" t="s">
        <v>1673</v>
      </c>
      <c r="E178" s="284">
        <v>118.8</v>
      </c>
      <c r="F178" s="284">
        <v>0.2475</v>
      </c>
      <c r="G178" s="284">
        <v>89.4</v>
      </c>
    </row>
    <row r="179" spans="1:7" x14ac:dyDescent="0.25">
      <c r="A179" s="284" t="s">
        <v>1712</v>
      </c>
      <c r="B179" s="284" t="s">
        <v>1713</v>
      </c>
      <c r="C179" s="284" t="s">
        <v>1482</v>
      </c>
      <c r="D179" s="284" t="s">
        <v>1673</v>
      </c>
      <c r="E179" s="284">
        <v>79.2</v>
      </c>
      <c r="F179" s="284">
        <v>0.2475</v>
      </c>
      <c r="G179" s="284">
        <v>59.6</v>
      </c>
    </row>
    <row r="180" spans="1:7" x14ac:dyDescent="0.25">
      <c r="A180" s="284" t="s">
        <v>1714</v>
      </c>
      <c r="B180" s="284" t="s">
        <v>1715</v>
      </c>
      <c r="C180" s="284" t="s">
        <v>1482</v>
      </c>
      <c r="D180" s="284" t="s">
        <v>1673</v>
      </c>
      <c r="E180" s="284">
        <v>233.1</v>
      </c>
      <c r="F180" s="284">
        <v>0.2475</v>
      </c>
      <c r="G180" s="284">
        <v>175.41</v>
      </c>
    </row>
    <row r="181" spans="1:7" x14ac:dyDescent="0.25">
      <c r="A181" s="284" t="s">
        <v>1716</v>
      </c>
      <c r="B181" s="284" t="s">
        <v>1717</v>
      </c>
      <c r="C181" s="284" t="s">
        <v>1482</v>
      </c>
      <c r="D181" s="284" t="s">
        <v>1673</v>
      </c>
      <c r="E181" s="284">
        <v>155.4</v>
      </c>
      <c r="F181" s="284">
        <v>0.2475</v>
      </c>
      <c r="G181" s="284">
        <v>116.94</v>
      </c>
    </row>
    <row r="182" spans="1:7" x14ac:dyDescent="0.25">
      <c r="A182" s="284" t="s">
        <v>1718</v>
      </c>
      <c r="B182" s="284" t="s">
        <v>1719</v>
      </c>
      <c r="C182" s="284" t="s">
        <v>1482</v>
      </c>
      <c r="D182" s="284" t="s">
        <v>1673</v>
      </c>
      <c r="E182" s="284">
        <v>1822.5</v>
      </c>
      <c r="F182" s="284">
        <v>0.2475</v>
      </c>
      <c r="G182" s="284">
        <v>1371.43</v>
      </c>
    </row>
    <row r="183" spans="1:7" x14ac:dyDescent="0.25">
      <c r="A183" s="284" t="s">
        <v>1720</v>
      </c>
      <c r="B183" s="284" t="s">
        <v>1721</v>
      </c>
      <c r="C183" s="284" t="s">
        <v>1482</v>
      </c>
      <c r="D183" s="284" t="s">
        <v>1673</v>
      </c>
      <c r="E183" s="284">
        <v>46.8</v>
      </c>
      <c r="F183" s="284">
        <v>0.2475</v>
      </c>
      <c r="G183" s="284">
        <v>35.22</v>
      </c>
    </row>
    <row r="184" spans="1:7" x14ac:dyDescent="0.25">
      <c r="A184" s="284" t="s">
        <v>1722</v>
      </c>
      <c r="B184" s="284" t="s">
        <v>1723</v>
      </c>
      <c r="C184" s="284" t="s">
        <v>1482</v>
      </c>
      <c r="D184" s="284" t="s">
        <v>1673</v>
      </c>
      <c r="E184" s="284">
        <v>31.2</v>
      </c>
      <c r="F184" s="284">
        <v>0.2475</v>
      </c>
      <c r="G184" s="284">
        <v>23.48</v>
      </c>
    </row>
    <row r="185" spans="1:7" x14ac:dyDescent="0.25">
      <c r="A185" s="284" t="s">
        <v>1724</v>
      </c>
      <c r="B185" s="284" t="s">
        <v>1725</v>
      </c>
      <c r="C185" s="284" t="s">
        <v>1482</v>
      </c>
      <c r="D185" s="284" t="s">
        <v>1673</v>
      </c>
      <c r="E185" s="284">
        <v>1215</v>
      </c>
      <c r="F185" s="284">
        <v>0.2475</v>
      </c>
      <c r="G185" s="284">
        <v>914.29</v>
      </c>
    </row>
    <row r="186" spans="1:7" x14ac:dyDescent="0.25">
      <c r="A186" s="284" t="s">
        <v>1726</v>
      </c>
      <c r="B186" s="284" t="s">
        <v>1727</v>
      </c>
      <c r="C186" s="284" t="s">
        <v>1482</v>
      </c>
      <c r="D186" s="284" t="s">
        <v>1673</v>
      </c>
      <c r="E186" s="284">
        <v>1169.0999999999999</v>
      </c>
      <c r="F186" s="284">
        <v>0.2475</v>
      </c>
      <c r="G186" s="284">
        <v>879.75</v>
      </c>
    </row>
    <row r="187" spans="1:7" x14ac:dyDescent="0.25">
      <c r="A187" s="284" t="s">
        <v>1728</v>
      </c>
      <c r="B187" s="284" t="s">
        <v>1729</v>
      </c>
      <c r="C187" s="284" t="s">
        <v>1482</v>
      </c>
      <c r="D187" s="284" t="s">
        <v>1673</v>
      </c>
      <c r="E187" s="284">
        <v>779.4</v>
      </c>
      <c r="F187" s="284">
        <v>0.2475</v>
      </c>
      <c r="G187" s="284">
        <v>586.5</v>
      </c>
    </row>
    <row r="188" spans="1:7" x14ac:dyDescent="0.25">
      <c r="A188" s="284" t="s">
        <v>1730</v>
      </c>
      <c r="B188" s="284" t="s">
        <v>1731</v>
      </c>
      <c r="C188" s="284" t="s">
        <v>1482</v>
      </c>
      <c r="D188" s="284" t="s">
        <v>1673</v>
      </c>
      <c r="E188" s="284">
        <v>2069.1</v>
      </c>
      <c r="F188" s="284">
        <v>0.2475</v>
      </c>
      <c r="G188" s="284">
        <v>1557</v>
      </c>
    </row>
    <row r="189" spans="1:7" x14ac:dyDescent="0.25">
      <c r="A189" s="284" t="s">
        <v>1732</v>
      </c>
      <c r="B189" s="284" t="s">
        <v>1733</v>
      </c>
      <c r="C189" s="284" t="s">
        <v>1482</v>
      </c>
      <c r="D189" s="284" t="s">
        <v>1673</v>
      </c>
      <c r="E189" s="284">
        <v>1379.4</v>
      </c>
      <c r="F189" s="284">
        <v>0.2475</v>
      </c>
      <c r="G189" s="284">
        <v>1038</v>
      </c>
    </row>
    <row r="190" spans="1:7" x14ac:dyDescent="0.25">
      <c r="A190" s="284" t="s">
        <v>1734</v>
      </c>
      <c r="B190" s="284" t="s">
        <v>1735</v>
      </c>
      <c r="C190" s="284" t="s">
        <v>1444</v>
      </c>
      <c r="D190" s="284" t="s">
        <v>1465</v>
      </c>
      <c r="E190" s="284">
        <v>8.42</v>
      </c>
      <c r="F190" s="284">
        <v>0.2475</v>
      </c>
      <c r="G190" s="284">
        <v>6.34</v>
      </c>
    </row>
    <row r="191" spans="1:7" x14ac:dyDescent="0.25">
      <c r="A191" s="284" t="s">
        <v>1736</v>
      </c>
      <c r="B191" s="284" t="s">
        <v>1737</v>
      </c>
      <c r="C191" s="284" t="s">
        <v>1482</v>
      </c>
      <c r="D191" s="284" t="s">
        <v>1673</v>
      </c>
      <c r="E191" s="284">
        <v>773.1</v>
      </c>
      <c r="F191" s="284">
        <v>0.2475</v>
      </c>
      <c r="G191" s="284">
        <v>581.76</v>
      </c>
    </row>
    <row r="192" spans="1:7" x14ac:dyDescent="0.25">
      <c r="A192" s="284" t="s">
        <v>1738</v>
      </c>
      <c r="B192" s="284" t="s">
        <v>1739</v>
      </c>
      <c r="C192" s="284" t="s">
        <v>1482</v>
      </c>
      <c r="D192" s="284" t="s">
        <v>1673</v>
      </c>
      <c r="E192" s="284">
        <v>515.4</v>
      </c>
      <c r="F192" s="284">
        <v>0.2475</v>
      </c>
      <c r="G192" s="284">
        <v>387.84</v>
      </c>
    </row>
    <row r="193" spans="1:7" x14ac:dyDescent="0.25">
      <c r="A193" s="284" t="s">
        <v>1740</v>
      </c>
      <c r="B193" s="284" t="s">
        <v>1741</v>
      </c>
      <c r="C193" s="284" t="s">
        <v>1482</v>
      </c>
      <c r="D193" s="284" t="s">
        <v>1673</v>
      </c>
      <c r="E193" s="284">
        <v>773.1</v>
      </c>
      <c r="F193" s="284">
        <v>0.2475</v>
      </c>
      <c r="G193" s="284">
        <v>581.76</v>
      </c>
    </row>
    <row r="194" spans="1:7" x14ac:dyDescent="0.25">
      <c r="A194" s="284" t="s">
        <v>1742</v>
      </c>
      <c r="B194" s="284" t="s">
        <v>1743</v>
      </c>
      <c r="C194" s="284" t="s">
        <v>1482</v>
      </c>
      <c r="D194" s="284" t="s">
        <v>1673</v>
      </c>
      <c r="E194" s="284">
        <v>515.4</v>
      </c>
      <c r="F194" s="284">
        <v>0.2475</v>
      </c>
      <c r="G194" s="284">
        <v>387.84</v>
      </c>
    </row>
    <row r="195" spans="1:7" x14ac:dyDescent="0.25">
      <c r="A195" s="284" t="s">
        <v>1744</v>
      </c>
      <c r="B195" s="284" t="s">
        <v>1745</v>
      </c>
      <c r="C195" s="284" t="s">
        <v>1482</v>
      </c>
      <c r="D195" s="284" t="s">
        <v>1673</v>
      </c>
      <c r="E195" s="284">
        <v>179.1</v>
      </c>
      <c r="F195" s="284">
        <v>0.2475</v>
      </c>
      <c r="G195" s="284">
        <v>134.77000000000001</v>
      </c>
    </row>
    <row r="196" spans="1:7" x14ac:dyDescent="0.25">
      <c r="A196" s="284" t="s">
        <v>1746</v>
      </c>
      <c r="B196" s="284" t="s">
        <v>1747</v>
      </c>
      <c r="C196" s="284" t="s">
        <v>1482</v>
      </c>
      <c r="D196" s="284" t="s">
        <v>1673</v>
      </c>
      <c r="E196" s="284">
        <v>119.4</v>
      </c>
      <c r="F196" s="284">
        <v>0.2475</v>
      </c>
      <c r="G196" s="284">
        <v>89.85</v>
      </c>
    </row>
    <row r="197" spans="1:7" x14ac:dyDescent="0.25">
      <c r="A197" s="284" t="s">
        <v>1748</v>
      </c>
      <c r="B197" s="284" t="s">
        <v>1749</v>
      </c>
      <c r="C197" s="284" t="s">
        <v>1482</v>
      </c>
      <c r="D197" s="284" t="s">
        <v>1673</v>
      </c>
      <c r="E197" s="284">
        <v>179.1</v>
      </c>
      <c r="F197" s="284">
        <v>0.2475</v>
      </c>
      <c r="G197" s="284">
        <v>134.77000000000001</v>
      </c>
    </row>
    <row r="198" spans="1:7" x14ac:dyDescent="0.25">
      <c r="A198" s="284" t="s">
        <v>1750</v>
      </c>
      <c r="B198" s="284" t="s">
        <v>1751</v>
      </c>
      <c r="C198" s="284" t="s">
        <v>1482</v>
      </c>
      <c r="D198" s="284" t="s">
        <v>1673</v>
      </c>
      <c r="E198" s="284">
        <v>119.4</v>
      </c>
      <c r="F198" s="284">
        <v>0.2475</v>
      </c>
      <c r="G198" s="284">
        <v>89.85</v>
      </c>
    </row>
    <row r="199" spans="1:7" x14ac:dyDescent="0.25">
      <c r="A199" s="284" t="s">
        <v>1752</v>
      </c>
      <c r="B199" s="284" t="s">
        <v>1753</v>
      </c>
      <c r="C199" s="284" t="s">
        <v>1482</v>
      </c>
      <c r="D199" s="284" t="s">
        <v>1673</v>
      </c>
      <c r="E199" s="284">
        <v>179.1</v>
      </c>
      <c r="F199" s="284">
        <v>0.2475</v>
      </c>
      <c r="G199" s="284">
        <v>134.77000000000001</v>
      </c>
    </row>
    <row r="200" spans="1:7" x14ac:dyDescent="0.25">
      <c r="A200" s="284" t="s">
        <v>1754</v>
      </c>
      <c r="B200" s="284" t="s">
        <v>1755</v>
      </c>
      <c r="C200" s="284" t="s">
        <v>1482</v>
      </c>
      <c r="D200" s="284" t="s">
        <v>1673</v>
      </c>
      <c r="E200" s="284">
        <v>119.4</v>
      </c>
      <c r="F200" s="284">
        <v>0.2475</v>
      </c>
      <c r="G200" s="284">
        <v>89.85</v>
      </c>
    </row>
    <row r="201" spans="1:7" x14ac:dyDescent="0.25">
      <c r="A201" s="284" t="s">
        <v>1756</v>
      </c>
      <c r="B201" s="284" t="s">
        <v>1757</v>
      </c>
      <c r="C201" s="284" t="s">
        <v>1482</v>
      </c>
      <c r="D201" s="284" t="s">
        <v>1673</v>
      </c>
      <c r="E201" s="284">
        <v>58.5</v>
      </c>
      <c r="F201" s="284">
        <v>0.2475</v>
      </c>
      <c r="G201" s="284">
        <v>44.02</v>
      </c>
    </row>
    <row r="202" spans="1:7" x14ac:dyDescent="0.25">
      <c r="A202" s="284" t="s">
        <v>1758</v>
      </c>
      <c r="B202" s="284" t="s">
        <v>1759</v>
      </c>
      <c r="C202" s="284" t="s">
        <v>1482</v>
      </c>
      <c r="D202" s="284" t="s">
        <v>1673</v>
      </c>
      <c r="E202" s="284">
        <v>39</v>
      </c>
      <c r="F202" s="284">
        <v>0.2475</v>
      </c>
      <c r="G202" s="284">
        <v>29.35</v>
      </c>
    </row>
    <row r="203" spans="1:7" x14ac:dyDescent="0.25">
      <c r="A203" s="284" t="s">
        <v>1760</v>
      </c>
      <c r="B203" s="284" t="s">
        <v>1761</v>
      </c>
      <c r="C203" s="284" t="s">
        <v>1482</v>
      </c>
      <c r="D203" s="284" t="s">
        <v>1673</v>
      </c>
      <c r="E203" s="284">
        <v>38.700000000000003</v>
      </c>
      <c r="F203" s="284">
        <v>0.2475</v>
      </c>
      <c r="G203" s="284">
        <v>29.12</v>
      </c>
    </row>
    <row r="204" spans="1:7" x14ac:dyDescent="0.25">
      <c r="A204" s="284" t="s">
        <v>1762</v>
      </c>
      <c r="B204" s="284" t="s">
        <v>1763</v>
      </c>
      <c r="C204" s="284" t="s">
        <v>1482</v>
      </c>
      <c r="D204" s="284" t="s">
        <v>1673</v>
      </c>
      <c r="E204" s="284">
        <v>25.8</v>
      </c>
      <c r="F204" s="284">
        <v>0.2475</v>
      </c>
      <c r="G204" s="284">
        <v>19.41</v>
      </c>
    </row>
    <row r="205" spans="1:7" x14ac:dyDescent="0.25">
      <c r="A205" s="284" t="s">
        <v>1764</v>
      </c>
      <c r="B205" s="284" t="s">
        <v>1765</v>
      </c>
      <c r="C205" s="284" t="s">
        <v>1482</v>
      </c>
      <c r="D205" s="284" t="s">
        <v>1673</v>
      </c>
      <c r="E205" s="284">
        <v>46.8</v>
      </c>
      <c r="F205" s="284">
        <v>0.2475</v>
      </c>
      <c r="G205" s="284">
        <v>35.22</v>
      </c>
    </row>
    <row r="206" spans="1:7" x14ac:dyDescent="0.25">
      <c r="A206" s="284" t="s">
        <v>1766</v>
      </c>
      <c r="B206" s="284" t="s">
        <v>1767</v>
      </c>
      <c r="C206" s="284" t="s">
        <v>1482</v>
      </c>
      <c r="D206" s="284" t="s">
        <v>1673</v>
      </c>
      <c r="E206" s="284">
        <v>31.2</v>
      </c>
      <c r="F206" s="284">
        <v>0.2475</v>
      </c>
      <c r="G206" s="284">
        <v>23.48</v>
      </c>
    </row>
    <row r="207" spans="1:7" x14ac:dyDescent="0.25">
      <c r="A207" s="284" t="s">
        <v>1768</v>
      </c>
      <c r="B207" s="284" t="s">
        <v>1769</v>
      </c>
      <c r="C207" s="284" t="s">
        <v>1482</v>
      </c>
      <c r="D207" s="284" t="s">
        <v>1673</v>
      </c>
      <c r="E207" s="284">
        <v>71.099999999999994</v>
      </c>
      <c r="F207" s="284">
        <v>0.2475</v>
      </c>
      <c r="G207" s="284">
        <v>53.5</v>
      </c>
    </row>
    <row r="208" spans="1:7" x14ac:dyDescent="0.25">
      <c r="A208" s="284" t="s">
        <v>1770</v>
      </c>
      <c r="B208" s="284" t="s">
        <v>1771</v>
      </c>
      <c r="C208" s="284" t="s">
        <v>1482</v>
      </c>
      <c r="D208" s="284" t="s">
        <v>1673</v>
      </c>
      <c r="E208" s="284">
        <v>47.4</v>
      </c>
      <c r="F208" s="284">
        <v>0.2475</v>
      </c>
      <c r="G208" s="284">
        <v>35.67</v>
      </c>
    </row>
    <row r="209" spans="1:7" x14ac:dyDescent="0.25">
      <c r="A209" s="284" t="s">
        <v>1772</v>
      </c>
      <c r="B209" s="284" t="s">
        <v>1773</v>
      </c>
      <c r="C209" s="284" t="s">
        <v>1482</v>
      </c>
      <c r="D209" s="284" t="s">
        <v>1673</v>
      </c>
      <c r="E209" s="284">
        <v>629.1</v>
      </c>
      <c r="F209" s="284">
        <v>0.2475</v>
      </c>
      <c r="G209" s="284">
        <v>473.4</v>
      </c>
    </row>
    <row r="210" spans="1:7" x14ac:dyDescent="0.25">
      <c r="A210" s="284" t="s">
        <v>1774</v>
      </c>
      <c r="B210" s="284" t="s">
        <v>1775</v>
      </c>
      <c r="C210" s="284" t="s">
        <v>1482</v>
      </c>
      <c r="D210" s="284" t="s">
        <v>1673</v>
      </c>
      <c r="E210" s="284">
        <v>419.4</v>
      </c>
      <c r="F210" s="284">
        <v>0.2475</v>
      </c>
      <c r="G210" s="284">
        <v>315.60000000000002</v>
      </c>
    </row>
    <row r="211" spans="1:7" x14ac:dyDescent="0.25">
      <c r="A211" s="284" t="s">
        <v>1776</v>
      </c>
      <c r="B211" s="284" t="s">
        <v>1777</v>
      </c>
      <c r="C211" s="284" t="s">
        <v>1482</v>
      </c>
      <c r="D211" s="284" t="s">
        <v>1673</v>
      </c>
      <c r="E211" s="284">
        <v>46.8</v>
      </c>
      <c r="F211" s="284">
        <v>0.2475</v>
      </c>
      <c r="G211" s="284">
        <v>35.22</v>
      </c>
    </row>
    <row r="212" spans="1:7" x14ac:dyDescent="0.25">
      <c r="A212" s="284" t="s">
        <v>1778</v>
      </c>
      <c r="B212" s="284" t="s">
        <v>1779</v>
      </c>
      <c r="C212" s="284" t="s">
        <v>1482</v>
      </c>
      <c r="D212" s="284" t="s">
        <v>1673</v>
      </c>
      <c r="E212" s="284">
        <v>31.2</v>
      </c>
      <c r="F212" s="284">
        <v>0.2475</v>
      </c>
      <c r="G212" s="284">
        <v>23.48</v>
      </c>
    </row>
    <row r="213" spans="1:7" x14ac:dyDescent="0.25">
      <c r="A213" s="284" t="s">
        <v>1780</v>
      </c>
      <c r="B213" s="284" t="s">
        <v>1781</v>
      </c>
      <c r="C213" s="284" t="s">
        <v>1482</v>
      </c>
      <c r="D213" s="284" t="s">
        <v>1673</v>
      </c>
      <c r="E213" s="284">
        <v>15.3</v>
      </c>
      <c r="F213" s="284">
        <v>0.2475</v>
      </c>
      <c r="G213" s="284">
        <v>11.51</v>
      </c>
    </row>
    <row r="214" spans="1:7" x14ac:dyDescent="0.25">
      <c r="A214" s="284" t="s">
        <v>1782</v>
      </c>
      <c r="B214" s="284" t="s">
        <v>1783</v>
      </c>
      <c r="C214" s="284" t="s">
        <v>1482</v>
      </c>
      <c r="D214" s="284" t="s">
        <v>1673</v>
      </c>
      <c r="E214" s="284">
        <v>10.199999999999999</v>
      </c>
      <c r="F214" s="284">
        <v>0.2475</v>
      </c>
      <c r="G214" s="284">
        <v>7.68</v>
      </c>
    </row>
    <row r="215" spans="1:7" x14ac:dyDescent="0.25">
      <c r="A215" s="284" t="s">
        <v>1048</v>
      </c>
      <c r="B215" s="284" t="s">
        <v>1049</v>
      </c>
      <c r="C215" s="284" t="s">
        <v>1444</v>
      </c>
      <c r="D215" s="284" t="s">
        <v>1465</v>
      </c>
      <c r="E215" s="284">
        <v>10125</v>
      </c>
      <c r="F215" s="284">
        <v>0.2475</v>
      </c>
      <c r="G215" s="284">
        <v>7619.06</v>
      </c>
    </row>
    <row r="216" spans="1:7" x14ac:dyDescent="0.25">
      <c r="A216" s="284" t="s">
        <v>1045</v>
      </c>
      <c r="B216" s="284" t="s">
        <v>177</v>
      </c>
      <c r="C216" s="284" t="s">
        <v>1444</v>
      </c>
      <c r="D216" s="284" t="s">
        <v>1465</v>
      </c>
      <c r="E216" s="284">
        <v>660</v>
      </c>
      <c r="F216" s="284">
        <v>0.2475</v>
      </c>
      <c r="G216" s="284">
        <v>496.65</v>
      </c>
    </row>
    <row r="217" spans="1:7" x14ac:dyDescent="0.25">
      <c r="A217" s="284" t="s">
        <v>1046</v>
      </c>
      <c r="B217" s="284" t="s">
        <v>182</v>
      </c>
      <c r="C217" s="284" t="s">
        <v>1444</v>
      </c>
      <c r="D217" s="284" t="s">
        <v>1465</v>
      </c>
      <c r="E217" s="284">
        <v>1295</v>
      </c>
      <c r="F217" s="284">
        <v>0.2475</v>
      </c>
      <c r="G217" s="284">
        <v>974.49</v>
      </c>
    </row>
    <row r="218" spans="1:7" x14ac:dyDescent="0.25">
      <c r="A218" s="284" t="s">
        <v>1047</v>
      </c>
      <c r="B218" s="284" t="s">
        <v>185</v>
      </c>
      <c r="C218" s="284" t="s">
        <v>1444</v>
      </c>
      <c r="D218" s="284" t="s">
        <v>1465</v>
      </c>
      <c r="E218" s="284">
        <v>260</v>
      </c>
      <c r="F218" s="284">
        <v>0.2475</v>
      </c>
      <c r="G218" s="284">
        <v>195.65</v>
      </c>
    </row>
    <row r="219" spans="1:7" x14ac:dyDescent="0.25">
      <c r="A219" s="284" t="s">
        <v>1051</v>
      </c>
      <c r="B219" s="284" t="s">
        <v>191</v>
      </c>
      <c r="C219" s="284" t="s">
        <v>1444</v>
      </c>
      <c r="D219" s="284" t="s">
        <v>1465</v>
      </c>
      <c r="E219" s="284">
        <v>6495</v>
      </c>
      <c r="F219" s="284">
        <v>0.2475</v>
      </c>
      <c r="G219" s="284">
        <v>4887.49</v>
      </c>
    </row>
    <row r="220" spans="1:7" x14ac:dyDescent="0.25">
      <c r="A220" s="284" t="s">
        <v>1052</v>
      </c>
      <c r="B220" s="284" t="s">
        <v>194</v>
      </c>
      <c r="C220" s="284" t="s">
        <v>1444</v>
      </c>
      <c r="D220" s="284" t="s">
        <v>1465</v>
      </c>
      <c r="E220" s="284">
        <v>11495</v>
      </c>
      <c r="F220" s="284">
        <v>0.2475</v>
      </c>
      <c r="G220" s="284">
        <v>8649.99</v>
      </c>
    </row>
    <row r="221" spans="1:7" x14ac:dyDescent="0.25">
      <c r="A221" s="284" t="s">
        <v>1784</v>
      </c>
      <c r="B221" s="284" t="s">
        <v>1785</v>
      </c>
      <c r="C221" s="284" t="s">
        <v>1444</v>
      </c>
      <c r="D221" s="284" t="s">
        <v>1465</v>
      </c>
      <c r="E221" s="284">
        <v>5925</v>
      </c>
      <c r="F221" s="284">
        <v>0.2475</v>
      </c>
      <c r="G221" s="284">
        <v>4458.5600000000004</v>
      </c>
    </row>
    <row r="222" spans="1:7" x14ac:dyDescent="0.25">
      <c r="A222" s="284" t="s">
        <v>1212</v>
      </c>
      <c r="C222" s="284" t="s">
        <v>1444</v>
      </c>
      <c r="D222" s="284" t="s">
        <v>1465</v>
      </c>
      <c r="E222" s="284">
        <v>325</v>
      </c>
      <c r="F222" s="284">
        <v>0.2475</v>
      </c>
      <c r="G222" s="284">
        <v>244.56</v>
      </c>
    </row>
  </sheetData>
  <autoFilter ref="A1:G222" xr:uid="{13A004AB-CACD-41B9-B3FE-2C03413CBBEB}"/>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X593"/>
  <sheetViews>
    <sheetView zoomScale="145" zoomScaleNormal="145" workbookViewId="0">
      <selection activeCell="B4" sqref="B4"/>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8" width="11.42578125" style="1" hidden="1" customWidth="1" outlineLevel="1"/>
    <col min="9" max="10" width="12" style="105" hidden="1" customWidth="1" outlineLevel="1"/>
    <col min="11" max="12" width="11" style="1" hidden="1" customWidth="1" outlineLevel="1"/>
    <col min="13" max="14" width="12" style="1" hidden="1" customWidth="1" outlineLevel="1"/>
    <col min="15" max="15" width="3" style="1" customWidth="1" collapsed="1"/>
    <col min="16" max="17" width="12.42578125" style="1" customWidth="1" outlineLevel="1"/>
    <col min="18" max="18" width="17" style="1" customWidth="1" outlineLevel="1"/>
    <col min="19" max="19" width="18.42578125" style="1" customWidth="1" outlineLevel="1"/>
    <col min="20" max="20" width="18" style="1" customWidth="1" outlineLevel="1"/>
    <col min="21" max="21" width="9.42578125" style="1" customWidth="1" outlineLevel="1"/>
    <col min="22" max="22" width="20.42578125" style="1" customWidth="1" outlineLevel="1"/>
    <col min="23" max="23" width="19" style="1" customWidth="1" outlineLevel="1"/>
    <col min="24" max="24" width="38.42578125" style="1" customWidth="1" outlineLevel="1"/>
    <col min="25" max="16384" width="9.42578125" style="1"/>
  </cols>
  <sheetData>
    <row r="1" spans="1:24" s="169" customFormat="1" ht="24.75" x14ac:dyDescent="0.25">
      <c r="A1" s="162"/>
      <c r="B1" s="163"/>
      <c r="C1" s="163"/>
      <c r="D1" s="163"/>
      <c r="E1" s="164"/>
      <c r="F1" s="163"/>
      <c r="G1" s="165">
        <v>0.75</v>
      </c>
      <c r="H1" s="165"/>
      <c r="I1" s="165"/>
      <c r="J1" s="165"/>
      <c r="K1" s="165">
        <v>0.7</v>
      </c>
      <c r="L1" s="166"/>
      <c r="M1" s="166">
        <v>0.75</v>
      </c>
      <c r="N1" s="166"/>
      <c r="O1" s="167"/>
      <c r="P1" s="168"/>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1786</v>
      </c>
      <c r="H2" s="132" t="s">
        <v>159</v>
      </c>
      <c r="I2" s="135" t="s">
        <v>1787</v>
      </c>
      <c r="J2" s="132" t="s">
        <v>161</v>
      </c>
      <c r="K2" s="132" t="s">
        <v>1788</v>
      </c>
      <c r="L2" s="132" t="s">
        <v>163</v>
      </c>
      <c r="M2" s="145" t="s">
        <v>1789</v>
      </c>
      <c r="N2" s="145" t="s">
        <v>165</v>
      </c>
      <c r="O2" s="154"/>
      <c r="P2" s="160"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IF(E3&lt;20, ROUNDUP(E3/0.3,0), ROUNDUP(E3/0.3,-1))</f>
        <v>1710</v>
      </c>
      <c r="E3" s="128">
        <f t="shared" ref="E3:E66" si="0">P3+Q3+T3+V3</f>
        <v>511.88235294117646</v>
      </c>
      <c r="F3" s="86" t="s">
        <v>178</v>
      </c>
      <c r="G3" s="102"/>
      <c r="H3" s="102"/>
      <c r="I3" s="106">
        <f>IF(NOT(ISNA(VLOOKUP(B3,'FL Contract Prices'!$A$2:$C$71,3,FALSE))),VLOOKUP(B3,'FL Contract Prices'!$A$2:$C$71,3,FALSE),ROUND(D3*0.7,-1))</f>
        <v>501.6</v>
      </c>
      <c r="J3" s="106"/>
      <c r="K3" s="102"/>
      <c r="L3" s="146"/>
      <c r="M3" s="146"/>
      <c r="N3" s="146"/>
      <c r="O3" s="155"/>
      <c r="P3" s="149">
        <v>500</v>
      </c>
      <c r="Q3" s="48"/>
      <c r="R3" s="88">
        <v>1</v>
      </c>
      <c r="S3" s="88">
        <f t="shared" ref="S3:S18" si="1">36*8</f>
        <v>288</v>
      </c>
      <c r="T3" s="48">
        <f t="shared" ref="T3:T18" si="2">(24000/8500)*(S3/12/12)/3*R3</f>
        <v>1.8823529411764708</v>
      </c>
      <c r="U3" s="48" t="s">
        <v>179</v>
      </c>
      <c r="V3" s="48">
        <f t="shared" ref="V3:V18" si="3">IF(U3="Bulk",0,IF(U3="Std", 10,IF(U3="Pickup",20,30)))/60*60</f>
        <v>10</v>
      </c>
      <c r="W3" s="83"/>
      <c r="X3" s="83"/>
    </row>
    <row r="4" spans="1:24" ht="30" x14ac:dyDescent="0.25">
      <c r="A4" s="127" t="s">
        <v>180</v>
      </c>
      <c r="B4" s="78" t="s">
        <v>181</v>
      </c>
      <c r="C4" s="127" t="s">
        <v>182</v>
      </c>
      <c r="D4" s="84">
        <f>IF(E4&lt;20, ROUNDUP(E4/0.3,0), ROUNDUP(E4/0.3,-1))</f>
        <v>3040</v>
      </c>
      <c r="E4" s="128">
        <f t="shared" si="0"/>
        <v>911.88235294117646</v>
      </c>
      <c r="F4" s="86" t="s">
        <v>178</v>
      </c>
      <c r="G4" s="102"/>
      <c r="H4" s="102"/>
      <c r="I4" s="106">
        <f>IF(NOT(ISNA(VLOOKUP(B4,'FL Contract Prices'!$A$2:$C$71,3,FALSE))),VLOOKUP(B4,'FL Contract Prices'!$A$2:$C$71,3,FALSE),ROUND(D4*0.7,-1))</f>
        <v>984.2</v>
      </c>
      <c r="J4" s="106"/>
      <c r="K4" s="102"/>
      <c r="L4" s="146"/>
      <c r="M4" s="146"/>
      <c r="N4" s="146"/>
      <c r="O4" s="155"/>
      <c r="P4" s="149">
        <v>900</v>
      </c>
      <c r="Q4" s="48"/>
      <c r="R4" s="88">
        <v>1</v>
      </c>
      <c r="S4" s="88">
        <f t="shared" si="1"/>
        <v>288</v>
      </c>
      <c r="T4" s="48">
        <f t="shared" si="2"/>
        <v>1.8823529411764708</v>
      </c>
      <c r="U4" s="48" t="s">
        <v>179</v>
      </c>
      <c r="V4" s="48">
        <f t="shared" si="3"/>
        <v>10</v>
      </c>
      <c r="W4" s="83"/>
      <c r="X4" s="83"/>
    </row>
    <row r="5" spans="1:24" ht="30" x14ac:dyDescent="0.25">
      <c r="A5" s="127" t="s">
        <v>183</v>
      </c>
      <c r="B5" s="78" t="s">
        <v>184</v>
      </c>
      <c r="C5" s="127" t="s">
        <v>185</v>
      </c>
      <c r="D5" s="84">
        <f>IF(E5&lt;20, ROUNDUP(E5/0.3,0), ROUNDUP(E5/0.3,-1))</f>
        <v>710</v>
      </c>
      <c r="E5" s="128">
        <f t="shared" si="0"/>
        <v>211.88235294117646</v>
      </c>
      <c r="F5" s="86" t="s">
        <v>178</v>
      </c>
      <c r="G5" s="102"/>
      <c r="H5" s="102"/>
      <c r="I5" s="106">
        <f>IF(NOT(ISNA(VLOOKUP(B5,'FL Contract Prices'!$A$2:$C$71,3,FALSE))),VLOOKUP(B5,'FL Contract Prices'!$A$2:$C$71,3,FALSE),ROUND(D5*0.7,-1))</f>
        <v>197.6</v>
      </c>
      <c r="J5" s="106"/>
      <c r="K5" s="102"/>
      <c r="L5" s="146"/>
      <c r="M5" s="146"/>
      <c r="N5" s="146"/>
      <c r="O5" s="155"/>
      <c r="P5" s="149">
        <v>200</v>
      </c>
      <c r="Q5" s="48"/>
      <c r="R5" s="88">
        <v>1</v>
      </c>
      <c r="S5" s="88">
        <f t="shared" si="1"/>
        <v>288</v>
      </c>
      <c r="T5" s="48">
        <f t="shared" si="2"/>
        <v>1.8823529411764708</v>
      </c>
      <c r="U5" s="48" t="s">
        <v>179</v>
      </c>
      <c r="V5" s="48">
        <f t="shared" si="3"/>
        <v>10</v>
      </c>
      <c r="W5" s="83"/>
      <c r="X5" s="83"/>
    </row>
    <row r="6" spans="1:24" ht="30" x14ac:dyDescent="0.25">
      <c r="A6" s="127" t="s">
        <v>189</v>
      </c>
      <c r="B6" s="78" t="s">
        <v>190</v>
      </c>
      <c r="C6" s="127" t="s">
        <v>191</v>
      </c>
      <c r="D6" s="84">
        <f>IF(E6&lt;20, ROUNDUP(E6/0.3,0), ROUNDUP(E6/0.3,-1))</f>
        <v>15040</v>
      </c>
      <c r="E6" s="128">
        <f t="shared" si="0"/>
        <v>4511.8823529411766</v>
      </c>
      <c r="F6" s="86" t="s">
        <v>178</v>
      </c>
      <c r="G6" s="102"/>
      <c r="H6" s="102"/>
      <c r="I6" s="106">
        <f>IF(NOT(ISNA(VLOOKUP(B6,'FL Contract Prices'!$A$2:$C$71,3,FALSE))),VLOOKUP(B6,'FL Contract Prices'!$A$2:$C$71,3,FALSE),ROUND(D6*0.7,-1))</f>
        <v>4936.2</v>
      </c>
      <c r="J6" s="106"/>
      <c r="K6" s="102"/>
      <c r="L6" s="146"/>
      <c r="M6" s="146"/>
      <c r="N6" s="146"/>
      <c r="O6" s="155"/>
      <c r="P6" s="149">
        <v>4500</v>
      </c>
      <c r="Q6" s="48"/>
      <c r="R6" s="88">
        <v>1</v>
      </c>
      <c r="S6" s="88">
        <f t="shared" si="1"/>
        <v>288</v>
      </c>
      <c r="T6" s="48">
        <f t="shared" si="2"/>
        <v>1.8823529411764708</v>
      </c>
      <c r="U6" s="48" t="s">
        <v>179</v>
      </c>
      <c r="V6" s="48">
        <f t="shared" si="3"/>
        <v>10</v>
      </c>
      <c r="W6" s="83"/>
      <c r="X6" s="83"/>
    </row>
    <row r="7" spans="1:24" ht="30" x14ac:dyDescent="0.25">
      <c r="A7" s="127" t="s">
        <v>192</v>
      </c>
      <c r="B7" s="78" t="s">
        <v>193</v>
      </c>
      <c r="C7" s="127" t="s">
        <v>194</v>
      </c>
      <c r="D7" s="84">
        <f>IF(E7&lt;20, ROUNDUP(E7/0.3,0), ROUNDUP(E7/0.3,-1))</f>
        <v>26710</v>
      </c>
      <c r="E7" s="128">
        <f t="shared" si="0"/>
        <v>8011.8823529411766</v>
      </c>
      <c r="F7" s="86" t="s">
        <v>178</v>
      </c>
      <c r="G7" s="102"/>
      <c r="H7" s="102"/>
      <c r="I7" s="106">
        <f>IF(NOT(ISNA(VLOOKUP(B7,'FL Contract Prices'!$A$2:$C$71,3,FALSE))),VLOOKUP(B7,'FL Contract Prices'!$A$2:$C$71,3,FALSE),ROUND(D7*0.7,-1))</f>
        <v>8736.2000000000007</v>
      </c>
      <c r="J7" s="106"/>
      <c r="K7" s="102"/>
      <c r="L7" s="146"/>
      <c r="M7" s="146"/>
      <c r="N7" s="146"/>
      <c r="O7" s="155"/>
      <c r="P7" s="149">
        <v>8000</v>
      </c>
      <c r="Q7" s="48"/>
      <c r="R7" s="88">
        <v>1</v>
      </c>
      <c r="S7" s="88">
        <f t="shared" si="1"/>
        <v>288</v>
      </c>
      <c r="T7" s="48">
        <f t="shared" si="2"/>
        <v>1.8823529411764708</v>
      </c>
      <c r="U7" s="48" t="s">
        <v>179</v>
      </c>
      <c r="V7" s="48">
        <f t="shared" si="3"/>
        <v>10</v>
      </c>
      <c r="W7" s="83"/>
      <c r="X7" s="83"/>
    </row>
    <row r="8" spans="1:24" ht="30" x14ac:dyDescent="0.25">
      <c r="A8" s="87" t="s">
        <v>196</v>
      </c>
      <c r="B8" s="82" t="s">
        <v>197</v>
      </c>
      <c r="C8" s="82" t="s">
        <v>198</v>
      </c>
      <c r="D8" s="84">
        <f>IF(E8&lt;20, ROUNDUP(E8/0.6,0), ROUNDUP(E8/0.6,-1))</f>
        <v>8190</v>
      </c>
      <c r="E8" s="128">
        <f t="shared" si="0"/>
        <v>4911.8823529411766</v>
      </c>
      <c r="F8" s="86" t="s">
        <v>199</v>
      </c>
      <c r="G8" s="102"/>
      <c r="H8" s="102"/>
      <c r="I8" s="106">
        <f>IF(NOT(ISNA(VLOOKUP(B8,'FL Contract Prices'!$A$2:$C$71,3,FALSE))),VLOOKUP(B8,'FL Contract Prices'!$A$2:$C$71,3,FALSE),ROUND(D8*0.7,-1))</f>
        <v>5730</v>
      </c>
      <c r="J8" s="106"/>
      <c r="K8" s="102"/>
      <c r="L8" s="146"/>
      <c r="M8" s="146"/>
      <c r="N8" s="146"/>
      <c r="O8" s="155"/>
      <c r="P8" s="150">
        <v>4900</v>
      </c>
      <c r="Q8" s="48"/>
      <c r="R8" s="88">
        <v>1</v>
      </c>
      <c r="S8" s="88">
        <f t="shared" si="1"/>
        <v>288</v>
      </c>
      <c r="T8" s="48">
        <f t="shared" si="2"/>
        <v>1.8823529411764708</v>
      </c>
      <c r="U8" s="48" t="s">
        <v>179</v>
      </c>
      <c r="V8" s="48">
        <f t="shared" si="3"/>
        <v>10</v>
      </c>
      <c r="W8" s="83"/>
      <c r="X8" s="83" t="s">
        <v>195</v>
      </c>
    </row>
    <row r="9" spans="1:24" ht="45" x14ac:dyDescent="0.25">
      <c r="A9" s="87" t="s">
        <v>201</v>
      </c>
      <c r="B9" s="82" t="s">
        <v>202</v>
      </c>
      <c r="C9" s="82" t="s">
        <v>203</v>
      </c>
      <c r="D9" s="84">
        <f>IF(E9&lt;20, ROUNDUP(E9/0.6,0), ROUNDUP(E9/0.6,-1))</f>
        <v>24860</v>
      </c>
      <c r="E9" s="128">
        <f t="shared" si="0"/>
        <v>14911.882352941177</v>
      </c>
      <c r="F9" s="86" t="s">
        <v>199</v>
      </c>
      <c r="G9" s="102"/>
      <c r="H9" s="102"/>
      <c r="I9" s="106">
        <f>IF(NOT(ISNA(VLOOKUP(B9,'FL Contract Prices'!$A$2:$C$71,3,FALSE))),VLOOKUP(B9,'FL Contract Prices'!$A$2:$C$71,3,FALSE),ROUND(D9*0.7,-1))</f>
        <v>17400</v>
      </c>
      <c r="J9" s="106"/>
      <c r="K9" s="102"/>
      <c r="L9" s="146"/>
      <c r="M9" s="146"/>
      <c r="N9" s="146"/>
      <c r="O9" s="155"/>
      <c r="P9" s="150">
        <v>14900</v>
      </c>
      <c r="Q9" s="48"/>
      <c r="R9" s="88">
        <v>1</v>
      </c>
      <c r="S9" s="88">
        <f t="shared" si="1"/>
        <v>288</v>
      </c>
      <c r="T9" s="48">
        <f t="shared" si="2"/>
        <v>1.8823529411764708</v>
      </c>
      <c r="U9" s="48" t="s">
        <v>179</v>
      </c>
      <c r="V9" s="48">
        <f t="shared" si="3"/>
        <v>10</v>
      </c>
      <c r="W9" s="83"/>
      <c r="X9" s="83" t="s">
        <v>200</v>
      </c>
    </row>
    <row r="10" spans="1:24" ht="45" x14ac:dyDescent="0.25">
      <c r="A10" s="87" t="s">
        <v>205</v>
      </c>
      <c r="B10" s="82" t="s">
        <v>206</v>
      </c>
      <c r="C10" s="82" t="s">
        <v>207</v>
      </c>
      <c r="D10" s="84">
        <f>IF(E10&lt;20, ROUNDUP(E10/0.6,0), ROUNDUP(E10/0.6,-1))</f>
        <v>16520</v>
      </c>
      <c r="E10" s="128">
        <f t="shared" si="0"/>
        <v>9911.8823529411766</v>
      </c>
      <c r="F10" s="86" t="s">
        <v>199</v>
      </c>
      <c r="G10" s="102"/>
      <c r="H10" s="102"/>
      <c r="I10" s="106">
        <f>IF(NOT(ISNA(VLOOKUP(B10,'FL Contract Prices'!$A$2:$C$71,3,FALSE))),VLOOKUP(B10,'FL Contract Prices'!$A$2:$C$71,3,FALSE),ROUND(D10*0.7,-1))</f>
        <v>11560</v>
      </c>
      <c r="J10" s="106"/>
      <c r="K10" s="102"/>
      <c r="L10" s="146"/>
      <c r="M10" s="146"/>
      <c r="N10" s="146"/>
      <c r="O10" s="155"/>
      <c r="P10" s="150">
        <v>9900</v>
      </c>
      <c r="Q10" s="48"/>
      <c r="R10" s="88">
        <v>1</v>
      </c>
      <c r="S10" s="88">
        <f t="shared" si="1"/>
        <v>288</v>
      </c>
      <c r="T10" s="48">
        <f t="shared" si="2"/>
        <v>1.8823529411764708</v>
      </c>
      <c r="U10" s="48" t="s">
        <v>179</v>
      </c>
      <c r="V10" s="48">
        <f t="shared" si="3"/>
        <v>10</v>
      </c>
      <c r="W10" s="83"/>
      <c r="X10" s="83" t="s">
        <v>204</v>
      </c>
    </row>
    <row r="11" spans="1:24" ht="45" x14ac:dyDescent="0.25">
      <c r="A11" s="87" t="s">
        <v>209</v>
      </c>
      <c r="B11" s="82" t="s">
        <v>210</v>
      </c>
      <c r="C11" s="82" t="s">
        <v>211</v>
      </c>
      <c r="D11" s="84">
        <f>IF(E11&lt;20, ROUNDUP(E11/0.6,0), ROUNDUP(E11/0.6,-1))</f>
        <v>11520</v>
      </c>
      <c r="E11" s="128">
        <f t="shared" si="0"/>
        <v>6911.8823529411766</v>
      </c>
      <c r="F11" s="86" t="s">
        <v>199</v>
      </c>
      <c r="G11" s="102"/>
      <c r="H11" s="102"/>
      <c r="I11" s="106">
        <f>IF(NOT(ISNA(VLOOKUP(B11,'FL Contract Prices'!$A$2:$C$71,3,FALSE))),VLOOKUP(B11,'FL Contract Prices'!$A$2:$C$71,3,FALSE),ROUND(D11*0.7,-1))</f>
        <v>8060</v>
      </c>
      <c r="J11" s="106"/>
      <c r="K11" s="102"/>
      <c r="L11" s="146"/>
      <c r="M11" s="146"/>
      <c r="N11" s="146"/>
      <c r="O11" s="155"/>
      <c r="P11" s="150">
        <v>6900</v>
      </c>
      <c r="Q11" s="48"/>
      <c r="R11" s="88">
        <v>1</v>
      </c>
      <c r="S11" s="88">
        <f t="shared" si="1"/>
        <v>288</v>
      </c>
      <c r="T11" s="48">
        <f t="shared" si="2"/>
        <v>1.8823529411764708</v>
      </c>
      <c r="U11" s="48" t="s">
        <v>179</v>
      </c>
      <c r="V11" s="48">
        <f t="shared" si="3"/>
        <v>10</v>
      </c>
      <c r="W11" s="83"/>
      <c r="X11" s="83" t="s">
        <v>208</v>
      </c>
    </row>
    <row r="12" spans="1:24" ht="30" x14ac:dyDescent="0.25">
      <c r="A12" s="127" t="s">
        <v>212</v>
      </c>
      <c r="B12" s="78" t="s">
        <v>213</v>
      </c>
      <c r="C12" s="127" t="s">
        <v>214</v>
      </c>
      <c r="D12" s="84">
        <f>IF(E12&lt;20, ROUNDUP(E12/0.3,0), ROUNDUP(E12/0.3,-1))</f>
        <v>6710</v>
      </c>
      <c r="E12" s="128">
        <f t="shared" si="0"/>
        <v>2011.8823529411766</v>
      </c>
      <c r="F12" s="86" t="s">
        <v>178</v>
      </c>
      <c r="G12" s="102"/>
      <c r="H12" s="102"/>
      <c r="I12" s="106">
        <f>IF(NOT(ISNA(VLOOKUP(B12,'FL Contract Prices'!$A$2:$C$71,3,FALSE))),VLOOKUP(B12,'FL Contract Prices'!$A$2:$C$71,3,FALSE),ROUND(D12*0.7,-1))</f>
        <v>4503</v>
      </c>
      <c r="J12" s="106"/>
      <c r="K12" s="102"/>
      <c r="L12" s="146"/>
      <c r="M12" s="146"/>
      <c r="N12" s="146"/>
      <c r="O12" s="155"/>
      <c r="P12" s="149">
        <v>2000</v>
      </c>
      <c r="Q12" s="48"/>
      <c r="R12" s="88">
        <v>1</v>
      </c>
      <c r="S12" s="88">
        <f t="shared" si="1"/>
        <v>288</v>
      </c>
      <c r="T12" s="48">
        <f t="shared" si="2"/>
        <v>1.8823529411764708</v>
      </c>
      <c r="U12" s="48" t="s">
        <v>179</v>
      </c>
      <c r="V12" s="48">
        <f t="shared" si="3"/>
        <v>10</v>
      </c>
      <c r="W12" s="83"/>
      <c r="X12" s="83"/>
    </row>
    <row r="13" spans="1:24" x14ac:dyDescent="0.25">
      <c r="A13" s="82" t="s">
        <v>186</v>
      </c>
      <c r="B13" s="83" t="s">
        <v>187</v>
      </c>
      <c r="C13" s="82" t="s">
        <v>188</v>
      </c>
      <c r="D13" s="84">
        <f>IF(E13&lt;20, ROUNDUP(E13/0.3,0), ROUNDUP(E13/0.3,-1))</f>
        <v>5040</v>
      </c>
      <c r="E13" s="128">
        <f t="shared" si="0"/>
        <v>1511.8823529411766</v>
      </c>
      <c r="F13" s="86" t="s">
        <v>178</v>
      </c>
      <c r="G13" s="102"/>
      <c r="H13" s="102"/>
      <c r="I13" s="106">
        <f>IF(NOT(ISNA(VLOOKUP(B13,'FL Contract Prices'!$A$2:$C$71,3,FALSE))),VLOOKUP(B13,'FL Contract Prices'!$A$2:$C$71,3,FALSE),ROUND(D13*0.7,-1))</f>
        <v>3530</v>
      </c>
      <c r="J13" s="106"/>
      <c r="K13" s="102"/>
      <c r="L13" s="146"/>
      <c r="M13" s="146"/>
      <c r="N13" s="146"/>
      <c r="O13" s="155"/>
      <c r="P13" s="150">
        <v>1500</v>
      </c>
      <c r="Q13" s="48"/>
      <c r="R13" s="88">
        <v>1</v>
      </c>
      <c r="S13" s="88">
        <f t="shared" si="1"/>
        <v>288</v>
      </c>
      <c r="T13" s="48">
        <f t="shared" si="2"/>
        <v>1.8823529411764708</v>
      </c>
      <c r="U13" s="48" t="s">
        <v>179</v>
      </c>
      <c r="V13" s="48">
        <f t="shared" si="3"/>
        <v>10</v>
      </c>
      <c r="W13" s="83"/>
      <c r="X13" s="83" t="s">
        <v>215</v>
      </c>
    </row>
    <row r="14" spans="1:24" ht="30" x14ac:dyDescent="0.25">
      <c r="A14" s="82" t="s">
        <v>216</v>
      </c>
      <c r="B14" s="82" t="s">
        <v>217</v>
      </c>
      <c r="C14" s="82" t="s">
        <v>218</v>
      </c>
      <c r="D14" s="84">
        <f>IF(E14&lt;20, ROUNDUP(E14/0.6,0), ROUNDUP(E14/0.6,-1))</f>
        <v>12520</v>
      </c>
      <c r="E14" s="128">
        <f t="shared" si="0"/>
        <v>7511.8823529411766</v>
      </c>
      <c r="F14" s="86" t="s">
        <v>199</v>
      </c>
      <c r="G14" s="102"/>
      <c r="H14" s="102"/>
      <c r="I14" s="106">
        <f>IF(NOT(ISNA(VLOOKUP(B14,'FL Contract Prices'!$A$2:$C$71,3,FALSE))),VLOOKUP(B14,'FL Contract Prices'!$A$2:$C$71,3,FALSE),ROUND(D14*0.7,-1))</f>
        <v>7695</v>
      </c>
      <c r="J14" s="106"/>
      <c r="K14" s="102"/>
      <c r="L14" s="146"/>
      <c r="M14" s="146"/>
      <c r="N14" s="146"/>
      <c r="O14" s="155"/>
      <c r="P14" s="150">
        <v>7500</v>
      </c>
      <c r="Q14" s="48"/>
      <c r="R14" s="88">
        <v>1</v>
      </c>
      <c r="S14" s="88">
        <f t="shared" si="1"/>
        <v>288</v>
      </c>
      <c r="T14" s="48">
        <f t="shared" si="2"/>
        <v>1.8823529411764708</v>
      </c>
      <c r="U14" s="48" t="s">
        <v>179</v>
      </c>
      <c r="V14" s="48">
        <f t="shared" si="3"/>
        <v>10</v>
      </c>
      <c r="W14" s="83"/>
      <c r="X14" s="83" t="s">
        <v>195</v>
      </c>
    </row>
    <row r="15" spans="1:24" ht="30" x14ac:dyDescent="0.25">
      <c r="A15" s="82" t="s">
        <v>221</v>
      </c>
      <c r="B15" s="82" t="s">
        <v>222</v>
      </c>
      <c r="C15" s="82" t="s">
        <v>223</v>
      </c>
      <c r="D15" s="84">
        <f>IF(E15&lt;20, ROUNDUP(E15/0.6,0), ROUNDUP(E15/0.6,-1))</f>
        <v>125020</v>
      </c>
      <c r="E15" s="128">
        <f t="shared" si="0"/>
        <v>75011.882352941175</v>
      </c>
      <c r="F15" s="86" t="s">
        <v>199</v>
      </c>
      <c r="G15" s="102"/>
      <c r="H15" s="102"/>
      <c r="I15" s="106">
        <f>IF(NOT(ISNA(VLOOKUP(B15,'FL Contract Prices'!$A$2:$C$71,3,FALSE))),VLOOKUP(B15,'FL Contract Prices'!$A$2:$C$71,3,FALSE),ROUND(D15*0.7,-1))</f>
        <v>87510</v>
      </c>
      <c r="J15" s="106"/>
      <c r="K15" s="102"/>
      <c r="L15" s="146"/>
      <c r="M15" s="146"/>
      <c r="N15" s="146"/>
      <c r="O15" s="155"/>
      <c r="P15" s="150">
        <v>75000</v>
      </c>
      <c r="Q15" s="48"/>
      <c r="R15" s="88">
        <v>1</v>
      </c>
      <c r="S15" s="88">
        <f t="shared" si="1"/>
        <v>288</v>
      </c>
      <c r="T15" s="48">
        <f t="shared" si="2"/>
        <v>1.8823529411764708</v>
      </c>
      <c r="U15" s="48" t="s">
        <v>179</v>
      </c>
      <c r="V15" s="48">
        <f t="shared" si="3"/>
        <v>10</v>
      </c>
      <c r="W15" s="83"/>
      <c r="X15" s="83" t="s">
        <v>200</v>
      </c>
    </row>
    <row r="16" spans="1:24" ht="30" x14ac:dyDescent="0.25">
      <c r="A16" s="82" t="s">
        <v>224</v>
      </c>
      <c r="B16" s="82" t="s">
        <v>225</v>
      </c>
      <c r="C16" s="82" t="s">
        <v>226</v>
      </c>
      <c r="D16" s="84">
        <f>IF(E16&lt;20, ROUNDUP(E16/0.6,0), ROUNDUP(E16/0.6,-1))</f>
        <v>70860</v>
      </c>
      <c r="E16" s="128">
        <f t="shared" si="0"/>
        <v>42511.882352941175</v>
      </c>
      <c r="F16" s="86" t="s">
        <v>199</v>
      </c>
      <c r="G16" s="102"/>
      <c r="H16" s="102"/>
      <c r="I16" s="106">
        <f>IF(NOT(ISNA(VLOOKUP(B16,'FL Contract Prices'!$A$2:$C$71,3,FALSE))),VLOOKUP(B16,'FL Contract Prices'!$A$2:$C$71,3,FALSE),ROUND(D16*0.7,-1))</f>
        <v>49600</v>
      </c>
      <c r="J16" s="106"/>
      <c r="K16" s="102"/>
      <c r="L16" s="146"/>
      <c r="M16" s="146"/>
      <c r="N16" s="146"/>
      <c r="O16" s="155"/>
      <c r="P16" s="150">
        <v>42500</v>
      </c>
      <c r="Q16" s="48"/>
      <c r="R16" s="88">
        <v>1</v>
      </c>
      <c r="S16" s="88">
        <f t="shared" si="1"/>
        <v>288</v>
      </c>
      <c r="T16" s="48">
        <f t="shared" si="2"/>
        <v>1.8823529411764708</v>
      </c>
      <c r="U16" s="48" t="s">
        <v>179</v>
      </c>
      <c r="V16" s="48">
        <f t="shared" si="3"/>
        <v>10</v>
      </c>
      <c r="W16" s="83"/>
      <c r="X16" s="83" t="s">
        <v>204</v>
      </c>
    </row>
    <row r="17" spans="1:24" ht="30" x14ac:dyDescent="0.25">
      <c r="A17" s="82" t="s">
        <v>227</v>
      </c>
      <c r="B17" s="82" t="s">
        <v>228</v>
      </c>
      <c r="C17" s="82" t="s">
        <v>229</v>
      </c>
      <c r="D17" s="84">
        <f>IF(E17&lt;20, ROUNDUP(E17/0.6,0), ROUNDUP(E17/0.6,-1))</f>
        <v>41690</v>
      </c>
      <c r="E17" s="128">
        <f t="shared" si="0"/>
        <v>25011.882352941175</v>
      </c>
      <c r="F17" s="86" t="s">
        <v>199</v>
      </c>
      <c r="G17" s="102"/>
      <c r="H17" s="102"/>
      <c r="I17" s="106">
        <f>IF(NOT(ISNA(VLOOKUP(B17,'FL Contract Prices'!$A$2:$C$71,3,FALSE))),VLOOKUP(B17,'FL Contract Prices'!$A$2:$C$71,3,FALSE),ROUND(D17*0.7,-1))</f>
        <v>29180</v>
      </c>
      <c r="J17" s="106"/>
      <c r="K17" s="102"/>
      <c r="L17" s="146"/>
      <c r="M17" s="146"/>
      <c r="N17" s="146"/>
      <c r="O17" s="155"/>
      <c r="P17" s="150">
        <v>25000</v>
      </c>
      <c r="Q17" s="48"/>
      <c r="R17" s="88">
        <v>1</v>
      </c>
      <c r="S17" s="88">
        <f t="shared" si="1"/>
        <v>288</v>
      </c>
      <c r="T17" s="48">
        <f t="shared" si="2"/>
        <v>1.8823529411764708</v>
      </c>
      <c r="U17" s="48" t="s">
        <v>179</v>
      </c>
      <c r="V17" s="48">
        <f t="shared" si="3"/>
        <v>10</v>
      </c>
      <c r="W17" s="83"/>
      <c r="X17" s="83" t="s">
        <v>208</v>
      </c>
    </row>
    <row r="18" spans="1:24" ht="30" x14ac:dyDescent="0.25">
      <c r="A18" s="82" t="s">
        <v>230</v>
      </c>
      <c r="B18" s="82" t="s">
        <v>231</v>
      </c>
      <c r="C18" s="82" t="s">
        <v>229</v>
      </c>
      <c r="D18" s="84">
        <f>IF(E18&lt;20, ROUNDUP(E18/0.6,0), ROUNDUP(E18/0.6,-1))</f>
        <v>25020</v>
      </c>
      <c r="E18" s="128">
        <f t="shared" si="0"/>
        <v>15011.882352941177</v>
      </c>
      <c r="F18" s="86" t="s">
        <v>199</v>
      </c>
      <c r="G18" s="102"/>
      <c r="H18" s="102"/>
      <c r="I18" s="106">
        <f>IF(NOT(ISNA(VLOOKUP(B18,'FL Contract Prices'!$A$2:$C$71,3,FALSE))),VLOOKUP(B18,'FL Contract Prices'!$A$2:$C$71,3,FALSE),ROUND(D18*0.7,-1))</f>
        <v>17510</v>
      </c>
      <c r="J18" s="106"/>
      <c r="K18" s="102"/>
      <c r="L18" s="146"/>
      <c r="M18" s="146"/>
      <c r="N18" s="146"/>
      <c r="O18" s="155"/>
      <c r="P18" s="150">
        <v>15000</v>
      </c>
      <c r="Q18" s="48"/>
      <c r="R18" s="88">
        <v>1</v>
      </c>
      <c r="S18" s="88">
        <f t="shared" si="1"/>
        <v>288</v>
      </c>
      <c r="T18" s="48">
        <f t="shared" si="2"/>
        <v>1.8823529411764708</v>
      </c>
      <c r="U18" s="48" t="s">
        <v>179</v>
      </c>
      <c r="V18" s="48">
        <f t="shared" si="3"/>
        <v>10</v>
      </c>
      <c r="W18" s="83"/>
      <c r="X18" s="83" t="s">
        <v>208</v>
      </c>
    </row>
    <row r="19" spans="1:24" x14ac:dyDescent="0.25">
      <c r="A19" s="82" t="s">
        <v>234</v>
      </c>
      <c r="B19" s="83" t="s">
        <v>235</v>
      </c>
      <c r="C19" s="82" t="s">
        <v>236</v>
      </c>
      <c r="D19" s="84">
        <f>IF(E19&lt;20, ROUNDUP(E19/0.4,0), ROUNDUP(E19/0.5,-1))</f>
        <v>-250</v>
      </c>
      <c r="E19" s="128">
        <f t="shared" si="0"/>
        <v>-100</v>
      </c>
      <c r="F19" s="85" t="s">
        <v>178</v>
      </c>
      <c r="G19" s="101"/>
      <c r="H19" s="101"/>
      <c r="I19" s="106">
        <f>IF(NOT(ISNA(VLOOKUP(B19,'FL Contract Prices'!$A$2:$C$71,3,FALSE))),VLOOKUP(B19,'FL Contract Prices'!$A$2:$C$71,3,FALSE),ROUND(D19*0.7,-1))</f>
        <v>-180</v>
      </c>
      <c r="J19" s="106"/>
      <c r="K19" s="101"/>
      <c r="L19" s="147"/>
      <c r="M19" s="147"/>
      <c r="N19" s="147"/>
      <c r="P19" s="149">
        <v>-100</v>
      </c>
      <c r="Q19" s="83"/>
      <c r="R19" s="83"/>
      <c r="S19" s="83"/>
      <c r="T19" s="83"/>
      <c r="U19" s="83"/>
      <c r="V19" s="83"/>
      <c r="W19" s="83"/>
      <c r="X19" s="83"/>
    </row>
    <row r="20" spans="1:24" x14ac:dyDescent="0.25">
      <c r="A20" s="82" t="s">
        <v>237</v>
      </c>
      <c r="B20" s="83" t="s">
        <v>238</v>
      </c>
      <c r="C20" s="82" t="s">
        <v>239</v>
      </c>
      <c r="D20" s="84">
        <f>IF(E20&lt;20, ROUNDUP(E20/0.4,0), ROUNDUP(E20/0.5,-1))</f>
        <v>-250</v>
      </c>
      <c r="E20" s="128">
        <f t="shared" si="0"/>
        <v>-100</v>
      </c>
      <c r="F20" s="85" t="s">
        <v>199</v>
      </c>
      <c r="G20" s="101"/>
      <c r="H20" s="101"/>
      <c r="I20" s="106">
        <f>IF(NOT(ISNA(VLOOKUP(B20,'FL Contract Prices'!$A$2:$C$71,3,FALSE))),VLOOKUP(B20,'FL Contract Prices'!$A$2:$C$71,3,FALSE),ROUND(D20*0.7,-1))</f>
        <v>-180</v>
      </c>
      <c r="J20" s="106"/>
      <c r="K20" s="101"/>
      <c r="L20" s="147"/>
      <c r="M20" s="147"/>
      <c r="N20" s="147"/>
      <c r="P20" s="149">
        <v>-100</v>
      </c>
      <c r="Q20" s="83"/>
      <c r="R20" s="83"/>
      <c r="S20" s="83"/>
      <c r="T20" s="83"/>
      <c r="U20" s="83"/>
      <c r="V20" s="83"/>
      <c r="W20" s="83"/>
      <c r="X20" s="83"/>
    </row>
    <row r="21" spans="1:24" x14ac:dyDescent="0.25">
      <c r="A21" s="82" t="s">
        <v>240</v>
      </c>
      <c r="B21" s="82" t="s">
        <v>241</v>
      </c>
      <c r="C21" s="82" t="s">
        <v>242</v>
      </c>
      <c r="D21" s="84">
        <f t="shared" ref="D21:D84" si="4">IF(E21&lt;20, ROUNDUP(E21/0.6,0), ROUNDUP(E21/0.6,-1))</f>
        <v>260</v>
      </c>
      <c r="E21" s="128">
        <f t="shared" si="0"/>
        <v>152.93372549019608</v>
      </c>
      <c r="F21" s="86" t="s">
        <v>199</v>
      </c>
      <c r="G21" s="102"/>
      <c r="H21" s="102"/>
      <c r="I21" s="106">
        <f>IF(NOT(ISNA(VLOOKUP(B21,'FL Contract Prices'!$A$2:$C$71,3,FALSE))),VLOOKUP(B21,'FL Contract Prices'!$A$2:$C$71,3,FALSE),ROUND(D21*0.7,-1))</f>
        <v>206.14999999999998</v>
      </c>
      <c r="J21" s="106"/>
      <c r="K21" s="102"/>
      <c r="L21" s="146"/>
      <c r="M21" s="146"/>
      <c r="N21" s="146"/>
      <c r="O21" s="155"/>
      <c r="P21" s="150">
        <v>142.62</v>
      </c>
      <c r="Q21" s="48"/>
      <c r="R21" s="88">
        <v>2</v>
      </c>
      <c r="S21" s="88">
        <f>4*6</f>
        <v>24</v>
      </c>
      <c r="T21" s="48">
        <f t="shared" ref="T21:T27" si="5">(24000/8500)*(S21/12/12)/3*R21</f>
        <v>0.31372549019607843</v>
      </c>
      <c r="U21" s="48" t="s">
        <v>179</v>
      </c>
      <c r="V21" s="48">
        <f t="shared" ref="V21:V44" si="6">IF(U21="Bulk",0,IF(U21="Std", 10,IF(U21="Pickup",20,30)))/60*60</f>
        <v>10</v>
      </c>
      <c r="W21" s="83"/>
      <c r="X21" s="83" t="s">
        <v>243</v>
      </c>
    </row>
    <row r="22" spans="1:24" x14ac:dyDescent="0.25">
      <c r="A22" s="82" t="s">
        <v>244</v>
      </c>
      <c r="B22" s="82" t="s">
        <v>245</v>
      </c>
      <c r="C22" s="82" t="s">
        <v>246</v>
      </c>
      <c r="D22" s="84">
        <f t="shared" si="4"/>
        <v>480</v>
      </c>
      <c r="E22" s="128">
        <f t="shared" si="0"/>
        <v>286.1637254901961</v>
      </c>
      <c r="F22" s="86" t="s">
        <v>199</v>
      </c>
      <c r="G22" s="102"/>
      <c r="H22" s="102"/>
      <c r="I22" s="106">
        <f>IF(NOT(ISNA(VLOOKUP(B22,'FL Contract Prices'!$A$2:$C$71,3,FALSE))),VLOOKUP(B22,'FL Contract Prices'!$A$2:$C$71,3,FALSE),ROUND(D22*0.7,-1))</f>
        <v>382.84999999999997</v>
      </c>
      <c r="J22" s="106"/>
      <c r="K22" s="102"/>
      <c r="L22" s="146"/>
      <c r="M22" s="146"/>
      <c r="N22" s="146"/>
      <c r="O22" s="155"/>
      <c r="P22" s="150">
        <v>275.85000000000002</v>
      </c>
      <c r="Q22" s="48"/>
      <c r="R22" s="88">
        <v>2</v>
      </c>
      <c r="S22" s="88">
        <f>4*6</f>
        <v>24</v>
      </c>
      <c r="T22" s="48">
        <f t="shared" si="5"/>
        <v>0.31372549019607843</v>
      </c>
      <c r="U22" s="48" t="s">
        <v>179</v>
      </c>
      <c r="V22" s="48">
        <f t="shared" si="6"/>
        <v>10</v>
      </c>
      <c r="W22" s="83"/>
      <c r="X22" s="83" t="s">
        <v>247</v>
      </c>
    </row>
    <row r="23" spans="1:24" x14ac:dyDescent="0.25">
      <c r="A23" s="82" t="s">
        <v>248</v>
      </c>
      <c r="B23" s="82" t="s">
        <v>249</v>
      </c>
      <c r="C23" s="82" t="s">
        <v>250</v>
      </c>
      <c r="D23" s="84">
        <f t="shared" si="4"/>
        <v>90</v>
      </c>
      <c r="E23" s="128">
        <f t="shared" si="0"/>
        <v>49.617450980392157</v>
      </c>
      <c r="F23" s="86" t="s">
        <v>199</v>
      </c>
      <c r="G23" s="102"/>
      <c r="H23" s="102"/>
      <c r="I23" s="106">
        <f>IF(NOT(ISNA(VLOOKUP(B23,'FL Contract Prices'!$A$2:$C$71,3,FALSE))),VLOOKUP(B23,'FL Contract Prices'!$A$2:$C$71,3,FALSE),ROUND(D23*0.7,-1))</f>
        <v>60</v>
      </c>
      <c r="J23" s="106"/>
      <c r="K23" s="102"/>
      <c r="L23" s="146"/>
      <c r="M23" s="146"/>
      <c r="N23" s="146"/>
      <c r="O23" s="155"/>
      <c r="P23" s="150">
        <v>38.99</v>
      </c>
      <c r="Q23" s="48">
        <v>0</v>
      </c>
      <c r="R23" s="88">
        <v>2</v>
      </c>
      <c r="S23" s="88">
        <f>6*8</f>
        <v>48</v>
      </c>
      <c r="T23" s="48">
        <f t="shared" si="5"/>
        <v>0.62745098039215685</v>
      </c>
      <c r="U23" s="48" t="s">
        <v>179</v>
      </c>
      <c r="V23" s="48">
        <f t="shared" si="6"/>
        <v>10</v>
      </c>
      <c r="W23" s="83"/>
      <c r="X23" s="83" t="s">
        <v>251</v>
      </c>
    </row>
    <row r="24" spans="1:24" x14ac:dyDescent="0.25">
      <c r="A24" s="82" t="s">
        <v>252</v>
      </c>
      <c r="B24" s="82" t="s">
        <v>253</v>
      </c>
      <c r="C24" s="82" t="s">
        <v>254</v>
      </c>
      <c r="D24" s="84">
        <f t="shared" si="4"/>
        <v>40</v>
      </c>
      <c r="E24" s="128">
        <f t="shared" si="0"/>
        <v>20.117647058823529</v>
      </c>
      <c r="F24" s="86" t="s">
        <v>199</v>
      </c>
      <c r="G24" s="102"/>
      <c r="H24" s="102"/>
      <c r="I24" s="106">
        <f>IF(NOT(ISNA(VLOOKUP(B24,'FL Contract Prices'!$A$2:$C$71,3,FALSE))),VLOOKUP(B24,'FL Contract Prices'!$A$2:$C$71,3,FALSE),ROUND(D24*0.7,-1))</f>
        <v>30</v>
      </c>
      <c r="J24" s="106"/>
      <c r="K24" s="102"/>
      <c r="L24" s="146"/>
      <c r="M24" s="146"/>
      <c r="N24" s="146"/>
      <c r="O24" s="155"/>
      <c r="P24" s="150">
        <v>10</v>
      </c>
      <c r="Q24" s="48"/>
      <c r="R24" s="88">
        <v>3</v>
      </c>
      <c r="S24" s="88">
        <f>2*3</f>
        <v>6</v>
      </c>
      <c r="T24" s="48">
        <f t="shared" si="5"/>
        <v>0.11764705882352941</v>
      </c>
      <c r="U24" s="48" t="s">
        <v>179</v>
      </c>
      <c r="V24" s="48">
        <f t="shared" si="6"/>
        <v>10</v>
      </c>
      <c r="W24" s="83"/>
      <c r="X24" s="83" t="s">
        <v>255</v>
      </c>
    </row>
    <row r="25" spans="1:24" x14ac:dyDescent="0.25">
      <c r="A25" s="82" t="s">
        <v>260</v>
      </c>
      <c r="B25" s="82" t="s">
        <v>261</v>
      </c>
      <c r="C25" s="82" t="s">
        <v>262</v>
      </c>
      <c r="D25" s="84">
        <f>IF(E25&lt;20, ROUNDUP(E25/0.6,0), ROUNDUP(E25/0.6,-1))</f>
        <v>60</v>
      </c>
      <c r="E25" s="128">
        <f>P25+Q25+T25+V25</f>
        <v>30.470588235294116</v>
      </c>
      <c r="F25" s="86" t="s">
        <v>199</v>
      </c>
      <c r="G25" s="102"/>
      <c r="H25" s="102"/>
      <c r="I25" s="106">
        <f>IF(NOT(ISNA(VLOOKUP(B25,'FL Contract Prices'!$A$2:$C$71,3,FALSE))),VLOOKUP(B25,'FL Contract Prices'!$A$2:$C$71,3,FALSE),ROUND(D25*0.7,-1))</f>
        <v>40</v>
      </c>
      <c r="J25" s="106"/>
      <c r="K25" s="102"/>
      <c r="L25" s="146"/>
      <c r="M25" s="146"/>
      <c r="N25" s="146"/>
      <c r="O25" s="155"/>
      <c r="P25" s="150">
        <v>20</v>
      </c>
      <c r="Q25" s="48"/>
      <c r="R25" s="88">
        <v>3</v>
      </c>
      <c r="S25" s="88">
        <f>4*6</f>
        <v>24</v>
      </c>
      <c r="T25" s="48">
        <f>(24000/8500)*(S25/12/12)/3*R25</f>
        <v>0.47058823529411764</v>
      </c>
      <c r="U25" s="48" t="s">
        <v>179</v>
      </c>
      <c r="V25" s="48">
        <f>IF(U25="Bulk",0,IF(U25="Std", 10,IF(U25="Pickup",20,30)))/60*60</f>
        <v>10</v>
      </c>
      <c r="W25" s="83"/>
      <c r="X25" s="83" t="s">
        <v>259</v>
      </c>
    </row>
    <row r="26" spans="1:24" x14ac:dyDescent="0.25">
      <c r="A26" s="82" t="s">
        <v>256</v>
      </c>
      <c r="B26" s="82" t="s">
        <v>257</v>
      </c>
      <c r="C26" s="82" t="s">
        <v>258</v>
      </c>
      <c r="D26" s="84">
        <f t="shared" si="4"/>
        <v>40</v>
      </c>
      <c r="E26" s="128">
        <f t="shared" si="0"/>
        <v>20.313725490196077</v>
      </c>
      <c r="F26" s="86" t="s">
        <v>199</v>
      </c>
      <c r="G26" s="102"/>
      <c r="H26" s="102"/>
      <c r="I26" s="106">
        <f>IF(NOT(ISNA(VLOOKUP(B26,'FL Contract Prices'!$A$2:$C$71,3,FALSE))),VLOOKUP(B26,'FL Contract Prices'!$A$2:$C$71,3,FALSE),ROUND(D26*0.7,-1))</f>
        <v>30</v>
      </c>
      <c r="J26" s="106"/>
      <c r="K26" s="102"/>
      <c r="L26" s="146"/>
      <c r="M26" s="146"/>
      <c r="N26" s="146"/>
      <c r="O26" s="155"/>
      <c r="P26" s="150">
        <v>10</v>
      </c>
      <c r="Q26" s="48"/>
      <c r="R26" s="88">
        <v>3</v>
      </c>
      <c r="S26" s="88">
        <f>4*4</f>
        <v>16</v>
      </c>
      <c r="T26" s="48">
        <f t="shared" si="5"/>
        <v>0.31372549019607843</v>
      </c>
      <c r="U26" s="48" t="s">
        <v>179</v>
      </c>
      <c r="V26" s="48">
        <f t="shared" si="6"/>
        <v>10</v>
      </c>
      <c r="W26" s="83"/>
      <c r="X26" s="83" t="s">
        <v>263</v>
      </c>
    </row>
    <row r="27" spans="1:24" x14ac:dyDescent="0.25">
      <c r="A27" s="87" t="s">
        <v>264</v>
      </c>
      <c r="B27" s="82" t="s">
        <v>265</v>
      </c>
      <c r="C27" s="82" t="s">
        <v>266</v>
      </c>
      <c r="D27" s="84">
        <f t="shared" si="4"/>
        <v>170</v>
      </c>
      <c r="E27" s="128">
        <f t="shared" si="0"/>
        <v>100</v>
      </c>
      <c r="F27" s="86" t="s">
        <v>199</v>
      </c>
      <c r="G27" s="102"/>
      <c r="H27" s="102"/>
      <c r="I27" s="106">
        <f>IF(NOT(ISNA(VLOOKUP(B27,'FL Contract Prices'!$A$2:$C$71,3,FALSE))),VLOOKUP(B27,'FL Contract Prices'!$A$2:$C$71,3,FALSE),ROUND(D27*0.7,-1))</f>
        <v>120</v>
      </c>
      <c r="J27" s="106"/>
      <c r="K27" s="102"/>
      <c r="L27" s="146"/>
      <c r="M27" s="146"/>
      <c r="N27" s="146"/>
      <c r="O27" s="155"/>
      <c r="P27" s="150">
        <v>90</v>
      </c>
      <c r="Q27" s="48"/>
      <c r="R27" s="88"/>
      <c r="S27" s="88"/>
      <c r="T27" s="48">
        <f t="shared" si="5"/>
        <v>0</v>
      </c>
      <c r="U27" s="48" t="s">
        <v>179</v>
      </c>
      <c r="V27" s="48">
        <f t="shared" si="6"/>
        <v>10</v>
      </c>
      <c r="W27" s="83"/>
      <c r="X27" s="83" t="s">
        <v>267</v>
      </c>
    </row>
    <row r="28" spans="1:24" ht="30" x14ac:dyDescent="0.25">
      <c r="A28" s="82" t="s">
        <v>268</v>
      </c>
      <c r="B28" s="82" t="s">
        <v>269</v>
      </c>
      <c r="C28" s="82" t="s">
        <v>270</v>
      </c>
      <c r="D28" s="84">
        <f t="shared" si="4"/>
        <v>4320</v>
      </c>
      <c r="E28" s="128">
        <f t="shared" si="0"/>
        <v>2587.0588235294117</v>
      </c>
      <c r="F28" s="86" t="s">
        <v>199</v>
      </c>
      <c r="G28" s="102"/>
      <c r="H28" s="102"/>
      <c r="I28" s="106">
        <f>IF(NOT(ISNA(VLOOKUP(B28,'FL Contract Prices'!$A$2:$C$71,3,FALSE))),VLOOKUP(B28,'FL Contract Prices'!$A$2:$C$71,3,FALSE),ROUND(D28*0.7,-1))</f>
        <v>4235.22</v>
      </c>
      <c r="J28" s="106"/>
      <c r="K28" s="102"/>
      <c r="L28" s="146"/>
      <c r="M28" s="146"/>
      <c r="N28" s="146"/>
      <c r="O28" s="155"/>
      <c r="P28" s="150">
        <f>2450</f>
        <v>2450</v>
      </c>
      <c r="Q28" s="48">
        <v>0</v>
      </c>
      <c r="R28" s="88">
        <v>5</v>
      </c>
      <c r="S28" s="88">
        <v>1296</v>
      </c>
      <c r="T28" s="48">
        <f>(24000/8500)*(S28/12/12)*R28</f>
        <v>127.05882352941177</v>
      </c>
      <c r="U28" s="48" t="s">
        <v>179</v>
      </c>
      <c r="V28" s="48">
        <f t="shared" si="6"/>
        <v>10</v>
      </c>
      <c r="W28" s="83"/>
      <c r="X28" s="83" t="s">
        <v>271</v>
      </c>
    </row>
    <row r="29" spans="1:24" ht="30" x14ac:dyDescent="0.25">
      <c r="A29" s="82" t="s">
        <v>272</v>
      </c>
      <c r="B29" s="82" t="s">
        <v>273</v>
      </c>
      <c r="C29" s="82" t="s">
        <v>274</v>
      </c>
      <c r="D29" s="84">
        <f t="shared" si="4"/>
        <v>410</v>
      </c>
      <c r="E29" s="128">
        <f t="shared" si="0"/>
        <v>240.29411764705881</v>
      </c>
      <c r="F29" s="86" t="s">
        <v>199</v>
      </c>
      <c r="G29" s="102"/>
      <c r="H29" s="102"/>
      <c r="I29" s="106">
        <f>IF(NOT(ISNA(VLOOKUP(B29,'FL Contract Prices'!$A$2:$C$71,3,FALSE))),VLOOKUP(B29,'FL Contract Prices'!$A$2:$C$71,3,FALSE),ROUND(D29*0.7,-1))</f>
        <v>920.7</v>
      </c>
      <c r="J29" s="106"/>
      <c r="K29" s="102"/>
      <c r="L29" s="146"/>
      <c r="M29" s="146"/>
      <c r="N29" s="146"/>
      <c r="O29" s="155"/>
      <c r="P29" s="150">
        <v>219</v>
      </c>
      <c r="Q29" s="48">
        <v>0</v>
      </c>
      <c r="R29" s="88">
        <v>3</v>
      </c>
      <c r="S29" s="88">
        <f>24*24</f>
        <v>576</v>
      </c>
      <c r="T29" s="48">
        <f t="shared" ref="T29:T92" si="7">(24000/8500)*(S29/12/12)/3*R29</f>
        <v>11.294117647058824</v>
      </c>
      <c r="U29" s="48" t="s">
        <v>179</v>
      </c>
      <c r="V29" s="48">
        <f t="shared" si="6"/>
        <v>10</v>
      </c>
      <c r="W29" s="83"/>
      <c r="X29" s="83" t="s">
        <v>275</v>
      </c>
    </row>
    <row r="30" spans="1:24" x14ac:dyDescent="0.25">
      <c r="A30" s="82" t="s">
        <v>1790</v>
      </c>
      <c r="B30" s="82" t="s">
        <v>1791</v>
      </c>
      <c r="C30" s="82" t="s">
        <v>1792</v>
      </c>
      <c r="D30" s="84">
        <f t="shared" si="4"/>
        <v>5</v>
      </c>
      <c r="E30" s="128">
        <f t="shared" si="0"/>
        <v>2.5</v>
      </c>
      <c r="F30" s="86" t="s">
        <v>199</v>
      </c>
      <c r="G30" s="102"/>
      <c r="H30" s="102"/>
      <c r="I30" s="106">
        <f>IF(NOT(ISNA(VLOOKUP(B30,'FL Contract Prices'!$A$2:$C$71,3,FALSE))),VLOOKUP(B30,'FL Contract Prices'!$A$2:$C$71,3,FALSE),ROUND(D30*0.7,-1))</f>
        <v>0</v>
      </c>
      <c r="J30" s="106"/>
      <c r="K30" s="102"/>
      <c r="L30" s="146"/>
      <c r="M30" s="146"/>
      <c r="N30" s="146"/>
      <c r="O30" s="155"/>
      <c r="P30" s="150">
        <v>2.5</v>
      </c>
      <c r="Q30" s="48"/>
      <c r="R30" s="88"/>
      <c r="S30" s="88"/>
      <c r="T30" s="48">
        <f t="shared" si="7"/>
        <v>0</v>
      </c>
      <c r="U30" s="48" t="s">
        <v>287</v>
      </c>
      <c r="V30" s="48">
        <f t="shared" si="6"/>
        <v>0</v>
      </c>
      <c r="W30" s="83"/>
      <c r="X30" s="83" t="s">
        <v>1793</v>
      </c>
    </row>
    <row r="31" spans="1:24" x14ac:dyDescent="0.25">
      <c r="A31" s="87" t="s">
        <v>1794</v>
      </c>
      <c r="B31" s="82" t="s">
        <v>1795</v>
      </c>
      <c r="C31" s="82" t="s">
        <v>1796</v>
      </c>
      <c r="D31" s="84">
        <f t="shared" si="4"/>
        <v>4</v>
      </c>
      <c r="E31" s="128">
        <f t="shared" si="0"/>
        <v>2.19</v>
      </c>
      <c r="F31" s="86" t="s">
        <v>199</v>
      </c>
      <c r="G31" s="102"/>
      <c r="H31" s="102"/>
      <c r="I31" s="106">
        <f>IF(NOT(ISNA(VLOOKUP(B31,'FL Contract Prices'!$A$2:$C$71,3,FALSE))),VLOOKUP(B31,'FL Contract Prices'!$A$2:$C$71,3,FALSE),ROUND(D31*0.7,-1))</f>
        <v>0</v>
      </c>
      <c r="J31" s="106"/>
      <c r="K31" s="102"/>
      <c r="L31" s="146"/>
      <c r="M31" s="146"/>
      <c r="N31" s="146"/>
      <c r="O31" s="155"/>
      <c r="P31" s="150">
        <v>2.19</v>
      </c>
      <c r="Q31" s="48"/>
      <c r="R31" s="88"/>
      <c r="S31" s="88"/>
      <c r="T31" s="48">
        <f t="shared" si="7"/>
        <v>0</v>
      </c>
      <c r="U31" s="48" t="s">
        <v>287</v>
      </c>
      <c r="V31" s="48">
        <f t="shared" si="6"/>
        <v>0</v>
      </c>
      <c r="W31" s="83"/>
      <c r="X31" s="83"/>
    </row>
    <row r="32" spans="1:24" x14ac:dyDescent="0.25">
      <c r="A32" s="87" t="s">
        <v>1797</v>
      </c>
      <c r="B32" s="82" t="s">
        <v>1798</v>
      </c>
      <c r="C32" s="82" t="s">
        <v>1799</v>
      </c>
      <c r="D32" s="84">
        <f t="shared" si="4"/>
        <v>70</v>
      </c>
      <c r="E32" s="128">
        <f t="shared" si="0"/>
        <v>40</v>
      </c>
      <c r="F32" s="86" t="s">
        <v>199</v>
      </c>
      <c r="G32" s="102"/>
      <c r="H32" s="102"/>
      <c r="I32" s="106">
        <f>IF(NOT(ISNA(VLOOKUP(B32,'FL Contract Prices'!$A$2:$C$71,3,FALSE))),VLOOKUP(B32,'FL Contract Prices'!$A$2:$C$71,3,FALSE),ROUND(D32*0.7,-1))</f>
        <v>50</v>
      </c>
      <c r="J32" s="106"/>
      <c r="K32" s="102"/>
      <c r="L32" s="146"/>
      <c r="M32" s="146"/>
      <c r="N32" s="146"/>
      <c r="O32" s="155"/>
      <c r="P32" s="150">
        <v>30</v>
      </c>
      <c r="Q32" s="48"/>
      <c r="R32" s="88"/>
      <c r="S32" s="88"/>
      <c r="T32" s="48">
        <f t="shared" si="7"/>
        <v>0</v>
      </c>
      <c r="U32" s="48" t="s">
        <v>179</v>
      </c>
      <c r="V32" s="48">
        <f t="shared" si="6"/>
        <v>10</v>
      </c>
      <c r="W32" s="83"/>
      <c r="X32" s="83" t="s">
        <v>1800</v>
      </c>
    </row>
    <row r="33" spans="1:24" ht="30" x14ac:dyDescent="0.25">
      <c r="A33" s="82" t="s">
        <v>1801</v>
      </c>
      <c r="B33" s="82" t="s">
        <v>1802</v>
      </c>
      <c r="C33" s="82" t="s">
        <v>1803</v>
      </c>
      <c r="D33" s="84">
        <f t="shared" si="4"/>
        <v>50</v>
      </c>
      <c r="E33" s="128">
        <f t="shared" si="0"/>
        <v>26.3</v>
      </c>
      <c r="F33" s="86" t="s">
        <v>199</v>
      </c>
      <c r="G33" s="102"/>
      <c r="H33" s="102"/>
      <c r="I33" s="106">
        <f>IF(NOT(ISNA(VLOOKUP(B33,'FL Contract Prices'!$A$2:$C$71,3,FALSE))),VLOOKUP(B33,'FL Contract Prices'!$A$2:$C$71,3,FALSE),ROUND(D33*0.7,-1))</f>
        <v>40</v>
      </c>
      <c r="J33" s="106"/>
      <c r="K33" s="102"/>
      <c r="L33" s="146"/>
      <c r="M33" s="146"/>
      <c r="N33" s="146"/>
      <c r="O33" s="155"/>
      <c r="P33" s="149">
        <v>16.3</v>
      </c>
      <c r="Q33" s="48"/>
      <c r="R33" s="88"/>
      <c r="S33" s="88"/>
      <c r="T33" s="48">
        <f t="shared" si="7"/>
        <v>0</v>
      </c>
      <c r="U33" s="48" t="s">
        <v>179</v>
      </c>
      <c r="V33" s="48">
        <f t="shared" si="6"/>
        <v>10</v>
      </c>
      <c r="W33" s="83"/>
      <c r="X33" s="83" t="s">
        <v>1804</v>
      </c>
    </row>
    <row r="34" spans="1:24" ht="30" x14ac:dyDescent="0.25">
      <c r="A34" s="82" t="s">
        <v>1805</v>
      </c>
      <c r="B34" s="82" t="s">
        <v>1806</v>
      </c>
      <c r="C34" s="82" t="s">
        <v>1807</v>
      </c>
      <c r="D34" s="84">
        <f t="shared" si="4"/>
        <v>40</v>
      </c>
      <c r="E34" s="128">
        <f t="shared" si="0"/>
        <v>21.323529411764707</v>
      </c>
      <c r="F34" s="86" t="s">
        <v>199</v>
      </c>
      <c r="G34" s="102"/>
      <c r="H34" s="102"/>
      <c r="I34" s="106">
        <f>IF(NOT(ISNA(VLOOKUP(B34,'FL Contract Prices'!$A$2:$C$71,3,FALSE))),VLOOKUP(B34,'FL Contract Prices'!$A$2:$C$71,3,FALSE),ROUND(D34*0.7,-1))</f>
        <v>30</v>
      </c>
      <c r="J34" s="106"/>
      <c r="K34" s="102"/>
      <c r="L34" s="146"/>
      <c r="M34" s="146"/>
      <c r="N34" s="146"/>
      <c r="O34" s="155"/>
      <c r="P34" s="150">
        <v>8.5</v>
      </c>
      <c r="Q34" s="48">
        <v>0</v>
      </c>
      <c r="R34" s="88">
        <v>3</v>
      </c>
      <c r="S34" s="88">
        <f>12*12</f>
        <v>144</v>
      </c>
      <c r="T34" s="48">
        <f t="shared" si="7"/>
        <v>2.8235294117647061</v>
      </c>
      <c r="U34" s="48" t="s">
        <v>179</v>
      </c>
      <c r="V34" s="48">
        <f t="shared" si="6"/>
        <v>10</v>
      </c>
      <c r="W34" s="83"/>
      <c r="X34" s="83" t="s">
        <v>1808</v>
      </c>
    </row>
    <row r="35" spans="1:24" x14ac:dyDescent="0.25">
      <c r="A35" s="82" t="s">
        <v>1809</v>
      </c>
      <c r="B35" s="82" t="s">
        <v>1810</v>
      </c>
      <c r="C35" s="82" t="s">
        <v>1811</v>
      </c>
      <c r="D35" s="84">
        <f t="shared" si="4"/>
        <v>24</v>
      </c>
      <c r="E35" s="128">
        <f t="shared" si="0"/>
        <v>14.18</v>
      </c>
      <c r="F35" s="86" t="s">
        <v>199</v>
      </c>
      <c r="G35" s="102"/>
      <c r="H35" s="102"/>
      <c r="I35" s="106">
        <f>IF(NOT(ISNA(VLOOKUP(B35,'FL Contract Prices'!$A$2:$C$71,3,FALSE))),VLOOKUP(B35,'FL Contract Prices'!$A$2:$C$71,3,FALSE),ROUND(D35*0.7,-1))</f>
        <v>20</v>
      </c>
      <c r="J35" s="106"/>
      <c r="K35" s="102"/>
      <c r="L35" s="146"/>
      <c r="M35" s="146"/>
      <c r="N35" s="146"/>
      <c r="O35" s="155"/>
      <c r="P35" s="150">
        <v>4.18</v>
      </c>
      <c r="Q35" s="48">
        <v>0</v>
      </c>
      <c r="R35" s="88"/>
      <c r="S35" s="88"/>
      <c r="T35" s="48">
        <f t="shared" si="7"/>
        <v>0</v>
      </c>
      <c r="U35" s="48" t="s">
        <v>179</v>
      </c>
      <c r="V35" s="48">
        <f t="shared" si="6"/>
        <v>10</v>
      </c>
      <c r="W35" s="83"/>
      <c r="X35" s="83" t="s">
        <v>1812</v>
      </c>
    </row>
    <row r="36" spans="1:24" x14ac:dyDescent="0.25">
      <c r="A36" s="82" t="s">
        <v>1813</v>
      </c>
      <c r="B36" s="82" t="s">
        <v>1814</v>
      </c>
      <c r="C36" s="82" t="s">
        <v>1815</v>
      </c>
      <c r="D36" s="84">
        <f t="shared" si="4"/>
        <v>3</v>
      </c>
      <c r="E36" s="128">
        <f t="shared" si="0"/>
        <v>1.5</v>
      </c>
      <c r="F36" s="86" t="s">
        <v>199</v>
      </c>
      <c r="G36" s="102"/>
      <c r="H36" s="102"/>
      <c r="I36" s="106">
        <f>IF(NOT(ISNA(VLOOKUP(B36,'FL Contract Prices'!$A$2:$C$71,3,FALSE))),VLOOKUP(B36,'FL Contract Prices'!$A$2:$C$71,3,FALSE),ROUND(D36*0.7,-1))</f>
        <v>0</v>
      </c>
      <c r="J36" s="106"/>
      <c r="K36" s="102"/>
      <c r="L36" s="146"/>
      <c r="M36" s="146"/>
      <c r="N36" s="146"/>
      <c r="O36" s="155"/>
      <c r="P36" s="150">
        <v>1.5</v>
      </c>
      <c r="Q36" s="48"/>
      <c r="R36" s="88"/>
      <c r="S36" s="88"/>
      <c r="T36" s="48">
        <f t="shared" si="7"/>
        <v>0</v>
      </c>
      <c r="U36" s="48" t="s">
        <v>287</v>
      </c>
      <c r="V36" s="48">
        <f t="shared" si="6"/>
        <v>0</v>
      </c>
      <c r="W36" s="83"/>
      <c r="X36" s="83" t="s">
        <v>1800</v>
      </c>
    </row>
    <row r="37" spans="1:24" x14ac:dyDescent="0.25">
      <c r="A37" s="82" t="s">
        <v>1816</v>
      </c>
      <c r="B37" s="82" t="s">
        <v>1817</v>
      </c>
      <c r="C37" s="82" t="s">
        <v>1818</v>
      </c>
      <c r="D37" s="84">
        <f t="shared" si="4"/>
        <v>420</v>
      </c>
      <c r="E37" s="128">
        <f t="shared" si="0"/>
        <v>247.56</v>
      </c>
      <c r="F37" s="86" t="s">
        <v>199</v>
      </c>
      <c r="G37" s="102"/>
      <c r="H37" s="102"/>
      <c r="I37" s="106">
        <f>IF(NOT(ISNA(VLOOKUP(B37,'FL Contract Prices'!$A$2:$C$71,3,FALSE))),VLOOKUP(B37,'FL Contract Prices'!$A$2:$C$71,3,FALSE),ROUND(D37*0.7,-1))</f>
        <v>290</v>
      </c>
      <c r="J37" s="106"/>
      <c r="K37" s="102"/>
      <c r="L37" s="146"/>
      <c r="M37" s="146"/>
      <c r="N37" s="146"/>
      <c r="O37" s="155"/>
      <c r="P37" s="150">
        <v>217.56</v>
      </c>
      <c r="Q37" s="48">
        <v>20</v>
      </c>
      <c r="R37" s="88"/>
      <c r="S37" s="88"/>
      <c r="T37" s="48">
        <f t="shared" si="7"/>
        <v>0</v>
      </c>
      <c r="U37" s="48" t="s">
        <v>179</v>
      </c>
      <c r="V37" s="48">
        <f t="shared" si="6"/>
        <v>10</v>
      </c>
      <c r="W37" s="83"/>
      <c r="X37" s="83" t="s">
        <v>1819</v>
      </c>
    </row>
    <row r="38" spans="1:24" ht="30" x14ac:dyDescent="0.25">
      <c r="A38" s="87" t="s">
        <v>276</v>
      </c>
      <c r="B38" s="83" t="s">
        <v>277</v>
      </c>
      <c r="C38" s="82" t="s">
        <v>278</v>
      </c>
      <c r="D38" s="84">
        <f t="shared" si="4"/>
        <v>220</v>
      </c>
      <c r="E38" s="128">
        <f t="shared" si="0"/>
        <v>126.67</v>
      </c>
      <c r="F38" s="86" t="s">
        <v>199</v>
      </c>
      <c r="G38" s="102"/>
      <c r="H38" s="102"/>
      <c r="I38" s="106">
        <f>IF(NOT(ISNA(VLOOKUP(B38,'FL Contract Prices'!$A$2:$C$71,3,FALSE))),VLOOKUP(B38,'FL Contract Prices'!$A$2:$C$71,3,FALSE),ROUND(D38*0.7,-1))</f>
        <v>150</v>
      </c>
      <c r="J38" s="106"/>
      <c r="K38" s="102"/>
      <c r="L38" s="146"/>
      <c r="M38" s="146"/>
      <c r="N38" s="146"/>
      <c r="O38" s="155"/>
      <c r="P38" s="149">
        <v>116.67</v>
      </c>
      <c r="Q38" s="48"/>
      <c r="R38" s="88"/>
      <c r="S38" s="88"/>
      <c r="T38" s="48">
        <f t="shared" si="7"/>
        <v>0</v>
      </c>
      <c r="U38" s="48" t="s">
        <v>179</v>
      </c>
      <c r="V38" s="48">
        <f t="shared" si="6"/>
        <v>10</v>
      </c>
      <c r="W38" s="83"/>
      <c r="X38" s="83" t="s">
        <v>279</v>
      </c>
    </row>
    <row r="39" spans="1:24" ht="30" x14ac:dyDescent="0.25">
      <c r="A39" s="87" t="s">
        <v>280</v>
      </c>
      <c r="B39" s="83" t="s">
        <v>281</v>
      </c>
      <c r="C39" s="82" t="s">
        <v>282</v>
      </c>
      <c r="D39" s="84">
        <f t="shared" si="4"/>
        <v>220</v>
      </c>
      <c r="E39" s="128">
        <f t="shared" si="0"/>
        <v>126.67</v>
      </c>
      <c r="F39" s="86" t="s">
        <v>199</v>
      </c>
      <c r="G39" s="102"/>
      <c r="H39" s="102"/>
      <c r="I39" s="106">
        <f>IF(NOT(ISNA(VLOOKUP(B39,'FL Contract Prices'!$A$2:$C$71,3,FALSE))),VLOOKUP(B39,'FL Contract Prices'!$A$2:$C$71,3,FALSE),ROUND(D39*0.7,-1))</f>
        <v>150</v>
      </c>
      <c r="J39" s="106"/>
      <c r="K39" s="102"/>
      <c r="L39" s="146"/>
      <c r="M39" s="146"/>
      <c r="N39" s="146"/>
      <c r="O39" s="155"/>
      <c r="P39" s="149">
        <v>116.67</v>
      </c>
      <c r="Q39" s="48"/>
      <c r="R39" s="88"/>
      <c r="S39" s="88"/>
      <c r="T39" s="48">
        <f t="shared" si="7"/>
        <v>0</v>
      </c>
      <c r="U39" s="48" t="s">
        <v>179</v>
      </c>
      <c r="V39" s="48">
        <f t="shared" si="6"/>
        <v>10</v>
      </c>
      <c r="W39" s="83"/>
      <c r="X39" s="83" t="s">
        <v>283</v>
      </c>
    </row>
    <row r="40" spans="1:24" ht="30" x14ac:dyDescent="0.25">
      <c r="A40" s="87" t="s">
        <v>1820</v>
      </c>
      <c r="B40" s="82" t="s">
        <v>1821</v>
      </c>
      <c r="C40" s="82" t="s">
        <v>1822</v>
      </c>
      <c r="D40" s="84">
        <f t="shared" si="4"/>
        <v>34</v>
      </c>
      <c r="E40" s="128">
        <f t="shared" si="0"/>
        <v>19.990000000000002</v>
      </c>
      <c r="F40" s="86" t="s">
        <v>199</v>
      </c>
      <c r="G40" s="102"/>
      <c r="H40" s="102"/>
      <c r="I40" s="106">
        <f>IF(NOT(ISNA(VLOOKUP(B40,'FL Contract Prices'!$A$2:$C$71,3,FALSE))),VLOOKUP(B40,'FL Contract Prices'!$A$2:$C$71,3,FALSE),ROUND(D40*0.7,-1))</f>
        <v>20</v>
      </c>
      <c r="J40" s="106"/>
      <c r="K40" s="102"/>
      <c r="L40" s="146"/>
      <c r="M40" s="146"/>
      <c r="N40" s="146"/>
      <c r="O40" s="155"/>
      <c r="P40" s="150">
        <v>9.99</v>
      </c>
      <c r="Q40" s="48"/>
      <c r="R40" s="88"/>
      <c r="S40" s="88"/>
      <c r="T40" s="48">
        <f t="shared" si="7"/>
        <v>0</v>
      </c>
      <c r="U40" s="48" t="s">
        <v>179</v>
      </c>
      <c r="V40" s="48">
        <f t="shared" si="6"/>
        <v>10</v>
      </c>
      <c r="W40" s="83"/>
      <c r="X40" s="83" t="s">
        <v>1823</v>
      </c>
    </row>
    <row r="41" spans="1:24" x14ac:dyDescent="0.25">
      <c r="A41" s="87" t="s">
        <v>284</v>
      </c>
      <c r="B41" s="82" t="s">
        <v>285</v>
      </c>
      <c r="C41" s="82" t="s">
        <v>286</v>
      </c>
      <c r="D41" s="84">
        <f t="shared" si="4"/>
        <v>7</v>
      </c>
      <c r="E41" s="128">
        <f t="shared" si="0"/>
        <v>3.6989999999999998</v>
      </c>
      <c r="F41" s="86" t="s">
        <v>199</v>
      </c>
      <c r="G41" s="102"/>
      <c r="H41" s="102"/>
      <c r="I41" s="106">
        <f>IF(NOT(ISNA(VLOOKUP(B41,'FL Contract Prices'!$A$2:$C$71,3,FALSE))),VLOOKUP(B41,'FL Contract Prices'!$A$2:$C$71,3,FALSE),ROUND(D41*0.7,-1))</f>
        <v>0</v>
      </c>
      <c r="J41" s="106"/>
      <c r="K41" s="102"/>
      <c r="L41" s="146"/>
      <c r="M41" s="146"/>
      <c r="N41" s="146"/>
      <c r="O41" s="155"/>
      <c r="P41" s="150">
        <v>3</v>
      </c>
      <c r="Q41" s="48">
        <f>6.99/10</f>
        <v>0.69900000000000007</v>
      </c>
      <c r="R41" s="88"/>
      <c r="S41" s="88"/>
      <c r="T41" s="48">
        <f t="shared" si="7"/>
        <v>0</v>
      </c>
      <c r="U41" s="48" t="s">
        <v>287</v>
      </c>
      <c r="V41" s="48">
        <f t="shared" si="6"/>
        <v>0</v>
      </c>
      <c r="W41" s="83"/>
      <c r="X41" s="83" t="s">
        <v>288</v>
      </c>
    </row>
    <row r="42" spans="1:24" x14ac:dyDescent="0.25">
      <c r="A42" s="87" t="s">
        <v>289</v>
      </c>
      <c r="B42" s="82" t="s">
        <v>290</v>
      </c>
      <c r="C42" s="82" t="s">
        <v>291</v>
      </c>
      <c r="D42" s="84">
        <f t="shared" si="4"/>
        <v>5</v>
      </c>
      <c r="E42" s="128">
        <f t="shared" si="0"/>
        <v>2.6989999999999998</v>
      </c>
      <c r="F42" s="86" t="s">
        <v>199</v>
      </c>
      <c r="G42" s="102"/>
      <c r="H42" s="102"/>
      <c r="I42" s="106">
        <f>IF(NOT(ISNA(VLOOKUP(B42,'FL Contract Prices'!$A$2:$C$71,3,FALSE))),VLOOKUP(B42,'FL Contract Prices'!$A$2:$C$71,3,FALSE),ROUND(D42*0.7,-1))</f>
        <v>0</v>
      </c>
      <c r="J42" s="106"/>
      <c r="K42" s="102"/>
      <c r="L42" s="146"/>
      <c r="M42" s="146"/>
      <c r="N42" s="146"/>
      <c r="O42" s="155"/>
      <c r="P42" s="150">
        <v>2</v>
      </c>
      <c r="Q42" s="48">
        <f>6.99/10</f>
        <v>0.69900000000000007</v>
      </c>
      <c r="R42" s="88"/>
      <c r="S42" s="88"/>
      <c r="T42" s="48">
        <f t="shared" si="7"/>
        <v>0</v>
      </c>
      <c r="U42" s="48" t="s">
        <v>287</v>
      </c>
      <c r="V42" s="48">
        <f t="shared" si="6"/>
        <v>0</v>
      </c>
      <c r="W42" s="83"/>
      <c r="X42" s="83" t="s">
        <v>292</v>
      </c>
    </row>
    <row r="43" spans="1:24" x14ac:dyDescent="0.25">
      <c r="A43" s="82" t="s">
        <v>293</v>
      </c>
      <c r="B43" s="82" t="s">
        <v>294</v>
      </c>
      <c r="C43" s="82" t="s">
        <v>295</v>
      </c>
      <c r="D43" s="84">
        <f t="shared" si="4"/>
        <v>17</v>
      </c>
      <c r="E43" s="128">
        <f t="shared" si="0"/>
        <v>10</v>
      </c>
      <c r="F43" s="86" t="s">
        <v>199</v>
      </c>
      <c r="G43" s="102"/>
      <c r="H43" s="102"/>
      <c r="I43" s="106">
        <f>IF(NOT(ISNA(VLOOKUP(B43,'FL Contract Prices'!$A$2:$C$71,3,FALSE))),VLOOKUP(B43,'FL Contract Prices'!$A$2:$C$71,3,FALSE),ROUND(D43*0.7,-1))</f>
        <v>10</v>
      </c>
      <c r="J43" s="106"/>
      <c r="K43" s="102"/>
      <c r="L43" s="146"/>
      <c r="M43" s="146"/>
      <c r="N43" s="146"/>
      <c r="O43" s="155"/>
      <c r="P43" s="150">
        <v>10</v>
      </c>
      <c r="Q43" s="48"/>
      <c r="R43" s="88"/>
      <c r="S43" s="88"/>
      <c r="T43" s="48">
        <f t="shared" si="7"/>
        <v>0</v>
      </c>
      <c r="U43" s="48" t="s">
        <v>287</v>
      </c>
      <c r="V43" s="48">
        <f t="shared" si="6"/>
        <v>0</v>
      </c>
      <c r="W43" s="83"/>
      <c r="X43" s="83" t="s">
        <v>296</v>
      </c>
    </row>
    <row r="44" spans="1:24" ht="30" x14ac:dyDescent="0.25">
      <c r="A44" s="82" t="s">
        <v>297</v>
      </c>
      <c r="B44" s="82" t="s">
        <v>298</v>
      </c>
      <c r="C44" s="82" t="s">
        <v>299</v>
      </c>
      <c r="D44" s="84">
        <f t="shared" si="4"/>
        <v>10</v>
      </c>
      <c r="E44" s="128">
        <f t="shared" si="0"/>
        <v>6</v>
      </c>
      <c r="F44" s="86" t="s">
        <v>199</v>
      </c>
      <c r="G44" s="102"/>
      <c r="H44" s="102"/>
      <c r="I44" s="106">
        <f>IF(NOT(ISNA(VLOOKUP(B44,'FL Contract Prices'!$A$2:$C$71,3,FALSE))),VLOOKUP(B44,'FL Contract Prices'!$A$2:$C$71,3,FALSE),ROUND(D44*0.7,-1))</f>
        <v>10</v>
      </c>
      <c r="J44" s="106"/>
      <c r="K44" s="102"/>
      <c r="L44" s="146"/>
      <c r="M44" s="146"/>
      <c r="N44" s="146"/>
      <c r="O44" s="155"/>
      <c r="P44" s="150">
        <v>6</v>
      </c>
      <c r="Q44" s="48"/>
      <c r="R44" s="88"/>
      <c r="S44" s="88"/>
      <c r="T44" s="48">
        <f t="shared" si="7"/>
        <v>0</v>
      </c>
      <c r="U44" s="48" t="s">
        <v>287</v>
      </c>
      <c r="V44" s="48">
        <f t="shared" si="6"/>
        <v>0</v>
      </c>
      <c r="W44" s="83"/>
      <c r="X44" s="83" t="s">
        <v>300</v>
      </c>
    </row>
    <row r="45" spans="1:24" x14ac:dyDescent="0.25">
      <c r="A45" s="87" t="s">
        <v>301</v>
      </c>
      <c r="B45" s="82" t="s">
        <v>302</v>
      </c>
      <c r="C45" s="82" t="s">
        <v>303</v>
      </c>
      <c r="D45" s="84">
        <f t="shared" si="4"/>
        <v>20</v>
      </c>
      <c r="E45" s="128">
        <f t="shared" si="0"/>
        <v>11.6195</v>
      </c>
      <c r="F45" s="86" t="s">
        <v>199</v>
      </c>
      <c r="G45" s="102"/>
      <c r="H45" s="102"/>
      <c r="I45" s="106">
        <f>IF(NOT(ISNA(VLOOKUP(B45,'FL Contract Prices'!$A$2:$C$71,3,FALSE))),VLOOKUP(B45,'FL Contract Prices'!$A$2:$C$71,3,FALSE),ROUND(D45*0.7,-1))</f>
        <v>10</v>
      </c>
      <c r="J45" s="106"/>
      <c r="K45" s="102"/>
      <c r="L45" s="146"/>
      <c r="M45" s="146"/>
      <c r="N45" s="146"/>
      <c r="O45" s="155"/>
      <c r="P45" s="150">
        <v>1.27</v>
      </c>
      <c r="Q45" s="48">
        <f>6.99/20</f>
        <v>0.34950000000000003</v>
      </c>
      <c r="R45" s="88"/>
      <c r="S45" s="88"/>
      <c r="T45" s="48">
        <f t="shared" si="7"/>
        <v>0</v>
      </c>
      <c r="U45" s="48" t="s">
        <v>287</v>
      </c>
      <c r="V45" s="48">
        <v>10</v>
      </c>
      <c r="W45" s="83"/>
      <c r="X45" s="83" t="s">
        <v>304</v>
      </c>
    </row>
    <row r="46" spans="1:24" x14ac:dyDescent="0.25">
      <c r="A46" s="82" t="s">
        <v>305</v>
      </c>
      <c r="B46" s="82" t="s">
        <v>306</v>
      </c>
      <c r="C46" s="82" t="s">
        <v>1824</v>
      </c>
      <c r="D46" s="84">
        <f t="shared" si="4"/>
        <v>17</v>
      </c>
      <c r="E46" s="128">
        <f t="shared" si="0"/>
        <v>10</v>
      </c>
      <c r="F46" s="86" t="s">
        <v>199</v>
      </c>
      <c r="G46" s="102"/>
      <c r="H46" s="102"/>
      <c r="I46" s="106">
        <f>IF(NOT(ISNA(VLOOKUP(B46,'FL Contract Prices'!$A$2:$C$71,3,FALSE))),VLOOKUP(B46,'FL Contract Prices'!$A$2:$C$71,3,FALSE),ROUND(D46*0.7,-1))</f>
        <v>10</v>
      </c>
      <c r="J46" s="106"/>
      <c r="K46" s="102"/>
      <c r="L46" s="146"/>
      <c r="M46" s="146"/>
      <c r="N46" s="146"/>
      <c r="O46" s="155"/>
      <c r="P46" s="150"/>
      <c r="Q46" s="48"/>
      <c r="R46" s="88"/>
      <c r="S46" s="88"/>
      <c r="T46" s="48">
        <f t="shared" si="7"/>
        <v>0</v>
      </c>
      <c r="U46" s="48" t="s">
        <v>179</v>
      </c>
      <c r="V46" s="48">
        <f t="shared" ref="V46:V109" si="8">IF(U46="Bulk",0,IF(U46="Std", 10,IF(U46="Pickup",20,30)))/60*60</f>
        <v>10</v>
      </c>
      <c r="W46" s="83"/>
      <c r="X46" s="83" t="s">
        <v>308</v>
      </c>
    </row>
    <row r="47" spans="1:24" x14ac:dyDescent="0.25">
      <c r="A47" s="82" t="s">
        <v>309</v>
      </c>
      <c r="B47" s="82" t="s">
        <v>310</v>
      </c>
      <c r="C47" s="82" t="s">
        <v>311</v>
      </c>
      <c r="D47" s="84">
        <f t="shared" si="4"/>
        <v>21</v>
      </c>
      <c r="E47" s="128">
        <f t="shared" si="0"/>
        <v>12.349499999999999</v>
      </c>
      <c r="F47" s="86" t="s">
        <v>199</v>
      </c>
      <c r="G47" s="102"/>
      <c r="H47" s="102"/>
      <c r="I47" s="106">
        <f>IF(NOT(ISNA(VLOOKUP(B47,'FL Contract Prices'!$A$2:$C$71,3,FALSE))),VLOOKUP(B47,'FL Contract Prices'!$A$2:$C$71,3,FALSE),ROUND(D47*0.7,-1))</f>
        <v>10</v>
      </c>
      <c r="J47" s="106"/>
      <c r="K47" s="102"/>
      <c r="L47" s="146"/>
      <c r="M47" s="146"/>
      <c r="N47" s="146"/>
      <c r="O47" s="155"/>
      <c r="P47" s="150">
        <v>2</v>
      </c>
      <c r="Q47" s="48">
        <f>6.99/20</f>
        <v>0.34950000000000003</v>
      </c>
      <c r="R47" s="88"/>
      <c r="S47" s="88"/>
      <c r="T47" s="48">
        <f t="shared" si="7"/>
        <v>0</v>
      </c>
      <c r="U47" s="48" t="s">
        <v>179</v>
      </c>
      <c r="V47" s="48">
        <f t="shared" si="8"/>
        <v>10</v>
      </c>
      <c r="W47" s="83"/>
      <c r="X47" s="83" t="s">
        <v>312</v>
      </c>
    </row>
    <row r="48" spans="1:24" x14ac:dyDescent="0.25">
      <c r="A48" s="82" t="s">
        <v>313</v>
      </c>
      <c r="B48" s="82" t="s">
        <v>314</v>
      </c>
      <c r="C48" s="82" t="s">
        <v>315</v>
      </c>
      <c r="D48" s="84">
        <f t="shared" si="4"/>
        <v>150</v>
      </c>
      <c r="E48" s="128">
        <f t="shared" si="0"/>
        <v>85.470588235294116</v>
      </c>
      <c r="F48" s="86" t="s">
        <v>199</v>
      </c>
      <c r="G48" s="102"/>
      <c r="H48" s="102"/>
      <c r="I48" s="106">
        <f>IF(NOT(ISNA(VLOOKUP(B48,'FL Contract Prices'!$A$2:$C$71,3,FALSE))),VLOOKUP(B48,'FL Contract Prices'!$A$2:$C$71,3,FALSE),ROUND(D48*0.7,-1))</f>
        <v>110</v>
      </c>
      <c r="J48" s="106"/>
      <c r="K48" s="102"/>
      <c r="L48" s="146"/>
      <c r="M48" s="146"/>
      <c r="N48" s="146"/>
      <c r="O48" s="155"/>
      <c r="P48" s="150">
        <v>75</v>
      </c>
      <c r="Q48" s="48"/>
      <c r="R48" s="88">
        <v>3</v>
      </c>
      <c r="S48" s="88">
        <f>6*4</f>
        <v>24</v>
      </c>
      <c r="T48" s="48">
        <f t="shared" si="7"/>
        <v>0.47058823529411764</v>
      </c>
      <c r="U48" s="48" t="s">
        <v>179</v>
      </c>
      <c r="V48" s="48">
        <f t="shared" si="8"/>
        <v>10</v>
      </c>
      <c r="W48" s="83"/>
      <c r="X48" s="83" t="s">
        <v>316</v>
      </c>
    </row>
    <row r="49" spans="1:24" x14ac:dyDescent="0.25">
      <c r="A49" s="82" t="s">
        <v>317</v>
      </c>
      <c r="B49" s="82" t="s">
        <v>318</v>
      </c>
      <c r="C49" s="82" t="s">
        <v>319</v>
      </c>
      <c r="D49" s="84">
        <f t="shared" si="4"/>
        <v>940</v>
      </c>
      <c r="E49" s="128">
        <f t="shared" si="0"/>
        <v>560.82352941176475</v>
      </c>
      <c r="F49" s="86" t="s">
        <v>199</v>
      </c>
      <c r="G49" s="102"/>
      <c r="H49" s="102"/>
      <c r="I49" s="106">
        <f>IF(NOT(ISNA(VLOOKUP(B49,'FL Contract Prices'!$A$2:$C$71,3,FALSE))),VLOOKUP(B49,'FL Contract Prices'!$A$2:$C$71,3,FALSE),ROUND(D49*0.7,-1))</f>
        <v>1048.4199999999998</v>
      </c>
      <c r="J49" s="106"/>
      <c r="K49" s="102"/>
      <c r="L49" s="146"/>
      <c r="M49" s="146"/>
      <c r="N49" s="146"/>
      <c r="O49" s="155"/>
      <c r="P49" s="150">
        <v>530</v>
      </c>
      <c r="Q49" s="48">
        <v>0</v>
      </c>
      <c r="R49" s="88">
        <v>2</v>
      </c>
      <c r="S49" s="88">
        <f>9*7</f>
        <v>63</v>
      </c>
      <c r="T49" s="48">
        <f t="shared" si="7"/>
        <v>0.82352941176470595</v>
      </c>
      <c r="U49" s="48" t="s">
        <v>320</v>
      </c>
      <c r="V49" s="48">
        <f t="shared" si="8"/>
        <v>30</v>
      </c>
      <c r="W49" s="83"/>
      <c r="X49" s="83" t="s">
        <v>321</v>
      </c>
    </row>
    <row r="50" spans="1:24" x14ac:dyDescent="0.25">
      <c r="A50" s="82" t="s">
        <v>322</v>
      </c>
      <c r="B50" s="82" t="s">
        <v>323</v>
      </c>
      <c r="C50" s="82" t="s">
        <v>324</v>
      </c>
      <c r="D50" s="84">
        <f t="shared" si="4"/>
        <v>90</v>
      </c>
      <c r="E50" s="128">
        <f t="shared" si="0"/>
        <v>52.823529411764703</v>
      </c>
      <c r="F50" s="86" t="s">
        <v>199</v>
      </c>
      <c r="G50" s="102"/>
      <c r="H50" s="102"/>
      <c r="I50" s="106">
        <f>IF(NOT(ISNA(VLOOKUP(B50,'FL Contract Prices'!$A$2:$C$71,3,FALSE))),VLOOKUP(B50,'FL Contract Prices'!$A$2:$C$71,3,FALSE),ROUND(D50*0.7,-1))</f>
        <v>60</v>
      </c>
      <c r="J50" s="106"/>
      <c r="K50" s="102"/>
      <c r="L50" s="146"/>
      <c r="M50" s="146"/>
      <c r="N50" s="146"/>
      <c r="O50" s="155"/>
      <c r="P50" s="150">
        <v>40</v>
      </c>
      <c r="Q50" s="48"/>
      <c r="R50" s="88">
        <v>3</v>
      </c>
      <c r="S50" s="88">
        <f>3*48</f>
        <v>144</v>
      </c>
      <c r="T50" s="48">
        <f t="shared" si="7"/>
        <v>2.8235294117647061</v>
      </c>
      <c r="U50" s="48" t="s">
        <v>179</v>
      </c>
      <c r="V50" s="48">
        <f t="shared" si="8"/>
        <v>10</v>
      </c>
      <c r="W50" s="83"/>
      <c r="X50" s="83" t="s">
        <v>325</v>
      </c>
    </row>
    <row r="51" spans="1:24" x14ac:dyDescent="0.25">
      <c r="A51" s="82" t="s">
        <v>326</v>
      </c>
      <c r="B51" s="82" t="s">
        <v>327</v>
      </c>
      <c r="C51" s="82" t="s">
        <v>328</v>
      </c>
      <c r="D51" s="84">
        <f t="shared" si="4"/>
        <v>60</v>
      </c>
      <c r="E51" s="128">
        <f t="shared" si="0"/>
        <v>30.042287581699345</v>
      </c>
      <c r="F51" s="86" t="s">
        <v>199</v>
      </c>
      <c r="G51" s="102"/>
      <c r="H51" s="102"/>
      <c r="I51" s="106">
        <f>IF(NOT(ISNA(VLOOKUP(B51,'FL Contract Prices'!$A$2:$C$71,3,FALSE))),VLOOKUP(B51,'FL Contract Prices'!$A$2:$C$71,3,FALSE),ROUND(D51*0.7,-1))</f>
        <v>40</v>
      </c>
      <c r="J51" s="106"/>
      <c r="K51" s="102"/>
      <c r="L51" s="146"/>
      <c r="M51" s="146"/>
      <c r="N51" s="146"/>
      <c r="O51" s="155"/>
      <c r="P51" s="150">
        <v>19.989999999999998</v>
      </c>
      <c r="Q51" s="48">
        <v>0</v>
      </c>
      <c r="R51" s="88">
        <v>2</v>
      </c>
      <c r="S51" s="88">
        <f>2*2</f>
        <v>4</v>
      </c>
      <c r="T51" s="48">
        <f t="shared" si="7"/>
        <v>5.2287581699346407E-2</v>
      </c>
      <c r="U51" s="48" t="s">
        <v>179</v>
      </c>
      <c r="V51" s="48">
        <f t="shared" si="8"/>
        <v>10</v>
      </c>
      <c r="W51" s="83"/>
      <c r="X51" s="83" t="s">
        <v>329</v>
      </c>
    </row>
    <row r="52" spans="1:24" x14ac:dyDescent="0.25">
      <c r="A52" s="82" t="s">
        <v>1825</v>
      </c>
      <c r="B52" s="82" t="s">
        <v>1826</v>
      </c>
      <c r="C52" s="82" t="s">
        <v>1827</v>
      </c>
      <c r="D52" s="84">
        <f t="shared" si="4"/>
        <v>60</v>
      </c>
      <c r="E52" s="128">
        <f t="shared" si="0"/>
        <v>30.209150326797385</v>
      </c>
      <c r="F52" s="86" t="s">
        <v>199</v>
      </c>
      <c r="G52" s="102"/>
      <c r="H52" s="102"/>
      <c r="I52" s="106">
        <f>IF(NOT(ISNA(VLOOKUP(B52,'FL Contract Prices'!$A$2:$C$71,3,FALSE))),VLOOKUP(B52,'FL Contract Prices'!$A$2:$C$71,3,FALSE),ROUND(D52*0.7,-1))</f>
        <v>40</v>
      </c>
      <c r="J52" s="106"/>
      <c r="K52" s="102"/>
      <c r="L52" s="146"/>
      <c r="M52" s="146"/>
      <c r="N52" s="146"/>
      <c r="O52" s="155"/>
      <c r="P52" s="150">
        <v>20</v>
      </c>
      <c r="Q52" s="48">
        <v>0</v>
      </c>
      <c r="R52" s="88">
        <v>2</v>
      </c>
      <c r="S52" s="88">
        <f>2*8</f>
        <v>16</v>
      </c>
      <c r="T52" s="48">
        <f t="shared" si="7"/>
        <v>0.20915032679738563</v>
      </c>
      <c r="U52" s="48" t="s">
        <v>179</v>
      </c>
      <c r="V52" s="48">
        <f t="shared" si="8"/>
        <v>10</v>
      </c>
      <c r="W52" s="83"/>
      <c r="X52" s="83" t="s">
        <v>1828</v>
      </c>
    </row>
    <row r="53" spans="1:24" ht="30" x14ac:dyDescent="0.25">
      <c r="A53" s="82" t="s">
        <v>1829</v>
      </c>
      <c r="B53" s="82" t="s">
        <v>1830</v>
      </c>
      <c r="C53" s="82" t="s">
        <v>1831</v>
      </c>
      <c r="D53" s="84">
        <f t="shared" si="4"/>
        <v>190</v>
      </c>
      <c r="E53" s="128">
        <f t="shared" si="0"/>
        <v>110.31372549019608</v>
      </c>
      <c r="F53" s="86" t="s">
        <v>199</v>
      </c>
      <c r="G53" s="102"/>
      <c r="H53" s="102"/>
      <c r="I53" s="106">
        <f>IF(NOT(ISNA(VLOOKUP(B53,'FL Contract Prices'!$A$2:$C$71,3,FALSE))),VLOOKUP(B53,'FL Contract Prices'!$A$2:$C$71,3,FALSE),ROUND(D53*0.7,-1))</f>
        <v>130</v>
      </c>
      <c r="J53" s="106"/>
      <c r="K53" s="102"/>
      <c r="L53" s="146"/>
      <c r="M53" s="146"/>
      <c r="N53" s="146"/>
      <c r="O53" s="155"/>
      <c r="P53" s="151">
        <v>100</v>
      </c>
      <c r="Q53" s="48"/>
      <c r="R53" s="88">
        <v>2</v>
      </c>
      <c r="S53" s="88">
        <f>4*6</f>
        <v>24</v>
      </c>
      <c r="T53" s="48">
        <f t="shared" si="7"/>
        <v>0.31372549019607843</v>
      </c>
      <c r="U53" s="48" t="s">
        <v>179</v>
      </c>
      <c r="V53" s="48">
        <f t="shared" si="8"/>
        <v>10</v>
      </c>
      <c r="W53" s="83"/>
      <c r="X53" s="83" t="s">
        <v>333</v>
      </c>
    </row>
    <row r="54" spans="1:24" ht="30" x14ac:dyDescent="0.25">
      <c r="A54" s="82" t="s">
        <v>1832</v>
      </c>
      <c r="B54" s="82" t="s">
        <v>335</v>
      </c>
      <c r="C54" s="82" t="s">
        <v>1832</v>
      </c>
      <c r="D54" s="84">
        <f t="shared" si="4"/>
        <v>1310</v>
      </c>
      <c r="E54" s="128">
        <f t="shared" si="0"/>
        <v>785.76352941176481</v>
      </c>
      <c r="F54" s="86" t="s">
        <v>199</v>
      </c>
      <c r="G54" s="102"/>
      <c r="H54" s="102"/>
      <c r="I54" s="106">
        <f>IF(NOT(ISNA(VLOOKUP(B54,'FL Contract Prices'!$A$2:$C$71,3,FALSE))),VLOOKUP(B54,'FL Contract Prices'!$A$2:$C$71,3,FALSE),ROUND(D54*0.7,-1))</f>
        <v>1636.2419999999997</v>
      </c>
      <c r="J54" s="106"/>
      <c r="K54" s="102"/>
      <c r="L54" s="146"/>
      <c r="M54" s="146"/>
      <c r="N54" s="146"/>
      <c r="O54" s="155"/>
      <c r="P54" s="150">
        <f>P$49+P$48+P$51+P$57+P$53</f>
        <v>774.94</v>
      </c>
      <c r="Q54" s="48">
        <v>0</v>
      </c>
      <c r="R54" s="88">
        <v>2</v>
      </c>
      <c r="S54" s="88">
        <f>9*7</f>
        <v>63</v>
      </c>
      <c r="T54" s="48">
        <f t="shared" si="7"/>
        <v>0.82352941176470595</v>
      </c>
      <c r="U54" s="48" t="s">
        <v>179</v>
      </c>
      <c r="V54" s="48">
        <f t="shared" si="8"/>
        <v>10</v>
      </c>
      <c r="W54" s="83"/>
      <c r="X54" s="83" t="s">
        <v>321</v>
      </c>
    </row>
    <row r="55" spans="1:24" ht="45" x14ac:dyDescent="0.25">
      <c r="A55" s="82" t="s">
        <v>336</v>
      </c>
      <c r="B55" s="82" t="s">
        <v>337</v>
      </c>
      <c r="C55" s="82" t="s">
        <v>338</v>
      </c>
      <c r="D55" s="84">
        <f t="shared" si="4"/>
        <v>2100</v>
      </c>
      <c r="E55" s="128">
        <f t="shared" si="0"/>
        <v>1254.7635294117647</v>
      </c>
      <c r="F55" s="86" t="s">
        <v>199</v>
      </c>
      <c r="G55" s="102"/>
      <c r="H55" s="102"/>
      <c r="I55" s="106">
        <f>IF(NOT(ISNA(VLOOKUP(B55,'FL Contract Prices'!$A$2:$C$71,3,FALSE))),VLOOKUP(B55,'FL Contract Prices'!$A$2:$C$71,3,FALSE),ROUND(D55*0.7,-1))</f>
        <v>1470</v>
      </c>
      <c r="J55" s="106"/>
      <c r="K55" s="102"/>
      <c r="L55" s="146"/>
      <c r="M55" s="146"/>
      <c r="N55" s="146"/>
      <c r="O55" s="155"/>
      <c r="P55" s="150">
        <f>P$49+P$48+P$51+P$56+P$29</f>
        <v>1243.94</v>
      </c>
      <c r="Q55" s="48">
        <v>0</v>
      </c>
      <c r="R55" s="88">
        <v>2</v>
      </c>
      <c r="S55" s="88">
        <f>9*7</f>
        <v>63</v>
      </c>
      <c r="T55" s="48">
        <f t="shared" si="7"/>
        <v>0.82352941176470595</v>
      </c>
      <c r="U55" s="48" t="s">
        <v>179</v>
      </c>
      <c r="V55" s="48">
        <f t="shared" si="8"/>
        <v>10</v>
      </c>
      <c r="W55" s="83"/>
      <c r="X55" s="83" t="s">
        <v>321</v>
      </c>
    </row>
    <row r="56" spans="1:24" ht="30" x14ac:dyDescent="0.25">
      <c r="A56" s="82" t="s">
        <v>339</v>
      </c>
      <c r="B56" s="82" t="s">
        <v>340</v>
      </c>
      <c r="C56" s="82" t="s">
        <v>341</v>
      </c>
      <c r="D56" s="84">
        <f t="shared" si="4"/>
        <v>730</v>
      </c>
      <c r="E56" s="128">
        <f t="shared" si="0"/>
        <v>434.23209150326795</v>
      </c>
      <c r="F56" s="86" t="s">
        <v>199</v>
      </c>
      <c r="G56" s="102"/>
      <c r="H56" s="102"/>
      <c r="I56" s="106">
        <f>IF(NOT(ISNA(VLOOKUP(B56,'FL Contract Prices'!$A$2:$C$71,3,FALSE))),VLOOKUP(B56,'FL Contract Prices'!$A$2:$C$71,3,FALSE),ROUND(D56*0.7,-1))</f>
        <v>510</v>
      </c>
      <c r="J56" s="106"/>
      <c r="K56" s="102"/>
      <c r="L56" s="146"/>
      <c r="M56" s="146"/>
      <c r="N56" s="146"/>
      <c r="O56" s="155"/>
      <c r="P56" s="150">
        <v>399.95</v>
      </c>
      <c r="Q56" s="48">
        <f>108.6/5</f>
        <v>21.72</v>
      </c>
      <c r="R56" s="88">
        <v>2</v>
      </c>
      <c r="S56" s="88">
        <f>14*14</f>
        <v>196</v>
      </c>
      <c r="T56" s="48">
        <f t="shared" si="7"/>
        <v>2.5620915032679736</v>
      </c>
      <c r="U56" s="48" t="s">
        <v>179</v>
      </c>
      <c r="V56" s="48">
        <f t="shared" si="8"/>
        <v>10</v>
      </c>
      <c r="W56" s="83"/>
      <c r="X56" s="83" t="s">
        <v>342</v>
      </c>
    </row>
    <row r="57" spans="1:24" x14ac:dyDescent="0.25">
      <c r="A57" s="82" t="s">
        <v>343</v>
      </c>
      <c r="B57" s="82" t="s">
        <v>344</v>
      </c>
      <c r="C57" s="82" t="s">
        <v>345</v>
      </c>
      <c r="D57" s="84">
        <f t="shared" si="4"/>
        <v>110</v>
      </c>
      <c r="E57" s="128">
        <f t="shared" si="0"/>
        <v>62.773529411764706</v>
      </c>
      <c r="F57" s="86" t="s">
        <v>199</v>
      </c>
      <c r="G57" s="102"/>
      <c r="H57" s="102"/>
      <c r="I57" s="106">
        <f>IF(NOT(ISNA(VLOOKUP(B57,'FL Contract Prices'!$A$2:$C$71,3,FALSE))),VLOOKUP(B57,'FL Contract Prices'!$A$2:$C$71,3,FALSE),ROUND(D57*0.7,-1))</f>
        <v>80</v>
      </c>
      <c r="J57" s="106"/>
      <c r="K57" s="102"/>
      <c r="L57" s="146"/>
      <c r="M57" s="146"/>
      <c r="N57" s="146"/>
      <c r="O57" s="155"/>
      <c r="P57" s="150">
        <v>49.95</v>
      </c>
      <c r="Q57" s="48"/>
      <c r="R57" s="88">
        <v>3</v>
      </c>
      <c r="S57" s="88">
        <f>6*24</f>
        <v>144</v>
      </c>
      <c r="T57" s="48">
        <f t="shared" si="7"/>
        <v>2.8235294117647061</v>
      </c>
      <c r="U57" s="48" t="s">
        <v>179</v>
      </c>
      <c r="V57" s="48">
        <f t="shared" si="8"/>
        <v>10</v>
      </c>
      <c r="W57" s="83"/>
      <c r="X57" s="83" t="s">
        <v>346</v>
      </c>
    </row>
    <row r="58" spans="1:24" x14ac:dyDescent="0.25">
      <c r="A58" s="82" t="s">
        <v>1833</v>
      </c>
      <c r="B58" s="82" t="s">
        <v>348</v>
      </c>
      <c r="C58" s="82" t="s">
        <v>1834</v>
      </c>
      <c r="D58" s="84">
        <f t="shared" si="4"/>
        <v>170</v>
      </c>
      <c r="E58" s="128">
        <f t="shared" si="0"/>
        <v>96.882352941176464</v>
      </c>
      <c r="F58" s="86" t="s">
        <v>199</v>
      </c>
      <c r="G58" s="102"/>
      <c r="H58" s="102"/>
      <c r="I58" s="106">
        <f>IF(NOT(ISNA(VLOOKUP(B58,'FL Contract Prices'!$A$2:$C$71,3,FALSE))),VLOOKUP(B58,'FL Contract Prices'!$A$2:$C$71,3,FALSE),ROUND(D58*0.7,-1))</f>
        <v>120</v>
      </c>
      <c r="J58" s="106"/>
      <c r="K58" s="102"/>
      <c r="L58" s="146"/>
      <c r="M58" s="146"/>
      <c r="N58" s="146"/>
      <c r="O58" s="155"/>
      <c r="P58" s="150">
        <v>85</v>
      </c>
      <c r="Q58" s="48"/>
      <c r="R58" s="88">
        <v>2</v>
      </c>
      <c r="S58" s="88">
        <f>12*12</f>
        <v>144</v>
      </c>
      <c r="T58" s="48">
        <f t="shared" si="7"/>
        <v>1.8823529411764708</v>
      </c>
      <c r="U58" s="48" t="s">
        <v>179</v>
      </c>
      <c r="V58" s="48">
        <f t="shared" si="8"/>
        <v>10</v>
      </c>
      <c r="W58" s="83"/>
      <c r="X58" s="83" t="s">
        <v>350</v>
      </c>
    </row>
    <row r="59" spans="1:24" x14ac:dyDescent="0.25">
      <c r="A59" s="82" t="s">
        <v>354</v>
      </c>
      <c r="B59" s="82" t="s">
        <v>355</v>
      </c>
      <c r="C59" s="82" t="s">
        <v>356</v>
      </c>
      <c r="D59" s="84">
        <f t="shared" si="4"/>
        <v>350</v>
      </c>
      <c r="E59" s="128">
        <f t="shared" si="0"/>
        <v>210</v>
      </c>
      <c r="F59" s="86" t="s">
        <v>199</v>
      </c>
      <c r="G59" s="102"/>
      <c r="H59" s="102"/>
      <c r="I59" s="106">
        <f>IF(NOT(ISNA(VLOOKUP(B59,'FL Contract Prices'!$A$2:$C$71,3,FALSE))),VLOOKUP(B59,'FL Contract Prices'!$A$2:$C$71,3,FALSE),ROUND(D59*0.7,-1))</f>
        <v>250</v>
      </c>
      <c r="J59" s="106"/>
      <c r="K59" s="102"/>
      <c r="L59" s="146"/>
      <c r="M59" s="146"/>
      <c r="N59" s="146"/>
      <c r="O59" s="155"/>
      <c r="P59" s="150">
        <v>200</v>
      </c>
      <c r="Q59" s="48"/>
      <c r="R59" s="88"/>
      <c r="S59" s="88"/>
      <c r="T59" s="48">
        <f t="shared" si="7"/>
        <v>0</v>
      </c>
      <c r="U59" s="48" t="s">
        <v>179</v>
      </c>
      <c r="V59" s="48">
        <f t="shared" si="8"/>
        <v>10</v>
      </c>
      <c r="W59" s="83"/>
      <c r="X59" s="83" t="s">
        <v>357</v>
      </c>
    </row>
    <row r="60" spans="1:24" ht="30" x14ac:dyDescent="0.25">
      <c r="A60" s="82" t="s">
        <v>358</v>
      </c>
      <c r="B60" s="82" t="s">
        <v>359</v>
      </c>
      <c r="C60" s="82" t="s">
        <v>360</v>
      </c>
      <c r="D60" s="84">
        <f t="shared" si="4"/>
        <v>230</v>
      </c>
      <c r="E60" s="128">
        <f t="shared" si="0"/>
        <v>134.11764705882354</v>
      </c>
      <c r="F60" s="86" t="s">
        <v>199</v>
      </c>
      <c r="G60" s="102"/>
      <c r="H60" s="102"/>
      <c r="I60" s="106">
        <f>IF(NOT(ISNA(VLOOKUP(B60,'FL Contract Prices'!$A$2:$C$71,3,FALSE))),VLOOKUP(B60,'FL Contract Prices'!$A$2:$C$71,3,FALSE),ROUND(D60*0.7,-1))</f>
        <v>160</v>
      </c>
      <c r="J60" s="106"/>
      <c r="K60" s="102"/>
      <c r="L60" s="146"/>
      <c r="M60" s="146"/>
      <c r="N60" s="146"/>
      <c r="O60" s="155"/>
      <c r="P60" s="150">
        <v>110</v>
      </c>
      <c r="Q60" s="48"/>
      <c r="R60" s="88">
        <v>3</v>
      </c>
      <c r="S60" s="88">
        <f>24*30</f>
        <v>720</v>
      </c>
      <c r="T60" s="48">
        <f t="shared" si="7"/>
        <v>14.117647058823529</v>
      </c>
      <c r="U60" s="48" t="s">
        <v>179</v>
      </c>
      <c r="V60" s="48">
        <f t="shared" si="8"/>
        <v>10</v>
      </c>
      <c r="W60" s="83"/>
      <c r="X60" s="83" t="s">
        <v>361</v>
      </c>
    </row>
    <row r="61" spans="1:24" ht="45" x14ac:dyDescent="0.25">
      <c r="A61" s="82" t="s">
        <v>362</v>
      </c>
      <c r="B61" s="82" t="s">
        <v>363</v>
      </c>
      <c r="C61" s="82" t="s">
        <v>364</v>
      </c>
      <c r="D61" s="84">
        <f t="shared" si="4"/>
        <v>1700</v>
      </c>
      <c r="E61" s="128">
        <f t="shared" si="0"/>
        <v>1019.1176470588235</v>
      </c>
      <c r="F61" s="86" t="s">
        <v>199</v>
      </c>
      <c r="G61" s="102"/>
      <c r="H61" s="102"/>
      <c r="I61" s="106">
        <f>IF(NOT(ISNA(VLOOKUP(B61,'FL Contract Prices'!$A$2:$C$71,3,FALSE))),VLOOKUP(B61,'FL Contract Prices'!$A$2:$C$71,3,FALSE),ROUND(D61*0.7,-1))</f>
        <v>1190</v>
      </c>
      <c r="J61" s="106"/>
      <c r="K61" s="102"/>
      <c r="L61" s="146"/>
      <c r="M61" s="146"/>
      <c r="N61" s="146"/>
      <c r="O61" s="155"/>
      <c r="P61" s="150">
        <v>995</v>
      </c>
      <c r="Q61" s="48"/>
      <c r="R61" s="88">
        <v>3</v>
      </c>
      <c r="S61" s="88">
        <f>24*30</f>
        <v>720</v>
      </c>
      <c r="T61" s="48">
        <f t="shared" si="7"/>
        <v>14.117647058823529</v>
      </c>
      <c r="U61" s="48" t="s">
        <v>179</v>
      </c>
      <c r="V61" s="48">
        <f t="shared" si="8"/>
        <v>10</v>
      </c>
      <c r="W61" s="83" t="s">
        <v>365</v>
      </c>
      <c r="X61" s="83" t="s">
        <v>366</v>
      </c>
    </row>
    <row r="62" spans="1:24" ht="30" x14ac:dyDescent="0.25">
      <c r="A62" s="82" t="s">
        <v>367</v>
      </c>
      <c r="B62" s="82" t="s">
        <v>368</v>
      </c>
      <c r="C62" s="82" t="s">
        <v>369</v>
      </c>
      <c r="D62" s="84">
        <f t="shared" si="4"/>
        <v>700</v>
      </c>
      <c r="E62" s="128">
        <f t="shared" si="0"/>
        <v>414.41176470588238</v>
      </c>
      <c r="F62" s="86" t="s">
        <v>199</v>
      </c>
      <c r="G62" s="102"/>
      <c r="H62" s="102"/>
      <c r="I62" s="106">
        <f>IF(NOT(ISNA(VLOOKUP(B62,'FL Contract Prices'!$A$2:$C$71,3,FALSE))),VLOOKUP(B62,'FL Contract Prices'!$A$2:$C$71,3,FALSE),ROUND(D62*0.7,-1))</f>
        <v>490</v>
      </c>
      <c r="J62" s="106"/>
      <c r="K62" s="102"/>
      <c r="L62" s="146"/>
      <c r="M62" s="146"/>
      <c r="N62" s="146"/>
      <c r="O62" s="155"/>
      <c r="P62" s="150">
        <v>395</v>
      </c>
      <c r="Q62" s="48"/>
      <c r="R62" s="88">
        <v>3</v>
      </c>
      <c r="S62" s="88">
        <f>24*20</f>
        <v>480</v>
      </c>
      <c r="T62" s="48">
        <f t="shared" si="7"/>
        <v>9.4117647058823533</v>
      </c>
      <c r="U62" s="48" t="s">
        <v>179</v>
      </c>
      <c r="V62" s="48">
        <f t="shared" si="8"/>
        <v>10</v>
      </c>
      <c r="W62" s="83" t="s">
        <v>370</v>
      </c>
      <c r="X62" s="83" t="s">
        <v>371</v>
      </c>
    </row>
    <row r="63" spans="1:24" ht="30" x14ac:dyDescent="0.25">
      <c r="A63" s="82" t="s">
        <v>372</v>
      </c>
      <c r="B63" s="82" t="s">
        <v>373</v>
      </c>
      <c r="C63" s="82" t="s">
        <v>374</v>
      </c>
      <c r="D63" s="84">
        <f t="shared" si="4"/>
        <v>870</v>
      </c>
      <c r="E63" s="128">
        <f t="shared" si="0"/>
        <v>519.11764705882354</v>
      </c>
      <c r="F63" s="86" t="s">
        <v>199</v>
      </c>
      <c r="G63" s="102"/>
      <c r="H63" s="102"/>
      <c r="I63" s="106">
        <f>IF(NOT(ISNA(VLOOKUP(B63,'FL Contract Prices'!$A$2:$C$71,3,FALSE))),VLOOKUP(B63,'FL Contract Prices'!$A$2:$C$71,3,FALSE),ROUND(D63*0.7,-1))</f>
        <v>610</v>
      </c>
      <c r="J63" s="106"/>
      <c r="K63" s="102"/>
      <c r="L63" s="146"/>
      <c r="M63" s="146"/>
      <c r="N63" s="146"/>
      <c r="O63" s="155"/>
      <c r="P63" s="150">
        <v>495</v>
      </c>
      <c r="Q63" s="48"/>
      <c r="R63" s="88">
        <v>3</v>
      </c>
      <c r="S63" s="88">
        <f>24*30</f>
        <v>720</v>
      </c>
      <c r="T63" s="48">
        <f t="shared" si="7"/>
        <v>14.117647058823529</v>
      </c>
      <c r="U63" s="48" t="s">
        <v>179</v>
      </c>
      <c r="V63" s="48">
        <f t="shared" si="8"/>
        <v>10</v>
      </c>
      <c r="W63" s="83" t="s">
        <v>375</v>
      </c>
      <c r="X63" s="83" t="s">
        <v>376</v>
      </c>
    </row>
    <row r="64" spans="1:24" x14ac:dyDescent="0.25">
      <c r="A64" s="82" t="s">
        <v>377</v>
      </c>
      <c r="B64" s="82" t="s">
        <v>378</v>
      </c>
      <c r="C64" s="82" t="s">
        <v>379</v>
      </c>
      <c r="D64" s="84">
        <f t="shared" si="4"/>
        <v>280</v>
      </c>
      <c r="E64" s="128">
        <f t="shared" si="0"/>
        <v>164.41176470588235</v>
      </c>
      <c r="F64" s="86" t="s">
        <v>199</v>
      </c>
      <c r="G64" s="102"/>
      <c r="H64" s="102"/>
      <c r="I64" s="106">
        <f>IF(NOT(ISNA(VLOOKUP(B64,'FL Contract Prices'!$A$2:$C$71,3,FALSE))),VLOOKUP(B64,'FL Contract Prices'!$A$2:$C$71,3,FALSE),ROUND(D64*0.7,-1))</f>
        <v>200</v>
      </c>
      <c r="J64" s="106"/>
      <c r="K64" s="102"/>
      <c r="L64" s="146"/>
      <c r="M64" s="146"/>
      <c r="N64" s="146"/>
      <c r="O64" s="155"/>
      <c r="P64" s="150">
        <v>145</v>
      </c>
      <c r="Q64" s="48"/>
      <c r="R64" s="88">
        <v>3</v>
      </c>
      <c r="S64" s="88">
        <f>24*20</f>
        <v>480</v>
      </c>
      <c r="T64" s="48">
        <f t="shared" si="7"/>
        <v>9.4117647058823533</v>
      </c>
      <c r="U64" s="48" t="s">
        <v>179</v>
      </c>
      <c r="V64" s="48">
        <f t="shared" si="8"/>
        <v>10</v>
      </c>
      <c r="W64" s="83" t="s">
        <v>380</v>
      </c>
      <c r="X64" s="83" t="s">
        <v>381</v>
      </c>
    </row>
    <row r="65" spans="1:24" x14ac:dyDescent="0.25">
      <c r="A65" s="87" t="s">
        <v>382</v>
      </c>
      <c r="B65" s="87" t="s">
        <v>383</v>
      </c>
      <c r="C65" s="82" t="s">
        <v>384</v>
      </c>
      <c r="D65" s="84">
        <f t="shared" si="4"/>
        <v>100</v>
      </c>
      <c r="E65" s="128">
        <f t="shared" si="0"/>
        <v>55</v>
      </c>
      <c r="F65" s="86" t="s">
        <v>199</v>
      </c>
      <c r="G65" s="102"/>
      <c r="H65" s="102"/>
      <c r="I65" s="106">
        <f>IF(NOT(ISNA(VLOOKUP(B65,'FL Contract Prices'!$A$2:$C$71,3,FALSE))),VLOOKUP(B65,'FL Contract Prices'!$A$2:$C$71,3,FALSE),ROUND(D65*0.7,-1))</f>
        <v>70</v>
      </c>
      <c r="J65" s="106"/>
      <c r="K65" s="102"/>
      <c r="L65" s="146"/>
      <c r="M65" s="146"/>
      <c r="N65" s="146"/>
      <c r="O65" s="155"/>
      <c r="P65" s="150">
        <v>21</v>
      </c>
      <c r="Q65" s="48">
        <v>4</v>
      </c>
      <c r="R65" s="88"/>
      <c r="S65" s="88"/>
      <c r="T65" s="48">
        <f t="shared" si="7"/>
        <v>0</v>
      </c>
      <c r="U65" s="48" t="s">
        <v>320</v>
      </c>
      <c r="V65" s="48">
        <f t="shared" si="8"/>
        <v>30</v>
      </c>
      <c r="W65" s="83"/>
      <c r="X65" s="83" t="s">
        <v>385</v>
      </c>
    </row>
    <row r="66" spans="1:24" x14ac:dyDescent="0.25">
      <c r="A66" s="87" t="s">
        <v>386</v>
      </c>
      <c r="B66" s="87" t="s">
        <v>387</v>
      </c>
      <c r="C66" s="82" t="s">
        <v>388</v>
      </c>
      <c r="D66" s="84">
        <f t="shared" si="4"/>
        <v>100</v>
      </c>
      <c r="E66" s="128">
        <f t="shared" si="0"/>
        <v>59</v>
      </c>
      <c r="F66" s="86" t="s">
        <v>199</v>
      </c>
      <c r="G66" s="102"/>
      <c r="H66" s="102"/>
      <c r="I66" s="106">
        <f>IF(NOT(ISNA(VLOOKUP(B66,'FL Contract Prices'!$A$2:$C$71,3,FALSE))),VLOOKUP(B66,'FL Contract Prices'!$A$2:$C$71,3,FALSE),ROUND(D66*0.7,-1))</f>
        <v>70</v>
      </c>
      <c r="J66" s="106"/>
      <c r="K66" s="102"/>
      <c r="L66" s="146"/>
      <c r="M66" s="146"/>
      <c r="N66" s="146"/>
      <c r="O66" s="155"/>
      <c r="P66" s="150">
        <v>25</v>
      </c>
      <c r="Q66" s="48">
        <v>4</v>
      </c>
      <c r="R66" s="88"/>
      <c r="S66" s="88"/>
      <c r="T66" s="48">
        <f t="shared" si="7"/>
        <v>0</v>
      </c>
      <c r="U66" s="48" t="s">
        <v>320</v>
      </c>
      <c r="V66" s="48">
        <f t="shared" si="8"/>
        <v>30</v>
      </c>
      <c r="W66" s="83"/>
      <c r="X66" s="83" t="s">
        <v>385</v>
      </c>
    </row>
    <row r="67" spans="1:24" x14ac:dyDescent="0.25">
      <c r="A67" s="82" t="s">
        <v>1835</v>
      </c>
      <c r="B67" s="82" t="s">
        <v>1836</v>
      </c>
      <c r="C67" s="82" t="s">
        <v>1837</v>
      </c>
      <c r="D67" s="84">
        <f t="shared" si="4"/>
        <v>12</v>
      </c>
      <c r="E67" s="128">
        <f t="shared" ref="E67:E130" si="9">P67+Q67+T67+V67</f>
        <v>7</v>
      </c>
      <c r="F67" s="86" t="s">
        <v>199</v>
      </c>
      <c r="G67" s="102"/>
      <c r="H67" s="102"/>
      <c r="I67" s="106">
        <f>IF(NOT(ISNA(VLOOKUP(B67,'FL Contract Prices'!$A$2:$C$71,3,FALSE))),VLOOKUP(B67,'FL Contract Prices'!$A$2:$C$71,3,FALSE),ROUND(D67*0.7,-1))</f>
        <v>10</v>
      </c>
      <c r="J67" s="106"/>
      <c r="K67" s="102"/>
      <c r="L67" s="146"/>
      <c r="M67" s="146"/>
      <c r="N67" s="146"/>
      <c r="O67" s="155"/>
      <c r="P67" s="150">
        <v>7</v>
      </c>
      <c r="Q67" s="48"/>
      <c r="R67" s="88"/>
      <c r="S67" s="88"/>
      <c r="T67" s="48">
        <f t="shared" si="7"/>
        <v>0</v>
      </c>
      <c r="U67" s="48" t="s">
        <v>287</v>
      </c>
      <c r="V67" s="48">
        <f t="shared" si="8"/>
        <v>0</v>
      </c>
      <c r="W67" s="83"/>
      <c r="X67" s="83" t="s">
        <v>1838</v>
      </c>
    </row>
    <row r="68" spans="1:24" x14ac:dyDescent="0.25">
      <c r="A68" s="82" t="s">
        <v>1839</v>
      </c>
      <c r="B68" s="82" t="s">
        <v>397</v>
      </c>
      <c r="C68" s="82" t="s">
        <v>1840</v>
      </c>
      <c r="D68" s="84">
        <f t="shared" si="4"/>
        <v>210</v>
      </c>
      <c r="E68" s="128">
        <f t="shared" si="9"/>
        <v>120.47058823529412</v>
      </c>
      <c r="F68" s="86" t="s">
        <v>199</v>
      </c>
      <c r="G68" s="102"/>
      <c r="H68" s="102"/>
      <c r="I68" s="106">
        <f>IF(NOT(ISNA(VLOOKUP(B68,'FL Contract Prices'!$A$2:$C$71,3,FALSE))),VLOOKUP(B68,'FL Contract Prices'!$A$2:$C$71,3,FALSE),ROUND(D68*0.7,-1))</f>
        <v>150</v>
      </c>
      <c r="J68" s="106"/>
      <c r="K68" s="102"/>
      <c r="L68" s="146"/>
      <c r="M68" s="146"/>
      <c r="N68" s="146"/>
      <c r="O68" s="155"/>
      <c r="P68" s="150">
        <v>100</v>
      </c>
      <c r="Q68" s="48">
        <v>10</v>
      </c>
      <c r="R68" s="88">
        <v>3</v>
      </c>
      <c r="S68" s="88">
        <f>4*6</f>
        <v>24</v>
      </c>
      <c r="T68" s="48">
        <f t="shared" si="7"/>
        <v>0.47058823529411764</v>
      </c>
      <c r="U68" s="48" t="s">
        <v>179</v>
      </c>
      <c r="V68" s="48">
        <f t="shared" si="8"/>
        <v>10</v>
      </c>
      <c r="W68" s="83"/>
      <c r="X68" s="83" t="s">
        <v>1841</v>
      </c>
    </row>
    <row r="69" spans="1:24" ht="30" x14ac:dyDescent="0.25">
      <c r="A69" s="82" t="s">
        <v>405</v>
      </c>
      <c r="B69" s="82" t="s">
        <v>406</v>
      </c>
      <c r="C69" s="82" t="s">
        <v>407</v>
      </c>
      <c r="D69" s="84">
        <f t="shared" si="4"/>
        <v>1350</v>
      </c>
      <c r="E69" s="128">
        <f t="shared" si="9"/>
        <v>808.24411764705883</v>
      </c>
      <c r="F69" s="86" t="s">
        <v>199</v>
      </c>
      <c r="G69" s="102"/>
      <c r="H69" s="102"/>
      <c r="I69" s="106">
        <f>IF(NOT(ISNA(VLOOKUP(B69,'FL Contract Prices'!$A$2:$C$71,3,FALSE))),VLOOKUP(B69,'FL Contract Prices'!$A$2:$C$71,3,FALSE),ROUND(D69*0.7,-1))</f>
        <v>950</v>
      </c>
      <c r="J69" s="106"/>
      <c r="K69" s="102"/>
      <c r="L69" s="146"/>
      <c r="M69" s="146"/>
      <c r="N69" s="146"/>
      <c r="O69" s="155"/>
      <c r="P69" s="150">
        <v>745</v>
      </c>
      <c r="Q69" s="48">
        <v>29.95</v>
      </c>
      <c r="R69" s="88">
        <v>2</v>
      </c>
      <c r="S69" s="88">
        <f t="shared" ref="S69:S80" si="10">18*14</f>
        <v>252</v>
      </c>
      <c r="T69" s="48">
        <f t="shared" si="7"/>
        <v>3.2941176470588238</v>
      </c>
      <c r="U69" s="48" t="s">
        <v>320</v>
      </c>
      <c r="V69" s="48">
        <f t="shared" si="8"/>
        <v>30</v>
      </c>
      <c r="W69" s="83"/>
      <c r="X69" s="83" t="s">
        <v>408</v>
      </c>
    </row>
    <row r="70" spans="1:24" ht="30" x14ac:dyDescent="0.25">
      <c r="A70" s="82" t="s">
        <v>409</v>
      </c>
      <c r="B70" s="82" t="s">
        <v>410</v>
      </c>
      <c r="C70" s="82" t="s">
        <v>411</v>
      </c>
      <c r="D70" s="84">
        <f t="shared" si="4"/>
        <v>1600</v>
      </c>
      <c r="E70" s="128">
        <f t="shared" si="9"/>
        <v>958.24411764705883</v>
      </c>
      <c r="F70" s="86" t="s">
        <v>199</v>
      </c>
      <c r="G70" s="102"/>
      <c r="H70" s="102"/>
      <c r="I70" s="106">
        <f>IF(NOT(ISNA(VLOOKUP(B70,'FL Contract Prices'!$A$2:$C$71,3,FALSE))),VLOOKUP(B70,'FL Contract Prices'!$A$2:$C$71,3,FALSE),ROUND(D70*0.7,-1))</f>
        <v>1120</v>
      </c>
      <c r="J70" s="106"/>
      <c r="K70" s="102"/>
      <c r="L70" s="146"/>
      <c r="M70" s="146"/>
      <c r="N70" s="146"/>
      <c r="O70" s="155"/>
      <c r="P70" s="150">
        <v>895</v>
      </c>
      <c r="Q70" s="48">
        <v>29.95</v>
      </c>
      <c r="R70" s="88">
        <v>2</v>
      </c>
      <c r="S70" s="88">
        <f t="shared" si="10"/>
        <v>252</v>
      </c>
      <c r="T70" s="48">
        <f t="shared" si="7"/>
        <v>3.2941176470588238</v>
      </c>
      <c r="U70" s="48" t="s">
        <v>320</v>
      </c>
      <c r="V70" s="48">
        <f t="shared" si="8"/>
        <v>30</v>
      </c>
      <c r="W70" s="83"/>
      <c r="X70" s="83" t="s">
        <v>408</v>
      </c>
    </row>
    <row r="71" spans="1:24" ht="30" x14ac:dyDescent="0.25">
      <c r="A71" s="82" t="s">
        <v>412</v>
      </c>
      <c r="B71" s="82" t="s">
        <v>413</v>
      </c>
      <c r="C71" s="82" t="s">
        <v>414</v>
      </c>
      <c r="D71" s="84">
        <f t="shared" si="4"/>
        <v>1520</v>
      </c>
      <c r="E71" s="128">
        <f t="shared" si="9"/>
        <v>908.24411764705883</v>
      </c>
      <c r="F71" s="86" t="s">
        <v>199</v>
      </c>
      <c r="G71" s="102"/>
      <c r="H71" s="102"/>
      <c r="I71" s="106">
        <f>IF(NOT(ISNA(VLOOKUP(B71,'FL Contract Prices'!$A$2:$C$71,3,FALSE))),VLOOKUP(B71,'FL Contract Prices'!$A$2:$C$71,3,FALSE),ROUND(D71*0.7,-1))</f>
        <v>1207.45</v>
      </c>
      <c r="J71" s="106"/>
      <c r="K71" s="102"/>
      <c r="L71" s="146"/>
      <c r="M71" s="146"/>
      <c r="N71" s="146"/>
      <c r="O71" s="155"/>
      <c r="P71" s="150">
        <v>845</v>
      </c>
      <c r="Q71" s="48">
        <v>29.95</v>
      </c>
      <c r="R71" s="88">
        <v>2</v>
      </c>
      <c r="S71" s="88">
        <f t="shared" si="10"/>
        <v>252</v>
      </c>
      <c r="T71" s="48">
        <f t="shared" si="7"/>
        <v>3.2941176470588238</v>
      </c>
      <c r="U71" s="48" t="s">
        <v>320</v>
      </c>
      <c r="V71" s="48">
        <f t="shared" si="8"/>
        <v>30</v>
      </c>
      <c r="W71" s="83"/>
      <c r="X71" s="83" t="s">
        <v>415</v>
      </c>
    </row>
    <row r="72" spans="1:24" ht="30" x14ac:dyDescent="0.25">
      <c r="A72" s="82" t="s">
        <v>416</v>
      </c>
      <c r="B72" s="82" t="s">
        <v>417</v>
      </c>
      <c r="C72" s="82" t="s">
        <v>418</v>
      </c>
      <c r="D72" s="84">
        <f t="shared" si="4"/>
        <v>1770</v>
      </c>
      <c r="E72" s="128">
        <f t="shared" si="9"/>
        <v>1058.2441176470588</v>
      </c>
      <c r="F72" s="86" t="s">
        <v>199</v>
      </c>
      <c r="G72" s="102"/>
      <c r="H72" s="102"/>
      <c r="I72" s="106">
        <f>IF(NOT(ISNA(VLOOKUP(B72,'FL Contract Prices'!$A$2:$C$71,3,FALSE))),VLOOKUP(B72,'FL Contract Prices'!$A$2:$C$71,3,FALSE),ROUND(D72*0.7,-1))</f>
        <v>1240</v>
      </c>
      <c r="J72" s="106"/>
      <c r="K72" s="102"/>
      <c r="L72" s="146"/>
      <c r="M72" s="146"/>
      <c r="N72" s="146"/>
      <c r="O72" s="155"/>
      <c r="P72" s="150">
        <v>995</v>
      </c>
      <c r="Q72" s="48">
        <v>29.95</v>
      </c>
      <c r="R72" s="88">
        <v>2</v>
      </c>
      <c r="S72" s="88">
        <f t="shared" si="10"/>
        <v>252</v>
      </c>
      <c r="T72" s="48">
        <f t="shared" si="7"/>
        <v>3.2941176470588238</v>
      </c>
      <c r="U72" s="48" t="s">
        <v>320</v>
      </c>
      <c r="V72" s="48">
        <f t="shared" si="8"/>
        <v>30</v>
      </c>
      <c r="W72" s="83"/>
      <c r="X72" s="83" t="s">
        <v>415</v>
      </c>
    </row>
    <row r="73" spans="1:24" ht="30" x14ac:dyDescent="0.25">
      <c r="A73" s="82" t="s">
        <v>419</v>
      </c>
      <c r="B73" s="82" t="s">
        <v>420</v>
      </c>
      <c r="C73" s="82" t="s">
        <v>421</v>
      </c>
      <c r="D73" s="84">
        <f t="shared" si="4"/>
        <v>1020</v>
      </c>
      <c r="E73" s="128">
        <f t="shared" si="9"/>
        <v>608.24411764705883</v>
      </c>
      <c r="F73" s="86" t="s">
        <v>199</v>
      </c>
      <c r="G73" s="102"/>
      <c r="H73" s="102"/>
      <c r="I73" s="106">
        <f>IF(NOT(ISNA(VLOOKUP(B73,'FL Contract Prices'!$A$2:$C$71,3,FALSE))),VLOOKUP(B73,'FL Contract Prices'!$A$2:$C$71,3,FALSE),ROUND(D73*0.7,-1))</f>
        <v>710</v>
      </c>
      <c r="J73" s="106"/>
      <c r="K73" s="102"/>
      <c r="L73" s="146"/>
      <c r="M73" s="146"/>
      <c r="N73" s="146"/>
      <c r="O73" s="155"/>
      <c r="P73" s="150">
        <v>545</v>
      </c>
      <c r="Q73" s="48">
        <v>29.95</v>
      </c>
      <c r="R73" s="88">
        <v>2</v>
      </c>
      <c r="S73" s="88">
        <f t="shared" si="10"/>
        <v>252</v>
      </c>
      <c r="T73" s="48">
        <f t="shared" si="7"/>
        <v>3.2941176470588238</v>
      </c>
      <c r="U73" s="48" t="s">
        <v>320</v>
      </c>
      <c r="V73" s="48">
        <f t="shared" si="8"/>
        <v>30</v>
      </c>
      <c r="W73" s="83"/>
      <c r="X73" s="83" t="s">
        <v>422</v>
      </c>
    </row>
    <row r="74" spans="1:24" ht="30" x14ac:dyDescent="0.25">
      <c r="A74" s="82" t="s">
        <v>423</v>
      </c>
      <c r="B74" s="82" t="s">
        <v>424</v>
      </c>
      <c r="C74" s="82" t="s">
        <v>425</v>
      </c>
      <c r="D74" s="84">
        <f t="shared" si="4"/>
        <v>1270</v>
      </c>
      <c r="E74" s="128">
        <f t="shared" si="9"/>
        <v>758.24411764705883</v>
      </c>
      <c r="F74" s="86" t="s">
        <v>199</v>
      </c>
      <c r="G74" s="102"/>
      <c r="H74" s="102"/>
      <c r="I74" s="106">
        <f>IF(NOT(ISNA(VLOOKUP(B74,'FL Contract Prices'!$A$2:$C$71,3,FALSE))),VLOOKUP(B74,'FL Contract Prices'!$A$2:$C$71,3,FALSE),ROUND(D74*0.7,-1))</f>
        <v>890</v>
      </c>
      <c r="J74" s="106"/>
      <c r="K74" s="102"/>
      <c r="L74" s="146"/>
      <c r="M74" s="146"/>
      <c r="N74" s="146"/>
      <c r="O74" s="155"/>
      <c r="P74" s="150">
        <v>695</v>
      </c>
      <c r="Q74" s="48">
        <v>29.95</v>
      </c>
      <c r="R74" s="88">
        <v>2</v>
      </c>
      <c r="S74" s="88">
        <f t="shared" si="10"/>
        <v>252</v>
      </c>
      <c r="T74" s="48">
        <f t="shared" si="7"/>
        <v>3.2941176470588238</v>
      </c>
      <c r="U74" s="48" t="s">
        <v>320</v>
      </c>
      <c r="V74" s="48">
        <f t="shared" si="8"/>
        <v>30</v>
      </c>
      <c r="W74" s="83"/>
      <c r="X74" s="83" t="s">
        <v>422</v>
      </c>
    </row>
    <row r="75" spans="1:24" ht="30" x14ac:dyDescent="0.25">
      <c r="A75" s="82" t="s">
        <v>426</v>
      </c>
      <c r="B75" s="82" t="s">
        <v>427</v>
      </c>
      <c r="C75" s="82" t="s">
        <v>414</v>
      </c>
      <c r="D75" s="84">
        <f t="shared" si="4"/>
        <v>1190</v>
      </c>
      <c r="E75" s="128">
        <f t="shared" si="9"/>
        <v>708.24411764705883</v>
      </c>
      <c r="F75" s="86" t="s">
        <v>199</v>
      </c>
      <c r="G75" s="102"/>
      <c r="H75" s="102"/>
      <c r="I75" s="106">
        <f>IF(NOT(ISNA(VLOOKUP(B75,'FL Contract Prices'!$A$2:$C$71,3,FALSE))),VLOOKUP(B75,'FL Contract Prices'!$A$2:$C$71,3,FALSE),ROUND(D75*0.7,-1))</f>
        <v>830</v>
      </c>
      <c r="J75" s="106"/>
      <c r="K75" s="102"/>
      <c r="L75" s="146"/>
      <c r="M75" s="146"/>
      <c r="N75" s="146"/>
      <c r="O75" s="155"/>
      <c r="P75" s="150">
        <v>645</v>
      </c>
      <c r="Q75" s="48">
        <v>29.95</v>
      </c>
      <c r="R75" s="88">
        <v>2</v>
      </c>
      <c r="S75" s="88">
        <f t="shared" si="10"/>
        <v>252</v>
      </c>
      <c r="T75" s="48">
        <f t="shared" si="7"/>
        <v>3.2941176470588238</v>
      </c>
      <c r="U75" s="48" t="s">
        <v>320</v>
      </c>
      <c r="V75" s="48">
        <f t="shared" si="8"/>
        <v>30</v>
      </c>
      <c r="W75" s="83"/>
      <c r="X75" s="83" t="s">
        <v>415</v>
      </c>
    </row>
    <row r="76" spans="1:24" ht="30" x14ac:dyDescent="0.25">
      <c r="A76" s="82" t="s">
        <v>428</v>
      </c>
      <c r="B76" s="82" t="s">
        <v>429</v>
      </c>
      <c r="C76" s="82" t="s">
        <v>430</v>
      </c>
      <c r="D76" s="84">
        <f t="shared" si="4"/>
        <v>1440</v>
      </c>
      <c r="E76" s="128">
        <f t="shared" si="9"/>
        <v>858.24411764705883</v>
      </c>
      <c r="F76" s="86" t="s">
        <v>199</v>
      </c>
      <c r="G76" s="102"/>
      <c r="H76" s="102"/>
      <c r="I76" s="106">
        <f>IF(NOT(ISNA(VLOOKUP(B76,'FL Contract Prices'!$A$2:$C$71,3,FALSE))),VLOOKUP(B76,'FL Contract Prices'!$A$2:$C$71,3,FALSE),ROUND(D76*0.7,-1))</f>
        <v>1010</v>
      </c>
      <c r="J76" s="106"/>
      <c r="K76" s="102"/>
      <c r="L76" s="146"/>
      <c r="M76" s="146"/>
      <c r="N76" s="146"/>
      <c r="O76" s="155"/>
      <c r="P76" s="150">
        <v>795</v>
      </c>
      <c r="Q76" s="48">
        <v>29.95</v>
      </c>
      <c r="R76" s="88">
        <v>2</v>
      </c>
      <c r="S76" s="88">
        <f t="shared" si="10"/>
        <v>252</v>
      </c>
      <c r="T76" s="48">
        <f t="shared" si="7"/>
        <v>3.2941176470588238</v>
      </c>
      <c r="U76" s="48" t="s">
        <v>320</v>
      </c>
      <c r="V76" s="48">
        <f t="shared" si="8"/>
        <v>30</v>
      </c>
      <c r="W76" s="83"/>
      <c r="X76" s="83" t="s">
        <v>432</v>
      </c>
    </row>
    <row r="77" spans="1:24" ht="30" x14ac:dyDescent="0.25">
      <c r="A77" s="82" t="s">
        <v>433</v>
      </c>
      <c r="B77" s="82" t="s">
        <v>434</v>
      </c>
      <c r="C77" s="82" t="s">
        <v>435</v>
      </c>
      <c r="D77" s="84">
        <f t="shared" si="4"/>
        <v>850</v>
      </c>
      <c r="E77" s="128">
        <f t="shared" si="9"/>
        <v>508.24411764705883</v>
      </c>
      <c r="F77" s="86" t="s">
        <v>199</v>
      </c>
      <c r="G77" s="102"/>
      <c r="H77" s="102"/>
      <c r="I77" s="106">
        <f>IF(NOT(ISNA(VLOOKUP(B77,'FL Contract Prices'!$A$2:$C$71,3,FALSE))),VLOOKUP(B77,'FL Contract Prices'!$A$2:$C$71,3,FALSE),ROUND(D77*0.7,-1))</f>
        <v>600</v>
      </c>
      <c r="J77" s="106"/>
      <c r="K77" s="102"/>
      <c r="L77" s="146"/>
      <c r="M77" s="146"/>
      <c r="N77" s="146"/>
      <c r="O77" s="155"/>
      <c r="P77" s="150">
        <v>445</v>
      </c>
      <c r="Q77" s="48">
        <v>29.95</v>
      </c>
      <c r="R77" s="88">
        <v>2</v>
      </c>
      <c r="S77" s="88">
        <f t="shared" si="10"/>
        <v>252</v>
      </c>
      <c r="T77" s="48">
        <f t="shared" si="7"/>
        <v>3.2941176470588238</v>
      </c>
      <c r="U77" s="48" t="s">
        <v>320</v>
      </c>
      <c r="V77" s="48">
        <f t="shared" si="8"/>
        <v>30</v>
      </c>
      <c r="W77" s="83"/>
      <c r="X77" s="83" t="s">
        <v>436</v>
      </c>
    </row>
    <row r="78" spans="1:24" ht="30" x14ac:dyDescent="0.25">
      <c r="A78" s="82" t="s">
        <v>437</v>
      </c>
      <c r="B78" s="82" t="s">
        <v>438</v>
      </c>
      <c r="C78" s="82" t="s">
        <v>439</v>
      </c>
      <c r="D78" s="84">
        <f t="shared" si="4"/>
        <v>1100</v>
      </c>
      <c r="E78" s="128">
        <f t="shared" si="9"/>
        <v>658.24411764705883</v>
      </c>
      <c r="F78" s="86" t="s">
        <v>199</v>
      </c>
      <c r="G78" s="102"/>
      <c r="H78" s="102"/>
      <c r="I78" s="106">
        <f>IF(NOT(ISNA(VLOOKUP(B78,'FL Contract Prices'!$A$2:$C$71,3,FALSE))),VLOOKUP(B78,'FL Contract Prices'!$A$2:$C$71,3,FALSE),ROUND(D78*0.7,-1))</f>
        <v>770</v>
      </c>
      <c r="J78" s="106"/>
      <c r="K78" s="102"/>
      <c r="L78" s="146"/>
      <c r="M78" s="146"/>
      <c r="N78" s="146"/>
      <c r="O78" s="155"/>
      <c r="P78" s="150">
        <v>595</v>
      </c>
      <c r="Q78" s="48">
        <v>29.95</v>
      </c>
      <c r="R78" s="88">
        <v>2</v>
      </c>
      <c r="S78" s="88">
        <f t="shared" si="10"/>
        <v>252</v>
      </c>
      <c r="T78" s="48">
        <f t="shared" si="7"/>
        <v>3.2941176470588238</v>
      </c>
      <c r="U78" s="48" t="s">
        <v>320</v>
      </c>
      <c r="V78" s="48">
        <f t="shared" si="8"/>
        <v>30</v>
      </c>
      <c r="W78" s="83"/>
      <c r="X78" s="83" t="s">
        <v>436</v>
      </c>
    </row>
    <row r="79" spans="1:24" ht="30" x14ac:dyDescent="0.25">
      <c r="A79" s="82" t="s">
        <v>440</v>
      </c>
      <c r="B79" s="82" t="s">
        <v>441</v>
      </c>
      <c r="C79" s="82" t="s">
        <v>442</v>
      </c>
      <c r="D79" s="84">
        <f t="shared" si="4"/>
        <v>1020</v>
      </c>
      <c r="E79" s="128">
        <f t="shared" si="9"/>
        <v>608.24411764705883</v>
      </c>
      <c r="F79" s="86" t="s">
        <v>199</v>
      </c>
      <c r="G79" s="102"/>
      <c r="H79" s="102"/>
      <c r="I79" s="106">
        <f>IF(NOT(ISNA(VLOOKUP(B79,'FL Contract Prices'!$A$2:$C$71,3,FALSE))),VLOOKUP(B79,'FL Contract Prices'!$A$2:$C$71,3,FALSE),ROUND(D79*0.7,-1))</f>
        <v>710</v>
      </c>
      <c r="J79" s="106"/>
      <c r="K79" s="102"/>
      <c r="L79" s="146"/>
      <c r="M79" s="146"/>
      <c r="N79" s="146"/>
      <c r="O79" s="155"/>
      <c r="P79" s="150">
        <v>545</v>
      </c>
      <c r="Q79" s="48">
        <v>29.95</v>
      </c>
      <c r="R79" s="88">
        <v>2</v>
      </c>
      <c r="S79" s="88">
        <f t="shared" si="10"/>
        <v>252</v>
      </c>
      <c r="T79" s="48">
        <f t="shared" si="7"/>
        <v>3.2941176470588238</v>
      </c>
      <c r="U79" s="48" t="s">
        <v>320</v>
      </c>
      <c r="V79" s="48">
        <f t="shared" si="8"/>
        <v>30</v>
      </c>
      <c r="W79" s="83"/>
      <c r="X79" s="83" t="s">
        <v>443</v>
      </c>
    </row>
    <row r="80" spans="1:24" ht="30" x14ac:dyDescent="0.25">
      <c r="A80" s="82" t="s">
        <v>444</v>
      </c>
      <c r="B80" s="82" t="s">
        <v>445</v>
      </c>
      <c r="C80" s="82" t="s">
        <v>446</v>
      </c>
      <c r="D80" s="84">
        <f t="shared" si="4"/>
        <v>1270</v>
      </c>
      <c r="E80" s="128">
        <f t="shared" si="9"/>
        <v>758.24411764705883</v>
      </c>
      <c r="F80" s="86" t="s">
        <v>199</v>
      </c>
      <c r="G80" s="102"/>
      <c r="H80" s="102"/>
      <c r="I80" s="106">
        <f>IF(NOT(ISNA(VLOOKUP(B80,'FL Contract Prices'!$A$2:$C$71,3,FALSE))),VLOOKUP(B80,'FL Contract Prices'!$A$2:$C$71,3,FALSE),ROUND(D80*0.7,-1))</f>
        <v>890</v>
      </c>
      <c r="J80" s="106"/>
      <c r="K80" s="102"/>
      <c r="L80" s="146"/>
      <c r="M80" s="146"/>
      <c r="N80" s="146"/>
      <c r="O80" s="155"/>
      <c r="P80" s="150">
        <v>695</v>
      </c>
      <c r="Q80" s="48">
        <v>29.95</v>
      </c>
      <c r="R80" s="88">
        <v>2</v>
      </c>
      <c r="S80" s="88">
        <f t="shared" si="10"/>
        <v>252</v>
      </c>
      <c r="T80" s="48">
        <f t="shared" si="7"/>
        <v>3.2941176470588238</v>
      </c>
      <c r="U80" s="48" t="s">
        <v>320</v>
      </c>
      <c r="V80" s="48">
        <f t="shared" si="8"/>
        <v>30</v>
      </c>
      <c r="W80" s="83"/>
      <c r="X80" s="83" t="s">
        <v>443</v>
      </c>
    </row>
    <row r="81" spans="1:24" x14ac:dyDescent="0.25">
      <c r="A81" s="82" t="s">
        <v>1842</v>
      </c>
      <c r="B81" s="82" t="s">
        <v>1843</v>
      </c>
      <c r="C81" s="82" t="s">
        <v>1844</v>
      </c>
      <c r="D81" s="84">
        <f t="shared" si="4"/>
        <v>1</v>
      </c>
      <c r="E81" s="128">
        <f t="shared" si="9"/>
        <v>0.44248409835155689</v>
      </c>
      <c r="F81" s="86" t="s">
        <v>199</v>
      </c>
      <c r="G81" s="102"/>
      <c r="H81" s="102"/>
      <c r="I81" s="106">
        <f>IF(NOT(ISNA(VLOOKUP(B81,'FL Contract Prices'!$A$2:$C$71,3,FALSE))),VLOOKUP(B81,'FL Contract Prices'!$A$2:$C$71,3,FALSE),ROUND(D81*0.7,-1))</f>
        <v>0</v>
      </c>
      <c r="J81" s="106"/>
      <c r="K81" s="102"/>
      <c r="L81" s="146"/>
      <c r="M81" s="146"/>
      <c r="N81" s="146"/>
      <c r="O81" s="155"/>
      <c r="P81" s="150">
        <f>(279*1.08)/(900.85)</f>
        <v>0.33448409835155685</v>
      </c>
      <c r="Q81" s="48">
        <f>52.62/(900*0.85)</f>
        <v>6.8784313725490195E-2</v>
      </c>
      <c r="R81" s="88">
        <v>6</v>
      </c>
      <c r="S81" s="88">
        <f>1*1</f>
        <v>1</v>
      </c>
      <c r="T81" s="48">
        <f t="shared" si="7"/>
        <v>3.9215686274509803E-2</v>
      </c>
      <c r="U81" s="48" t="s">
        <v>287</v>
      </c>
      <c r="V81" s="48">
        <f t="shared" si="8"/>
        <v>0</v>
      </c>
      <c r="W81" s="83"/>
      <c r="X81" s="83" t="s">
        <v>1845</v>
      </c>
    </row>
    <row r="82" spans="1:24" x14ac:dyDescent="0.25">
      <c r="A82" s="82" t="s">
        <v>447</v>
      </c>
      <c r="B82" s="82" t="s">
        <v>448</v>
      </c>
      <c r="C82" s="82" t="s">
        <v>449</v>
      </c>
      <c r="D82" s="84">
        <f t="shared" si="4"/>
        <v>510</v>
      </c>
      <c r="E82" s="128">
        <f t="shared" si="9"/>
        <v>300.39215686274508</v>
      </c>
      <c r="F82" s="86" t="s">
        <v>199</v>
      </c>
      <c r="G82" s="102"/>
      <c r="H82" s="102"/>
      <c r="I82" s="106">
        <f>IF(NOT(ISNA(VLOOKUP(B82,'FL Contract Prices'!$A$2:$C$71,3,FALSE))),VLOOKUP(B82,'FL Contract Prices'!$A$2:$C$71,3,FALSE),ROUND(D82*0.7,-1))</f>
        <v>360</v>
      </c>
      <c r="J82" s="106"/>
      <c r="K82" s="102"/>
      <c r="L82" s="146"/>
      <c r="M82" s="146"/>
      <c r="N82" s="146"/>
      <c r="O82" s="155"/>
      <c r="P82" s="150">
        <v>250</v>
      </c>
      <c r="Q82" s="48">
        <v>20</v>
      </c>
      <c r="R82" s="88">
        <v>2</v>
      </c>
      <c r="S82" s="88">
        <f>5*6</f>
        <v>30</v>
      </c>
      <c r="T82" s="48">
        <f t="shared" si="7"/>
        <v>0.39215686274509803</v>
      </c>
      <c r="U82" s="48" t="s">
        <v>320</v>
      </c>
      <c r="V82" s="48">
        <f t="shared" si="8"/>
        <v>30</v>
      </c>
      <c r="W82" s="83"/>
      <c r="X82" s="83" t="s">
        <v>450</v>
      </c>
    </row>
    <row r="83" spans="1:24" x14ac:dyDescent="0.25">
      <c r="A83" s="82" t="s">
        <v>1846</v>
      </c>
      <c r="B83" s="82" t="s">
        <v>1174</v>
      </c>
      <c r="C83" s="82" t="s">
        <v>1847</v>
      </c>
      <c r="D83" s="84">
        <f t="shared" si="4"/>
        <v>430</v>
      </c>
      <c r="E83" s="128">
        <f t="shared" si="9"/>
        <v>252.10457516339869</v>
      </c>
      <c r="F83" s="86" t="s">
        <v>199</v>
      </c>
      <c r="G83" s="102"/>
      <c r="H83" s="102"/>
      <c r="I83" s="106">
        <f>IF(NOT(ISNA(VLOOKUP(B83,'FL Contract Prices'!$A$2:$C$71,3,FALSE))),VLOOKUP(B83,'FL Contract Prices'!$A$2:$C$71,3,FALSE),ROUND(D83*0.7,-1))</f>
        <v>300</v>
      </c>
      <c r="J83" s="106"/>
      <c r="K83" s="102"/>
      <c r="L83" s="146"/>
      <c r="M83" s="146"/>
      <c r="N83" s="146"/>
      <c r="O83" s="155"/>
      <c r="P83" s="150">
        <v>200</v>
      </c>
      <c r="Q83" s="48">
        <v>20</v>
      </c>
      <c r="R83" s="88">
        <v>2</v>
      </c>
      <c r="S83" s="88">
        <f>23*7</f>
        <v>161</v>
      </c>
      <c r="T83" s="48">
        <f t="shared" si="7"/>
        <v>2.1045751633986929</v>
      </c>
      <c r="U83" s="48" t="s">
        <v>320</v>
      </c>
      <c r="V83" s="48">
        <f t="shared" si="8"/>
        <v>30</v>
      </c>
      <c r="W83" s="83"/>
      <c r="X83" s="83" t="s">
        <v>454</v>
      </c>
    </row>
    <row r="84" spans="1:24" x14ac:dyDescent="0.25">
      <c r="A84" s="82" t="s">
        <v>458</v>
      </c>
      <c r="B84" s="82" t="s">
        <v>459</v>
      </c>
      <c r="C84" s="82" t="s">
        <v>460</v>
      </c>
      <c r="D84" s="84">
        <f t="shared" si="4"/>
        <v>100</v>
      </c>
      <c r="E84" s="128">
        <f t="shared" si="9"/>
        <v>55.627450980392155</v>
      </c>
      <c r="F84" s="86" t="s">
        <v>199</v>
      </c>
      <c r="G84" s="102"/>
      <c r="H84" s="102"/>
      <c r="I84" s="106">
        <f>IF(NOT(ISNA(VLOOKUP(B84,'FL Contract Prices'!$A$2:$C$71,3,FALSE))),VLOOKUP(B84,'FL Contract Prices'!$A$2:$C$71,3,FALSE),ROUND(D84*0.7,-1))</f>
        <v>70</v>
      </c>
      <c r="J84" s="106"/>
      <c r="K84" s="102"/>
      <c r="L84" s="146"/>
      <c r="M84" s="146"/>
      <c r="N84" s="146"/>
      <c r="O84" s="155"/>
      <c r="P84" s="150">
        <v>45</v>
      </c>
      <c r="Q84" s="48"/>
      <c r="R84" s="88">
        <v>2</v>
      </c>
      <c r="S84" s="88">
        <f t="shared" ref="S84:S89" si="11">6*8</f>
        <v>48</v>
      </c>
      <c r="T84" s="48">
        <f t="shared" si="7"/>
        <v>0.62745098039215685</v>
      </c>
      <c r="U84" s="48" t="s">
        <v>179</v>
      </c>
      <c r="V84" s="48">
        <f t="shared" si="8"/>
        <v>10</v>
      </c>
      <c r="W84" s="83"/>
      <c r="X84" s="83" t="s">
        <v>461</v>
      </c>
    </row>
    <row r="85" spans="1:24" x14ac:dyDescent="0.25">
      <c r="A85" s="82" t="s">
        <v>462</v>
      </c>
      <c r="B85" s="82" t="s">
        <v>463</v>
      </c>
      <c r="C85" s="82" t="s">
        <v>464</v>
      </c>
      <c r="D85" s="84">
        <f t="shared" ref="D85:D115" si="12">IF(E85&lt;20, ROUNDUP(E85/0.6,0), ROUNDUP(E85/0.6,-1))</f>
        <v>150</v>
      </c>
      <c r="E85" s="128">
        <f t="shared" si="9"/>
        <v>85.627450980392155</v>
      </c>
      <c r="F85" s="86" t="s">
        <v>199</v>
      </c>
      <c r="G85" s="102"/>
      <c r="H85" s="102"/>
      <c r="I85" s="106">
        <f>IF(NOT(ISNA(VLOOKUP(B85,'FL Contract Prices'!$A$2:$C$71,3,FALSE))),VLOOKUP(B85,'FL Contract Prices'!$A$2:$C$71,3,FALSE),ROUND(D85*0.7,-1))</f>
        <v>110</v>
      </c>
      <c r="J85" s="106"/>
      <c r="K85" s="102"/>
      <c r="L85" s="146"/>
      <c r="M85" s="146"/>
      <c r="N85" s="146"/>
      <c r="O85" s="155"/>
      <c r="P85" s="150">
        <v>75</v>
      </c>
      <c r="Q85" s="48"/>
      <c r="R85" s="88">
        <v>2</v>
      </c>
      <c r="S85" s="88">
        <f t="shared" si="11"/>
        <v>48</v>
      </c>
      <c r="T85" s="48">
        <f t="shared" si="7"/>
        <v>0.62745098039215685</v>
      </c>
      <c r="U85" s="48" t="s">
        <v>179</v>
      </c>
      <c r="V85" s="48">
        <f t="shared" si="8"/>
        <v>10</v>
      </c>
      <c r="W85" s="83"/>
      <c r="X85" s="83" t="s">
        <v>465</v>
      </c>
    </row>
    <row r="86" spans="1:24" x14ac:dyDescent="0.25">
      <c r="A86" s="82" t="s">
        <v>1848</v>
      </c>
      <c r="B86" s="82" t="s">
        <v>1849</v>
      </c>
      <c r="C86" s="82" t="s">
        <v>1850</v>
      </c>
      <c r="D86" s="84">
        <f t="shared" si="12"/>
        <v>70</v>
      </c>
      <c r="E86" s="128">
        <f t="shared" si="9"/>
        <v>38.687450980392157</v>
      </c>
      <c r="F86" s="86" t="s">
        <v>199</v>
      </c>
      <c r="G86" s="102"/>
      <c r="H86" s="102"/>
      <c r="I86" s="106">
        <f>IF(NOT(ISNA(VLOOKUP(B86,'FL Contract Prices'!$A$2:$C$71,3,FALSE))),VLOOKUP(B86,'FL Contract Prices'!$A$2:$C$71,3,FALSE),ROUND(D86*0.7,-1))</f>
        <v>50</v>
      </c>
      <c r="J86" s="106"/>
      <c r="K86" s="102"/>
      <c r="L86" s="146"/>
      <c r="M86" s="146"/>
      <c r="N86" s="146"/>
      <c r="O86" s="155"/>
      <c r="P86" s="150">
        <v>23.06</v>
      </c>
      <c r="Q86" s="48">
        <v>5</v>
      </c>
      <c r="R86" s="88">
        <v>2</v>
      </c>
      <c r="S86" s="88">
        <f t="shared" si="11"/>
        <v>48</v>
      </c>
      <c r="T86" s="48">
        <f t="shared" si="7"/>
        <v>0.62745098039215685</v>
      </c>
      <c r="U86" s="48" t="s">
        <v>179</v>
      </c>
      <c r="V86" s="48">
        <f t="shared" si="8"/>
        <v>10</v>
      </c>
      <c r="W86" s="83"/>
      <c r="X86" s="83" t="s">
        <v>1851</v>
      </c>
    </row>
    <row r="87" spans="1:24" x14ac:dyDescent="0.25">
      <c r="A87" s="82" t="s">
        <v>1852</v>
      </c>
      <c r="B87" s="82" t="s">
        <v>467</v>
      </c>
      <c r="C87" s="82" t="s">
        <v>468</v>
      </c>
      <c r="D87" s="84">
        <f t="shared" si="12"/>
        <v>110</v>
      </c>
      <c r="E87" s="128">
        <f t="shared" si="9"/>
        <v>62.627450980392155</v>
      </c>
      <c r="F87" s="86" t="s">
        <v>199</v>
      </c>
      <c r="G87" s="102"/>
      <c r="H87" s="102"/>
      <c r="I87" s="106">
        <f>IF(NOT(ISNA(VLOOKUP(B87,'FL Contract Prices'!$A$2:$C$71,3,FALSE))),VLOOKUP(B87,'FL Contract Prices'!$A$2:$C$71,3,FALSE),ROUND(D87*0.7,-1))</f>
        <v>80</v>
      </c>
      <c r="J87" s="106"/>
      <c r="K87" s="102"/>
      <c r="L87" s="146"/>
      <c r="M87" s="146"/>
      <c r="N87" s="146"/>
      <c r="O87" s="155"/>
      <c r="P87" s="150">
        <v>50</v>
      </c>
      <c r="Q87" s="48">
        <v>2</v>
      </c>
      <c r="R87" s="88">
        <v>2</v>
      </c>
      <c r="S87" s="88">
        <f t="shared" si="11"/>
        <v>48</v>
      </c>
      <c r="T87" s="48">
        <f t="shared" si="7"/>
        <v>0.62745098039215685</v>
      </c>
      <c r="U87" s="48" t="s">
        <v>179</v>
      </c>
      <c r="V87" s="48">
        <f t="shared" si="8"/>
        <v>10</v>
      </c>
      <c r="W87" s="83"/>
      <c r="X87" s="83" t="s">
        <v>469</v>
      </c>
    </row>
    <row r="88" spans="1:24" ht="30" x14ac:dyDescent="0.25">
      <c r="A88" s="82" t="s">
        <v>1853</v>
      </c>
      <c r="B88" s="82" t="s">
        <v>1854</v>
      </c>
      <c r="C88" s="82" t="s">
        <v>1855</v>
      </c>
      <c r="D88" s="84">
        <f t="shared" si="12"/>
        <v>110</v>
      </c>
      <c r="E88" s="128">
        <f t="shared" si="9"/>
        <v>62.627450980392155</v>
      </c>
      <c r="F88" s="86" t="s">
        <v>199</v>
      </c>
      <c r="G88" s="102"/>
      <c r="H88" s="102"/>
      <c r="I88" s="106">
        <f>IF(NOT(ISNA(VLOOKUP(B88,'FL Contract Prices'!$A$2:$C$71,3,FALSE))),VLOOKUP(B88,'FL Contract Prices'!$A$2:$C$71,3,FALSE),ROUND(D88*0.7,-1))</f>
        <v>80</v>
      </c>
      <c r="J88" s="106"/>
      <c r="K88" s="102"/>
      <c r="L88" s="146"/>
      <c r="M88" s="146"/>
      <c r="N88" s="146"/>
      <c r="O88" s="155"/>
      <c r="P88" s="150">
        <v>50</v>
      </c>
      <c r="Q88" s="48">
        <v>2</v>
      </c>
      <c r="R88" s="88">
        <v>2</v>
      </c>
      <c r="S88" s="88">
        <f t="shared" si="11"/>
        <v>48</v>
      </c>
      <c r="T88" s="48">
        <f t="shared" si="7"/>
        <v>0.62745098039215685</v>
      </c>
      <c r="U88" s="48" t="s">
        <v>179</v>
      </c>
      <c r="V88" s="48">
        <f t="shared" si="8"/>
        <v>10</v>
      </c>
      <c r="W88" s="83"/>
      <c r="X88" s="83" t="s">
        <v>1856</v>
      </c>
    </row>
    <row r="89" spans="1:24" x14ac:dyDescent="0.25">
      <c r="A89" s="82" t="s">
        <v>1857</v>
      </c>
      <c r="B89" s="82" t="s">
        <v>1858</v>
      </c>
      <c r="C89" s="82" t="s">
        <v>1859</v>
      </c>
      <c r="D89" s="84">
        <f t="shared" si="12"/>
        <v>110</v>
      </c>
      <c r="E89" s="128">
        <f t="shared" si="9"/>
        <v>62.627450980392155</v>
      </c>
      <c r="F89" s="86" t="s">
        <v>199</v>
      </c>
      <c r="G89" s="102"/>
      <c r="H89" s="102"/>
      <c r="I89" s="106">
        <f>IF(NOT(ISNA(VLOOKUP(B89,'FL Contract Prices'!$A$2:$C$71,3,FALSE))),VLOOKUP(B89,'FL Contract Prices'!$A$2:$C$71,3,FALSE),ROUND(D89*0.7,-1))</f>
        <v>80</v>
      </c>
      <c r="J89" s="106"/>
      <c r="K89" s="102"/>
      <c r="L89" s="146"/>
      <c r="M89" s="146"/>
      <c r="N89" s="146"/>
      <c r="O89" s="155"/>
      <c r="P89" s="150">
        <v>50</v>
      </c>
      <c r="Q89" s="48">
        <v>2</v>
      </c>
      <c r="R89" s="88">
        <v>2</v>
      </c>
      <c r="S89" s="88">
        <f t="shared" si="11"/>
        <v>48</v>
      </c>
      <c r="T89" s="48">
        <f t="shared" si="7"/>
        <v>0.62745098039215685</v>
      </c>
      <c r="U89" s="48" t="s">
        <v>179</v>
      </c>
      <c r="V89" s="48">
        <f t="shared" si="8"/>
        <v>10</v>
      </c>
      <c r="W89" s="83"/>
      <c r="X89" s="83" t="s">
        <v>1860</v>
      </c>
    </row>
    <row r="90" spans="1:24" x14ac:dyDescent="0.25">
      <c r="A90" s="87" t="s">
        <v>470</v>
      </c>
      <c r="B90" s="82" t="s">
        <v>471</v>
      </c>
      <c r="C90" s="82" t="s">
        <v>472</v>
      </c>
      <c r="D90" s="84">
        <f t="shared" si="12"/>
        <v>110</v>
      </c>
      <c r="E90" s="128">
        <f t="shared" si="9"/>
        <v>62.033428571428573</v>
      </c>
      <c r="F90" s="86" t="s">
        <v>199</v>
      </c>
      <c r="G90" s="102"/>
      <c r="H90" s="102"/>
      <c r="I90" s="106">
        <f>IF(NOT(ISNA(VLOOKUP(B90,'FL Contract Prices'!$A$2:$C$71,3,FALSE))),VLOOKUP(B90,'FL Contract Prices'!$A$2:$C$71,3,FALSE),ROUND(D90*0.7,-1))</f>
        <v>194.36999999999998</v>
      </c>
      <c r="J90" s="106"/>
      <c r="K90" s="102"/>
      <c r="L90" s="146"/>
      <c r="M90" s="146"/>
      <c r="N90" s="146"/>
      <c r="O90" s="155"/>
      <c r="P90" s="150">
        <v>50</v>
      </c>
      <c r="Q90" s="48">
        <f>12.99/10+51.41/70</f>
        <v>2.0334285714285714</v>
      </c>
      <c r="R90" s="88"/>
      <c r="S90" s="88"/>
      <c r="T90" s="48">
        <f t="shared" si="7"/>
        <v>0</v>
      </c>
      <c r="U90" s="48" t="s">
        <v>179</v>
      </c>
      <c r="V90" s="48">
        <f t="shared" si="8"/>
        <v>10</v>
      </c>
      <c r="W90" s="83"/>
      <c r="X90" s="83" t="s">
        <v>473</v>
      </c>
    </row>
    <row r="91" spans="1:24" x14ac:dyDescent="0.25">
      <c r="A91" s="87" t="s">
        <v>474</v>
      </c>
      <c r="B91" s="82" t="s">
        <v>475</v>
      </c>
      <c r="C91" s="82" t="s">
        <v>476</v>
      </c>
      <c r="D91" s="84">
        <f t="shared" si="12"/>
        <v>110</v>
      </c>
      <c r="E91" s="128">
        <f t="shared" si="9"/>
        <v>62</v>
      </c>
      <c r="F91" s="86" t="s">
        <v>199</v>
      </c>
      <c r="G91" s="102"/>
      <c r="H91" s="102"/>
      <c r="I91" s="106">
        <f>IF(NOT(ISNA(VLOOKUP(B91,'FL Contract Prices'!$A$2:$C$71,3,FALSE))),VLOOKUP(B91,'FL Contract Prices'!$A$2:$C$71,3,FALSE),ROUND(D91*0.7,-1))</f>
        <v>80</v>
      </c>
      <c r="J91" s="106"/>
      <c r="K91" s="102"/>
      <c r="L91" s="146"/>
      <c r="M91" s="146"/>
      <c r="N91" s="146"/>
      <c r="O91" s="155"/>
      <c r="P91" s="150">
        <v>50</v>
      </c>
      <c r="Q91" s="48">
        <v>2</v>
      </c>
      <c r="R91" s="88"/>
      <c r="S91" s="88"/>
      <c r="T91" s="48">
        <f t="shared" si="7"/>
        <v>0</v>
      </c>
      <c r="U91" s="48" t="s">
        <v>179</v>
      </c>
      <c r="V91" s="48">
        <f t="shared" si="8"/>
        <v>10</v>
      </c>
      <c r="W91" s="83"/>
      <c r="X91" s="83" t="s">
        <v>477</v>
      </c>
    </row>
    <row r="92" spans="1:24" x14ac:dyDescent="0.25">
      <c r="A92" s="87" t="s">
        <v>478</v>
      </c>
      <c r="B92" s="82" t="s">
        <v>479</v>
      </c>
      <c r="C92" s="82" t="s">
        <v>480</v>
      </c>
      <c r="D92" s="84">
        <f t="shared" si="12"/>
        <v>110</v>
      </c>
      <c r="E92" s="128">
        <f t="shared" si="9"/>
        <v>62</v>
      </c>
      <c r="F92" s="86" t="s">
        <v>199</v>
      </c>
      <c r="G92" s="102"/>
      <c r="H92" s="102"/>
      <c r="I92" s="106">
        <f>IF(NOT(ISNA(VLOOKUP(B92,'FL Contract Prices'!$A$2:$C$71,3,FALSE))),VLOOKUP(B92,'FL Contract Prices'!$A$2:$C$71,3,FALSE),ROUND(D92*0.7,-1))</f>
        <v>80</v>
      </c>
      <c r="J92" s="106"/>
      <c r="K92" s="102"/>
      <c r="L92" s="146"/>
      <c r="M92" s="146"/>
      <c r="N92" s="146"/>
      <c r="O92" s="155"/>
      <c r="P92" s="150">
        <v>50</v>
      </c>
      <c r="Q92" s="48">
        <v>2</v>
      </c>
      <c r="R92" s="88"/>
      <c r="S92" s="88"/>
      <c r="T92" s="48">
        <f t="shared" si="7"/>
        <v>0</v>
      </c>
      <c r="U92" s="48" t="s">
        <v>179</v>
      </c>
      <c r="V92" s="48">
        <f t="shared" si="8"/>
        <v>10</v>
      </c>
      <c r="W92" s="83"/>
      <c r="X92" s="83" t="s">
        <v>477</v>
      </c>
    </row>
    <row r="93" spans="1:24" ht="30" x14ac:dyDescent="0.25">
      <c r="A93" s="82" t="s">
        <v>483</v>
      </c>
      <c r="B93" s="82" t="s">
        <v>484</v>
      </c>
      <c r="C93" s="82" t="s">
        <v>485</v>
      </c>
      <c r="D93" s="84">
        <f t="shared" si="12"/>
        <v>890</v>
      </c>
      <c r="E93" s="128">
        <f t="shared" si="9"/>
        <v>529.62745098039215</v>
      </c>
      <c r="F93" s="86" t="s">
        <v>199</v>
      </c>
      <c r="G93" s="102"/>
      <c r="H93" s="102"/>
      <c r="I93" s="106">
        <f>IF(NOT(ISNA(VLOOKUP(B93,'FL Contract Prices'!$A$2:$C$71,3,FALSE))),VLOOKUP(B93,'FL Contract Prices'!$A$2:$C$71,3,FALSE),ROUND(D93*0.7,-1))</f>
        <v>1059.0219999999999</v>
      </c>
      <c r="J93" s="106"/>
      <c r="K93" s="102"/>
      <c r="L93" s="146"/>
      <c r="M93" s="146"/>
      <c r="N93" s="146"/>
      <c r="O93" s="155"/>
      <c r="P93" s="150">
        <v>499</v>
      </c>
      <c r="Q93" s="48"/>
      <c r="R93" s="88">
        <v>2</v>
      </c>
      <c r="S93" s="88">
        <f>4*12</f>
        <v>48</v>
      </c>
      <c r="T93" s="48">
        <f t="shared" ref="T93:T143" si="13">(24000/8500)*(S93/12/12)/3*R93</f>
        <v>0.62745098039215685</v>
      </c>
      <c r="U93" s="48" t="s">
        <v>320</v>
      </c>
      <c r="V93" s="48">
        <f t="shared" si="8"/>
        <v>30</v>
      </c>
      <c r="W93" s="83"/>
      <c r="X93" s="83" t="s">
        <v>486</v>
      </c>
    </row>
    <row r="94" spans="1:24" ht="30" x14ac:dyDescent="0.25">
      <c r="A94" s="82" t="s">
        <v>487</v>
      </c>
      <c r="B94" s="82" t="s">
        <v>488</v>
      </c>
      <c r="C94" s="82" t="s">
        <v>489</v>
      </c>
      <c r="D94" s="84">
        <f t="shared" si="12"/>
        <v>1220</v>
      </c>
      <c r="E94" s="128">
        <f t="shared" si="9"/>
        <v>729.62745098039215</v>
      </c>
      <c r="F94" s="86" t="s">
        <v>199</v>
      </c>
      <c r="G94" s="102"/>
      <c r="H94" s="102"/>
      <c r="I94" s="106">
        <f>IF(NOT(ISNA(VLOOKUP(B94,'FL Contract Prices'!$A$2:$C$71,3,FALSE))),VLOOKUP(B94,'FL Contract Prices'!$A$2:$C$71,3,FALSE),ROUND(D94*0.7,-1))</f>
        <v>850</v>
      </c>
      <c r="J94" s="106"/>
      <c r="K94" s="102"/>
      <c r="L94" s="146"/>
      <c r="M94" s="146"/>
      <c r="N94" s="146"/>
      <c r="O94" s="155"/>
      <c r="P94" s="150">
        <v>699</v>
      </c>
      <c r="Q94" s="48"/>
      <c r="R94" s="88">
        <v>2</v>
      </c>
      <c r="S94" s="88">
        <f>4*12</f>
        <v>48</v>
      </c>
      <c r="T94" s="48">
        <f t="shared" si="13"/>
        <v>0.62745098039215685</v>
      </c>
      <c r="U94" s="48" t="s">
        <v>320</v>
      </c>
      <c r="V94" s="48">
        <f t="shared" si="8"/>
        <v>30</v>
      </c>
      <c r="W94" s="83"/>
      <c r="X94" s="83" t="s">
        <v>490</v>
      </c>
    </row>
    <row r="95" spans="1:24" ht="30" x14ac:dyDescent="0.25">
      <c r="A95" s="82" t="s">
        <v>491</v>
      </c>
      <c r="B95" s="82" t="s">
        <v>492</v>
      </c>
      <c r="C95" s="82" t="s">
        <v>493</v>
      </c>
      <c r="D95" s="84">
        <f t="shared" si="12"/>
        <v>1390</v>
      </c>
      <c r="E95" s="128">
        <f t="shared" si="9"/>
        <v>829.62745098039215</v>
      </c>
      <c r="F95" s="86" t="s">
        <v>199</v>
      </c>
      <c r="G95" s="102"/>
      <c r="H95" s="102"/>
      <c r="I95" s="106">
        <f>IF(NOT(ISNA(VLOOKUP(B95,'FL Contract Prices'!$A$2:$C$71,3,FALSE))),VLOOKUP(B95,'FL Contract Prices'!$A$2:$C$71,3,FALSE),ROUND(D95*0.7,-1))</f>
        <v>1207.45</v>
      </c>
      <c r="J95" s="106"/>
      <c r="K95" s="102"/>
      <c r="L95" s="146"/>
      <c r="M95" s="146"/>
      <c r="N95" s="146"/>
      <c r="O95" s="155"/>
      <c r="P95" s="150">
        <v>799</v>
      </c>
      <c r="Q95" s="48"/>
      <c r="R95" s="88">
        <v>2</v>
      </c>
      <c r="S95" s="88">
        <f>4*12</f>
        <v>48</v>
      </c>
      <c r="T95" s="48">
        <f t="shared" si="13"/>
        <v>0.62745098039215685</v>
      </c>
      <c r="U95" s="48" t="s">
        <v>320</v>
      </c>
      <c r="V95" s="48">
        <f t="shared" si="8"/>
        <v>30</v>
      </c>
      <c r="W95" s="83"/>
      <c r="X95" s="83" t="s">
        <v>494</v>
      </c>
    </row>
    <row r="96" spans="1:24" x14ac:dyDescent="0.25">
      <c r="A96" s="82" t="s">
        <v>495</v>
      </c>
      <c r="B96" s="82" t="s">
        <v>496</v>
      </c>
      <c r="C96" s="82" t="s">
        <v>497</v>
      </c>
      <c r="D96" s="84">
        <f t="shared" si="12"/>
        <v>130</v>
      </c>
      <c r="E96" s="128">
        <f t="shared" si="9"/>
        <v>75</v>
      </c>
      <c r="F96" s="86" t="s">
        <v>199</v>
      </c>
      <c r="G96" s="102"/>
      <c r="H96" s="102"/>
      <c r="I96" s="106">
        <f>IF(NOT(ISNA(VLOOKUP(B96,'FL Contract Prices'!$A$2:$C$71,3,FALSE))),VLOOKUP(B96,'FL Contract Prices'!$A$2:$C$71,3,FALSE),ROUND(D96*0.7,-1))</f>
        <v>90</v>
      </c>
      <c r="J96" s="106"/>
      <c r="K96" s="102"/>
      <c r="L96" s="146"/>
      <c r="M96" s="146"/>
      <c r="N96" s="146"/>
      <c r="O96" s="155"/>
      <c r="P96" s="150">
        <v>45</v>
      </c>
      <c r="Q96" s="48"/>
      <c r="R96" s="88"/>
      <c r="S96" s="88"/>
      <c r="T96" s="48">
        <f t="shared" si="13"/>
        <v>0</v>
      </c>
      <c r="U96" s="48" t="s">
        <v>320</v>
      </c>
      <c r="V96" s="48">
        <f t="shared" si="8"/>
        <v>30</v>
      </c>
      <c r="W96" s="83"/>
      <c r="X96" s="83" t="s">
        <v>498</v>
      </c>
    </row>
    <row r="97" spans="1:24" x14ac:dyDescent="0.25">
      <c r="A97" s="82" t="s">
        <v>499</v>
      </c>
      <c r="B97" s="82" t="s">
        <v>500</v>
      </c>
      <c r="C97" s="82" t="s">
        <v>501</v>
      </c>
      <c r="D97" s="84">
        <f t="shared" si="12"/>
        <v>90</v>
      </c>
      <c r="E97" s="128">
        <f t="shared" si="9"/>
        <v>50</v>
      </c>
      <c r="F97" s="86" t="s">
        <v>199</v>
      </c>
      <c r="G97" s="102"/>
      <c r="H97" s="102"/>
      <c r="I97" s="106">
        <f>IF(NOT(ISNA(VLOOKUP(B97,'FL Contract Prices'!$A$2:$C$71,3,FALSE))),VLOOKUP(B97,'FL Contract Prices'!$A$2:$C$71,3,FALSE),ROUND(D97*0.7,-1))</f>
        <v>60</v>
      </c>
      <c r="J97" s="106"/>
      <c r="K97" s="102"/>
      <c r="L97" s="146"/>
      <c r="M97" s="146"/>
      <c r="N97" s="146"/>
      <c r="O97" s="155"/>
      <c r="P97" s="150">
        <v>20</v>
      </c>
      <c r="Q97" s="48"/>
      <c r="R97" s="88"/>
      <c r="S97" s="88"/>
      <c r="T97" s="48">
        <f t="shared" si="13"/>
        <v>0</v>
      </c>
      <c r="U97" s="48" t="s">
        <v>320</v>
      </c>
      <c r="V97" s="48">
        <f t="shared" si="8"/>
        <v>30</v>
      </c>
      <c r="W97" s="83"/>
      <c r="X97" s="83" t="s">
        <v>502</v>
      </c>
    </row>
    <row r="98" spans="1:24" ht="30" x14ac:dyDescent="0.25">
      <c r="A98" s="82" t="s">
        <v>503</v>
      </c>
      <c r="B98" s="82" t="s">
        <v>504</v>
      </c>
      <c r="C98" s="82" t="s">
        <v>505</v>
      </c>
      <c r="D98" s="84">
        <f t="shared" si="12"/>
        <v>970</v>
      </c>
      <c r="E98" s="128">
        <f t="shared" si="9"/>
        <v>579.62745098039215</v>
      </c>
      <c r="F98" s="86" t="s">
        <v>199</v>
      </c>
      <c r="G98" s="102"/>
      <c r="H98" s="102"/>
      <c r="I98" s="106">
        <f>IF(NOT(ISNA(VLOOKUP(B98,'FL Contract Prices'!$A$2:$C$71,3,FALSE))),VLOOKUP(B98,'FL Contract Prices'!$A$2:$C$71,3,FALSE),ROUND(D98*0.7,-1))</f>
        <v>680</v>
      </c>
      <c r="J98" s="106"/>
      <c r="K98" s="102"/>
      <c r="L98" s="146"/>
      <c r="M98" s="146"/>
      <c r="N98" s="146"/>
      <c r="O98" s="155"/>
      <c r="P98" s="150">
        <v>549</v>
      </c>
      <c r="Q98" s="48"/>
      <c r="R98" s="88">
        <v>2</v>
      </c>
      <c r="S98" s="88">
        <f t="shared" ref="S98:S103" si="14">4*12</f>
        <v>48</v>
      </c>
      <c r="T98" s="48">
        <f t="shared" si="13"/>
        <v>0.62745098039215685</v>
      </c>
      <c r="U98" s="48" t="s">
        <v>320</v>
      </c>
      <c r="V98" s="48">
        <f t="shared" si="8"/>
        <v>30</v>
      </c>
      <c r="W98" s="83"/>
      <c r="X98" s="83" t="s">
        <v>506</v>
      </c>
    </row>
    <row r="99" spans="1:24" ht="30" x14ac:dyDescent="0.25">
      <c r="A99" s="82" t="s">
        <v>507</v>
      </c>
      <c r="B99" s="82" t="s">
        <v>508</v>
      </c>
      <c r="C99" s="82" t="s">
        <v>509</v>
      </c>
      <c r="D99" s="84">
        <f t="shared" si="12"/>
        <v>1140</v>
      </c>
      <c r="E99" s="128">
        <f t="shared" si="9"/>
        <v>679.62745098039215</v>
      </c>
      <c r="F99" s="86" t="s">
        <v>199</v>
      </c>
      <c r="G99" s="102"/>
      <c r="H99" s="102"/>
      <c r="I99" s="106">
        <f>IF(NOT(ISNA(VLOOKUP(B99,'FL Contract Prices'!$A$2:$C$71,3,FALSE))),VLOOKUP(B99,'FL Contract Prices'!$A$2:$C$71,3,FALSE),ROUND(D99*0.7,-1))</f>
        <v>800</v>
      </c>
      <c r="J99" s="106"/>
      <c r="K99" s="102"/>
      <c r="L99" s="146"/>
      <c r="M99" s="146"/>
      <c r="N99" s="146"/>
      <c r="O99" s="155"/>
      <c r="P99" s="150">
        <v>649</v>
      </c>
      <c r="Q99" s="48"/>
      <c r="R99" s="88">
        <v>2</v>
      </c>
      <c r="S99" s="88">
        <f t="shared" si="14"/>
        <v>48</v>
      </c>
      <c r="T99" s="48">
        <f t="shared" si="13"/>
        <v>0.62745098039215685</v>
      </c>
      <c r="U99" s="48" t="s">
        <v>320</v>
      </c>
      <c r="V99" s="48">
        <f t="shared" si="8"/>
        <v>30</v>
      </c>
      <c r="W99" s="83"/>
      <c r="X99" s="83" t="s">
        <v>511</v>
      </c>
    </row>
    <row r="100" spans="1:24" ht="30" x14ac:dyDescent="0.25">
      <c r="A100" s="82" t="s">
        <v>512</v>
      </c>
      <c r="B100" s="82" t="s">
        <v>513</v>
      </c>
      <c r="C100" s="82" t="s">
        <v>514</v>
      </c>
      <c r="D100" s="84">
        <f t="shared" si="12"/>
        <v>3380</v>
      </c>
      <c r="E100" s="128">
        <f t="shared" si="9"/>
        <v>2025.6274509803923</v>
      </c>
      <c r="F100" s="86" t="s">
        <v>199</v>
      </c>
      <c r="G100" s="102"/>
      <c r="H100" s="102"/>
      <c r="I100" s="106">
        <f>IF(NOT(ISNA(VLOOKUP(B100,'FL Contract Prices'!$A$2:$C$71,3,FALSE))),VLOOKUP(B100,'FL Contract Prices'!$A$2:$C$71,3,FALSE),ROUND(D100*0.7,-1))</f>
        <v>2370</v>
      </c>
      <c r="J100" s="106"/>
      <c r="K100" s="102"/>
      <c r="L100" s="146"/>
      <c r="M100" s="146"/>
      <c r="N100" s="146"/>
      <c r="O100" s="155"/>
      <c r="P100" s="150">
        <v>1995</v>
      </c>
      <c r="Q100" s="48"/>
      <c r="R100" s="88">
        <v>2</v>
      </c>
      <c r="S100" s="88">
        <f t="shared" si="14"/>
        <v>48</v>
      </c>
      <c r="T100" s="48">
        <f t="shared" si="13"/>
        <v>0.62745098039215685</v>
      </c>
      <c r="U100" s="48" t="s">
        <v>320</v>
      </c>
      <c r="V100" s="48">
        <f t="shared" si="8"/>
        <v>30</v>
      </c>
      <c r="W100" s="83"/>
      <c r="X100" s="83" t="s">
        <v>515</v>
      </c>
    </row>
    <row r="101" spans="1:24" ht="30" x14ac:dyDescent="0.25">
      <c r="A101" s="82" t="s">
        <v>516</v>
      </c>
      <c r="B101" s="82" t="s">
        <v>517</v>
      </c>
      <c r="C101" s="82" t="s">
        <v>518</v>
      </c>
      <c r="D101" s="84">
        <f t="shared" si="12"/>
        <v>2210</v>
      </c>
      <c r="E101" s="128">
        <f t="shared" si="9"/>
        <v>1325.6274509803923</v>
      </c>
      <c r="F101" s="86" t="s">
        <v>199</v>
      </c>
      <c r="G101" s="102"/>
      <c r="H101" s="102"/>
      <c r="I101" s="106">
        <f>IF(NOT(ISNA(VLOOKUP(B101,'FL Contract Prices'!$A$2:$C$71,3,FALSE))),VLOOKUP(B101,'FL Contract Prices'!$A$2:$C$71,3,FALSE),ROUND(D101*0.7,-1))</f>
        <v>1550</v>
      </c>
      <c r="J101" s="106"/>
      <c r="K101" s="102"/>
      <c r="L101" s="146"/>
      <c r="M101" s="146"/>
      <c r="N101" s="146"/>
      <c r="O101" s="155"/>
      <c r="P101" s="150">
        <v>1295</v>
      </c>
      <c r="Q101" s="48"/>
      <c r="R101" s="88">
        <v>2</v>
      </c>
      <c r="S101" s="88">
        <f t="shared" si="14"/>
        <v>48</v>
      </c>
      <c r="T101" s="48">
        <f t="shared" si="13"/>
        <v>0.62745098039215685</v>
      </c>
      <c r="U101" s="48" t="s">
        <v>320</v>
      </c>
      <c r="V101" s="48">
        <f t="shared" si="8"/>
        <v>30</v>
      </c>
      <c r="W101" s="83"/>
      <c r="X101" s="83" t="s">
        <v>519</v>
      </c>
    </row>
    <row r="102" spans="1:24" ht="30" x14ac:dyDescent="0.25">
      <c r="A102" s="82" t="s">
        <v>106</v>
      </c>
      <c r="B102" s="82" t="s">
        <v>520</v>
      </c>
      <c r="C102" s="82" t="s">
        <v>521</v>
      </c>
      <c r="D102" s="84">
        <f t="shared" si="12"/>
        <v>800</v>
      </c>
      <c r="E102" s="128">
        <f t="shared" si="9"/>
        <v>479.62745098039215</v>
      </c>
      <c r="F102" s="86" t="s">
        <v>199</v>
      </c>
      <c r="G102" s="102"/>
      <c r="H102" s="102"/>
      <c r="I102" s="106">
        <f>IF(NOT(ISNA(VLOOKUP(B102,'FL Contract Prices'!$A$2:$C$71,3,FALSE))),VLOOKUP(B102,'FL Contract Prices'!$A$2:$C$71,3,FALSE),ROUND(D102*0.7,-1))</f>
        <v>560</v>
      </c>
      <c r="J102" s="106"/>
      <c r="K102" s="102"/>
      <c r="L102" s="146"/>
      <c r="M102" s="146"/>
      <c r="N102" s="146"/>
      <c r="O102" s="155"/>
      <c r="P102" s="150">
        <v>449</v>
      </c>
      <c r="Q102" s="48"/>
      <c r="R102" s="88">
        <v>2</v>
      </c>
      <c r="S102" s="88">
        <f t="shared" si="14"/>
        <v>48</v>
      </c>
      <c r="T102" s="48">
        <f t="shared" si="13"/>
        <v>0.62745098039215685</v>
      </c>
      <c r="U102" s="48" t="s">
        <v>320</v>
      </c>
      <c r="V102" s="48">
        <f t="shared" si="8"/>
        <v>30</v>
      </c>
      <c r="W102" s="83"/>
      <c r="X102" s="83" t="s">
        <v>522</v>
      </c>
    </row>
    <row r="103" spans="1:24" ht="30" x14ac:dyDescent="0.25">
      <c r="A103" s="82" t="s">
        <v>523</v>
      </c>
      <c r="B103" s="82" t="s">
        <v>524</v>
      </c>
      <c r="C103" s="82" t="s">
        <v>485</v>
      </c>
      <c r="D103" s="84">
        <f t="shared" si="12"/>
        <v>970</v>
      </c>
      <c r="E103" s="128">
        <f t="shared" si="9"/>
        <v>579.62745098039215</v>
      </c>
      <c r="F103" s="86" t="s">
        <v>199</v>
      </c>
      <c r="G103" s="102"/>
      <c r="H103" s="102"/>
      <c r="I103" s="106">
        <f>IF(NOT(ISNA(VLOOKUP(B103,'FL Contract Prices'!$A$2:$C$71,3,FALSE))),VLOOKUP(B103,'FL Contract Prices'!$A$2:$C$71,3,FALSE),ROUND(D103*0.7,-1))</f>
        <v>854.05</v>
      </c>
      <c r="J103" s="106"/>
      <c r="K103" s="102"/>
      <c r="L103" s="146"/>
      <c r="M103" s="146"/>
      <c r="N103" s="146"/>
      <c r="O103" s="155"/>
      <c r="P103" s="150">
        <v>549</v>
      </c>
      <c r="Q103" s="48"/>
      <c r="R103" s="88">
        <v>2</v>
      </c>
      <c r="S103" s="88">
        <f t="shared" si="14"/>
        <v>48</v>
      </c>
      <c r="T103" s="48">
        <f t="shared" si="13"/>
        <v>0.62745098039215685</v>
      </c>
      <c r="U103" s="48" t="s">
        <v>320</v>
      </c>
      <c r="V103" s="48">
        <f t="shared" si="8"/>
        <v>30</v>
      </c>
      <c r="W103" s="83"/>
      <c r="X103" s="83" t="s">
        <v>486</v>
      </c>
    </row>
    <row r="104" spans="1:24" x14ac:dyDescent="0.25">
      <c r="A104" s="82" t="s">
        <v>111</v>
      </c>
      <c r="B104" s="82" t="s">
        <v>525</v>
      </c>
      <c r="C104" s="82" t="s">
        <v>526</v>
      </c>
      <c r="D104" s="84">
        <f t="shared" si="12"/>
        <v>110</v>
      </c>
      <c r="E104" s="128">
        <f t="shared" si="9"/>
        <v>62.156862745098039</v>
      </c>
      <c r="F104" s="86" t="s">
        <v>199</v>
      </c>
      <c r="G104" s="102"/>
      <c r="H104" s="102"/>
      <c r="I104" s="106">
        <f>IF(NOT(ISNA(VLOOKUP(B104,'FL Contract Prices'!$A$2:$C$71,3,FALSE))),VLOOKUP(B104,'FL Contract Prices'!$A$2:$C$71,3,FALSE),ROUND(D104*0.7,-1))</f>
        <v>88.35</v>
      </c>
      <c r="J104" s="106"/>
      <c r="K104" s="102"/>
      <c r="L104" s="146"/>
      <c r="M104" s="146"/>
      <c r="N104" s="146"/>
      <c r="O104" s="155"/>
      <c r="P104" s="150">
        <v>50</v>
      </c>
      <c r="Q104" s="48">
        <v>2</v>
      </c>
      <c r="R104" s="88">
        <v>2</v>
      </c>
      <c r="S104" s="88">
        <f>4*3</f>
        <v>12</v>
      </c>
      <c r="T104" s="48">
        <f t="shared" si="13"/>
        <v>0.15686274509803921</v>
      </c>
      <c r="U104" s="48" t="s">
        <v>179</v>
      </c>
      <c r="V104" s="48">
        <f t="shared" si="8"/>
        <v>10</v>
      </c>
      <c r="W104" s="83"/>
      <c r="X104" s="83" t="s">
        <v>528</v>
      </c>
    </row>
    <row r="105" spans="1:24" x14ac:dyDescent="0.25">
      <c r="A105" s="82" t="s">
        <v>1861</v>
      </c>
      <c r="B105" s="83" t="s">
        <v>1862</v>
      </c>
      <c r="C105" s="82" t="s">
        <v>1863</v>
      </c>
      <c r="D105" s="84">
        <f t="shared" si="12"/>
        <v>2</v>
      </c>
      <c r="E105" s="128">
        <f t="shared" si="9"/>
        <v>0.95821895424836601</v>
      </c>
      <c r="F105" s="86" t="s">
        <v>199</v>
      </c>
      <c r="G105" s="102"/>
      <c r="H105" s="102"/>
      <c r="I105" s="106">
        <f>IF(NOT(ISNA(VLOOKUP(B105,'FL Contract Prices'!$A$2:$C$71,3,FALSE))),VLOOKUP(B105,'FL Contract Prices'!$A$2:$C$71,3,FALSE),ROUND(D105*0.7,-1))</f>
        <v>0</v>
      </c>
      <c r="J105" s="106"/>
      <c r="K105" s="102"/>
      <c r="L105" s="146"/>
      <c r="M105" s="146"/>
      <c r="N105" s="146"/>
      <c r="O105" s="155"/>
      <c r="P105" s="150">
        <f>22.99/36</f>
        <v>0.63861111111111102</v>
      </c>
      <c r="Q105" s="48">
        <v>0.3</v>
      </c>
      <c r="R105" s="88">
        <v>3</v>
      </c>
      <c r="S105" s="88">
        <f>1*1</f>
        <v>1</v>
      </c>
      <c r="T105" s="48">
        <f t="shared" si="13"/>
        <v>1.9607843137254902E-2</v>
      </c>
      <c r="U105" s="48" t="s">
        <v>287</v>
      </c>
      <c r="V105" s="48">
        <f t="shared" si="8"/>
        <v>0</v>
      </c>
      <c r="W105" s="83"/>
      <c r="X105" s="83" t="s">
        <v>1864</v>
      </c>
    </row>
    <row r="106" spans="1:24" s="89" customFormat="1" ht="30" x14ac:dyDescent="0.25">
      <c r="A106" s="82" t="s">
        <v>529</v>
      </c>
      <c r="B106" s="82" t="s">
        <v>530</v>
      </c>
      <c r="C106" s="82" t="s">
        <v>531</v>
      </c>
      <c r="D106" s="84">
        <f t="shared" si="12"/>
        <v>310</v>
      </c>
      <c r="E106" s="128">
        <f t="shared" si="9"/>
        <v>180.88235294117646</v>
      </c>
      <c r="F106" s="86" t="s">
        <v>199</v>
      </c>
      <c r="G106" s="102"/>
      <c r="H106" s="102"/>
      <c r="I106" s="106">
        <f>IF(NOT(ISNA(VLOOKUP(B106,'FL Contract Prices'!$A$2:$C$71,3,FALSE))),VLOOKUP(B106,'FL Contract Prices'!$A$2:$C$71,3,FALSE),ROUND(D106*0.7,-1))</f>
        <v>220</v>
      </c>
      <c r="J106" s="106"/>
      <c r="K106" s="102"/>
      <c r="L106" s="146"/>
      <c r="M106" s="146"/>
      <c r="N106" s="146"/>
      <c r="O106" s="155"/>
      <c r="P106" s="150">
        <v>165</v>
      </c>
      <c r="Q106" s="48"/>
      <c r="R106" s="88">
        <v>2</v>
      </c>
      <c r="S106" s="88">
        <f>15*30</f>
        <v>450</v>
      </c>
      <c r="T106" s="48">
        <f t="shared" si="13"/>
        <v>5.882352941176471</v>
      </c>
      <c r="U106" s="48" t="s">
        <v>179</v>
      </c>
      <c r="V106" s="48">
        <f t="shared" si="8"/>
        <v>10</v>
      </c>
      <c r="W106" s="83"/>
      <c r="X106" s="83" t="s">
        <v>532</v>
      </c>
    </row>
    <row r="107" spans="1:24" s="89" customFormat="1" ht="30" x14ac:dyDescent="0.25">
      <c r="A107" s="82" t="s">
        <v>533</v>
      </c>
      <c r="B107" s="82" t="s">
        <v>534</v>
      </c>
      <c r="C107" s="82" t="s">
        <v>535</v>
      </c>
      <c r="D107" s="84">
        <f t="shared" si="12"/>
        <v>230</v>
      </c>
      <c r="E107" s="128">
        <f t="shared" si="9"/>
        <v>133.13725490196077</v>
      </c>
      <c r="F107" s="86" t="s">
        <v>199</v>
      </c>
      <c r="G107" s="102"/>
      <c r="H107" s="102"/>
      <c r="I107" s="106">
        <f>IF(NOT(ISNA(VLOOKUP(B107,'FL Contract Prices'!$A$2:$C$71,3,FALSE))),VLOOKUP(B107,'FL Contract Prices'!$A$2:$C$71,3,FALSE),ROUND(D107*0.7,-1))</f>
        <v>160</v>
      </c>
      <c r="J107" s="106"/>
      <c r="K107" s="102"/>
      <c r="L107" s="146"/>
      <c r="M107" s="146"/>
      <c r="N107" s="146"/>
      <c r="O107" s="155"/>
      <c r="P107" s="150">
        <v>120</v>
      </c>
      <c r="Q107" s="48"/>
      <c r="R107" s="88">
        <v>2</v>
      </c>
      <c r="S107" s="88">
        <f>10*24</f>
        <v>240</v>
      </c>
      <c r="T107" s="48">
        <f t="shared" si="13"/>
        <v>3.1372549019607843</v>
      </c>
      <c r="U107" s="48" t="s">
        <v>179</v>
      </c>
      <c r="V107" s="48">
        <f t="shared" si="8"/>
        <v>10</v>
      </c>
      <c r="W107" s="83"/>
      <c r="X107" s="83" t="s">
        <v>536</v>
      </c>
    </row>
    <row r="108" spans="1:24" ht="30" x14ac:dyDescent="0.25">
      <c r="A108" s="82" t="s">
        <v>537</v>
      </c>
      <c r="B108" s="82" t="s">
        <v>538</v>
      </c>
      <c r="C108" s="82" t="s">
        <v>539</v>
      </c>
      <c r="D108" s="84">
        <f t="shared" si="12"/>
        <v>610</v>
      </c>
      <c r="E108" s="128">
        <f t="shared" si="9"/>
        <v>365.66666666666669</v>
      </c>
      <c r="F108" s="86" t="s">
        <v>199</v>
      </c>
      <c r="G108" s="102"/>
      <c r="H108" s="102"/>
      <c r="I108" s="106">
        <f>IF(NOT(ISNA(VLOOKUP(B108,'FL Contract Prices'!$A$2:$C$71,3,FALSE))),VLOOKUP(B108,'FL Contract Prices'!$A$2:$C$71,3,FALSE),ROUND(D108*0.7,-1))</f>
        <v>430</v>
      </c>
      <c r="J108" s="106"/>
      <c r="K108" s="102"/>
      <c r="L108" s="146"/>
      <c r="M108" s="146"/>
      <c r="N108" s="146"/>
      <c r="O108" s="155"/>
      <c r="P108" s="150">
        <v>349</v>
      </c>
      <c r="Q108" s="48"/>
      <c r="R108" s="88">
        <v>2</v>
      </c>
      <c r="S108" s="88">
        <f>30*17</f>
        <v>510</v>
      </c>
      <c r="T108" s="48">
        <f t="shared" si="13"/>
        <v>6.666666666666667</v>
      </c>
      <c r="U108" s="48" t="s">
        <v>179</v>
      </c>
      <c r="V108" s="48">
        <f t="shared" si="8"/>
        <v>10</v>
      </c>
      <c r="W108" s="83"/>
      <c r="X108" s="83" t="s">
        <v>540</v>
      </c>
    </row>
    <row r="109" spans="1:24" ht="45" x14ac:dyDescent="0.25">
      <c r="A109" s="82" t="s">
        <v>541</v>
      </c>
      <c r="B109" s="82" t="s">
        <v>542</v>
      </c>
      <c r="C109" s="82" t="s">
        <v>543</v>
      </c>
      <c r="D109" s="84">
        <f t="shared" si="12"/>
        <v>510</v>
      </c>
      <c r="E109" s="128">
        <f t="shared" si="9"/>
        <v>304.88111111111107</v>
      </c>
      <c r="F109" s="86" t="s">
        <v>199</v>
      </c>
      <c r="G109" s="102"/>
      <c r="H109" s="102"/>
      <c r="I109" s="106">
        <f>IF(NOT(ISNA(VLOOKUP(B109,'FL Contract Prices'!$A$2:$C$71,3,FALSE))),VLOOKUP(B109,'FL Contract Prices'!$A$2:$C$71,3,FALSE),ROUND(D109*0.7,-1))</f>
        <v>371.07</v>
      </c>
      <c r="J109" s="106"/>
      <c r="K109" s="102"/>
      <c r="L109" s="146"/>
      <c r="M109" s="146"/>
      <c r="N109" s="146"/>
      <c r="O109" s="155"/>
      <c r="P109" s="150">
        <v>289.77</v>
      </c>
      <c r="Q109" s="48"/>
      <c r="R109" s="88">
        <v>2</v>
      </c>
      <c r="S109" s="88">
        <f>23*17</f>
        <v>391</v>
      </c>
      <c r="T109" s="48">
        <f t="shared" si="13"/>
        <v>5.1111111111111116</v>
      </c>
      <c r="U109" s="48" t="s">
        <v>179</v>
      </c>
      <c r="V109" s="48">
        <f t="shared" si="8"/>
        <v>10</v>
      </c>
      <c r="W109" s="83"/>
      <c r="X109" s="83" t="s">
        <v>544</v>
      </c>
    </row>
    <row r="110" spans="1:24" x14ac:dyDescent="0.25">
      <c r="A110" s="82" t="s">
        <v>545</v>
      </c>
      <c r="B110" s="82" t="s">
        <v>546</v>
      </c>
      <c r="C110" s="82" t="s">
        <v>547</v>
      </c>
      <c r="D110" s="84">
        <f t="shared" si="12"/>
        <v>130</v>
      </c>
      <c r="E110" s="128">
        <f t="shared" si="9"/>
        <v>75</v>
      </c>
      <c r="F110" s="86" t="s">
        <v>199</v>
      </c>
      <c r="G110" s="102"/>
      <c r="H110" s="102"/>
      <c r="I110" s="106">
        <f>IF(NOT(ISNA(VLOOKUP(B110,'FL Contract Prices'!$A$2:$C$71,3,FALSE))),VLOOKUP(B110,'FL Contract Prices'!$A$2:$C$71,3,FALSE),ROUND(D110*0.7,-1))</f>
        <v>90</v>
      </c>
      <c r="J110" s="106"/>
      <c r="K110" s="102"/>
      <c r="L110" s="146"/>
      <c r="M110" s="146"/>
      <c r="N110" s="146"/>
      <c r="O110" s="155"/>
      <c r="P110" s="150">
        <v>65</v>
      </c>
      <c r="Q110" s="48"/>
      <c r="R110" s="88"/>
      <c r="S110" s="88"/>
      <c r="T110" s="48">
        <f t="shared" si="13"/>
        <v>0</v>
      </c>
      <c r="U110" s="48" t="s">
        <v>179</v>
      </c>
      <c r="V110" s="48">
        <f t="shared" ref="V110:V143" si="15">IF(U110="Bulk",0,IF(U110="Std", 10,IF(U110="Pickup",20,30)))/60*60</f>
        <v>10</v>
      </c>
      <c r="W110" s="83"/>
      <c r="X110" s="83" t="s">
        <v>548</v>
      </c>
    </row>
    <row r="111" spans="1:24" x14ac:dyDescent="0.25">
      <c r="A111" s="82" t="s">
        <v>1865</v>
      </c>
      <c r="B111" s="82" t="s">
        <v>550</v>
      </c>
      <c r="C111" s="82" t="s">
        <v>1866</v>
      </c>
      <c r="D111" s="84">
        <f t="shared" si="12"/>
        <v>1150</v>
      </c>
      <c r="E111" s="128">
        <f t="shared" si="9"/>
        <v>686.03921568627447</v>
      </c>
      <c r="F111" s="86" t="s">
        <v>199</v>
      </c>
      <c r="G111" s="102"/>
      <c r="H111" s="102"/>
      <c r="I111" s="106">
        <f>IF(NOT(ISNA(VLOOKUP(B111,'FL Contract Prices'!$A$2:$C$71,3,FALSE))),VLOOKUP(B111,'FL Contract Prices'!$A$2:$C$71,3,FALSE),ROUND(D111*0.7,-1))</f>
        <v>2877.4199999999996</v>
      </c>
      <c r="J111" s="106"/>
      <c r="K111" s="102"/>
      <c r="L111" s="146"/>
      <c r="M111" s="146"/>
      <c r="N111" s="146"/>
      <c r="O111" s="155"/>
      <c r="P111" s="150">
        <v>670</v>
      </c>
      <c r="Q111" s="48"/>
      <c r="R111" s="88">
        <v>2</v>
      </c>
      <c r="S111" s="88">
        <f>22*21</f>
        <v>462</v>
      </c>
      <c r="T111" s="48">
        <f t="shared" si="13"/>
        <v>6.0392156862745106</v>
      </c>
      <c r="U111" s="48" t="s">
        <v>179</v>
      </c>
      <c r="V111" s="48">
        <f t="shared" si="15"/>
        <v>10</v>
      </c>
      <c r="W111" s="83"/>
      <c r="X111" s="83" t="s">
        <v>552</v>
      </c>
    </row>
    <row r="112" spans="1:24" x14ac:dyDescent="0.25">
      <c r="A112" s="82" t="s">
        <v>1867</v>
      </c>
      <c r="B112" s="82" t="s">
        <v>554</v>
      </c>
      <c r="C112" s="82" t="s">
        <v>1868</v>
      </c>
      <c r="D112" s="84">
        <f t="shared" si="12"/>
        <v>4470</v>
      </c>
      <c r="E112" s="128">
        <f t="shared" si="9"/>
        <v>2676.0392156862745</v>
      </c>
      <c r="F112" s="86" t="s">
        <v>199</v>
      </c>
      <c r="G112" s="102"/>
      <c r="H112" s="102"/>
      <c r="I112" s="106">
        <f>IF(NOT(ISNA(VLOOKUP(B112,'FL Contract Prices'!$A$2:$C$71,3,FALSE))),VLOOKUP(B112,'FL Contract Prices'!$A$2:$C$71,3,FALSE),ROUND(D112*0.7,-1))</f>
        <v>3834.902173913043</v>
      </c>
      <c r="J112" s="106"/>
      <c r="K112" s="102"/>
      <c r="L112" s="146"/>
      <c r="M112" s="146"/>
      <c r="N112" s="146"/>
      <c r="O112" s="155"/>
      <c r="P112" s="150">
        <v>2660</v>
      </c>
      <c r="Q112" s="48"/>
      <c r="R112" s="88">
        <v>2</v>
      </c>
      <c r="S112" s="88">
        <f>22*21</f>
        <v>462</v>
      </c>
      <c r="T112" s="48">
        <f t="shared" si="13"/>
        <v>6.0392156862745106</v>
      </c>
      <c r="U112" s="48" t="s">
        <v>179</v>
      </c>
      <c r="V112" s="48">
        <f t="shared" si="15"/>
        <v>10</v>
      </c>
      <c r="W112" s="83"/>
      <c r="X112" s="83" t="s">
        <v>552</v>
      </c>
    </row>
    <row r="113" spans="1:24" x14ac:dyDescent="0.25">
      <c r="A113" s="82" t="s">
        <v>1869</v>
      </c>
      <c r="B113" s="82" t="s">
        <v>557</v>
      </c>
      <c r="C113" s="82" t="s">
        <v>1870</v>
      </c>
      <c r="D113" s="84">
        <f t="shared" si="12"/>
        <v>790</v>
      </c>
      <c r="E113" s="128">
        <f t="shared" si="9"/>
        <v>471.03921568627453</v>
      </c>
      <c r="F113" s="86" t="s">
        <v>199</v>
      </c>
      <c r="G113" s="102"/>
      <c r="H113" s="102"/>
      <c r="I113" s="106">
        <f>IF(NOT(ISNA(VLOOKUP(B113,'FL Contract Prices'!$A$2:$C$71,3,FALSE))),VLOOKUP(B113,'FL Contract Prices'!$A$2:$C$71,3,FALSE),ROUND(D113*0.7,-1))</f>
        <v>942.4</v>
      </c>
      <c r="J113" s="106"/>
      <c r="K113" s="102"/>
      <c r="L113" s="146"/>
      <c r="M113" s="146"/>
      <c r="N113" s="146"/>
      <c r="O113" s="155"/>
      <c r="P113" s="150">
        <v>455</v>
      </c>
      <c r="Q113" s="48"/>
      <c r="R113" s="88">
        <v>2</v>
      </c>
      <c r="S113" s="88">
        <f>22*21</f>
        <v>462</v>
      </c>
      <c r="T113" s="48">
        <f t="shared" si="13"/>
        <v>6.0392156862745106</v>
      </c>
      <c r="U113" s="48" t="s">
        <v>179</v>
      </c>
      <c r="V113" s="48">
        <f t="shared" si="15"/>
        <v>10</v>
      </c>
      <c r="W113" s="83"/>
      <c r="X113" s="83" t="s">
        <v>559</v>
      </c>
    </row>
    <row r="114" spans="1:24" x14ac:dyDescent="0.25">
      <c r="A114" s="82" t="s">
        <v>1871</v>
      </c>
      <c r="B114" s="82" t="s">
        <v>561</v>
      </c>
      <c r="C114" s="82" t="s">
        <v>562</v>
      </c>
      <c r="D114" s="84">
        <f t="shared" si="12"/>
        <v>1150</v>
      </c>
      <c r="E114" s="128">
        <f t="shared" si="9"/>
        <v>686.03921568627447</v>
      </c>
      <c r="F114" s="86" t="s">
        <v>199</v>
      </c>
      <c r="G114" s="102"/>
      <c r="H114" s="102"/>
      <c r="I114" s="106">
        <f>IF(NOT(ISNA(VLOOKUP(B114,'FL Contract Prices'!$A$2:$C$71,3,FALSE))),VLOOKUP(B114,'FL Contract Prices'!$A$2:$C$71,3,FALSE),ROUND(D114*0.7,-1))</f>
        <v>810</v>
      </c>
      <c r="J114" s="106"/>
      <c r="K114" s="102"/>
      <c r="L114" s="146"/>
      <c r="M114" s="146"/>
      <c r="N114" s="146"/>
      <c r="O114" s="155"/>
      <c r="P114" s="150">
        <v>670</v>
      </c>
      <c r="Q114" s="48"/>
      <c r="R114" s="88">
        <v>2</v>
      </c>
      <c r="S114" s="88">
        <f>22*21</f>
        <v>462</v>
      </c>
      <c r="T114" s="48">
        <f t="shared" si="13"/>
        <v>6.0392156862745106</v>
      </c>
      <c r="U114" s="48" t="s">
        <v>179</v>
      </c>
      <c r="V114" s="48">
        <f t="shared" si="15"/>
        <v>10</v>
      </c>
      <c r="W114" s="83"/>
      <c r="X114" s="83" t="s">
        <v>563</v>
      </c>
    </row>
    <row r="115" spans="1:24" x14ac:dyDescent="0.25">
      <c r="A115" s="82" t="s">
        <v>1872</v>
      </c>
      <c r="B115" s="83" t="s">
        <v>1873</v>
      </c>
      <c r="C115" s="82" t="s">
        <v>1874</v>
      </c>
      <c r="D115" s="84">
        <f t="shared" si="12"/>
        <v>22</v>
      </c>
      <c r="E115" s="128">
        <f t="shared" si="9"/>
        <v>13.022418300653595</v>
      </c>
      <c r="F115" s="86" t="s">
        <v>199</v>
      </c>
      <c r="G115" s="102"/>
      <c r="H115" s="102"/>
      <c r="I115" s="106">
        <f>IF(NOT(ISNA(VLOOKUP(B115,'FL Contract Prices'!$A$2:$C$71,3,FALSE))),VLOOKUP(B115,'FL Contract Prices'!$A$2:$C$71,3,FALSE),ROUND(D115*0.7,-1))</f>
        <v>20</v>
      </c>
      <c r="J115" s="106"/>
      <c r="K115" s="102"/>
      <c r="L115" s="146"/>
      <c r="M115" s="146"/>
      <c r="N115" s="146"/>
      <c r="O115" s="155"/>
      <c r="P115" s="150">
        <f>19.79/9</f>
        <v>2.1988888888888889</v>
      </c>
      <c r="Q115" s="48"/>
      <c r="R115" s="88">
        <v>3</v>
      </c>
      <c r="S115" s="88">
        <f>14*3</f>
        <v>42</v>
      </c>
      <c r="T115" s="48">
        <f t="shared" si="13"/>
        <v>0.82352941176470595</v>
      </c>
      <c r="U115" s="48" t="s">
        <v>179</v>
      </c>
      <c r="V115" s="48">
        <f t="shared" si="15"/>
        <v>10</v>
      </c>
      <c r="W115" s="83"/>
      <c r="X115" s="83" t="s">
        <v>1875</v>
      </c>
    </row>
    <row r="116" spans="1:24" ht="30" x14ac:dyDescent="0.25">
      <c r="A116" s="82" t="s">
        <v>564</v>
      </c>
      <c r="B116" s="82" t="s">
        <v>565</v>
      </c>
      <c r="C116" s="82" t="s">
        <v>1876</v>
      </c>
      <c r="D116" s="84">
        <f t="shared" ref="D116:D130" si="16">IF(E116&lt;20, ROUNDUP(E116/0.65,0), ROUNDUP(E116/0.65,-1))</f>
        <v>13900</v>
      </c>
      <c r="E116" s="128">
        <f t="shared" si="9"/>
        <v>9034.3888888888887</v>
      </c>
      <c r="F116" s="86" t="s">
        <v>199</v>
      </c>
      <c r="G116" s="102"/>
      <c r="H116" s="102"/>
      <c r="I116" s="106">
        <f>IF(NOT(ISNA(VLOOKUP(B116,'FL Contract Prices'!$A$2:$C$71,3,FALSE))),VLOOKUP(B116,'FL Contract Prices'!$A$2:$C$71,3,FALSE),ROUND(D116*0.7,-1))</f>
        <v>14901.699999999999</v>
      </c>
      <c r="J116" s="106"/>
      <c r="K116" s="102"/>
      <c r="L116" s="146"/>
      <c r="M116" s="146"/>
      <c r="N116" s="146"/>
      <c r="O116" s="155"/>
      <c r="P116" s="150">
        <v>8992.5</v>
      </c>
      <c r="Q116" s="48">
        <v>30</v>
      </c>
      <c r="R116" s="88">
        <v>1</v>
      </c>
      <c r="S116" s="88">
        <f>17*17</f>
        <v>289</v>
      </c>
      <c r="T116" s="48">
        <f t="shared" si="13"/>
        <v>1.8888888888888886</v>
      </c>
      <c r="U116" s="48" t="s">
        <v>179</v>
      </c>
      <c r="V116" s="48">
        <f t="shared" si="15"/>
        <v>10</v>
      </c>
      <c r="W116" s="83"/>
      <c r="X116" s="83"/>
    </row>
    <row r="117" spans="1:24" x14ac:dyDescent="0.25">
      <c r="A117" s="82" t="s">
        <v>1877</v>
      </c>
      <c r="B117" s="82" t="s">
        <v>1878</v>
      </c>
      <c r="C117" s="82" t="s">
        <v>1879</v>
      </c>
      <c r="D117" s="84">
        <f t="shared" si="16"/>
        <v>13980</v>
      </c>
      <c r="E117" s="128">
        <f t="shared" si="9"/>
        <v>9086.8888888888887</v>
      </c>
      <c r="F117" s="86" t="s">
        <v>199</v>
      </c>
      <c r="G117" s="102"/>
      <c r="H117" s="102"/>
      <c r="I117" s="106">
        <f>IF(NOT(ISNA(VLOOKUP(B117,'FL Contract Prices'!$A$2:$C$71,3,FALSE))),VLOOKUP(B117,'FL Contract Prices'!$A$2:$C$71,3,FALSE),ROUND(D117*0.7,-1))</f>
        <v>9790</v>
      </c>
      <c r="J117" s="106"/>
      <c r="K117" s="102"/>
      <c r="L117" s="146"/>
      <c r="M117" s="146"/>
      <c r="N117" s="146"/>
      <c r="O117" s="155"/>
      <c r="P117" s="150">
        <v>9045</v>
      </c>
      <c r="Q117" s="48">
        <v>30</v>
      </c>
      <c r="R117" s="88">
        <v>1</v>
      </c>
      <c r="S117" s="88">
        <f>17*17</f>
        <v>289</v>
      </c>
      <c r="T117" s="48">
        <f t="shared" si="13"/>
        <v>1.8888888888888886</v>
      </c>
      <c r="U117" s="48" t="s">
        <v>179</v>
      </c>
      <c r="V117" s="48">
        <f t="shared" si="15"/>
        <v>10</v>
      </c>
      <c r="W117" s="83"/>
      <c r="X117" s="83" t="s">
        <v>1880</v>
      </c>
    </row>
    <row r="118" spans="1:24" ht="30" x14ac:dyDescent="0.25">
      <c r="A118" s="82" t="s">
        <v>567</v>
      </c>
      <c r="B118" s="82" t="s">
        <v>568</v>
      </c>
      <c r="C118" s="82" t="s">
        <v>1881</v>
      </c>
      <c r="D118" s="84">
        <f t="shared" si="16"/>
        <v>11410</v>
      </c>
      <c r="E118" s="128">
        <f t="shared" si="9"/>
        <v>7413.6888888888889</v>
      </c>
      <c r="F118" s="86" t="s">
        <v>199</v>
      </c>
      <c r="G118" s="102"/>
      <c r="H118" s="102"/>
      <c r="I118" s="106">
        <f>IF(NOT(ISNA(VLOOKUP(B118,'FL Contract Prices'!$A$2:$C$71,3,FALSE))),VLOOKUP(B118,'FL Contract Prices'!$A$2:$C$71,3,FALSE),ROUND(D118*0.7,-1))</f>
        <v>11132.1</v>
      </c>
      <c r="J118" s="106"/>
      <c r="K118" s="102"/>
      <c r="L118" s="146"/>
      <c r="M118" s="146"/>
      <c r="N118" s="146"/>
      <c r="O118" s="155"/>
      <c r="P118" s="150">
        <v>7371.8</v>
      </c>
      <c r="Q118" s="48">
        <v>30</v>
      </c>
      <c r="R118" s="88">
        <v>1</v>
      </c>
      <c r="S118" s="88">
        <f>17*17</f>
        <v>289</v>
      </c>
      <c r="T118" s="48">
        <f t="shared" si="13"/>
        <v>1.8888888888888886</v>
      </c>
      <c r="U118" s="48" t="s">
        <v>179</v>
      </c>
      <c r="V118" s="48">
        <f t="shared" si="15"/>
        <v>10</v>
      </c>
      <c r="W118" s="83"/>
      <c r="X118" s="83"/>
    </row>
    <row r="119" spans="1:24" x14ac:dyDescent="0.25">
      <c r="A119" s="82" t="s">
        <v>1882</v>
      </c>
      <c r="B119" s="82" t="s">
        <v>1883</v>
      </c>
      <c r="C119" s="82" t="s">
        <v>1884</v>
      </c>
      <c r="D119" s="84">
        <f t="shared" si="16"/>
        <v>12430</v>
      </c>
      <c r="E119" s="128">
        <f t="shared" si="9"/>
        <v>8074.8888888888887</v>
      </c>
      <c r="F119" s="86" t="s">
        <v>199</v>
      </c>
      <c r="G119" s="102"/>
      <c r="H119" s="102"/>
      <c r="I119" s="106">
        <f>IF(NOT(ISNA(VLOOKUP(B119,'FL Contract Prices'!$A$2:$C$71,3,FALSE))),VLOOKUP(B119,'FL Contract Prices'!$A$2:$C$71,3,FALSE),ROUND(D119*0.7,-1))</f>
        <v>8700</v>
      </c>
      <c r="J119" s="106"/>
      <c r="K119" s="102"/>
      <c r="L119" s="146"/>
      <c r="M119" s="146"/>
      <c r="N119" s="146"/>
      <c r="O119" s="155"/>
      <c r="P119" s="150">
        <v>8033</v>
      </c>
      <c r="Q119" s="48">
        <v>30</v>
      </c>
      <c r="R119" s="88">
        <v>1</v>
      </c>
      <c r="S119" s="88">
        <f>17*17</f>
        <v>289</v>
      </c>
      <c r="T119" s="48">
        <f t="shared" si="13"/>
        <v>1.8888888888888886</v>
      </c>
      <c r="U119" s="48" t="s">
        <v>179</v>
      </c>
      <c r="V119" s="48">
        <f t="shared" si="15"/>
        <v>10</v>
      </c>
      <c r="W119" s="83"/>
      <c r="X119" s="83" t="s">
        <v>1885</v>
      </c>
    </row>
    <row r="120" spans="1:24" x14ac:dyDescent="0.25">
      <c r="A120" s="82" t="s">
        <v>140</v>
      </c>
      <c r="B120" s="82" t="s">
        <v>570</v>
      </c>
      <c r="C120" s="82" t="s">
        <v>1886</v>
      </c>
      <c r="D120" s="84">
        <f t="shared" si="16"/>
        <v>3890</v>
      </c>
      <c r="E120" s="128">
        <f t="shared" si="9"/>
        <v>2526.5294117647059</v>
      </c>
      <c r="F120" s="86" t="s">
        <v>199</v>
      </c>
      <c r="G120" s="102"/>
      <c r="H120" s="102"/>
      <c r="I120" s="106">
        <f>IF(NOT(ISNA(VLOOKUP(B120,'FL Contract Prices'!$A$2:$C$71,3,FALSE))),VLOOKUP(B120,'FL Contract Prices'!$A$2:$C$71,3,FALSE),ROUND(D120*0.7,-1))</f>
        <v>4225.4859999999999</v>
      </c>
      <c r="J120" s="106"/>
      <c r="K120" s="102"/>
      <c r="L120" s="146"/>
      <c r="M120" s="146"/>
      <c r="N120" s="146"/>
      <c r="O120" s="155"/>
      <c r="P120" s="150">
        <v>2496</v>
      </c>
      <c r="Q120" s="48">
        <v>20</v>
      </c>
      <c r="R120" s="88">
        <v>1</v>
      </c>
      <c r="S120" s="88">
        <f>9*9</f>
        <v>81</v>
      </c>
      <c r="T120" s="48">
        <f t="shared" si="13"/>
        <v>0.52941176470588236</v>
      </c>
      <c r="U120" s="48" t="s">
        <v>179</v>
      </c>
      <c r="V120" s="48">
        <f t="shared" si="15"/>
        <v>10</v>
      </c>
      <c r="W120" s="83"/>
      <c r="X120" s="83" t="s">
        <v>1887</v>
      </c>
    </row>
    <row r="121" spans="1:24" x14ac:dyDescent="0.25">
      <c r="A121" s="82" t="s">
        <v>577</v>
      </c>
      <c r="B121" s="82" t="s">
        <v>578</v>
      </c>
      <c r="C121" s="82" t="s">
        <v>1888</v>
      </c>
      <c r="D121" s="84">
        <f t="shared" si="16"/>
        <v>4010</v>
      </c>
      <c r="E121" s="128">
        <f t="shared" si="9"/>
        <v>2604.5294117647059</v>
      </c>
      <c r="F121" s="86" t="s">
        <v>199</v>
      </c>
      <c r="G121" s="102"/>
      <c r="H121" s="102"/>
      <c r="I121" s="106">
        <f>IF(NOT(ISNA(VLOOKUP(B121,'FL Contract Prices'!$A$2:$C$71,3,FALSE))),VLOOKUP(B121,'FL Contract Prices'!$A$2:$C$71,3,FALSE),ROUND(D121*0.7,-1))</f>
        <v>2810</v>
      </c>
      <c r="J121" s="106"/>
      <c r="K121" s="102"/>
      <c r="L121" s="146"/>
      <c r="M121" s="146"/>
      <c r="N121" s="146"/>
      <c r="O121" s="155"/>
      <c r="P121" s="150">
        <v>2574</v>
      </c>
      <c r="Q121" s="48">
        <v>20</v>
      </c>
      <c r="R121" s="88">
        <v>1</v>
      </c>
      <c r="S121" s="88">
        <f>9*9</f>
        <v>81</v>
      </c>
      <c r="T121" s="48">
        <f t="shared" si="13"/>
        <v>0.52941176470588236</v>
      </c>
      <c r="U121" s="48" t="s">
        <v>179</v>
      </c>
      <c r="V121" s="48">
        <f t="shared" si="15"/>
        <v>10</v>
      </c>
      <c r="W121" s="83"/>
      <c r="X121" s="83" t="s">
        <v>1889</v>
      </c>
    </row>
    <row r="122" spans="1:24" x14ac:dyDescent="0.25">
      <c r="A122" s="82" t="s">
        <v>1890</v>
      </c>
      <c r="B122" s="82" t="s">
        <v>1891</v>
      </c>
      <c r="C122" s="82" t="s">
        <v>1892</v>
      </c>
      <c r="D122" s="84">
        <f t="shared" si="16"/>
        <v>4150</v>
      </c>
      <c r="E122" s="128">
        <f t="shared" si="9"/>
        <v>2693.0294117647059</v>
      </c>
      <c r="F122" s="86" t="s">
        <v>199</v>
      </c>
      <c r="G122" s="102"/>
      <c r="H122" s="102"/>
      <c r="I122" s="106">
        <f>IF(NOT(ISNA(VLOOKUP(B122,'FL Contract Prices'!$A$2:$C$71,3,FALSE))),VLOOKUP(B122,'FL Contract Prices'!$A$2:$C$71,3,FALSE),ROUND(D122*0.7,-1))</f>
        <v>2910</v>
      </c>
      <c r="J122" s="106"/>
      <c r="K122" s="102"/>
      <c r="L122" s="146"/>
      <c r="M122" s="146"/>
      <c r="N122" s="146"/>
      <c r="O122" s="155"/>
      <c r="P122" s="150">
        <v>2662.5</v>
      </c>
      <c r="Q122" s="48">
        <v>20</v>
      </c>
      <c r="R122" s="88">
        <v>1</v>
      </c>
      <c r="S122" s="88">
        <f>9*9</f>
        <v>81</v>
      </c>
      <c r="T122" s="48">
        <f t="shared" si="13"/>
        <v>0.52941176470588236</v>
      </c>
      <c r="U122" s="48" t="s">
        <v>179</v>
      </c>
      <c r="V122" s="48">
        <f t="shared" si="15"/>
        <v>10</v>
      </c>
      <c r="W122" s="83"/>
      <c r="X122" s="83" t="s">
        <v>1893</v>
      </c>
    </row>
    <row r="123" spans="1:24" x14ac:dyDescent="0.25">
      <c r="A123" s="82" t="s">
        <v>109</v>
      </c>
      <c r="B123" s="82" t="s">
        <v>581</v>
      </c>
      <c r="C123" s="82" t="s">
        <v>1894</v>
      </c>
      <c r="D123" s="84">
        <f t="shared" si="16"/>
        <v>2320</v>
      </c>
      <c r="E123" s="128">
        <f t="shared" si="9"/>
        <v>1504.5294117647059</v>
      </c>
      <c r="F123" s="86" t="s">
        <v>199</v>
      </c>
      <c r="G123" s="102"/>
      <c r="H123" s="102"/>
      <c r="I123" s="106">
        <f>IF(NOT(ISNA(VLOOKUP(B123,'FL Contract Prices'!$A$2:$C$71,3,FALSE))),VLOOKUP(B123,'FL Contract Prices'!$A$2:$C$71,3,FALSE),ROUND(D123*0.7,-1))</f>
        <v>2709.4</v>
      </c>
      <c r="J123" s="106"/>
      <c r="K123" s="102"/>
      <c r="L123" s="146"/>
      <c r="M123" s="146"/>
      <c r="N123" s="146"/>
      <c r="O123" s="155"/>
      <c r="P123" s="150">
        <v>1474</v>
      </c>
      <c r="Q123" s="48">
        <v>20</v>
      </c>
      <c r="R123" s="88">
        <v>1</v>
      </c>
      <c r="S123" s="88">
        <f>9*9</f>
        <v>81</v>
      </c>
      <c r="T123" s="48">
        <f t="shared" si="13"/>
        <v>0.52941176470588236</v>
      </c>
      <c r="U123" s="48" t="s">
        <v>179</v>
      </c>
      <c r="V123" s="48">
        <f t="shared" si="15"/>
        <v>10</v>
      </c>
      <c r="W123" s="83"/>
      <c r="X123" s="83" t="s">
        <v>1895</v>
      </c>
    </row>
    <row r="124" spans="1:24" ht="30" x14ac:dyDescent="0.25">
      <c r="A124" s="87" t="s">
        <v>1896</v>
      </c>
      <c r="B124" s="87" t="s">
        <v>1084</v>
      </c>
      <c r="C124" s="87" t="s">
        <v>1897</v>
      </c>
      <c r="D124" s="84">
        <f t="shared" si="16"/>
        <v>1730</v>
      </c>
      <c r="E124" s="128">
        <f t="shared" si="9"/>
        <v>1122.5294117647059</v>
      </c>
      <c r="F124" s="90" t="s">
        <v>199</v>
      </c>
      <c r="G124" s="103"/>
      <c r="H124" s="103"/>
      <c r="I124" s="106">
        <f>IF(NOT(ISNA(VLOOKUP(B124,'FL Contract Prices'!$A$2:$C$71,3,FALSE))),VLOOKUP(B124,'FL Contract Prices'!$A$2:$C$71,3,FALSE),ROUND(D124*0.7,-1))</f>
        <v>1210</v>
      </c>
      <c r="J124" s="106"/>
      <c r="K124" s="103"/>
      <c r="L124" s="148"/>
      <c r="M124" s="148"/>
      <c r="N124" s="148"/>
      <c r="O124" s="156"/>
      <c r="P124" s="152">
        <v>1092</v>
      </c>
      <c r="Q124" s="48">
        <v>20</v>
      </c>
      <c r="R124" s="92">
        <v>1</v>
      </c>
      <c r="S124" s="92">
        <f>9*9</f>
        <v>81</v>
      </c>
      <c r="T124" s="91">
        <f t="shared" si="13"/>
        <v>0.52941176470588236</v>
      </c>
      <c r="U124" s="91" t="s">
        <v>179</v>
      </c>
      <c r="V124" s="91">
        <f t="shared" si="15"/>
        <v>10</v>
      </c>
      <c r="W124" s="93"/>
      <c r="X124" s="93" t="s">
        <v>1895</v>
      </c>
    </row>
    <row r="125" spans="1:24" x14ac:dyDescent="0.25">
      <c r="A125" s="82" t="s">
        <v>587</v>
      </c>
      <c r="B125" s="82" t="s">
        <v>588</v>
      </c>
      <c r="C125" s="82" t="s">
        <v>589</v>
      </c>
      <c r="D125" s="84">
        <f t="shared" si="16"/>
        <v>110</v>
      </c>
      <c r="E125" s="128">
        <f t="shared" si="9"/>
        <v>69.235294117647058</v>
      </c>
      <c r="F125" s="86" t="s">
        <v>199</v>
      </c>
      <c r="G125" s="102"/>
      <c r="H125" s="102"/>
      <c r="I125" s="106">
        <f>IF(NOT(ISNA(VLOOKUP(B125,'FL Contract Prices'!$A$2:$C$71,3,FALSE))),VLOOKUP(B125,'FL Contract Prices'!$A$2:$C$71,3,FALSE),ROUND(D125*0.7,-1))</f>
        <v>80</v>
      </c>
      <c r="J125" s="106"/>
      <c r="K125" s="102"/>
      <c r="L125" s="146"/>
      <c r="M125" s="146"/>
      <c r="N125" s="146"/>
      <c r="O125" s="155"/>
      <c r="P125" s="150">
        <v>39</v>
      </c>
      <c r="Q125" s="48">
        <v>20</v>
      </c>
      <c r="R125" s="88">
        <v>2</v>
      </c>
      <c r="S125" s="88">
        <f>6*3</f>
        <v>18</v>
      </c>
      <c r="T125" s="48">
        <f t="shared" si="13"/>
        <v>0.23529411764705885</v>
      </c>
      <c r="U125" s="48" t="s">
        <v>179</v>
      </c>
      <c r="V125" s="48">
        <f t="shared" si="15"/>
        <v>10</v>
      </c>
      <c r="W125" s="83"/>
      <c r="X125" s="83" t="s">
        <v>590</v>
      </c>
    </row>
    <row r="126" spans="1:24" x14ac:dyDescent="0.25">
      <c r="A126" s="82" t="s">
        <v>1898</v>
      </c>
      <c r="B126" s="82" t="s">
        <v>993</v>
      </c>
      <c r="C126" s="82" t="s">
        <v>1899</v>
      </c>
      <c r="D126" s="84">
        <f t="shared" si="16"/>
        <v>1410</v>
      </c>
      <c r="E126" s="128">
        <f t="shared" si="9"/>
        <v>912.50980392156862</v>
      </c>
      <c r="F126" s="86" t="s">
        <v>199</v>
      </c>
      <c r="G126" s="102"/>
      <c r="H126" s="102"/>
      <c r="I126" s="106">
        <f>IF(NOT(ISNA(VLOOKUP(B126,'FL Contract Prices'!$A$2:$C$71,3,FALSE))),VLOOKUP(B126,'FL Contract Prices'!$A$2:$C$71,3,FALSE),ROUND(D126*0.7,-1))</f>
        <v>2105.0859999999998</v>
      </c>
      <c r="J126" s="106"/>
      <c r="K126" s="102"/>
      <c r="L126" s="146"/>
      <c r="M126" s="146"/>
      <c r="N126" s="146"/>
      <c r="O126" s="155"/>
      <c r="P126" s="150">
        <v>900</v>
      </c>
      <c r="Q126" s="48"/>
      <c r="R126" s="88">
        <v>6</v>
      </c>
      <c r="S126" s="88">
        <f>8*8</f>
        <v>64</v>
      </c>
      <c r="T126" s="48">
        <f t="shared" si="13"/>
        <v>2.5098039215686274</v>
      </c>
      <c r="U126" s="48" t="s">
        <v>179</v>
      </c>
      <c r="V126" s="48">
        <f t="shared" si="15"/>
        <v>10</v>
      </c>
      <c r="W126" s="83"/>
      <c r="X126" s="83" t="s">
        <v>1900</v>
      </c>
    </row>
    <row r="127" spans="1:24" x14ac:dyDescent="0.25">
      <c r="A127" s="82" t="s">
        <v>594</v>
      </c>
      <c r="B127" s="82" t="s">
        <v>595</v>
      </c>
      <c r="C127" s="82" t="s">
        <v>596</v>
      </c>
      <c r="D127" s="84">
        <f t="shared" si="16"/>
        <v>660</v>
      </c>
      <c r="E127" s="128">
        <f t="shared" si="9"/>
        <v>425.52941176470586</v>
      </c>
      <c r="F127" s="86" t="s">
        <v>199</v>
      </c>
      <c r="G127" s="102"/>
      <c r="H127" s="102"/>
      <c r="I127" s="106">
        <f>IF(NOT(ISNA(VLOOKUP(B127,'FL Contract Prices'!$A$2:$C$71,3,FALSE))),VLOOKUP(B127,'FL Contract Prices'!$A$2:$C$71,3,FALSE),ROUND(D127*0.7,-1))</f>
        <v>356.25</v>
      </c>
      <c r="J127" s="106"/>
      <c r="K127" s="102"/>
      <c r="L127" s="146"/>
      <c r="M127" s="146"/>
      <c r="N127" s="146"/>
      <c r="O127" s="155"/>
      <c r="P127" s="150">
        <v>395</v>
      </c>
      <c r="Q127" s="48">
        <v>20</v>
      </c>
      <c r="R127" s="88">
        <v>1</v>
      </c>
      <c r="S127" s="88">
        <f>9*9</f>
        <v>81</v>
      </c>
      <c r="T127" s="48">
        <f t="shared" si="13"/>
        <v>0.52941176470588236</v>
      </c>
      <c r="U127" s="48" t="s">
        <v>179</v>
      </c>
      <c r="V127" s="48">
        <f t="shared" si="15"/>
        <v>10</v>
      </c>
      <c r="W127" s="83"/>
      <c r="X127" s="83" t="s">
        <v>1895</v>
      </c>
    </row>
    <row r="128" spans="1:24" x14ac:dyDescent="0.25">
      <c r="A128" s="82" t="s">
        <v>597</v>
      </c>
      <c r="B128" s="82" t="s">
        <v>598</v>
      </c>
      <c r="C128" s="82" t="s">
        <v>599</v>
      </c>
      <c r="D128" s="84">
        <f t="shared" si="16"/>
        <v>4610</v>
      </c>
      <c r="E128" s="128">
        <f t="shared" si="9"/>
        <v>2993.0294117647059</v>
      </c>
      <c r="F128" s="86" t="s">
        <v>199</v>
      </c>
      <c r="G128" s="102"/>
      <c r="H128" s="102"/>
      <c r="I128" s="106">
        <f>IF(NOT(ISNA(VLOOKUP(B128,'FL Contract Prices'!$A$2:$C$71,3,FALSE))),VLOOKUP(B128,'FL Contract Prices'!$A$2:$C$71,3,FALSE),ROUND(D128*0.7,-1))</f>
        <v>3121.7</v>
      </c>
      <c r="J128" s="106"/>
      <c r="K128" s="102"/>
      <c r="L128" s="146"/>
      <c r="M128" s="146"/>
      <c r="N128" s="146"/>
      <c r="O128" s="155"/>
      <c r="P128" s="150">
        <v>2962.5</v>
      </c>
      <c r="Q128" s="48">
        <v>20</v>
      </c>
      <c r="R128" s="88">
        <v>1</v>
      </c>
      <c r="S128" s="88">
        <f>9*9</f>
        <v>81</v>
      </c>
      <c r="T128" s="48">
        <f t="shared" si="13"/>
        <v>0.52941176470588236</v>
      </c>
      <c r="U128" s="48" t="s">
        <v>179</v>
      </c>
      <c r="V128" s="48">
        <f t="shared" si="15"/>
        <v>10</v>
      </c>
      <c r="W128" s="83"/>
      <c r="X128" s="83" t="s">
        <v>1893</v>
      </c>
    </row>
    <row r="129" spans="1:24" x14ac:dyDescent="0.25">
      <c r="A129" s="82" t="s">
        <v>600</v>
      </c>
      <c r="B129" s="82" t="s">
        <v>601</v>
      </c>
      <c r="C129" s="82" t="s">
        <v>602</v>
      </c>
      <c r="D129" s="84">
        <f t="shared" si="16"/>
        <v>2480</v>
      </c>
      <c r="E129" s="128">
        <f t="shared" si="9"/>
        <v>1610.5294117647059</v>
      </c>
      <c r="F129" s="86" t="s">
        <v>199</v>
      </c>
      <c r="G129" s="102"/>
      <c r="H129" s="102"/>
      <c r="I129" s="106">
        <f>IF(NOT(ISNA(VLOOKUP(B129,'FL Contract Prices'!$A$2:$C$71,3,FALSE))),VLOOKUP(B129,'FL Contract Prices'!$A$2:$C$71,3,FALSE),ROUND(D129*0.7,-1))</f>
        <v>2709.4</v>
      </c>
      <c r="J129" s="106"/>
      <c r="K129" s="102"/>
      <c r="L129" s="146"/>
      <c r="M129" s="146"/>
      <c r="N129" s="146"/>
      <c r="O129" s="155"/>
      <c r="P129" s="150">
        <v>1400</v>
      </c>
      <c r="Q129" s="48">
        <v>200</v>
      </c>
      <c r="R129" s="88">
        <v>1</v>
      </c>
      <c r="S129" s="88">
        <f>9*9</f>
        <v>81</v>
      </c>
      <c r="T129" s="48">
        <f t="shared" si="13"/>
        <v>0.52941176470588236</v>
      </c>
      <c r="U129" s="48" t="s">
        <v>179</v>
      </c>
      <c r="V129" s="48">
        <f t="shared" si="15"/>
        <v>10</v>
      </c>
      <c r="W129" s="83"/>
      <c r="X129" s="83" t="s">
        <v>603</v>
      </c>
    </row>
    <row r="130" spans="1:24" ht="30" x14ac:dyDescent="0.25">
      <c r="A130" s="87" t="s">
        <v>604</v>
      </c>
      <c r="B130" s="82" t="s">
        <v>605</v>
      </c>
      <c r="C130" s="82" t="s">
        <v>606</v>
      </c>
      <c r="D130" s="84">
        <f t="shared" si="16"/>
        <v>7250</v>
      </c>
      <c r="E130" s="128">
        <f t="shared" si="9"/>
        <v>4711.8888888888887</v>
      </c>
      <c r="F130" s="86" t="s">
        <v>199</v>
      </c>
      <c r="G130" s="102"/>
      <c r="H130" s="102"/>
      <c r="I130" s="106">
        <f>IF(NOT(ISNA(VLOOKUP(B130,'FL Contract Prices'!$A$2:$C$71,3,FALSE))),VLOOKUP(B130,'FL Contract Prices'!$A$2:$C$71,3,FALSE),ROUND(D130*0.7,-1))</f>
        <v>8835</v>
      </c>
      <c r="J130" s="106"/>
      <c r="K130" s="102"/>
      <c r="L130" s="146"/>
      <c r="M130" s="146"/>
      <c r="N130" s="146"/>
      <c r="O130" s="155"/>
      <c r="P130" s="150">
        <v>4500</v>
      </c>
      <c r="Q130" s="48">
        <v>200</v>
      </c>
      <c r="R130" s="88">
        <v>1</v>
      </c>
      <c r="S130" s="88">
        <f>17*17</f>
        <v>289</v>
      </c>
      <c r="T130" s="48">
        <f t="shared" si="13"/>
        <v>1.8888888888888886</v>
      </c>
      <c r="U130" s="48" t="s">
        <v>179</v>
      </c>
      <c r="V130" s="48">
        <f t="shared" si="15"/>
        <v>10</v>
      </c>
      <c r="W130" s="83"/>
      <c r="X130" s="83" t="s">
        <v>607</v>
      </c>
    </row>
    <row r="131" spans="1:24" x14ac:dyDescent="0.25">
      <c r="A131" s="82" t="s">
        <v>608</v>
      </c>
      <c r="B131" s="82" t="s">
        <v>609</v>
      </c>
      <c r="C131" s="82" t="s">
        <v>610</v>
      </c>
      <c r="D131" s="84">
        <f>IF(E131&lt;20, ROUNDUP(E131/0.6,0), ROUNDUP(E131/0.6,-1))</f>
        <v>50</v>
      </c>
      <c r="E131" s="128">
        <f t="shared" ref="E131:E195" si="17">P131+Q131+T131+V131</f>
        <v>25.176470588235293</v>
      </c>
      <c r="F131" s="86" t="s">
        <v>199</v>
      </c>
      <c r="G131" s="102"/>
      <c r="H131" s="102"/>
      <c r="I131" s="106">
        <f>IF(NOT(ISNA(VLOOKUP(B131,'FL Contract Prices'!$A$2:$C$71,3,FALSE))),VLOOKUP(B131,'FL Contract Prices'!$A$2:$C$71,3,FALSE),ROUND(D131*0.7,-1))</f>
        <v>40</v>
      </c>
      <c r="J131" s="106"/>
      <c r="K131" s="102"/>
      <c r="L131" s="146"/>
      <c r="M131" s="146"/>
      <c r="N131" s="146"/>
      <c r="O131" s="155"/>
      <c r="P131" s="150">
        <v>14</v>
      </c>
      <c r="Q131" s="48"/>
      <c r="R131" s="88">
        <v>3</v>
      </c>
      <c r="S131" s="88">
        <f>6*10</f>
        <v>60</v>
      </c>
      <c r="T131" s="48">
        <f t="shared" si="13"/>
        <v>1.1764705882352942</v>
      </c>
      <c r="U131" s="48" t="s">
        <v>179</v>
      </c>
      <c r="V131" s="48">
        <f t="shared" si="15"/>
        <v>10</v>
      </c>
      <c r="W131" s="83"/>
      <c r="X131" s="83" t="s">
        <v>611</v>
      </c>
    </row>
    <row r="132" spans="1:24" x14ac:dyDescent="0.25">
      <c r="A132" s="82" t="s">
        <v>612</v>
      </c>
      <c r="B132" s="82" t="s">
        <v>613</v>
      </c>
      <c r="C132" s="82" t="s">
        <v>614</v>
      </c>
      <c r="D132" s="84">
        <f>IF(E132&lt;20, ROUNDUP(E132/0.6,0), ROUNDUP(E132/0.6,-1))</f>
        <v>900</v>
      </c>
      <c r="E132" s="128">
        <f t="shared" si="17"/>
        <v>539.52941176470586</v>
      </c>
      <c r="F132" s="86" t="s">
        <v>199</v>
      </c>
      <c r="G132" s="102"/>
      <c r="H132" s="102"/>
      <c r="I132" s="106">
        <f>IF(NOT(ISNA(VLOOKUP(B132,'FL Contract Prices'!$A$2:$C$71,3,FALSE))),VLOOKUP(B132,'FL Contract Prices'!$A$2:$C$71,3,FALSE),ROUND(D132*0.7,-1))</f>
        <v>630</v>
      </c>
      <c r="J132" s="106"/>
      <c r="K132" s="102"/>
      <c r="L132" s="146"/>
      <c r="M132" s="146"/>
      <c r="N132" s="146"/>
      <c r="O132" s="155"/>
      <c r="P132" s="150">
        <v>520</v>
      </c>
      <c r="Q132" s="48">
        <v>9</v>
      </c>
      <c r="R132" s="88">
        <v>1</v>
      </c>
      <c r="S132" s="88">
        <f>9*9</f>
        <v>81</v>
      </c>
      <c r="T132" s="48">
        <f t="shared" si="13"/>
        <v>0.52941176470588236</v>
      </c>
      <c r="U132" s="48" t="s">
        <v>179</v>
      </c>
      <c r="V132" s="48">
        <f t="shared" si="15"/>
        <v>10</v>
      </c>
      <c r="W132" s="83"/>
      <c r="X132" s="83" t="s">
        <v>615</v>
      </c>
    </row>
    <row r="133" spans="1:24" x14ac:dyDescent="0.25">
      <c r="A133" s="87" t="s">
        <v>1901</v>
      </c>
      <c r="B133" s="82" t="s">
        <v>1902</v>
      </c>
      <c r="C133" s="82" t="s">
        <v>1903</v>
      </c>
      <c r="D133" s="84">
        <v>0</v>
      </c>
      <c r="E133" s="128">
        <f t="shared" si="17"/>
        <v>0.04</v>
      </c>
      <c r="F133" s="86" t="s">
        <v>199</v>
      </c>
      <c r="G133" s="102"/>
      <c r="H133" s="102"/>
      <c r="I133" s="106">
        <f>IF(NOT(ISNA(VLOOKUP(B133,'FL Contract Prices'!$A$2:$C$71,3,FALSE))),VLOOKUP(B133,'FL Contract Prices'!$A$2:$C$71,3,FALSE),ROUND(D133*0.7,-1))</f>
        <v>0</v>
      </c>
      <c r="J133" s="106"/>
      <c r="K133" s="102"/>
      <c r="L133" s="146"/>
      <c r="M133" s="146"/>
      <c r="N133" s="146"/>
      <c r="O133" s="155"/>
      <c r="P133" s="150">
        <v>0.03</v>
      </c>
      <c r="Q133" s="48">
        <v>0.01</v>
      </c>
      <c r="R133" s="88"/>
      <c r="S133" s="88"/>
      <c r="T133" s="48">
        <f t="shared" si="13"/>
        <v>0</v>
      </c>
      <c r="U133" s="48" t="s">
        <v>287</v>
      </c>
      <c r="V133" s="48">
        <f t="shared" si="15"/>
        <v>0</v>
      </c>
      <c r="W133" s="83"/>
      <c r="X133" s="83" t="s">
        <v>1904</v>
      </c>
    </row>
    <row r="134" spans="1:24" x14ac:dyDescent="0.25">
      <c r="A134" s="87" t="s">
        <v>1905</v>
      </c>
      <c r="B134" s="82" t="s">
        <v>1906</v>
      </c>
      <c r="C134" s="82" t="s">
        <v>1907</v>
      </c>
      <c r="D134" s="84">
        <v>0</v>
      </c>
      <c r="E134" s="128">
        <f t="shared" si="17"/>
        <v>0.03</v>
      </c>
      <c r="F134" s="86" t="s">
        <v>199</v>
      </c>
      <c r="G134" s="102"/>
      <c r="H134" s="102"/>
      <c r="I134" s="106">
        <f>IF(NOT(ISNA(VLOOKUP(B134,'FL Contract Prices'!$A$2:$C$71,3,FALSE))),VLOOKUP(B134,'FL Contract Prices'!$A$2:$C$71,3,FALSE),ROUND(D134*0.7,-1))</f>
        <v>0</v>
      </c>
      <c r="J134" s="106"/>
      <c r="K134" s="102"/>
      <c r="L134" s="146"/>
      <c r="M134" s="146"/>
      <c r="N134" s="146"/>
      <c r="O134" s="155"/>
      <c r="P134" s="150">
        <v>0.02</v>
      </c>
      <c r="Q134" s="48">
        <v>0.01</v>
      </c>
      <c r="R134" s="88"/>
      <c r="S134" s="88"/>
      <c r="T134" s="48">
        <f t="shared" si="13"/>
        <v>0</v>
      </c>
      <c r="U134" s="48" t="s">
        <v>287</v>
      </c>
      <c r="V134" s="48">
        <f t="shared" si="15"/>
        <v>0</v>
      </c>
      <c r="W134" s="83"/>
      <c r="X134" s="83" t="s">
        <v>1904</v>
      </c>
    </row>
    <row r="135" spans="1:24" x14ac:dyDescent="0.25">
      <c r="A135" s="82" t="s">
        <v>616</v>
      </c>
      <c r="B135" s="82" t="s">
        <v>617</v>
      </c>
      <c r="C135" s="82" t="s">
        <v>618</v>
      </c>
      <c r="D135" s="84">
        <f t="shared" ref="D135:D143" si="18">IF(E135&lt;20, ROUNDUP(E135/0.6,0), ROUNDUP(E135/0.6,-1))</f>
        <v>200</v>
      </c>
      <c r="E135" s="128">
        <f t="shared" si="17"/>
        <v>118.11111111111111</v>
      </c>
      <c r="F135" s="86" t="s">
        <v>199</v>
      </c>
      <c r="G135" s="102"/>
      <c r="H135" s="102"/>
      <c r="I135" s="106">
        <f>IF(NOT(ISNA(VLOOKUP(B135,'FL Contract Prices'!$A$2:$C$71,3,FALSE))),VLOOKUP(B135,'FL Contract Prices'!$A$2:$C$71,3,FALSE),ROUND(D135*0.7,-1))</f>
        <v>140</v>
      </c>
      <c r="J135" s="106"/>
      <c r="K135" s="102"/>
      <c r="L135" s="146"/>
      <c r="M135" s="146"/>
      <c r="N135" s="146"/>
      <c r="O135" s="155"/>
      <c r="P135" s="150">
        <v>95</v>
      </c>
      <c r="Q135" s="48">
        <v>10</v>
      </c>
      <c r="R135" s="88">
        <v>2</v>
      </c>
      <c r="S135" s="88">
        <f>17*14</f>
        <v>238</v>
      </c>
      <c r="T135" s="48">
        <f t="shared" si="13"/>
        <v>3.1111111111111112</v>
      </c>
      <c r="U135" s="48" t="s">
        <v>179</v>
      </c>
      <c r="V135" s="48">
        <f t="shared" si="15"/>
        <v>10</v>
      </c>
      <c r="W135" s="83"/>
      <c r="X135" s="83" t="s">
        <v>619</v>
      </c>
    </row>
    <row r="136" spans="1:24" x14ac:dyDescent="0.25">
      <c r="A136" s="82" t="s">
        <v>1908</v>
      </c>
      <c r="B136" s="82" t="s">
        <v>1909</v>
      </c>
      <c r="C136" s="82" t="s">
        <v>1910</v>
      </c>
      <c r="D136" s="84">
        <f t="shared" si="18"/>
        <v>60</v>
      </c>
      <c r="E136" s="128">
        <f t="shared" si="17"/>
        <v>30.941176470588236</v>
      </c>
      <c r="F136" s="86" t="s">
        <v>199</v>
      </c>
      <c r="G136" s="102"/>
      <c r="H136" s="102"/>
      <c r="I136" s="106">
        <f>IF(NOT(ISNA(VLOOKUP(B136,'FL Contract Prices'!$A$2:$C$71,3,FALSE))),VLOOKUP(B136,'FL Contract Prices'!$A$2:$C$71,3,FALSE),ROUND(D136*0.7,-1))</f>
        <v>40</v>
      </c>
      <c r="J136" s="106"/>
      <c r="K136" s="102"/>
      <c r="L136" s="146"/>
      <c r="M136" s="146"/>
      <c r="N136" s="146"/>
      <c r="O136" s="155"/>
      <c r="P136" s="150">
        <v>20</v>
      </c>
      <c r="Q136" s="48"/>
      <c r="R136" s="88">
        <v>3</v>
      </c>
      <c r="S136" s="88">
        <f>6*8</f>
        <v>48</v>
      </c>
      <c r="T136" s="48">
        <f t="shared" si="13"/>
        <v>0.94117647058823528</v>
      </c>
      <c r="U136" s="48" t="s">
        <v>179</v>
      </c>
      <c r="V136" s="48">
        <f t="shared" si="15"/>
        <v>10</v>
      </c>
      <c r="W136" s="83"/>
      <c r="X136" s="83" t="s">
        <v>1911</v>
      </c>
    </row>
    <row r="137" spans="1:24" x14ac:dyDescent="0.25">
      <c r="A137" s="82" t="s">
        <v>620</v>
      </c>
      <c r="B137" s="82" t="s">
        <v>621</v>
      </c>
      <c r="C137" s="82" t="s">
        <v>622</v>
      </c>
      <c r="D137" s="84">
        <f t="shared" si="18"/>
        <v>90</v>
      </c>
      <c r="E137" s="128">
        <f t="shared" si="17"/>
        <v>50</v>
      </c>
      <c r="F137" s="86" t="s">
        <v>199</v>
      </c>
      <c r="G137" s="102"/>
      <c r="H137" s="102"/>
      <c r="I137" s="106">
        <f>IF(NOT(ISNA(VLOOKUP(B137,'FL Contract Prices'!$A$2:$C$71,3,FALSE))),VLOOKUP(B137,'FL Contract Prices'!$A$2:$C$71,3,FALSE),ROUND(D137*0.7,-1))</f>
        <v>60</v>
      </c>
      <c r="J137" s="106"/>
      <c r="K137" s="102"/>
      <c r="L137" s="146"/>
      <c r="M137" s="146"/>
      <c r="N137" s="146"/>
      <c r="O137" s="155"/>
      <c r="P137" s="150">
        <v>40</v>
      </c>
      <c r="Q137" s="48"/>
      <c r="R137" s="88"/>
      <c r="S137" s="88"/>
      <c r="T137" s="48">
        <f t="shared" si="13"/>
        <v>0</v>
      </c>
      <c r="U137" s="48" t="s">
        <v>179</v>
      </c>
      <c r="V137" s="48">
        <f t="shared" si="15"/>
        <v>10</v>
      </c>
      <c r="W137" s="83"/>
      <c r="X137" s="83" t="s">
        <v>623</v>
      </c>
    </row>
    <row r="138" spans="1:24" x14ac:dyDescent="0.25">
      <c r="A138" s="82" t="s">
        <v>1912</v>
      </c>
      <c r="B138" s="82" t="s">
        <v>1913</v>
      </c>
      <c r="C138" s="82" t="s">
        <v>1914</v>
      </c>
      <c r="D138" s="84">
        <f t="shared" si="18"/>
        <v>350</v>
      </c>
      <c r="E138" s="128">
        <f t="shared" si="17"/>
        <v>210</v>
      </c>
      <c r="F138" s="86" t="s">
        <v>199</v>
      </c>
      <c r="G138" s="102"/>
      <c r="H138" s="102"/>
      <c r="I138" s="106">
        <f>IF(NOT(ISNA(VLOOKUP(B138,'FL Contract Prices'!$A$2:$C$71,3,FALSE))),VLOOKUP(B138,'FL Contract Prices'!$A$2:$C$71,3,FALSE),ROUND(D138*0.7,-1))</f>
        <v>250</v>
      </c>
      <c r="J138" s="106"/>
      <c r="K138" s="102"/>
      <c r="L138" s="146"/>
      <c r="M138" s="146"/>
      <c r="N138" s="146"/>
      <c r="O138" s="155"/>
      <c r="P138" s="150">
        <v>200</v>
      </c>
      <c r="Q138" s="48"/>
      <c r="R138" s="88"/>
      <c r="S138" s="88"/>
      <c r="T138" s="48">
        <f t="shared" si="13"/>
        <v>0</v>
      </c>
      <c r="U138" s="48" t="s">
        <v>179</v>
      </c>
      <c r="V138" s="48">
        <f t="shared" si="15"/>
        <v>10</v>
      </c>
      <c r="W138" s="83"/>
      <c r="X138" s="83" t="s">
        <v>1915</v>
      </c>
    </row>
    <row r="139" spans="1:24" x14ac:dyDescent="0.25">
      <c r="A139" s="82" t="s">
        <v>624</v>
      </c>
      <c r="B139" s="82" t="s">
        <v>625</v>
      </c>
      <c r="C139" s="82" t="s">
        <v>626</v>
      </c>
      <c r="D139" s="84">
        <f t="shared" si="18"/>
        <v>50</v>
      </c>
      <c r="E139" s="128">
        <f t="shared" si="17"/>
        <v>25</v>
      </c>
      <c r="F139" s="86" t="s">
        <v>199</v>
      </c>
      <c r="G139" s="102"/>
      <c r="H139" s="102"/>
      <c r="I139" s="106">
        <f>IF(NOT(ISNA(VLOOKUP(B139,'FL Contract Prices'!$A$2:$C$71,3,FALSE))),VLOOKUP(B139,'FL Contract Prices'!$A$2:$C$71,3,FALSE),ROUND(D139*0.7,-1))</f>
        <v>40</v>
      </c>
      <c r="J139" s="106"/>
      <c r="K139" s="102"/>
      <c r="L139" s="146"/>
      <c r="M139" s="146"/>
      <c r="N139" s="146"/>
      <c r="O139" s="155"/>
      <c r="P139" s="150">
        <v>15</v>
      </c>
      <c r="Q139" s="48"/>
      <c r="R139" s="88"/>
      <c r="S139" s="88"/>
      <c r="T139" s="48">
        <f t="shared" si="13"/>
        <v>0</v>
      </c>
      <c r="U139" s="48" t="s">
        <v>179</v>
      </c>
      <c r="V139" s="48">
        <f t="shared" si="15"/>
        <v>10</v>
      </c>
      <c r="W139" s="83"/>
      <c r="X139" s="83" t="s">
        <v>627</v>
      </c>
    </row>
    <row r="140" spans="1:24" x14ac:dyDescent="0.25">
      <c r="A140" s="82" t="s">
        <v>1916</v>
      </c>
      <c r="B140" s="82" t="s">
        <v>1917</v>
      </c>
      <c r="C140" s="82" t="s">
        <v>1918</v>
      </c>
      <c r="D140" s="84">
        <f t="shared" si="18"/>
        <v>4</v>
      </c>
      <c r="E140" s="128">
        <f t="shared" si="17"/>
        <v>2</v>
      </c>
      <c r="F140" s="86" t="s">
        <v>199</v>
      </c>
      <c r="G140" s="102"/>
      <c r="H140" s="102"/>
      <c r="I140" s="106">
        <f>IF(NOT(ISNA(VLOOKUP(B140,'FL Contract Prices'!$A$2:$C$71,3,FALSE))),VLOOKUP(B140,'FL Contract Prices'!$A$2:$C$71,3,FALSE),ROUND(D140*0.7,-1))</f>
        <v>0</v>
      </c>
      <c r="J140" s="106"/>
      <c r="K140" s="102"/>
      <c r="L140" s="146"/>
      <c r="M140" s="146"/>
      <c r="N140" s="146"/>
      <c r="O140" s="155"/>
      <c r="P140" s="150">
        <v>2</v>
      </c>
      <c r="Q140" s="48"/>
      <c r="R140" s="88"/>
      <c r="S140" s="88"/>
      <c r="T140" s="48">
        <f t="shared" si="13"/>
        <v>0</v>
      </c>
      <c r="U140" s="48" t="s">
        <v>287</v>
      </c>
      <c r="V140" s="48">
        <f t="shared" si="15"/>
        <v>0</v>
      </c>
      <c r="W140" s="83"/>
      <c r="X140" s="83" t="s">
        <v>1919</v>
      </c>
    </row>
    <row r="141" spans="1:24" x14ac:dyDescent="0.25">
      <c r="A141" s="82" t="s">
        <v>1920</v>
      </c>
      <c r="B141" s="82" t="s">
        <v>1921</v>
      </c>
      <c r="C141" s="82" t="s">
        <v>1922</v>
      </c>
      <c r="D141" s="84">
        <f t="shared" si="18"/>
        <v>50</v>
      </c>
      <c r="E141" s="128">
        <f t="shared" si="17"/>
        <v>30</v>
      </c>
      <c r="F141" s="86" t="s">
        <v>199</v>
      </c>
      <c r="G141" s="102"/>
      <c r="H141" s="102"/>
      <c r="I141" s="106">
        <f>IF(NOT(ISNA(VLOOKUP(B141,'FL Contract Prices'!$A$2:$C$71,3,FALSE))),VLOOKUP(B141,'FL Contract Prices'!$A$2:$C$71,3,FALSE),ROUND(D141*0.7,-1))</f>
        <v>40</v>
      </c>
      <c r="J141" s="106"/>
      <c r="K141" s="102"/>
      <c r="L141" s="146"/>
      <c r="M141" s="146"/>
      <c r="N141" s="146"/>
      <c r="O141" s="155"/>
      <c r="P141" s="150">
        <v>20</v>
      </c>
      <c r="Q141" s="48"/>
      <c r="R141" s="88"/>
      <c r="S141" s="88"/>
      <c r="T141" s="48">
        <f t="shared" si="13"/>
        <v>0</v>
      </c>
      <c r="U141" s="48" t="s">
        <v>179</v>
      </c>
      <c r="V141" s="48">
        <f t="shared" si="15"/>
        <v>10</v>
      </c>
      <c r="W141" s="83"/>
      <c r="X141" s="83" t="s">
        <v>1923</v>
      </c>
    </row>
    <row r="142" spans="1:24" x14ac:dyDescent="0.25">
      <c r="A142" s="82" t="s">
        <v>628</v>
      </c>
      <c r="B142" s="82" t="s">
        <v>629</v>
      </c>
      <c r="C142" s="82" t="s">
        <v>630</v>
      </c>
      <c r="D142" s="84">
        <f t="shared" si="18"/>
        <v>220</v>
      </c>
      <c r="E142" s="128">
        <f t="shared" si="17"/>
        <v>130</v>
      </c>
      <c r="F142" s="86" t="s">
        <v>199</v>
      </c>
      <c r="G142" s="102"/>
      <c r="H142" s="102"/>
      <c r="I142" s="106">
        <f>IF(NOT(ISNA(VLOOKUP(B142,'FL Contract Prices'!$A$2:$C$71,3,FALSE))),VLOOKUP(B142,'FL Contract Prices'!$A$2:$C$71,3,FALSE),ROUND(D142*0.7,-1))</f>
        <v>150</v>
      </c>
      <c r="J142" s="106"/>
      <c r="K142" s="102"/>
      <c r="L142" s="146"/>
      <c r="M142" s="146"/>
      <c r="N142" s="146"/>
      <c r="O142" s="155"/>
      <c r="P142" s="150">
        <v>120</v>
      </c>
      <c r="Q142" s="48"/>
      <c r="R142" s="88"/>
      <c r="S142" s="88"/>
      <c r="T142" s="48">
        <f t="shared" si="13"/>
        <v>0</v>
      </c>
      <c r="U142" s="48" t="s">
        <v>179</v>
      </c>
      <c r="V142" s="48">
        <f t="shared" si="15"/>
        <v>10</v>
      </c>
      <c r="W142" s="83"/>
      <c r="X142" s="83" t="s">
        <v>631</v>
      </c>
    </row>
    <row r="143" spans="1:24" x14ac:dyDescent="0.25">
      <c r="A143" s="82" t="s">
        <v>1924</v>
      </c>
      <c r="B143" s="82" t="s">
        <v>1925</v>
      </c>
      <c r="C143" s="82" t="s">
        <v>1926</v>
      </c>
      <c r="D143" s="84">
        <f t="shared" si="18"/>
        <v>770</v>
      </c>
      <c r="E143" s="128">
        <f t="shared" si="17"/>
        <v>460</v>
      </c>
      <c r="F143" s="86" t="s">
        <v>199</v>
      </c>
      <c r="G143" s="102"/>
      <c r="H143" s="102"/>
      <c r="I143" s="106">
        <f>IF(NOT(ISNA(VLOOKUP(B143,'FL Contract Prices'!$A$2:$C$71,3,FALSE))),VLOOKUP(B143,'FL Contract Prices'!$A$2:$C$71,3,FALSE),ROUND(D143*0.7,-1))</f>
        <v>540</v>
      </c>
      <c r="J143" s="106"/>
      <c r="K143" s="102"/>
      <c r="L143" s="146"/>
      <c r="M143" s="146"/>
      <c r="N143" s="146"/>
      <c r="O143" s="155"/>
      <c r="P143" s="150">
        <v>450</v>
      </c>
      <c r="Q143" s="48"/>
      <c r="R143" s="88"/>
      <c r="S143" s="88"/>
      <c r="T143" s="48">
        <f t="shared" si="13"/>
        <v>0</v>
      </c>
      <c r="U143" s="48" t="s">
        <v>179</v>
      </c>
      <c r="V143" s="48">
        <f t="shared" si="15"/>
        <v>10</v>
      </c>
      <c r="W143" s="83"/>
      <c r="X143" s="83" t="s">
        <v>1927</v>
      </c>
    </row>
    <row r="144" spans="1:24" ht="30" x14ac:dyDescent="0.25">
      <c r="A144" s="82" t="s">
        <v>632</v>
      </c>
      <c r="B144" s="83" t="s">
        <v>633</v>
      </c>
      <c r="C144" s="82" t="s">
        <v>634</v>
      </c>
      <c r="D144" s="84">
        <f t="shared" ref="D144:D197" si="19">IF(E144&lt;20, ROUNDUP(E144/0.3,0), ROUNDUP(E144/0.3,-1))</f>
        <v>1340</v>
      </c>
      <c r="E144" s="128">
        <f t="shared" si="17"/>
        <v>400</v>
      </c>
      <c r="F144" s="86" t="s">
        <v>178</v>
      </c>
      <c r="G144" s="102"/>
      <c r="H144" s="102"/>
      <c r="I144" s="106">
        <f>IF(NOT(ISNA(VLOOKUP(B144,'FL Contract Prices'!$A$2:$C$71,3,FALSE))),VLOOKUP(B144,'FL Contract Prices'!$A$2:$C$71,3,FALSE),ROUND(D144*0.7,-1))</f>
        <v>937.68799999999999</v>
      </c>
      <c r="J144" s="106"/>
      <c r="K144" s="102"/>
      <c r="L144" s="146"/>
      <c r="M144" s="146"/>
      <c r="N144" s="146"/>
      <c r="O144" s="155"/>
      <c r="P144" s="150">
        <v>400</v>
      </c>
      <c r="Q144" s="83"/>
      <c r="R144" s="83"/>
      <c r="S144" s="83"/>
      <c r="T144" s="83"/>
      <c r="U144" s="83"/>
      <c r="V144" s="83"/>
      <c r="W144" s="83"/>
      <c r="X144" s="83" t="s">
        <v>635</v>
      </c>
    </row>
    <row r="145" spans="1:24" ht="30" x14ac:dyDescent="0.25">
      <c r="A145" s="94" t="s">
        <v>108</v>
      </c>
      <c r="B145" s="95" t="s">
        <v>636</v>
      </c>
      <c r="C145" s="94" t="s">
        <v>108</v>
      </c>
      <c r="D145" s="84">
        <f t="shared" si="19"/>
        <v>1340</v>
      </c>
      <c r="E145" s="128">
        <f t="shared" si="17"/>
        <v>400</v>
      </c>
      <c r="F145" s="86" t="s">
        <v>178</v>
      </c>
      <c r="G145" s="102"/>
      <c r="H145" s="102"/>
      <c r="I145" s="106">
        <f>IF(NOT(ISNA(VLOOKUP(B145,'FL Contract Prices'!$A$2:$C$71,3,FALSE))),VLOOKUP(B145,'FL Contract Prices'!$A$2:$C$71,3,FALSE),ROUND(D145*0.7,-1))</f>
        <v>940</v>
      </c>
      <c r="J145" s="106"/>
      <c r="K145" s="102"/>
      <c r="L145" s="146"/>
      <c r="M145" s="146"/>
      <c r="N145" s="146"/>
      <c r="O145" s="155"/>
      <c r="P145" s="150">
        <v>400</v>
      </c>
      <c r="Q145" s="83"/>
      <c r="R145" s="83"/>
      <c r="S145" s="83"/>
      <c r="T145" s="83"/>
      <c r="U145" s="83"/>
      <c r="V145" s="83"/>
      <c r="W145" s="83"/>
      <c r="X145" s="95" t="s">
        <v>637</v>
      </c>
    </row>
    <row r="146" spans="1:24" ht="30" x14ac:dyDescent="0.25">
      <c r="A146" s="94" t="s">
        <v>638</v>
      </c>
      <c r="B146" s="95" t="s">
        <v>639</v>
      </c>
      <c r="C146" s="94" t="s">
        <v>640</v>
      </c>
      <c r="D146" s="84">
        <f t="shared" si="19"/>
        <v>2670</v>
      </c>
      <c r="E146" s="128">
        <f t="shared" si="17"/>
        <v>800</v>
      </c>
      <c r="F146" s="86" t="s">
        <v>178</v>
      </c>
      <c r="G146" s="102"/>
      <c r="H146" s="102"/>
      <c r="I146" s="106">
        <f>IF(NOT(ISNA(VLOOKUP(B146,'FL Contract Prices'!$A$2:$C$71,3,FALSE))),VLOOKUP(B146,'FL Contract Prices'!$A$2:$C$71,3,FALSE),ROUND(D146*0.7,-1))</f>
        <v>2586.8880000000004</v>
      </c>
      <c r="J146" s="106"/>
      <c r="K146" s="102"/>
      <c r="L146" s="146"/>
      <c r="M146" s="146"/>
      <c r="N146" s="146"/>
      <c r="O146" s="155"/>
      <c r="P146" s="150">
        <v>800</v>
      </c>
      <c r="Q146" s="83"/>
      <c r="R146" s="83"/>
      <c r="S146" s="83"/>
      <c r="T146" s="83"/>
      <c r="U146" s="83"/>
      <c r="V146" s="83"/>
      <c r="W146" s="83"/>
      <c r="X146" s="95" t="s">
        <v>637</v>
      </c>
    </row>
    <row r="147" spans="1:24" ht="30" x14ac:dyDescent="0.25">
      <c r="A147" s="82" t="s">
        <v>641</v>
      </c>
      <c r="B147" s="82" t="s">
        <v>642</v>
      </c>
      <c r="C147" s="82" t="s">
        <v>643</v>
      </c>
      <c r="D147" s="84">
        <f t="shared" si="19"/>
        <v>500</v>
      </c>
      <c r="E147" s="128">
        <f t="shared" si="17"/>
        <v>150</v>
      </c>
      <c r="F147" s="86" t="s">
        <v>178</v>
      </c>
      <c r="G147" s="102"/>
      <c r="H147" s="102"/>
      <c r="I147" s="106">
        <f>IF(NOT(ISNA(VLOOKUP(B147,'FL Contract Prices'!$A$2:$C$71,3,FALSE))),VLOOKUP(B147,'FL Contract Prices'!$A$2:$C$71,3,FALSE),ROUND(D147*0.7,-1))</f>
        <v>202.61600000000001</v>
      </c>
      <c r="J147" s="106"/>
      <c r="K147" s="102"/>
      <c r="L147" s="146"/>
      <c r="M147" s="146"/>
      <c r="N147" s="146"/>
      <c r="O147" s="155"/>
      <c r="P147" s="150">
        <v>150</v>
      </c>
      <c r="Q147" s="83"/>
      <c r="R147" s="83"/>
      <c r="S147" s="83"/>
      <c r="T147" s="83"/>
      <c r="U147" s="83"/>
      <c r="V147" s="83"/>
      <c r="W147" s="83"/>
      <c r="X147" s="83" t="s">
        <v>644</v>
      </c>
    </row>
    <row r="148" spans="1:24" x14ac:dyDescent="0.25">
      <c r="A148" s="82" t="s">
        <v>645</v>
      </c>
      <c r="B148" s="82" t="s">
        <v>646</v>
      </c>
      <c r="C148" s="82" t="s">
        <v>647</v>
      </c>
      <c r="D148" s="84">
        <f t="shared" si="19"/>
        <v>1340</v>
      </c>
      <c r="E148" s="128">
        <f t="shared" si="17"/>
        <v>400</v>
      </c>
      <c r="F148" s="86" t="s">
        <v>178</v>
      </c>
      <c r="G148" s="102"/>
      <c r="H148" s="102"/>
      <c r="I148" s="106">
        <f>IF(NOT(ISNA(VLOOKUP(B148,'FL Contract Prices'!$A$2:$C$71,3,FALSE))),VLOOKUP(B148,'FL Contract Prices'!$A$2:$C$71,3,FALSE),ROUND(D148*0.7,-1))</f>
        <v>940</v>
      </c>
      <c r="J148" s="106"/>
      <c r="K148" s="102"/>
      <c r="L148" s="146"/>
      <c r="M148" s="146"/>
      <c r="N148" s="146"/>
      <c r="O148" s="155"/>
      <c r="P148" s="150">
        <v>400</v>
      </c>
      <c r="Q148" s="83"/>
      <c r="R148" s="83"/>
      <c r="S148" s="83"/>
      <c r="T148" s="83"/>
      <c r="U148" s="83"/>
      <c r="V148" s="83"/>
      <c r="W148" s="83"/>
      <c r="X148" s="83" t="s">
        <v>644</v>
      </c>
    </row>
    <row r="149" spans="1:24" x14ac:dyDescent="0.25">
      <c r="A149" s="82" t="s">
        <v>648</v>
      </c>
      <c r="B149" s="83" t="s">
        <v>649</v>
      </c>
      <c r="C149" s="82" t="s">
        <v>650</v>
      </c>
      <c r="D149" s="84">
        <f t="shared" si="19"/>
        <v>0</v>
      </c>
      <c r="E149" s="128">
        <f t="shared" si="17"/>
        <v>0</v>
      </c>
      <c r="F149" s="86" t="s">
        <v>178</v>
      </c>
      <c r="G149" s="102"/>
      <c r="H149" s="102"/>
      <c r="I149" s="106">
        <f>IF(NOT(ISNA(VLOOKUP(B149,'FL Contract Prices'!$A$2:$C$71,3,FALSE))),VLOOKUP(B149,'FL Contract Prices'!$A$2:$C$71,3,FALSE),ROUND(D149*0.7,-1))</f>
        <v>0</v>
      </c>
      <c r="J149" s="106"/>
      <c r="K149" s="102"/>
      <c r="L149" s="146"/>
      <c r="M149" s="146"/>
      <c r="N149" s="146"/>
      <c r="O149" s="155"/>
      <c r="P149" s="150">
        <v>0</v>
      </c>
      <c r="Q149" s="83"/>
      <c r="R149" s="83"/>
      <c r="S149" s="83"/>
      <c r="T149" s="83"/>
      <c r="U149" s="83"/>
      <c r="V149" s="83"/>
      <c r="W149" s="83"/>
      <c r="X149" s="83" t="s">
        <v>651</v>
      </c>
    </row>
    <row r="150" spans="1:24" x14ac:dyDescent="0.25">
      <c r="A150" s="82" t="s">
        <v>652</v>
      </c>
      <c r="B150" s="83" t="s">
        <v>653</v>
      </c>
      <c r="C150" s="82" t="s">
        <v>654</v>
      </c>
      <c r="D150" s="84">
        <f t="shared" si="19"/>
        <v>4000</v>
      </c>
      <c r="E150" s="128">
        <f t="shared" si="17"/>
        <v>1200</v>
      </c>
      <c r="F150" s="86" t="s">
        <v>178</v>
      </c>
      <c r="G150" s="102"/>
      <c r="H150" s="102"/>
      <c r="I150" s="106">
        <f>IF(NOT(ISNA(VLOOKUP(B150,'FL Contract Prices'!$A$2:$C$71,3,FALSE))),VLOOKUP(B150,'FL Contract Prices'!$A$2:$C$71,3,FALSE),ROUND(D150*0.7,-1))</f>
        <v>4047.6080000000002</v>
      </c>
      <c r="J150" s="106"/>
      <c r="K150" s="102"/>
      <c r="L150" s="146"/>
      <c r="M150" s="146"/>
      <c r="N150" s="146"/>
      <c r="O150" s="155"/>
      <c r="P150" s="150">
        <v>1200</v>
      </c>
      <c r="Q150" s="83"/>
      <c r="R150" s="83"/>
      <c r="S150" s="83"/>
      <c r="T150" s="83"/>
      <c r="U150" s="83"/>
      <c r="V150" s="83"/>
      <c r="W150" s="83"/>
      <c r="X150" s="83" t="s">
        <v>655</v>
      </c>
    </row>
    <row r="151" spans="1:24" ht="30" x14ac:dyDescent="0.25">
      <c r="A151" s="94" t="s">
        <v>656</v>
      </c>
      <c r="B151" s="95" t="s">
        <v>657</v>
      </c>
      <c r="C151" s="94" t="s">
        <v>658</v>
      </c>
      <c r="D151" s="84">
        <f t="shared" si="19"/>
        <v>6670</v>
      </c>
      <c r="E151" s="128">
        <f t="shared" si="17"/>
        <v>2000</v>
      </c>
      <c r="F151" s="86" t="s">
        <v>178</v>
      </c>
      <c r="G151" s="102"/>
      <c r="H151" s="102"/>
      <c r="I151" s="106">
        <f>IF(NOT(ISNA(VLOOKUP(B151,'FL Contract Prices'!$A$2:$C$71,3,FALSE))),VLOOKUP(B151,'FL Contract Prices'!$A$2:$C$71,3,FALSE),ROUND(D151*0.7,-1))</f>
        <v>3764.8880000000004</v>
      </c>
      <c r="J151" s="106"/>
      <c r="K151" s="102"/>
      <c r="L151" s="146"/>
      <c r="M151" s="146"/>
      <c r="N151" s="146"/>
      <c r="O151" s="155"/>
      <c r="P151" s="150">
        <v>2000</v>
      </c>
      <c r="Q151" s="83"/>
      <c r="R151" s="83"/>
      <c r="S151" s="83"/>
      <c r="T151" s="83"/>
      <c r="U151" s="83"/>
      <c r="V151" s="83"/>
      <c r="W151" s="83"/>
      <c r="X151" s="95" t="s">
        <v>659</v>
      </c>
    </row>
    <row r="152" spans="1:24" x14ac:dyDescent="0.25">
      <c r="A152" s="94" t="s">
        <v>660</v>
      </c>
      <c r="B152" s="95" t="s">
        <v>661</v>
      </c>
      <c r="C152" s="94" t="s">
        <v>662</v>
      </c>
      <c r="D152" s="84">
        <f t="shared" si="19"/>
        <v>2500</v>
      </c>
      <c r="E152" s="128">
        <f t="shared" si="17"/>
        <v>750</v>
      </c>
      <c r="F152" s="86" t="s">
        <v>178</v>
      </c>
      <c r="G152" s="102"/>
      <c r="H152" s="102"/>
      <c r="I152" s="106">
        <f>IF(NOT(ISNA(VLOOKUP(B152,'FL Contract Prices'!$A$2:$C$71,3,FALSE))),VLOOKUP(B152,'FL Contract Prices'!$A$2:$C$71,3,FALSE),ROUND(D152*0.7,-1))</f>
        <v>1750</v>
      </c>
      <c r="J152" s="106"/>
      <c r="K152" s="102"/>
      <c r="L152" s="146"/>
      <c r="M152" s="146"/>
      <c r="N152" s="146"/>
      <c r="O152" s="155"/>
      <c r="P152" s="150">
        <v>750</v>
      </c>
      <c r="Q152" s="83"/>
      <c r="R152" s="83"/>
      <c r="S152" s="83"/>
      <c r="T152" s="83"/>
      <c r="U152" s="83"/>
      <c r="V152" s="83"/>
      <c r="W152" s="83"/>
      <c r="X152" s="95" t="s">
        <v>663</v>
      </c>
    </row>
    <row r="153" spans="1:24" ht="30" x14ac:dyDescent="0.25">
      <c r="A153" s="94" t="s">
        <v>664</v>
      </c>
      <c r="B153" s="95" t="s">
        <v>665</v>
      </c>
      <c r="C153" s="94" t="s">
        <v>666</v>
      </c>
      <c r="D153" s="84">
        <f t="shared" si="19"/>
        <v>10000</v>
      </c>
      <c r="E153" s="128">
        <f t="shared" si="17"/>
        <v>3000</v>
      </c>
      <c r="F153" s="86" t="s">
        <v>178</v>
      </c>
      <c r="G153" s="102"/>
      <c r="H153" s="102"/>
      <c r="I153" s="106">
        <f>IF(NOT(ISNA(VLOOKUP(B153,'FL Contract Prices'!$A$2:$C$71,3,FALSE))),VLOOKUP(B153,'FL Contract Prices'!$A$2:$C$71,3,FALSE),ROUND(D153*0.7,-1))</f>
        <v>4707.2880000000005</v>
      </c>
      <c r="J153" s="106"/>
      <c r="K153" s="102"/>
      <c r="L153" s="146"/>
      <c r="M153" s="146"/>
      <c r="N153" s="146"/>
      <c r="O153" s="155"/>
      <c r="P153" s="150">
        <v>3000</v>
      </c>
      <c r="Q153" s="83"/>
      <c r="R153" s="83"/>
      <c r="S153" s="83"/>
      <c r="T153" s="83"/>
      <c r="U153" s="83"/>
      <c r="V153" s="83"/>
      <c r="W153" s="83"/>
      <c r="X153" s="95" t="s">
        <v>663</v>
      </c>
    </row>
    <row r="154" spans="1:24" ht="30" x14ac:dyDescent="0.25">
      <c r="A154" s="82" t="s">
        <v>113</v>
      </c>
      <c r="B154" s="82" t="s">
        <v>667</v>
      </c>
      <c r="C154" s="82" t="s">
        <v>647</v>
      </c>
      <c r="D154" s="84">
        <f t="shared" si="19"/>
        <v>340</v>
      </c>
      <c r="E154" s="128">
        <f t="shared" si="17"/>
        <v>100</v>
      </c>
      <c r="F154" s="86" t="s">
        <v>178</v>
      </c>
      <c r="G154" s="102"/>
      <c r="H154" s="102"/>
      <c r="I154" s="106">
        <f>IF(NOT(ISNA(VLOOKUP(B154,'FL Contract Prices'!$A$2:$C$71,3,FALSE))),VLOOKUP(B154,'FL Contract Prices'!$A$2:$C$71,3,FALSE),ROUND(D154*0.7,-1))</f>
        <v>240</v>
      </c>
      <c r="J154" s="106"/>
      <c r="K154" s="102"/>
      <c r="L154" s="146"/>
      <c r="M154" s="146"/>
      <c r="N154" s="146"/>
      <c r="O154" s="155"/>
      <c r="P154" s="150">
        <v>100</v>
      </c>
      <c r="Q154" s="83"/>
      <c r="R154" s="83"/>
      <c r="S154" s="83"/>
      <c r="T154" s="83"/>
      <c r="U154" s="83"/>
      <c r="V154" s="83"/>
      <c r="W154" s="83"/>
      <c r="X154" s="83" t="s">
        <v>644</v>
      </c>
    </row>
    <row r="155" spans="1:24" ht="30" x14ac:dyDescent="0.25">
      <c r="A155" s="82" t="s">
        <v>668</v>
      </c>
      <c r="B155" s="83" t="s">
        <v>669</v>
      </c>
      <c r="C155" s="82" t="s">
        <v>670</v>
      </c>
      <c r="D155" s="84">
        <f t="shared" si="19"/>
        <v>1000</v>
      </c>
      <c r="E155" s="128">
        <f t="shared" si="17"/>
        <v>300</v>
      </c>
      <c r="F155" s="86" t="s">
        <v>178</v>
      </c>
      <c r="G155" s="102"/>
      <c r="H155" s="102"/>
      <c r="I155" s="106">
        <f>IF(NOT(ISNA(VLOOKUP(B155,'FL Contract Prices'!$A$2:$C$71,3,FALSE))),VLOOKUP(B155,'FL Contract Prices'!$A$2:$C$71,3,FALSE),ROUND(D155*0.7,-1))</f>
        <v>80.103999999999999</v>
      </c>
      <c r="J155" s="106"/>
      <c r="K155" s="102"/>
      <c r="L155" s="146"/>
      <c r="M155" s="146"/>
      <c r="N155" s="146"/>
      <c r="O155" s="155"/>
      <c r="P155" s="150">
        <v>300</v>
      </c>
      <c r="Q155" s="83"/>
      <c r="R155" s="83"/>
      <c r="S155" s="83"/>
      <c r="T155" s="83"/>
      <c r="U155" s="83"/>
      <c r="V155" s="83"/>
      <c r="W155" s="83"/>
      <c r="X155" s="83" t="s">
        <v>671</v>
      </c>
    </row>
    <row r="156" spans="1:24" ht="30" x14ac:dyDescent="0.25">
      <c r="A156" s="82" t="s">
        <v>672</v>
      </c>
      <c r="B156" s="83" t="s">
        <v>673</v>
      </c>
      <c r="C156" s="82" t="s">
        <v>674</v>
      </c>
      <c r="D156" s="84">
        <f t="shared" si="19"/>
        <v>840</v>
      </c>
      <c r="E156" s="128">
        <f t="shared" si="17"/>
        <v>250</v>
      </c>
      <c r="F156" s="86" t="s">
        <v>178</v>
      </c>
      <c r="G156" s="102"/>
      <c r="H156" s="102"/>
      <c r="I156" s="106">
        <f>IF(NOT(ISNA(VLOOKUP(B156,'FL Contract Prices'!$A$2:$C$71,3,FALSE))),VLOOKUP(B156,'FL Contract Prices'!$A$2:$C$71,3,FALSE),ROUND(D156*0.7,-1))</f>
        <v>590</v>
      </c>
      <c r="J156" s="106"/>
      <c r="K156" s="102"/>
      <c r="L156" s="146"/>
      <c r="M156" s="146"/>
      <c r="N156" s="146"/>
      <c r="O156" s="155"/>
      <c r="P156" s="150">
        <v>250</v>
      </c>
      <c r="Q156" s="83"/>
      <c r="R156" s="83"/>
      <c r="S156" s="83"/>
      <c r="T156" s="83"/>
      <c r="U156" s="83"/>
      <c r="V156" s="83"/>
      <c r="W156" s="83"/>
      <c r="X156" s="83" t="s">
        <v>675</v>
      </c>
    </row>
    <row r="157" spans="1:24" x14ac:dyDescent="0.25">
      <c r="A157" s="82" t="s">
        <v>676</v>
      </c>
      <c r="B157" s="83" t="s">
        <v>677</v>
      </c>
      <c r="C157" s="82" t="s">
        <v>678</v>
      </c>
      <c r="D157" s="84">
        <f t="shared" si="19"/>
        <v>1000</v>
      </c>
      <c r="E157" s="128">
        <f t="shared" si="17"/>
        <v>300</v>
      </c>
      <c r="F157" s="86" t="s">
        <v>178</v>
      </c>
      <c r="G157" s="102"/>
      <c r="H157" s="102"/>
      <c r="I157" s="106">
        <f>IF(NOT(ISNA(VLOOKUP(B157,'FL Contract Prices'!$A$2:$C$71,3,FALSE))),VLOOKUP(B157,'FL Contract Prices'!$A$2:$C$71,3,FALSE),ROUND(D157*0.7,-1))</f>
        <v>937.68799999999999</v>
      </c>
      <c r="J157" s="106"/>
      <c r="K157" s="102"/>
      <c r="L157" s="146"/>
      <c r="M157" s="146"/>
      <c r="N157" s="146"/>
      <c r="O157" s="155"/>
      <c r="P157" s="150">
        <v>300</v>
      </c>
      <c r="Q157" s="83"/>
      <c r="R157" s="83"/>
      <c r="S157" s="83"/>
      <c r="T157" s="83"/>
      <c r="U157" s="83"/>
      <c r="V157" s="83"/>
      <c r="W157" s="83"/>
      <c r="X157" s="83" t="s">
        <v>679</v>
      </c>
    </row>
    <row r="158" spans="1:24" x14ac:dyDescent="0.25">
      <c r="A158" s="82" t="s">
        <v>680</v>
      </c>
      <c r="B158" s="83" t="s">
        <v>681</v>
      </c>
      <c r="C158" s="82" t="s">
        <v>682</v>
      </c>
      <c r="D158" s="84">
        <f t="shared" si="19"/>
        <v>0</v>
      </c>
      <c r="E158" s="128">
        <f t="shared" si="17"/>
        <v>0</v>
      </c>
      <c r="F158" s="86" t="s">
        <v>178</v>
      </c>
      <c r="G158" s="102"/>
      <c r="H158" s="102"/>
      <c r="I158" s="106">
        <f>IF(NOT(ISNA(VLOOKUP(B158,'FL Contract Prices'!$A$2:$C$71,3,FALSE))),VLOOKUP(B158,'FL Contract Prices'!$A$2:$C$71,3,FALSE),ROUND(D158*0.7,-1))</f>
        <v>0</v>
      </c>
      <c r="J158" s="106"/>
      <c r="K158" s="102"/>
      <c r="L158" s="146"/>
      <c r="M158" s="146"/>
      <c r="N158" s="146"/>
      <c r="O158" s="155"/>
      <c r="P158" s="150">
        <v>0</v>
      </c>
      <c r="Q158" s="83"/>
      <c r="R158" s="83"/>
      <c r="S158" s="83"/>
      <c r="T158" s="83"/>
      <c r="U158" s="83"/>
      <c r="V158" s="83"/>
      <c r="W158" s="83"/>
      <c r="X158" s="83" t="s">
        <v>683</v>
      </c>
    </row>
    <row r="159" spans="1:24" x14ac:dyDescent="0.25">
      <c r="A159" s="82" t="s">
        <v>684</v>
      </c>
      <c r="B159" s="82" t="s">
        <v>685</v>
      </c>
      <c r="C159" s="82" t="s">
        <v>686</v>
      </c>
      <c r="D159" s="84">
        <f t="shared" si="19"/>
        <v>1000</v>
      </c>
      <c r="E159" s="128">
        <f t="shared" si="17"/>
        <v>300</v>
      </c>
      <c r="F159" s="86" t="s">
        <v>178</v>
      </c>
      <c r="G159" s="102"/>
      <c r="H159" s="102"/>
      <c r="I159" s="106">
        <f>IF(NOT(ISNA(VLOOKUP(B159,'FL Contract Prices'!$A$2:$C$71,3,FALSE))),VLOOKUP(B159,'FL Contract Prices'!$A$2:$C$71,3,FALSE),ROUND(D159*0.7,-1))</f>
        <v>245.02399999999997</v>
      </c>
      <c r="J159" s="106"/>
      <c r="K159" s="102"/>
      <c r="L159" s="146"/>
      <c r="M159" s="146"/>
      <c r="N159" s="146"/>
      <c r="O159" s="155"/>
      <c r="P159" s="150">
        <v>300</v>
      </c>
      <c r="Q159" s="83"/>
      <c r="R159" s="83"/>
      <c r="S159" s="83"/>
      <c r="T159" s="83"/>
      <c r="U159" s="83"/>
      <c r="V159" s="83"/>
      <c r="W159" s="83"/>
      <c r="X159" s="83" t="s">
        <v>687</v>
      </c>
    </row>
    <row r="160" spans="1:24" ht="30" x14ac:dyDescent="0.25">
      <c r="A160" s="82" t="s">
        <v>688</v>
      </c>
      <c r="B160" s="83" t="s">
        <v>689</v>
      </c>
      <c r="C160" s="82" t="s">
        <v>690</v>
      </c>
      <c r="D160" s="84">
        <f t="shared" si="19"/>
        <v>0</v>
      </c>
      <c r="E160" s="128">
        <f t="shared" si="17"/>
        <v>0</v>
      </c>
      <c r="F160" s="86" t="s">
        <v>178</v>
      </c>
      <c r="G160" s="102"/>
      <c r="H160" s="102"/>
      <c r="I160" s="106">
        <f>IF(NOT(ISNA(VLOOKUP(B160,'FL Contract Prices'!$A$2:$C$71,3,FALSE))),VLOOKUP(B160,'FL Contract Prices'!$A$2:$C$71,3,FALSE),ROUND(D160*0.7,-1))</f>
        <v>0</v>
      </c>
      <c r="J160" s="106"/>
      <c r="K160" s="102"/>
      <c r="L160" s="146"/>
      <c r="M160" s="146"/>
      <c r="N160" s="146"/>
      <c r="O160" s="155"/>
      <c r="P160" s="150">
        <v>0</v>
      </c>
      <c r="Q160" s="83"/>
      <c r="R160" s="83"/>
      <c r="S160" s="83"/>
      <c r="T160" s="83"/>
      <c r="U160" s="83"/>
      <c r="V160" s="83"/>
      <c r="W160" s="83"/>
      <c r="X160" s="83" t="s">
        <v>691</v>
      </c>
    </row>
    <row r="161" spans="1:24" ht="45" x14ac:dyDescent="0.25">
      <c r="A161" s="129" t="s">
        <v>692</v>
      </c>
      <c r="B161" s="78" t="s">
        <v>693</v>
      </c>
      <c r="C161" s="129" t="s">
        <v>692</v>
      </c>
      <c r="D161" s="84">
        <f t="shared" si="19"/>
        <v>3300</v>
      </c>
      <c r="E161" s="128">
        <f t="shared" si="17"/>
        <v>990</v>
      </c>
      <c r="F161" s="86" t="s">
        <v>178</v>
      </c>
      <c r="G161" s="102"/>
      <c r="H161" s="102"/>
      <c r="I161" s="106">
        <f>IF(NOT(ISNA(VLOOKUP(B161,'FL Contract Prices'!$A$2:$C$71,3,FALSE))),VLOOKUP(B161,'FL Contract Prices'!$A$2:$C$71,3,FALSE),ROUND(D161*0.7,-1))</f>
        <v>619.99999999999989</v>
      </c>
      <c r="J161" s="106"/>
      <c r="K161" s="102"/>
      <c r="L161" s="146"/>
      <c r="M161" s="146"/>
      <c r="N161" s="146"/>
      <c r="O161" s="155"/>
      <c r="P161" s="153">
        <v>990</v>
      </c>
      <c r="Q161" s="83"/>
      <c r="R161" s="83"/>
      <c r="S161" s="83"/>
      <c r="T161" s="83"/>
      <c r="U161" s="83"/>
      <c r="V161" s="83"/>
      <c r="W161" s="83"/>
      <c r="X161" s="83"/>
    </row>
    <row r="162" spans="1:24" x14ac:dyDescent="0.25">
      <c r="A162" s="82" t="s">
        <v>694</v>
      </c>
      <c r="B162" s="83" t="s">
        <v>695</v>
      </c>
      <c r="C162" s="82" t="s">
        <v>694</v>
      </c>
      <c r="D162" s="84">
        <f t="shared" si="19"/>
        <v>4170</v>
      </c>
      <c r="E162" s="128">
        <f t="shared" si="17"/>
        <v>1250</v>
      </c>
      <c r="F162" s="86" t="s">
        <v>178</v>
      </c>
      <c r="G162" s="102"/>
      <c r="H162" s="102"/>
      <c r="I162" s="106">
        <f>IF(NOT(ISNA(VLOOKUP(B162,'FL Contract Prices'!$A$2:$C$71,3,FALSE))),VLOOKUP(B162,'FL Contract Prices'!$A$2:$C$71,3,FALSE),ROUND(D162*0.7,-1))</f>
        <v>2920</v>
      </c>
      <c r="J162" s="106"/>
      <c r="K162" s="102"/>
      <c r="L162" s="146"/>
      <c r="M162" s="146"/>
      <c r="N162" s="146"/>
      <c r="O162" s="155"/>
      <c r="P162" s="150">
        <v>1250</v>
      </c>
      <c r="Q162" s="83"/>
      <c r="R162" s="83"/>
      <c r="S162" s="83"/>
      <c r="T162" s="83"/>
      <c r="U162" s="83"/>
      <c r="V162" s="83"/>
      <c r="W162" s="83"/>
      <c r="X162" s="83"/>
    </row>
    <row r="163" spans="1:24" ht="30" x14ac:dyDescent="0.25">
      <c r="A163" s="82" t="s">
        <v>696</v>
      </c>
      <c r="B163" s="83" t="s">
        <v>695</v>
      </c>
      <c r="C163" s="82" t="s">
        <v>694</v>
      </c>
      <c r="D163" s="84">
        <f t="shared" si="19"/>
        <v>6170</v>
      </c>
      <c r="E163" s="128">
        <f t="shared" si="17"/>
        <v>1850</v>
      </c>
      <c r="F163" s="86" t="s">
        <v>178</v>
      </c>
      <c r="G163" s="102"/>
      <c r="H163" s="102"/>
      <c r="I163" s="106">
        <f>IF(NOT(ISNA(VLOOKUP(B163,'FL Contract Prices'!$A$2:$C$71,3,FALSE))),VLOOKUP(B163,'FL Contract Prices'!$A$2:$C$71,3,FALSE),ROUND(D163*0.7,-1))</f>
        <v>4320</v>
      </c>
      <c r="J163" s="106"/>
      <c r="K163" s="102"/>
      <c r="L163" s="146"/>
      <c r="M163" s="146"/>
      <c r="N163" s="146"/>
      <c r="O163" s="155"/>
      <c r="P163" s="150">
        <v>1850</v>
      </c>
      <c r="Q163" s="83"/>
      <c r="R163" s="83"/>
      <c r="S163" s="83"/>
      <c r="T163" s="83"/>
      <c r="U163" s="83"/>
      <c r="V163" s="83"/>
      <c r="W163" s="83"/>
      <c r="X163" s="83"/>
    </row>
    <row r="164" spans="1:24" x14ac:dyDescent="0.25">
      <c r="A164" s="82" t="s">
        <v>697</v>
      </c>
      <c r="B164" s="83" t="s">
        <v>698</v>
      </c>
      <c r="C164" s="82" t="s">
        <v>697</v>
      </c>
      <c r="D164" s="84">
        <f t="shared" si="19"/>
        <v>3170</v>
      </c>
      <c r="E164" s="128">
        <f t="shared" si="17"/>
        <v>950</v>
      </c>
      <c r="F164" s="86" t="s">
        <v>178</v>
      </c>
      <c r="G164" s="102"/>
      <c r="H164" s="102"/>
      <c r="I164" s="106">
        <f>IF(NOT(ISNA(VLOOKUP(B164,'FL Contract Prices'!$A$2:$C$71,3,FALSE))),VLOOKUP(B164,'FL Contract Prices'!$A$2:$C$71,3,FALSE),ROUND(D164*0.7,-1))</f>
        <v>2220</v>
      </c>
      <c r="J164" s="106"/>
      <c r="K164" s="102"/>
      <c r="L164" s="146"/>
      <c r="M164" s="146"/>
      <c r="N164" s="146"/>
      <c r="O164" s="155"/>
      <c r="P164" s="150">
        <v>950</v>
      </c>
      <c r="Q164" s="83"/>
      <c r="R164" s="83"/>
      <c r="S164" s="83"/>
      <c r="T164" s="83"/>
      <c r="U164" s="83"/>
      <c r="V164" s="83"/>
      <c r="W164" s="83"/>
      <c r="X164" s="83"/>
    </row>
    <row r="165" spans="1:24" ht="30" x14ac:dyDescent="0.25">
      <c r="A165" s="82" t="s">
        <v>699</v>
      </c>
      <c r="B165" s="83" t="s">
        <v>698</v>
      </c>
      <c r="C165" s="82" t="s">
        <v>697</v>
      </c>
      <c r="D165" s="84">
        <f t="shared" si="19"/>
        <v>4840</v>
      </c>
      <c r="E165" s="128">
        <f t="shared" si="17"/>
        <v>1450</v>
      </c>
      <c r="F165" s="86" t="s">
        <v>178</v>
      </c>
      <c r="G165" s="102"/>
      <c r="H165" s="102"/>
      <c r="I165" s="106">
        <f>IF(NOT(ISNA(VLOOKUP(B165,'FL Contract Prices'!$A$2:$C$71,3,FALSE))),VLOOKUP(B165,'FL Contract Prices'!$A$2:$C$71,3,FALSE),ROUND(D165*0.7,-1))</f>
        <v>3390</v>
      </c>
      <c r="J165" s="106"/>
      <c r="K165" s="102"/>
      <c r="L165" s="146"/>
      <c r="M165" s="146"/>
      <c r="N165" s="146"/>
      <c r="O165" s="155"/>
      <c r="P165" s="150">
        <v>1450</v>
      </c>
      <c r="Q165" s="83"/>
      <c r="R165" s="83"/>
      <c r="S165" s="83"/>
      <c r="T165" s="83"/>
      <c r="U165" s="83"/>
      <c r="V165" s="83"/>
      <c r="W165" s="83"/>
      <c r="X165" s="83"/>
    </row>
    <row r="166" spans="1:24" x14ac:dyDescent="0.25">
      <c r="A166" s="82" t="s">
        <v>702</v>
      </c>
      <c r="B166" s="83" t="s">
        <v>703</v>
      </c>
      <c r="C166" s="82" t="s">
        <v>702</v>
      </c>
      <c r="D166" s="84">
        <f t="shared" si="19"/>
        <v>2840</v>
      </c>
      <c r="E166" s="128">
        <f t="shared" si="17"/>
        <v>850</v>
      </c>
      <c r="F166" s="86" t="s">
        <v>178</v>
      </c>
      <c r="G166" s="102"/>
      <c r="H166" s="102"/>
      <c r="I166" s="106">
        <f>IF(NOT(ISNA(VLOOKUP(B166,'FL Contract Prices'!$A$2:$C$71,3,FALSE))),VLOOKUP(B166,'FL Contract Prices'!$A$2:$C$71,3,FALSE),ROUND(D166*0.7,-1))</f>
        <v>1990</v>
      </c>
      <c r="J166" s="106"/>
      <c r="K166" s="102"/>
      <c r="L166" s="146"/>
      <c r="M166" s="146"/>
      <c r="N166" s="146"/>
      <c r="O166" s="155"/>
      <c r="P166" s="150">
        <v>850</v>
      </c>
      <c r="Q166" s="83"/>
      <c r="R166" s="83"/>
      <c r="S166" s="83"/>
      <c r="T166" s="83"/>
      <c r="U166" s="83"/>
      <c r="V166" s="83"/>
      <c r="W166" s="83"/>
      <c r="X166" s="83"/>
    </row>
    <row r="167" spans="1:24" ht="30" x14ac:dyDescent="0.25">
      <c r="A167" s="82" t="s">
        <v>704</v>
      </c>
      <c r="B167" s="83" t="s">
        <v>705</v>
      </c>
      <c r="C167" s="82" t="s">
        <v>704</v>
      </c>
      <c r="D167" s="84">
        <f t="shared" si="19"/>
        <v>2840</v>
      </c>
      <c r="E167" s="128">
        <f t="shared" si="17"/>
        <v>850</v>
      </c>
      <c r="F167" s="86" t="s">
        <v>178</v>
      </c>
      <c r="G167" s="102"/>
      <c r="H167" s="102"/>
      <c r="I167" s="106">
        <f>IF(NOT(ISNA(VLOOKUP(B167,'FL Contract Prices'!$A$2:$C$71,3,FALSE))),VLOOKUP(B167,'FL Contract Prices'!$A$2:$C$71,3,FALSE),ROUND(D167*0.7,-1))</f>
        <v>1990</v>
      </c>
      <c r="J167" s="106"/>
      <c r="K167" s="102"/>
      <c r="L167" s="146"/>
      <c r="M167" s="146"/>
      <c r="N167" s="146"/>
      <c r="O167" s="155"/>
      <c r="P167" s="150">
        <v>850</v>
      </c>
      <c r="Q167" s="83"/>
      <c r="R167" s="83"/>
      <c r="S167" s="83"/>
      <c r="T167" s="83"/>
      <c r="U167" s="83"/>
      <c r="V167" s="83"/>
      <c r="W167" s="83"/>
      <c r="X167" s="83"/>
    </row>
    <row r="168" spans="1:24" ht="30" x14ac:dyDescent="0.25">
      <c r="A168" s="82" t="s">
        <v>127</v>
      </c>
      <c r="B168" s="83" t="s">
        <v>706</v>
      </c>
      <c r="C168" s="82" t="s">
        <v>127</v>
      </c>
      <c r="D168" s="84">
        <f t="shared" si="19"/>
        <v>1500</v>
      </c>
      <c r="E168" s="128">
        <f t="shared" si="17"/>
        <v>450</v>
      </c>
      <c r="F168" s="86" t="s">
        <v>178</v>
      </c>
      <c r="G168" s="102"/>
      <c r="H168" s="102"/>
      <c r="I168" s="106">
        <f>IF(NOT(ISNA(VLOOKUP(B168,'FL Contract Prices'!$A$2:$C$71,3,FALSE))),VLOOKUP(B168,'FL Contract Prices'!$A$2:$C$71,3,FALSE),ROUND(D168*0.7,-1))</f>
        <v>1050</v>
      </c>
      <c r="J168" s="106"/>
      <c r="K168" s="102"/>
      <c r="L168" s="146"/>
      <c r="M168" s="146"/>
      <c r="N168" s="146"/>
      <c r="O168" s="155"/>
      <c r="P168" s="150">
        <v>450</v>
      </c>
      <c r="Q168" s="83"/>
      <c r="R168" s="83"/>
      <c r="S168" s="83"/>
      <c r="T168" s="83"/>
      <c r="U168" s="83"/>
      <c r="V168" s="83"/>
      <c r="W168" s="83"/>
      <c r="X168" s="83"/>
    </row>
    <row r="169" spans="1:24" ht="30" x14ac:dyDescent="0.25">
      <c r="A169" s="82" t="s">
        <v>125</v>
      </c>
      <c r="B169" s="83" t="s">
        <v>708</v>
      </c>
      <c r="C169" s="82" t="s">
        <v>125</v>
      </c>
      <c r="D169" s="84">
        <f t="shared" si="19"/>
        <v>650</v>
      </c>
      <c r="E169" s="128">
        <f t="shared" si="17"/>
        <v>195</v>
      </c>
      <c r="F169" s="86" t="s">
        <v>178</v>
      </c>
      <c r="G169" s="102"/>
      <c r="H169" s="102"/>
      <c r="I169" s="106">
        <f>IF(NOT(ISNA(VLOOKUP(B169,'FL Contract Prices'!$A$2:$C$71,3,FALSE))),VLOOKUP(B169,'FL Contract Prices'!$A$2:$C$71,3,FALSE),ROUND(D169*0.7,-1))</f>
        <v>460</v>
      </c>
      <c r="J169" s="106"/>
      <c r="K169" s="102"/>
      <c r="L169" s="146"/>
      <c r="M169" s="146"/>
      <c r="N169" s="146"/>
      <c r="O169" s="155"/>
      <c r="P169" s="150">
        <v>195</v>
      </c>
      <c r="Q169" s="83"/>
      <c r="R169" s="83"/>
      <c r="S169" s="83"/>
      <c r="T169" s="83"/>
      <c r="U169" s="83"/>
      <c r="V169" s="83"/>
      <c r="W169" s="83"/>
      <c r="X169" s="83"/>
    </row>
    <row r="170" spans="1:24" ht="30" x14ac:dyDescent="0.25">
      <c r="A170" s="82" t="s">
        <v>709</v>
      </c>
      <c r="B170" s="83" t="s">
        <v>710</v>
      </c>
      <c r="C170" s="82" t="s">
        <v>709</v>
      </c>
      <c r="D170" s="84">
        <f t="shared" si="19"/>
        <v>1320</v>
      </c>
      <c r="E170" s="128">
        <f t="shared" si="17"/>
        <v>395</v>
      </c>
      <c r="F170" s="86" t="s">
        <v>178</v>
      </c>
      <c r="G170" s="102"/>
      <c r="H170" s="102"/>
      <c r="I170" s="106">
        <f>IF(NOT(ISNA(VLOOKUP(B170,'FL Contract Prices'!$A$2:$C$71,3,FALSE))),VLOOKUP(B170,'FL Contract Prices'!$A$2:$C$71,3,FALSE),ROUND(D170*0.7,-1))</f>
        <v>920</v>
      </c>
      <c r="J170" s="106"/>
      <c r="K170" s="102"/>
      <c r="L170" s="146"/>
      <c r="M170" s="146"/>
      <c r="N170" s="146"/>
      <c r="O170" s="155"/>
      <c r="P170" s="150">
        <v>395</v>
      </c>
      <c r="Q170" s="83"/>
      <c r="R170" s="83"/>
      <c r="S170" s="83"/>
      <c r="T170" s="83"/>
      <c r="U170" s="83"/>
      <c r="V170" s="83"/>
      <c r="W170" s="83"/>
      <c r="X170" s="83"/>
    </row>
    <row r="171" spans="1:24" x14ac:dyDescent="0.25">
      <c r="A171" s="82" t="s">
        <v>122</v>
      </c>
      <c r="B171" s="83" t="s">
        <v>711</v>
      </c>
      <c r="C171" s="82" t="s">
        <v>122</v>
      </c>
      <c r="D171" s="84">
        <f t="shared" si="19"/>
        <v>0</v>
      </c>
      <c r="E171" s="128">
        <f t="shared" si="17"/>
        <v>0</v>
      </c>
      <c r="F171" s="86" t="s">
        <v>178</v>
      </c>
      <c r="G171" s="102"/>
      <c r="H171" s="102"/>
      <c r="I171" s="106">
        <f>IF(NOT(ISNA(VLOOKUP(B171,'FL Contract Prices'!$A$2:$C$71,3,FALSE))),VLOOKUP(B171,'FL Contract Prices'!$A$2:$C$71,3,FALSE),ROUND(D171*0.7,-1))</f>
        <v>0</v>
      </c>
      <c r="J171" s="106"/>
      <c r="K171" s="102"/>
      <c r="L171" s="146"/>
      <c r="M171" s="146"/>
      <c r="N171" s="146"/>
      <c r="O171" s="155"/>
      <c r="P171" s="150">
        <v>0</v>
      </c>
      <c r="Q171" s="83"/>
      <c r="R171" s="83"/>
      <c r="S171" s="83"/>
      <c r="T171" s="83"/>
      <c r="U171" s="83"/>
      <c r="V171" s="83"/>
      <c r="W171" s="83"/>
      <c r="X171" s="83" t="s">
        <v>712</v>
      </c>
    </row>
    <row r="172" spans="1:24" x14ac:dyDescent="0.25">
      <c r="A172" s="82" t="s">
        <v>122</v>
      </c>
      <c r="B172" s="83" t="s">
        <v>713</v>
      </c>
      <c r="C172" s="82" t="s">
        <v>714</v>
      </c>
      <c r="D172" s="84">
        <f t="shared" si="19"/>
        <v>0</v>
      </c>
      <c r="E172" s="128">
        <f t="shared" si="17"/>
        <v>0</v>
      </c>
      <c r="F172" s="86" t="s">
        <v>178</v>
      </c>
      <c r="G172" s="102"/>
      <c r="H172" s="102"/>
      <c r="I172" s="106">
        <f>IF(NOT(ISNA(VLOOKUP(B172,'FL Contract Prices'!$A$2:$C$71,3,FALSE))),VLOOKUP(B172,'FL Contract Prices'!$A$2:$C$71,3,FALSE),ROUND(D172*0.7,-1))</f>
        <v>0</v>
      </c>
      <c r="J172" s="106"/>
      <c r="K172" s="102"/>
      <c r="L172" s="146"/>
      <c r="M172" s="146"/>
      <c r="N172" s="146"/>
      <c r="O172" s="155"/>
      <c r="P172" s="150">
        <v>0</v>
      </c>
      <c r="Q172" s="83"/>
      <c r="R172" s="83"/>
      <c r="S172" s="83"/>
      <c r="T172" s="83"/>
      <c r="U172" s="83"/>
      <c r="V172" s="83"/>
      <c r="W172" s="83"/>
      <c r="X172" s="83" t="s">
        <v>712</v>
      </c>
    </row>
    <row r="173" spans="1:24" x14ac:dyDescent="0.25">
      <c r="A173" s="82" t="s">
        <v>715</v>
      </c>
      <c r="B173" s="83" t="s">
        <v>716</v>
      </c>
      <c r="C173" s="82" t="s">
        <v>717</v>
      </c>
      <c r="D173" s="84">
        <f t="shared" si="19"/>
        <v>1970</v>
      </c>
      <c r="E173" s="128">
        <f t="shared" si="17"/>
        <v>590</v>
      </c>
      <c r="F173" s="86" t="s">
        <v>178</v>
      </c>
      <c r="G173" s="102"/>
      <c r="H173" s="102"/>
      <c r="I173" s="106">
        <f>IF(NOT(ISNA(VLOOKUP(B173,'FL Contract Prices'!$A$2:$C$71,3,FALSE))),VLOOKUP(B173,'FL Contract Prices'!$A$2:$C$71,3,FALSE),ROUND(D173*0.7,-1))</f>
        <v>0</v>
      </c>
      <c r="J173" s="106"/>
      <c r="K173" s="102"/>
      <c r="L173" s="146"/>
      <c r="M173" s="146"/>
      <c r="N173" s="146"/>
      <c r="O173" s="155"/>
      <c r="P173" s="150">
        <v>590</v>
      </c>
      <c r="Q173" s="83"/>
      <c r="R173" s="83"/>
      <c r="S173" s="83"/>
      <c r="T173" s="83"/>
      <c r="U173" s="83"/>
      <c r="V173" s="83"/>
      <c r="W173" s="83"/>
      <c r="X173" s="83" t="s">
        <v>718</v>
      </c>
    </row>
    <row r="174" spans="1:24" ht="45" x14ac:dyDescent="0.25">
      <c r="A174" s="82" t="s">
        <v>719</v>
      </c>
      <c r="B174" s="83" t="s">
        <v>720</v>
      </c>
      <c r="C174" s="82" t="s">
        <v>721</v>
      </c>
      <c r="D174" s="84">
        <f t="shared" si="19"/>
        <v>0</v>
      </c>
      <c r="E174" s="128">
        <f t="shared" si="17"/>
        <v>0</v>
      </c>
      <c r="F174" s="86" t="s">
        <v>178</v>
      </c>
      <c r="G174" s="102"/>
      <c r="H174" s="102"/>
      <c r="I174" s="106">
        <f>IF(NOT(ISNA(VLOOKUP(B174,'FL Contract Prices'!$A$2:$C$71,3,FALSE))),VLOOKUP(B174,'FL Contract Prices'!$A$2:$C$71,3,FALSE),ROUND(D174*0.7,-1))</f>
        <v>0</v>
      </c>
      <c r="J174" s="106"/>
      <c r="K174" s="102"/>
      <c r="L174" s="146"/>
      <c r="M174" s="146"/>
      <c r="N174" s="146"/>
      <c r="O174" s="155"/>
      <c r="P174" s="150">
        <v>0</v>
      </c>
      <c r="Q174" s="83"/>
      <c r="R174" s="83"/>
      <c r="S174" s="83"/>
      <c r="T174" s="83"/>
      <c r="U174" s="83"/>
      <c r="V174" s="83"/>
      <c r="W174" s="83"/>
      <c r="X174" s="83"/>
    </row>
    <row r="175" spans="1:24" ht="30" x14ac:dyDescent="0.25">
      <c r="A175" s="82" t="s">
        <v>722</v>
      </c>
      <c r="B175" s="83" t="s">
        <v>723</v>
      </c>
      <c r="C175" s="82" t="s">
        <v>724</v>
      </c>
      <c r="D175" s="84">
        <f t="shared" si="19"/>
        <v>1970</v>
      </c>
      <c r="E175" s="128">
        <f t="shared" si="17"/>
        <v>590</v>
      </c>
      <c r="F175" s="86" t="s">
        <v>178</v>
      </c>
      <c r="G175" s="102"/>
      <c r="H175" s="102"/>
      <c r="I175" s="106">
        <f>IF(NOT(ISNA(VLOOKUP(B175,'FL Contract Prices'!$A$2:$C$71,3,FALSE))),VLOOKUP(B175,'FL Contract Prices'!$A$2:$C$71,3,FALSE),ROUND(D175*0.7,-1))</f>
        <v>1380</v>
      </c>
      <c r="J175" s="106"/>
      <c r="K175" s="102"/>
      <c r="L175" s="146"/>
      <c r="M175" s="146"/>
      <c r="N175" s="146"/>
      <c r="O175" s="155"/>
      <c r="P175" s="150">
        <v>590</v>
      </c>
      <c r="Q175" s="83"/>
      <c r="R175" s="83"/>
      <c r="S175" s="83"/>
      <c r="T175" s="83"/>
      <c r="U175" s="83"/>
      <c r="V175" s="83"/>
      <c r="W175" s="83"/>
      <c r="X175" s="83"/>
    </row>
    <row r="176" spans="1:24" ht="45" x14ac:dyDescent="0.25">
      <c r="A176" s="82" t="s">
        <v>725</v>
      </c>
      <c r="B176" s="83" t="s">
        <v>726</v>
      </c>
      <c r="C176" s="82" t="s">
        <v>727</v>
      </c>
      <c r="D176" s="84">
        <f t="shared" si="19"/>
        <v>3670</v>
      </c>
      <c r="E176" s="128">
        <f t="shared" si="17"/>
        <v>1100</v>
      </c>
      <c r="F176" s="86" t="s">
        <v>178</v>
      </c>
      <c r="G176" s="102"/>
      <c r="H176" s="102"/>
      <c r="I176" s="106">
        <f>IF(NOT(ISNA(VLOOKUP(B176,'FL Contract Prices'!$A$2:$C$71,3,FALSE))),VLOOKUP(B176,'FL Contract Prices'!$A$2:$C$71,3,FALSE),ROUND(D176*0.7,-1))</f>
        <v>0</v>
      </c>
      <c r="J176" s="106"/>
      <c r="K176" s="102"/>
      <c r="L176" s="146"/>
      <c r="M176" s="146"/>
      <c r="N176" s="146"/>
      <c r="O176" s="155"/>
      <c r="P176" s="150">
        <v>1100</v>
      </c>
      <c r="Q176" s="83"/>
      <c r="R176" s="83"/>
      <c r="S176" s="83"/>
      <c r="T176" s="83"/>
      <c r="U176" s="83"/>
      <c r="V176" s="83"/>
      <c r="W176" s="83"/>
      <c r="X176" s="83"/>
    </row>
    <row r="177" spans="1:24" ht="30" x14ac:dyDescent="0.25">
      <c r="A177" s="82" t="s">
        <v>731</v>
      </c>
      <c r="B177" s="83" t="s">
        <v>732</v>
      </c>
      <c r="C177" s="82" t="s">
        <v>733</v>
      </c>
      <c r="D177" s="84">
        <f t="shared" si="19"/>
        <v>2000</v>
      </c>
      <c r="E177" s="128">
        <f t="shared" si="17"/>
        <v>600</v>
      </c>
      <c r="F177" s="86" t="s">
        <v>178</v>
      </c>
      <c r="G177" s="102"/>
      <c r="H177" s="102"/>
      <c r="I177" s="106">
        <f>IF(NOT(ISNA(VLOOKUP(B177,'FL Contract Prices'!$A$2:$C$71,3,FALSE))),VLOOKUP(B177,'FL Contract Prices'!$A$2:$C$71,3,FALSE),ROUND(D177*0.7,-1))</f>
        <v>1400</v>
      </c>
      <c r="J177" s="106"/>
      <c r="K177" s="102"/>
      <c r="L177" s="146"/>
      <c r="M177" s="146"/>
      <c r="N177" s="146"/>
      <c r="O177" s="155"/>
      <c r="P177" s="150">
        <v>600</v>
      </c>
      <c r="Q177" s="83"/>
      <c r="R177" s="83"/>
      <c r="S177" s="83"/>
      <c r="T177" s="83"/>
      <c r="U177" s="83"/>
      <c r="V177" s="83"/>
      <c r="W177" s="83"/>
      <c r="X177" s="83" t="s">
        <v>735</v>
      </c>
    </row>
    <row r="178" spans="1:24" x14ac:dyDescent="0.25">
      <c r="A178" s="94" t="s">
        <v>119</v>
      </c>
      <c r="B178" s="95" t="s">
        <v>736</v>
      </c>
      <c r="C178" s="94" t="s">
        <v>737</v>
      </c>
      <c r="D178" s="84">
        <f t="shared" si="19"/>
        <v>750</v>
      </c>
      <c r="E178" s="128">
        <f t="shared" si="17"/>
        <v>225</v>
      </c>
      <c r="F178" s="86" t="s">
        <v>178</v>
      </c>
      <c r="G178" s="102"/>
      <c r="H178" s="102"/>
      <c r="I178" s="106">
        <f>IF(NOT(ISNA(VLOOKUP(B178,'FL Contract Prices'!$A$2:$C$71,3,FALSE))),VLOOKUP(B178,'FL Contract Prices'!$A$2:$C$71,3,FALSE),ROUND(D178*0.7,-1))</f>
        <v>300.2</v>
      </c>
      <c r="J178" s="106"/>
      <c r="K178" s="102"/>
      <c r="L178" s="146"/>
      <c r="M178" s="146"/>
      <c r="N178" s="146"/>
      <c r="O178" s="155"/>
      <c r="P178" s="150">
        <v>225</v>
      </c>
      <c r="Q178" s="83"/>
      <c r="R178" s="83"/>
      <c r="S178" s="83"/>
      <c r="T178" s="83"/>
      <c r="U178" s="83"/>
      <c r="V178" s="83"/>
      <c r="W178" s="83"/>
      <c r="X178" s="95" t="s">
        <v>738</v>
      </c>
    </row>
    <row r="179" spans="1:24" x14ac:dyDescent="0.25">
      <c r="A179" s="82" t="s">
        <v>739</v>
      </c>
      <c r="B179" s="82" t="s">
        <v>740</v>
      </c>
      <c r="C179" s="82" t="s">
        <v>741</v>
      </c>
      <c r="D179" s="84">
        <f t="shared" si="19"/>
        <v>500</v>
      </c>
      <c r="E179" s="128">
        <f t="shared" si="17"/>
        <v>150</v>
      </c>
      <c r="F179" s="86" t="s">
        <v>178</v>
      </c>
      <c r="G179" s="102"/>
      <c r="H179" s="102"/>
      <c r="I179" s="106">
        <f>IF(NOT(ISNA(VLOOKUP(B179,'FL Contract Prices'!$A$2:$C$71,3,FALSE))),VLOOKUP(B179,'FL Contract Prices'!$A$2:$C$71,3,FALSE),ROUND(D179*0.7,-1))</f>
        <v>350</v>
      </c>
      <c r="J179" s="106"/>
      <c r="K179" s="102"/>
      <c r="L179" s="146"/>
      <c r="M179" s="146"/>
      <c r="N179" s="146"/>
      <c r="O179" s="155"/>
      <c r="P179" s="150">
        <v>150</v>
      </c>
      <c r="Q179" s="83"/>
      <c r="R179" s="83"/>
      <c r="S179" s="83"/>
      <c r="T179" s="83"/>
      <c r="U179" s="83"/>
      <c r="V179" s="83"/>
      <c r="W179" s="83"/>
      <c r="X179" s="83" t="s">
        <v>742</v>
      </c>
    </row>
    <row r="180" spans="1:24" x14ac:dyDescent="0.25">
      <c r="A180" s="82" t="s">
        <v>743</v>
      </c>
      <c r="B180" s="83" t="s">
        <v>744</v>
      </c>
      <c r="C180" s="82" t="s">
        <v>745</v>
      </c>
      <c r="D180" s="84">
        <f t="shared" si="19"/>
        <v>1170</v>
      </c>
      <c r="E180" s="128">
        <f t="shared" si="17"/>
        <v>350</v>
      </c>
      <c r="F180" s="86" t="s">
        <v>178</v>
      </c>
      <c r="G180" s="102"/>
      <c r="H180" s="102"/>
      <c r="I180" s="106">
        <f>IF(NOT(ISNA(VLOOKUP(B180,'FL Contract Prices'!$A$2:$C$71,3,FALSE))),VLOOKUP(B180,'FL Contract Prices'!$A$2:$C$71,3,FALSE),ROUND(D180*0.7,-1))</f>
        <v>300.2</v>
      </c>
      <c r="J180" s="106"/>
      <c r="K180" s="102"/>
      <c r="L180" s="146"/>
      <c r="M180" s="146"/>
      <c r="N180" s="146"/>
      <c r="O180" s="155"/>
      <c r="P180" s="150">
        <v>350</v>
      </c>
      <c r="Q180" s="83"/>
      <c r="R180" s="83"/>
      <c r="S180" s="83"/>
      <c r="T180" s="83"/>
      <c r="U180" s="83"/>
      <c r="V180" s="83"/>
      <c r="W180" s="83"/>
      <c r="X180" s="83" t="s">
        <v>746</v>
      </c>
    </row>
    <row r="181" spans="1:24" x14ac:dyDescent="0.25">
      <c r="A181" s="82" t="s">
        <v>747</v>
      </c>
      <c r="B181" s="83" t="s">
        <v>748</v>
      </c>
      <c r="C181" s="82" t="s">
        <v>745</v>
      </c>
      <c r="D181" s="84">
        <f t="shared" si="19"/>
        <v>840</v>
      </c>
      <c r="E181" s="128">
        <f t="shared" si="17"/>
        <v>250</v>
      </c>
      <c r="F181" s="86" t="s">
        <v>178</v>
      </c>
      <c r="G181" s="102"/>
      <c r="H181" s="102"/>
      <c r="I181" s="106">
        <f>IF(NOT(ISNA(VLOOKUP(B181,'FL Contract Prices'!$A$2:$C$71,3,FALSE))),VLOOKUP(B181,'FL Contract Prices'!$A$2:$C$71,3,FALSE),ROUND(D181*0.7,-1))</f>
        <v>590</v>
      </c>
      <c r="J181" s="106"/>
      <c r="K181" s="102"/>
      <c r="L181" s="146"/>
      <c r="M181" s="146"/>
      <c r="N181" s="146"/>
      <c r="O181" s="155"/>
      <c r="P181" s="150">
        <v>250</v>
      </c>
      <c r="Q181" s="83"/>
      <c r="R181" s="83"/>
      <c r="S181" s="83"/>
      <c r="T181" s="83"/>
      <c r="U181" s="83"/>
      <c r="V181" s="83"/>
      <c r="W181" s="83"/>
      <c r="X181" s="83" t="s">
        <v>746</v>
      </c>
    </row>
    <row r="182" spans="1:24" x14ac:dyDescent="0.25">
      <c r="A182" s="82" t="s">
        <v>114</v>
      </c>
      <c r="B182" s="83" t="s">
        <v>749</v>
      </c>
      <c r="C182" s="82" t="s">
        <v>750</v>
      </c>
      <c r="D182" s="84">
        <f t="shared" si="19"/>
        <v>500</v>
      </c>
      <c r="E182" s="128">
        <f t="shared" si="17"/>
        <v>150</v>
      </c>
      <c r="F182" s="86" t="s">
        <v>178</v>
      </c>
      <c r="G182" s="102"/>
      <c r="H182" s="102"/>
      <c r="I182" s="106">
        <f>IF(NOT(ISNA(VLOOKUP(B182,'FL Contract Prices'!$A$2:$C$71,3,FALSE))),VLOOKUP(B182,'FL Contract Prices'!$A$2:$C$71,3,FALSE),ROUND(D182*0.7,-1))</f>
        <v>350</v>
      </c>
      <c r="J182" s="106"/>
      <c r="K182" s="102"/>
      <c r="L182" s="146"/>
      <c r="M182" s="146"/>
      <c r="N182" s="146"/>
      <c r="O182" s="155"/>
      <c r="P182" s="150">
        <v>150</v>
      </c>
      <c r="Q182" s="83"/>
      <c r="R182" s="83"/>
      <c r="S182" s="83"/>
      <c r="T182" s="83"/>
      <c r="U182" s="83"/>
      <c r="V182" s="83"/>
      <c r="W182" s="83"/>
      <c r="X182" s="83" t="s">
        <v>751</v>
      </c>
    </row>
    <row r="183" spans="1:24" x14ac:dyDescent="0.25">
      <c r="A183" s="82" t="s">
        <v>752</v>
      </c>
      <c r="B183" s="82" t="s">
        <v>753</v>
      </c>
      <c r="C183" s="82" t="s">
        <v>754</v>
      </c>
      <c r="D183" s="84">
        <f t="shared" si="19"/>
        <v>500</v>
      </c>
      <c r="E183" s="128">
        <f t="shared" si="17"/>
        <v>150</v>
      </c>
      <c r="F183" s="86" t="s">
        <v>178</v>
      </c>
      <c r="G183" s="102"/>
      <c r="H183" s="102"/>
      <c r="I183" s="106">
        <f>IF(NOT(ISNA(VLOOKUP(B183,'FL Contract Prices'!$A$2:$C$71,3,FALSE))),VLOOKUP(B183,'FL Contract Prices'!$A$2:$C$71,3,FALSE),ROUND(D183*0.7,-1))</f>
        <v>350</v>
      </c>
      <c r="J183" s="106"/>
      <c r="K183" s="102"/>
      <c r="L183" s="146"/>
      <c r="M183" s="146"/>
      <c r="N183" s="146"/>
      <c r="O183" s="155"/>
      <c r="P183" s="150">
        <v>150</v>
      </c>
      <c r="Q183" s="83"/>
      <c r="R183" s="83"/>
      <c r="S183" s="83"/>
      <c r="T183" s="83"/>
      <c r="U183" s="83"/>
      <c r="V183" s="83"/>
      <c r="W183" s="83"/>
      <c r="X183" s="83" t="s">
        <v>755</v>
      </c>
    </row>
    <row r="184" spans="1:24" ht="30" x14ac:dyDescent="0.25">
      <c r="A184" s="82" t="s">
        <v>756</v>
      </c>
      <c r="B184" s="83" t="s">
        <v>757</v>
      </c>
      <c r="C184" s="82" t="s">
        <v>758</v>
      </c>
      <c r="D184" s="84">
        <f t="shared" si="19"/>
        <v>170</v>
      </c>
      <c r="E184" s="128">
        <f t="shared" si="17"/>
        <v>50</v>
      </c>
      <c r="F184" s="86" t="s">
        <v>178</v>
      </c>
      <c r="G184" s="102"/>
      <c r="H184" s="102"/>
      <c r="I184" s="106">
        <f>IF(NOT(ISNA(VLOOKUP(B184,'FL Contract Prices'!$A$2:$C$71,3,FALSE))),VLOOKUP(B184,'FL Contract Prices'!$A$2:$C$71,3,FALSE),ROUND(D184*0.7,-1))</f>
        <v>120</v>
      </c>
      <c r="J184" s="106"/>
      <c r="K184" s="102"/>
      <c r="L184" s="146"/>
      <c r="M184" s="146"/>
      <c r="N184" s="146"/>
      <c r="O184" s="155"/>
      <c r="P184" s="150">
        <v>50</v>
      </c>
      <c r="Q184" s="83"/>
      <c r="R184" s="83"/>
      <c r="S184" s="83"/>
      <c r="T184" s="83"/>
      <c r="U184" s="83"/>
      <c r="V184" s="83"/>
      <c r="W184" s="83"/>
      <c r="X184" s="83" t="s">
        <v>759</v>
      </c>
    </row>
    <row r="185" spans="1:24" ht="30" x14ac:dyDescent="0.25">
      <c r="A185" s="82" t="s">
        <v>760</v>
      </c>
      <c r="B185" s="83" t="s">
        <v>761</v>
      </c>
      <c r="C185" s="82" t="s">
        <v>762</v>
      </c>
      <c r="D185" s="84">
        <f t="shared" si="19"/>
        <v>250</v>
      </c>
      <c r="E185" s="128">
        <f t="shared" si="17"/>
        <v>75</v>
      </c>
      <c r="F185" s="86" t="s">
        <v>178</v>
      </c>
      <c r="G185" s="102"/>
      <c r="H185" s="102"/>
      <c r="I185" s="106">
        <f>IF(NOT(ISNA(VLOOKUP(B185,'FL Contract Prices'!$A$2:$C$71,3,FALSE))),VLOOKUP(B185,'FL Contract Prices'!$A$2:$C$71,3,FALSE),ROUND(D185*0.7,-1))</f>
        <v>180</v>
      </c>
      <c r="J185" s="106"/>
      <c r="K185" s="102"/>
      <c r="L185" s="146"/>
      <c r="M185" s="146"/>
      <c r="N185" s="146"/>
      <c r="O185" s="155"/>
      <c r="P185" s="150">
        <v>75</v>
      </c>
      <c r="Q185" s="83"/>
      <c r="R185" s="83"/>
      <c r="S185" s="83"/>
      <c r="T185" s="83"/>
      <c r="U185" s="83"/>
      <c r="V185" s="83"/>
      <c r="W185" s="83"/>
      <c r="X185" s="83" t="s">
        <v>763</v>
      </c>
    </row>
    <row r="186" spans="1:24" x14ac:dyDescent="0.25">
      <c r="A186" s="82" t="s">
        <v>764</v>
      </c>
      <c r="B186" s="83" t="s">
        <v>765</v>
      </c>
      <c r="C186" s="82" t="s">
        <v>766</v>
      </c>
      <c r="D186" s="84">
        <f t="shared" si="19"/>
        <v>500</v>
      </c>
      <c r="E186" s="128">
        <f t="shared" si="17"/>
        <v>150</v>
      </c>
      <c r="F186" s="86" t="s">
        <v>178</v>
      </c>
      <c r="G186" s="102"/>
      <c r="H186" s="102"/>
      <c r="I186" s="106">
        <f>IF(NOT(ISNA(VLOOKUP(B186,'FL Contract Prices'!$A$2:$C$71,3,FALSE))),VLOOKUP(B186,'FL Contract Prices'!$A$2:$C$71,3,FALSE),ROUND(D186*0.7,-1))</f>
        <v>350</v>
      </c>
      <c r="J186" s="106"/>
      <c r="K186" s="102"/>
      <c r="L186" s="146"/>
      <c r="M186" s="146"/>
      <c r="N186" s="146"/>
      <c r="O186" s="155"/>
      <c r="P186" s="150">
        <v>150</v>
      </c>
      <c r="Q186" s="83"/>
      <c r="R186" s="83"/>
      <c r="S186" s="83"/>
      <c r="T186" s="83"/>
      <c r="U186" s="83"/>
      <c r="V186" s="83"/>
      <c r="W186" s="83"/>
      <c r="X186" s="83" t="s">
        <v>767</v>
      </c>
    </row>
    <row r="187" spans="1:24" x14ac:dyDescent="0.25">
      <c r="A187" s="82" t="s">
        <v>768</v>
      </c>
      <c r="B187" s="82" t="s">
        <v>769</v>
      </c>
      <c r="C187" s="82" t="s">
        <v>770</v>
      </c>
      <c r="D187" s="84">
        <f t="shared" si="19"/>
        <v>750</v>
      </c>
      <c r="E187" s="128">
        <f t="shared" si="17"/>
        <v>225</v>
      </c>
      <c r="F187" s="86" t="s">
        <v>178</v>
      </c>
      <c r="G187" s="102"/>
      <c r="H187" s="102"/>
      <c r="I187" s="106">
        <f>IF(NOT(ISNA(VLOOKUP(B187,'FL Contract Prices'!$A$2:$C$71,3,FALSE))),VLOOKUP(B187,'FL Contract Prices'!$A$2:$C$71,3,FALSE),ROUND(D187*0.7,-1))</f>
        <v>530</v>
      </c>
      <c r="J187" s="106"/>
      <c r="K187" s="102"/>
      <c r="L187" s="146"/>
      <c r="M187" s="146"/>
      <c r="N187" s="146"/>
      <c r="O187" s="155"/>
      <c r="P187" s="150">
        <v>225</v>
      </c>
      <c r="Q187" s="83"/>
      <c r="R187" s="83"/>
      <c r="S187" s="83"/>
      <c r="T187" s="83"/>
      <c r="U187" s="83"/>
      <c r="V187" s="83"/>
      <c r="W187" s="83"/>
      <c r="X187" s="83" t="s">
        <v>771</v>
      </c>
    </row>
    <row r="188" spans="1:24" x14ac:dyDescent="0.25">
      <c r="A188" s="82" t="s">
        <v>772</v>
      </c>
      <c r="B188" s="83" t="s">
        <v>773</v>
      </c>
      <c r="C188" s="82" t="s">
        <v>774</v>
      </c>
      <c r="D188" s="84">
        <f t="shared" si="19"/>
        <v>500</v>
      </c>
      <c r="E188" s="128">
        <f t="shared" si="17"/>
        <v>150</v>
      </c>
      <c r="F188" s="86" t="s">
        <v>178</v>
      </c>
      <c r="G188" s="102"/>
      <c r="H188" s="102"/>
      <c r="I188" s="106">
        <f>IF(NOT(ISNA(VLOOKUP(B188,'FL Contract Prices'!$A$2:$C$71,3,FALSE))),VLOOKUP(B188,'FL Contract Prices'!$A$2:$C$71,3,FALSE),ROUND(D188*0.7,-1))</f>
        <v>350</v>
      </c>
      <c r="J188" s="106"/>
      <c r="K188" s="102"/>
      <c r="L188" s="146"/>
      <c r="M188" s="146"/>
      <c r="N188" s="146"/>
      <c r="O188" s="155"/>
      <c r="P188" s="150">
        <v>150</v>
      </c>
      <c r="Q188" s="83"/>
      <c r="R188" s="83"/>
      <c r="S188" s="83"/>
      <c r="T188" s="83"/>
      <c r="U188" s="83"/>
      <c r="V188" s="83"/>
      <c r="W188" s="83"/>
      <c r="X188" s="83"/>
    </row>
    <row r="189" spans="1:24" x14ac:dyDescent="0.25">
      <c r="A189" s="82" t="s">
        <v>775</v>
      </c>
      <c r="B189" s="82" t="s">
        <v>776</v>
      </c>
      <c r="C189" s="82" t="s">
        <v>777</v>
      </c>
      <c r="D189" s="84">
        <f t="shared" si="19"/>
        <v>840</v>
      </c>
      <c r="E189" s="128">
        <f t="shared" si="17"/>
        <v>250</v>
      </c>
      <c r="F189" s="86" t="s">
        <v>178</v>
      </c>
      <c r="G189" s="102"/>
      <c r="H189" s="102"/>
      <c r="I189" s="106">
        <f>IF(NOT(ISNA(VLOOKUP(B189,'FL Contract Prices'!$A$2:$C$71,3,FALSE))),VLOOKUP(B189,'FL Contract Prices'!$A$2:$C$71,3,FALSE),ROUND(D189*0.7,-1))</f>
        <v>590</v>
      </c>
      <c r="J189" s="106"/>
      <c r="K189" s="102"/>
      <c r="L189" s="146"/>
      <c r="M189" s="146"/>
      <c r="N189" s="146"/>
      <c r="O189" s="155"/>
      <c r="P189" s="150">
        <v>250</v>
      </c>
      <c r="Q189" s="83"/>
      <c r="R189" s="83"/>
      <c r="S189" s="83"/>
      <c r="T189" s="83"/>
      <c r="U189" s="83"/>
      <c r="V189" s="83"/>
      <c r="W189" s="83"/>
      <c r="X189" s="83" t="s">
        <v>778</v>
      </c>
    </row>
    <row r="190" spans="1:24" x14ac:dyDescent="0.25">
      <c r="A190" s="82" t="s">
        <v>779</v>
      </c>
      <c r="B190" s="82" t="s">
        <v>780</v>
      </c>
      <c r="C190" s="82" t="s">
        <v>781</v>
      </c>
      <c r="D190" s="84">
        <f t="shared" si="19"/>
        <v>500</v>
      </c>
      <c r="E190" s="128">
        <f t="shared" si="17"/>
        <v>150</v>
      </c>
      <c r="F190" s="86" t="s">
        <v>178</v>
      </c>
      <c r="G190" s="102"/>
      <c r="H190" s="102"/>
      <c r="I190" s="106">
        <f>IF(NOT(ISNA(VLOOKUP(B190,'FL Contract Prices'!$A$2:$C$71,3,FALSE))),VLOOKUP(B190,'FL Contract Prices'!$A$2:$C$71,3,FALSE),ROUND(D190*0.7,-1))</f>
        <v>350</v>
      </c>
      <c r="J190" s="106"/>
      <c r="K190" s="102"/>
      <c r="L190" s="146"/>
      <c r="M190" s="146"/>
      <c r="N190" s="146"/>
      <c r="O190" s="155"/>
      <c r="P190" s="150">
        <v>150</v>
      </c>
      <c r="Q190" s="83"/>
      <c r="R190" s="83"/>
      <c r="S190" s="83"/>
      <c r="T190" s="83"/>
      <c r="U190" s="83"/>
      <c r="V190" s="83"/>
      <c r="W190" s="83"/>
      <c r="X190" s="83" t="s">
        <v>767</v>
      </c>
    </row>
    <row r="191" spans="1:24" ht="30" x14ac:dyDescent="0.25">
      <c r="A191" s="82" t="s">
        <v>782</v>
      </c>
      <c r="B191" s="83" t="s">
        <v>783</v>
      </c>
      <c r="C191" s="82" t="s">
        <v>784</v>
      </c>
      <c r="D191" s="84">
        <f t="shared" si="19"/>
        <v>500</v>
      </c>
      <c r="E191" s="128">
        <f t="shared" si="17"/>
        <v>150</v>
      </c>
      <c r="F191" s="86" t="s">
        <v>178</v>
      </c>
      <c r="G191" s="102"/>
      <c r="H191" s="102"/>
      <c r="I191" s="106">
        <f>IF(NOT(ISNA(VLOOKUP(B191,'FL Contract Prices'!$A$2:$C$71,3,FALSE))),VLOOKUP(B191,'FL Contract Prices'!$A$2:$C$71,3,FALSE),ROUND(D191*0.7,-1))</f>
        <v>350</v>
      </c>
      <c r="J191" s="106"/>
      <c r="K191" s="102"/>
      <c r="L191" s="146"/>
      <c r="M191" s="146"/>
      <c r="N191" s="146"/>
      <c r="O191" s="155"/>
      <c r="P191" s="150">
        <v>150</v>
      </c>
      <c r="Q191" s="83"/>
      <c r="R191" s="83"/>
      <c r="S191" s="83"/>
      <c r="T191" s="83"/>
      <c r="U191" s="83"/>
      <c r="V191" s="83"/>
      <c r="W191" s="83"/>
      <c r="X191" s="83" t="s">
        <v>785</v>
      </c>
    </row>
    <row r="192" spans="1:24" x14ac:dyDescent="0.25">
      <c r="A192" s="82" t="s">
        <v>786</v>
      </c>
      <c r="B192" s="82" t="s">
        <v>787</v>
      </c>
      <c r="C192" s="82" t="s">
        <v>788</v>
      </c>
      <c r="D192" s="84">
        <f t="shared" si="19"/>
        <v>500</v>
      </c>
      <c r="E192" s="128">
        <f t="shared" si="17"/>
        <v>150</v>
      </c>
      <c r="F192" s="86" t="s">
        <v>178</v>
      </c>
      <c r="G192" s="102"/>
      <c r="H192" s="102"/>
      <c r="I192" s="106">
        <f>IF(NOT(ISNA(VLOOKUP(B192,'FL Contract Prices'!$A$2:$C$71,3,FALSE))),VLOOKUP(B192,'FL Contract Prices'!$A$2:$C$71,3,FALSE),ROUND(D192*0.7,-1))</f>
        <v>350</v>
      </c>
      <c r="J192" s="106"/>
      <c r="K192" s="102"/>
      <c r="L192" s="146"/>
      <c r="M192" s="146"/>
      <c r="N192" s="146"/>
      <c r="O192" s="155"/>
      <c r="P192" s="150">
        <v>150</v>
      </c>
      <c r="Q192" s="83"/>
      <c r="R192" s="83"/>
      <c r="S192" s="83"/>
      <c r="T192" s="83"/>
      <c r="U192" s="83"/>
      <c r="V192" s="83"/>
      <c r="W192" s="83"/>
      <c r="X192" s="83" t="s">
        <v>789</v>
      </c>
    </row>
    <row r="193" spans="1:24" x14ac:dyDescent="0.25">
      <c r="A193" s="82" t="s">
        <v>790</v>
      </c>
      <c r="B193" s="83" t="s">
        <v>791</v>
      </c>
      <c r="C193" s="82" t="s">
        <v>792</v>
      </c>
      <c r="D193" s="84">
        <f t="shared" si="19"/>
        <v>500</v>
      </c>
      <c r="E193" s="128">
        <f t="shared" si="17"/>
        <v>150</v>
      </c>
      <c r="F193" s="86" t="s">
        <v>178</v>
      </c>
      <c r="G193" s="102"/>
      <c r="H193" s="102"/>
      <c r="I193" s="106">
        <f>IF(NOT(ISNA(VLOOKUP(B193,'FL Contract Prices'!$A$2:$C$71,3,FALSE))),VLOOKUP(B193,'FL Contract Prices'!$A$2:$C$71,3,FALSE),ROUND(D193*0.7,-1))</f>
        <v>350</v>
      </c>
      <c r="J193" s="106"/>
      <c r="K193" s="102"/>
      <c r="L193" s="146"/>
      <c r="M193" s="146"/>
      <c r="N193" s="146"/>
      <c r="O193" s="155"/>
      <c r="P193" s="150">
        <v>150</v>
      </c>
      <c r="Q193" s="83"/>
      <c r="R193" s="83"/>
      <c r="S193" s="83"/>
      <c r="T193" s="83"/>
      <c r="U193" s="83"/>
      <c r="V193" s="83"/>
      <c r="W193" s="83"/>
      <c r="X193" s="83" t="s">
        <v>793</v>
      </c>
    </row>
    <row r="194" spans="1:24" ht="45" x14ac:dyDescent="0.25">
      <c r="A194" s="82" t="s">
        <v>118</v>
      </c>
      <c r="B194" s="83" t="s">
        <v>794</v>
      </c>
      <c r="C194" s="82" t="s">
        <v>795</v>
      </c>
      <c r="D194" s="84">
        <f t="shared" si="19"/>
        <v>0</v>
      </c>
      <c r="E194" s="128">
        <f t="shared" si="17"/>
        <v>0</v>
      </c>
      <c r="F194" s="86" t="s">
        <v>178</v>
      </c>
      <c r="G194" s="102"/>
      <c r="H194" s="102"/>
      <c r="I194" s="106">
        <f>IF(NOT(ISNA(VLOOKUP(B194,'FL Contract Prices'!$A$2:$C$71,3,FALSE))),VLOOKUP(B194,'FL Contract Prices'!$A$2:$C$71,3,FALSE),ROUND(D194*0.7,-1))</f>
        <v>0</v>
      </c>
      <c r="J194" s="106"/>
      <c r="K194" s="102"/>
      <c r="L194" s="146"/>
      <c r="M194" s="146"/>
      <c r="N194" s="146"/>
      <c r="O194" s="155"/>
      <c r="P194" s="150"/>
      <c r="Q194" s="83"/>
      <c r="R194" s="83"/>
      <c r="S194" s="83"/>
      <c r="T194" s="83"/>
      <c r="U194" s="83"/>
      <c r="V194" s="83"/>
      <c r="W194" s="83"/>
      <c r="X194" s="83" t="s">
        <v>797</v>
      </c>
    </row>
    <row r="195" spans="1:24" ht="30" x14ac:dyDescent="0.25">
      <c r="A195" s="82" t="s">
        <v>1928</v>
      </c>
      <c r="B195" s="83" t="s">
        <v>799</v>
      </c>
      <c r="C195" s="82" t="s">
        <v>800</v>
      </c>
      <c r="D195" s="84">
        <f t="shared" si="19"/>
        <v>0</v>
      </c>
      <c r="E195" s="128">
        <f t="shared" si="17"/>
        <v>0</v>
      </c>
      <c r="F195" s="86" t="s">
        <v>178</v>
      </c>
      <c r="G195" s="102"/>
      <c r="H195" s="102"/>
      <c r="I195" s="106">
        <f>IF(NOT(ISNA(VLOOKUP(B195,'FL Contract Prices'!$A$2:$C$71,3,FALSE))),VLOOKUP(B195,'FL Contract Prices'!$A$2:$C$71,3,FALSE),ROUND(D195*0.7,-1))</f>
        <v>0</v>
      </c>
      <c r="J195" s="106"/>
      <c r="K195" s="102"/>
      <c r="L195" s="146"/>
      <c r="M195" s="146"/>
      <c r="N195" s="146"/>
      <c r="O195" s="155"/>
      <c r="P195" s="150"/>
      <c r="Q195" s="83"/>
      <c r="R195" s="83"/>
      <c r="S195" s="83"/>
      <c r="T195" s="83"/>
      <c r="U195" s="83"/>
      <c r="V195" s="83"/>
      <c r="W195" s="83"/>
      <c r="X195" s="83" t="s">
        <v>802</v>
      </c>
    </row>
    <row r="196" spans="1:24" x14ac:dyDescent="0.25">
      <c r="A196" s="82" t="s">
        <v>803</v>
      </c>
      <c r="B196" s="82" t="s">
        <v>804</v>
      </c>
      <c r="C196" s="82" t="s">
        <v>805</v>
      </c>
      <c r="D196" s="84">
        <f t="shared" si="19"/>
        <v>0</v>
      </c>
      <c r="E196" s="128">
        <f t="shared" ref="E196:E223" si="20">P196+Q196+T196+V196</f>
        <v>0</v>
      </c>
      <c r="F196" s="86" t="s">
        <v>178</v>
      </c>
      <c r="G196" s="102"/>
      <c r="H196" s="102"/>
      <c r="I196" s="106">
        <f>IF(NOT(ISNA(VLOOKUP(B196,'FL Contract Prices'!$A$2:$C$71,3,FALSE))),VLOOKUP(B196,'FL Contract Prices'!$A$2:$C$71,3,FALSE),ROUND(D196*0.7,-1))</f>
        <v>0</v>
      </c>
      <c r="J196" s="106"/>
      <c r="K196" s="102"/>
      <c r="L196" s="146"/>
      <c r="M196" s="146"/>
      <c r="N196" s="146"/>
      <c r="O196" s="155"/>
      <c r="P196" s="150">
        <v>0</v>
      </c>
      <c r="Q196" s="83"/>
      <c r="R196" s="83"/>
      <c r="S196" s="83"/>
      <c r="T196" s="83"/>
      <c r="U196" s="83"/>
      <c r="V196" s="83"/>
      <c r="W196" s="83"/>
      <c r="X196" s="83" t="s">
        <v>806</v>
      </c>
    </row>
    <row r="197" spans="1:24" ht="30" x14ac:dyDescent="0.25">
      <c r="A197" s="82" t="s">
        <v>1929</v>
      </c>
      <c r="B197" s="83" t="s">
        <v>808</v>
      </c>
      <c r="C197" s="82"/>
      <c r="D197" s="84">
        <f t="shared" si="19"/>
        <v>0</v>
      </c>
      <c r="E197" s="128">
        <f t="shared" si="20"/>
        <v>0</v>
      </c>
      <c r="F197" s="86" t="s">
        <v>178</v>
      </c>
      <c r="G197" s="102"/>
      <c r="H197" s="102"/>
      <c r="I197" s="106">
        <f>IF(NOT(ISNA(VLOOKUP(B197,'FL Contract Prices'!$A$2:$C$71,3,FALSE))),VLOOKUP(B197,'FL Contract Prices'!$A$2:$C$71,3,FALSE),ROUND(D197*0.7,-1))</f>
        <v>0</v>
      </c>
      <c r="J197" s="106"/>
      <c r="K197" s="102"/>
      <c r="L197" s="146"/>
      <c r="M197" s="146"/>
      <c r="N197" s="146"/>
      <c r="O197" s="155"/>
      <c r="P197" s="150">
        <v>0</v>
      </c>
      <c r="Q197" s="83"/>
      <c r="R197" s="83"/>
      <c r="S197" s="83"/>
      <c r="T197" s="83"/>
      <c r="U197" s="83"/>
      <c r="V197" s="83"/>
      <c r="W197" s="83"/>
      <c r="X197" s="83" t="s">
        <v>810</v>
      </c>
    </row>
    <row r="198" spans="1:24" x14ac:dyDescent="0.25">
      <c r="A198" s="82" t="s">
        <v>811</v>
      </c>
      <c r="B198" s="83" t="s">
        <v>812</v>
      </c>
      <c r="C198" s="82" t="s">
        <v>813</v>
      </c>
      <c r="D198" s="84">
        <f t="shared" ref="D198:D203" si="21">IF(E198&lt;20, ROUNDUP(E198,0), ROUNDUP(E198,-1))</f>
        <v>400</v>
      </c>
      <c r="E198" s="128">
        <f t="shared" si="20"/>
        <v>400</v>
      </c>
      <c r="F198" s="86" t="s">
        <v>178</v>
      </c>
      <c r="G198" s="102"/>
      <c r="H198" s="102"/>
      <c r="I198" s="106">
        <f>IF(NOT(ISNA(VLOOKUP(B198,'FL Contract Prices'!$A$2:$C$71,3,FALSE))),VLOOKUP(B198,'FL Contract Prices'!$A$2:$C$71,3,FALSE),ROUND(D198*0.7,-1))</f>
        <v>570</v>
      </c>
      <c r="J198" s="106"/>
      <c r="K198" s="102"/>
      <c r="L198" s="146"/>
      <c r="M198" s="146"/>
      <c r="N198" s="146"/>
      <c r="O198" s="155"/>
      <c r="P198" s="150">
        <v>400</v>
      </c>
      <c r="Q198" s="83"/>
      <c r="R198" s="83"/>
      <c r="S198" s="83"/>
      <c r="T198" s="83"/>
      <c r="U198" s="83"/>
      <c r="V198" s="83"/>
      <c r="W198" s="83"/>
      <c r="X198" s="83"/>
    </row>
    <row r="199" spans="1:24" ht="30" x14ac:dyDescent="0.25">
      <c r="A199" s="82" t="s">
        <v>814</v>
      </c>
      <c r="B199" s="83" t="s">
        <v>815</v>
      </c>
      <c r="C199" s="82" t="s">
        <v>816</v>
      </c>
      <c r="D199" s="84">
        <f t="shared" si="21"/>
        <v>90</v>
      </c>
      <c r="E199" s="128">
        <f t="shared" si="20"/>
        <v>90</v>
      </c>
      <c r="F199" s="86" t="s">
        <v>178</v>
      </c>
      <c r="G199" s="102"/>
      <c r="H199" s="102"/>
      <c r="I199" s="106">
        <f>IF(NOT(ISNA(VLOOKUP(B199,'FL Contract Prices'!$A$2:$C$71,3,FALSE))),VLOOKUP(B199,'FL Contract Prices'!$A$2:$C$71,3,FALSE),ROUND(D199*0.7,-1))</f>
        <v>60</v>
      </c>
      <c r="J199" s="106"/>
      <c r="K199" s="102"/>
      <c r="L199" s="146"/>
      <c r="M199" s="146"/>
      <c r="N199" s="146"/>
      <c r="O199" s="155"/>
      <c r="P199" s="150">
        <v>90</v>
      </c>
      <c r="Q199" s="83"/>
      <c r="R199" s="83"/>
      <c r="S199" s="83"/>
      <c r="T199" s="83"/>
      <c r="U199" s="83"/>
      <c r="V199" s="83"/>
      <c r="W199" s="83"/>
      <c r="X199" s="83"/>
    </row>
    <row r="200" spans="1:24" x14ac:dyDescent="0.25">
      <c r="A200" s="82" t="s">
        <v>121</v>
      </c>
      <c r="B200" s="83" t="s">
        <v>817</v>
      </c>
      <c r="C200" s="82" t="s">
        <v>818</v>
      </c>
      <c r="D200" s="84">
        <f t="shared" si="21"/>
        <v>60</v>
      </c>
      <c r="E200" s="128">
        <f t="shared" si="20"/>
        <v>60</v>
      </c>
      <c r="F200" s="86" t="s">
        <v>178</v>
      </c>
      <c r="G200" s="102"/>
      <c r="H200" s="102"/>
      <c r="I200" s="106">
        <f>IF(NOT(ISNA(VLOOKUP(B200,'FL Contract Prices'!$A$2:$C$71,3,FALSE))),VLOOKUP(B200,'FL Contract Prices'!$A$2:$C$71,3,FALSE),ROUND(D200*0.7,-1))</f>
        <v>82.08</v>
      </c>
      <c r="J200" s="106"/>
      <c r="K200" s="102"/>
      <c r="L200" s="146"/>
      <c r="M200" s="146"/>
      <c r="N200" s="146"/>
      <c r="O200" s="155"/>
      <c r="P200" s="150">
        <v>60</v>
      </c>
      <c r="Q200" s="83"/>
      <c r="R200" s="83"/>
      <c r="S200" s="83"/>
      <c r="T200" s="83"/>
      <c r="U200" s="83"/>
      <c r="V200" s="83"/>
      <c r="W200" s="83"/>
      <c r="X200" s="83"/>
    </row>
    <row r="201" spans="1:24" x14ac:dyDescent="0.25">
      <c r="A201" s="82" t="s">
        <v>819</v>
      </c>
      <c r="B201" s="83" t="s">
        <v>820</v>
      </c>
      <c r="C201" s="82" t="s">
        <v>821</v>
      </c>
      <c r="D201" s="84">
        <f t="shared" si="21"/>
        <v>30</v>
      </c>
      <c r="E201" s="128">
        <f t="shared" si="20"/>
        <v>30</v>
      </c>
      <c r="F201" s="86" t="s">
        <v>178</v>
      </c>
      <c r="G201" s="102"/>
      <c r="H201" s="102"/>
      <c r="I201" s="106">
        <f>IF(NOT(ISNA(VLOOKUP(B201,'FL Contract Prices'!$A$2:$C$71,3,FALSE))),VLOOKUP(B201,'FL Contract Prices'!$A$2:$C$71,3,FALSE),ROUND(D201*0.7,-1))</f>
        <v>20</v>
      </c>
      <c r="J201" s="106"/>
      <c r="K201" s="102"/>
      <c r="L201" s="146"/>
      <c r="M201" s="146"/>
      <c r="N201" s="146"/>
      <c r="O201" s="155"/>
      <c r="P201" s="150">
        <v>30</v>
      </c>
      <c r="Q201" s="83"/>
      <c r="R201" s="83"/>
      <c r="S201" s="83"/>
      <c r="T201" s="83"/>
      <c r="U201" s="83"/>
      <c r="V201" s="83"/>
      <c r="W201" s="83"/>
      <c r="X201" s="83" t="s">
        <v>822</v>
      </c>
    </row>
    <row r="202" spans="1:24" x14ac:dyDescent="0.25">
      <c r="A202" s="82" t="s">
        <v>823</v>
      </c>
      <c r="B202" s="83" t="s">
        <v>824</v>
      </c>
      <c r="C202" s="82" t="s">
        <v>825</v>
      </c>
      <c r="D202" s="84">
        <f t="shared" si="21"/>
        <v>20</v>
      </c>
      <c r="E202" s="128">
        <f t="shared" si="20"/>
        <v>20</v>
      </c>
      <c r="F202" s="86" t="s">
        <v>178</v>
      </c>
      <c r="G202" s="102"/>
      <c r="H202" s="102"/>
      <c r="I202" s="106">
        <f>IF(NOT(ISNA(VLOOKUP(B202,'FL Contract Prices'!$A$2:$C$71,3,FALSE))),VLOOKUP(B202,'FL Contract Prices'!$A$2:$C$71,3,FALSE),ROUND(D202*0.7,-1))</f>
        <v>10</v>
      </c>
      <c r="J202" s="106"/>
      <c r="K202" s="102"/>
      <c r="L202" s="146"/>
      <c r="M202" s="146"/>
      <c r="N202" s="146"/>
      <c r="O202" s="155"/>
      <c r="P202" s="150">
        <v>20</v>
      </c>
      <c r="Q202" s="83"/>
      <c r="R202" s="83"/>
      <c r="S202" s="83"/>
      <c r="T202" s="83"/>
      <c r="U202" s="83"/>
      <c r="V202" s="83"/>
      <c r="W202" s="83"/>
      <c r="X202" s="83"/>
    </row>
    <row r="203" spans="1:24" x14ac:dyDescent="0.25">
      <c r="A203" s="82" t="s">
        <v>826</v>
      </c>
      <c r="B203" s="83" t="s">
        <v>827</v>
      </c>
      <c r="C203" s="82" t="s">
        <v>828</v>
      </c>
      <c r="D203" s="84">
        <f t="shared" si="21"/>
        <v>80</v>
      </c>
      <c r="E203" s="128">
        <f t="shared" si="20"/>
        <v>80</v>
      </c>
      <c r="F203" s="86" t="s">
        <v>178</v>
      </c>
      <c r="G203" s="102"/>
      <c r="H203" s="102"/>
      <c r="I203" s="106">
        <f>IF(NOT(ISNA(VLOOKUP(B203,'FL Contract Prices'!$A$2:$C$71,3,FALSE))),VLOOKUP(B203,'FL Contract Prices'!$A$2:$C$71,3,FALSE),ROUND(D203*0.7,-1))</f>
        <v>60</v>
      </c>
      <c r="J203" s="106"/>
      <c r="K203" s="102"/>
      <c r="L203" s="146"/>
      <c r="M203" s="146"/>
      <c r="N203" s="146"/>
      <c r="O203" s="155"/>
      <c r="P203" s="150">
        <v>80</v>
      </c>
      <c r="Q203" s="83"/>
      <c r="R203" s="83"/>
      <c r="S203" s="83"/>
      <c r="T203" s="83"/>
      <c r="U203" s="83"/>
      <c r="V203" s="83"/>
      <c r="W203" s="83"/>
      <c r="X203" s="83" t="s">
        <v>829</v>
      </c>
    </row>
    <row r="204" spans="1:24" x14ac:dyDescent="0.25">
      <c r="A204" s="94" t="s">
        <v>830</v>
      </c>
      <c r="B204" s="95" t="s">
        <v>831</v>
      </c>
      <c r="C204" s="94" t="s">
        <v>832</v>
      </c>
      <c r="D204" s="84">
        <f>IF(E204&lt;20, ROUNDUP(E204/0.3,0), ROUNDUP(E204/0.3,-1))</f>
        <v>270</v>
      </c>
      <c r="E204" s="128">
        <f t="shared" si="20"/>
        <v>80</v>
      </c>
      <c r="F204" s="86" t="s">
        <v>178</v>
      </c>
      <c r="G204" s="102"/>
      <c r="H204" s="102"/>
      <c r="I204" s="106">
        <f>IF(NOT(ISNA(VLOOKUP(B204,'FL Contract Prices'!$A$2:$C$71,3,FALSE))),VLOOKUP(B204,'FL Contract Prices'!$A$2:$C$71,3,FALSE),ROUND(D204*0.7,-1))</f>
        <v>190</v>
      </c>
      <c r="J204" s="106"/>
      <c r="K204" s="102"/>
      <c r="L204" s="146"/>
      <c r="M204" s="146"/>
      <c r="N204" s="146"/>
      <c r="O204" s="155"/>
      <c r="P204" s="150">
        <v>80</v>
      </c>
      <c r="Q204" s="83"/>
      <c r="R204" s="83"/>
      <c r="S204" s="83"/>
      <c r="T204" s="83"/>
      <c r="U204" s="83"/>
      <c r="V204" s="83"/>
      <c r="W204" s="83"/>
      <c r="X204" s="95" t="s">
        <v>833</v>
      </c>
    </row>
    <row r="205" spans="1:24" ht="30" x14ac:dyDescent="0.25">
      <c r="A205" s="82" t="s">
        <v>834</v>
      </c>
      <c r="B205" s="83" t="s">
        <v>835</v>
      </c>
      <c r="C205" s="82" t="s">
        <v>836</v>
      </c>
      <c r="D205" s="84">
        <f t="shared" ref="D205:D217" si="22">IF(E205&lt;20, ROUNDUP(E205/0.4,0), ROUNDUP(E205/0.5,-1))</f>
        <v>3440</v>
      </c>
      <c r="E205" s="128">
        <f t="shared" si="20"/>
        <v>1716.8888888888889</v>
      </c>
      <c r="F205" s="86" t="s">
        <v>199</v>
      </c>
      <c r="G205" s="102"/>
      <c r="H205" s="102"/>
      <c r="I205" s="106">
        <f>IF(NOT(ISNA(VLOOKUP(B205,'FL Contract Prices'!$A$2:$C$71,3,FALSE))),VLOOKUP(B205,'FL Contract Prices'!$A$2:$C$71,3,FALSE),ROUND(D205*0.7,-1))</f>
        <v>3947.3157894736801</v>
      </c>
      <c r="J205" s="106"/>
      <c r="K205" s="102"/>
      <c r="L205" s="146"/>
      <c r="M205" s="146"/>
      <c r="N205" s="146"/>
      <c r="O205" s="155"/>
      <c r="P205" s="150">
        <f>P$144+P$127+P$79+P$180</f>
        <v>1690</v>
      </c>
      <c r="Q205" s="48">
        <v>15</v>
      </c>
      <c r="R205" s="88">
        <v>1</v>
      </c>
      <c r="S205" s="88">
        <f t="shared" ref="S205:S218" si="23">17*17</f>
        <v>289</v>
      </c>
      <c r="T205" s="48">
        <f t="shared" ref="T205:T218" si="24">(24000/8500)*(S205/12/12)/3*R205</f>
        <v>1.8888888888888886</v>
      </c>
      <c r="U205" s="48" t="s">
        <v>179</v>
      </c>
      <c r="V205" s="48">
        <f t="shared" ref="V205:V218" si="25">IF(U205="Bulk",0,IF(U205="Std", 10,IF(U205="Pickup",20,30)))/60*60</f>
        <v>10</v>
      </c>
      <c r="W205" s="83"/>
      <c r="X205" s="83"/>
    </row>
    <row r="206" spans="1:24" ht="30" x14ac:dyDescent="0.25">
      <c r="A206" s="82" t="s">
        <v>837</v>
      </c>
      <c r="B206" s="83" t="s">
        <v>838</v>
      </c>
      <c r="C206" s="82" t="s">
        <v>839</v>
      </c>
      <c r="D206" s="84">
        <f t="shared" si="22"/>
        <v>3450</v>
      </c>
      <c r="E206" s="128">
        <f t="shared" si="20"/>
        <v>1720.8888888888889</v>
      </c>
      <c r="F206" s="86" t="s">
        <v>199</v>
      </c>
      <c r="G206" s="102"/>
      <c r="H206" s="102"/>
      <c r="I206" s="106">
        <f>IF(NOT(ISNA(VLOOKUP(B206,'FL Contract Prices'!$A$2:$C$71,3,FALSE))),VLOOKUP(B206,'FL Contract Prices'!$A$2:$C$71,3,FALSE),ROUND(D206*0.7,-1))</f>
        <v>3859.894736842105</v>
      </c>
      <c r="J206" s="106"/>
      <c r="K206" s="102"/>
      <c r="L206" s="146"/>
      <c r="M206" s="146"/>
      <c r="N206" s="146"/>
      <c r="O206" s="155"/>
      <c r="P206" s="150">
        <f>P$144+P$127+P$103+P$180</f>
        <v>1694</v>
      </c>
      <c r="Q206" s="48">
        <v>15</v>
      </c>
      <c r="R206" s="88">
        <v>1</v>
      </c>
      <c r="S206" s="88">
        <f t="shared" si="23"/>
        <v>289</v>
      </c>
      <c r="T206" s="48">
        <f t="shared" si="24"/>
        <v>1.8888888888888886</v>
      </c>
      <c r="U206" s="48" t="s">
        <v>179</v>
      </c>
      <c r="V206" s="48">
        <f t="shared" si="25"/>
        <v>10</v>
      </c>
      <c r="W206" s="83"/>
      <c r="X206" s="83"/>
    </row>
    <row r="207" spans="1:24" ht="150" x14ac:dyDescent="0.25">
      <c r="A207" s="82" t="s">
        <v>1930</v>
      </c>
      <c r="B207" s="129" t="s">
        <v>844</v>
      </c>
      <c r="C207" s="129" t="s">
        <v>1931</v>
      </c>
      <c r="D207" s="84">
        <f t="shared" si="22"/>
        <v>28900</v>
      </c>
      <c r="E207" s="128">
        <f t="shared" si="20"/>
        <v>14449.09888888889</v>
      </c>
      <c r="F207" s="86" t="s">
        <v>199</v>
      </c>
      <c r="G207" s="102"/>
      <c r="H207" s="102"/>
      <c r="I207" s="106">
        <f>IF(NOT(ISNA(VLOOKUP(B207,'FL Contract Prices'!$A$2:$C$71,3,FALSE))),VLOOKUP(B207,'FL Contract Prices'!$A$2:$C$71,3,FALSE),ROUND(D207*0.7,-1))</f>
        <v>21203.276842105261</v>
      </c>
      <c r="J207" s="106"/>
      <c r="K207" s="102"/>
      <c r="L207" s="146"/>
      <c r="M207" s="146"/>
      <c r="N207" s="146"/>
      <c r="O207" s="155"/>
      <c r="P207" s="153">
        <f>P$150+P$116+P$71+P$109+P$54+P$157+P$159+P$111+P$155+P$82+P$104+P$154+P$180</f>
        <v>14422.210000000001</v>
      </c>
      <c r="Q207" s="48">
        <v>15</v>
      </c>
      <c r="R207" s="88">
        <v>1</v>
      </c>
      <c r="S207" s="88">
        <f t="shared" si="23"/>
        <v>289</v>
      </c>
      <c r="T207" s="48">
        <f t="shared" si="24"/>
        <v>1.8888888888888886</v>
      </c>
      <c r="U207" s="48" t="s">
        <v>179</v>
      </c>
      <c r="V207" s="48">
        <f t="shared" si="25"/>
        <v>10</v>
      </c>
      <c r="W207" s="83"/>
      <c r="X207" s="83"/>
    </row>
    <row r="208" spans="1:24" ht="135" x14ac:dyDescent="0.25">
      <c r="A208" s="82" t="s">
        <v>1932</v>
      </c>
      <c r="B208" s="129" t="s">
        <v>1031</v>
      </c>
      <c r="C208" s="82" t="s">
        <v>1933</v>
      </c>
      <c r="D208" s="84">
        <f t="shared" si="22"/>
        <v>31720</v>
      </c>
      <c r="E208" s="128">
        <f t="shared" si="20"/>
        <v>15857.568823529413</v>
      </c>
      <c r="F208" s="86" t="s">
        <v>199</v>
      </c>
      <c r="G208" s="102"/>
      <c r="H208" s="102"/>
      <c r="I208" s="106">
        <f>IF(NOT(ISNA(VLOOKUP(B208,'FL Contract Prices'!$A$2:$C$71,3,FALSE))),VLOOKUP(B208,'FL Contract Prices'!$A$2:$C$71,3,FALSE),ROUND(D208*0.7,-1))</f>
        <v>23599.865263157892</v>
      </c>
      <c r="J208" s="106"/>
      <c r="K208" s="102"/>
      <c r="L208" s="146"/>
      <c r="M208" s="146"/>
      <c r="N208" s="146"/>
      <c r="O208" s="155"/>
      <c r="P208" s="153">
        <f>P$150+P$118+P$71+P$109+P$55+P$157+P$159+P$111+P$155+P$82+P$104+P$154+P28+P$180</f>
        <v>15720.51</v>
      </c>
      <c r="Q208" s="48">
        <v>0</v>
      </c>
      <c r="R208" s="88">
        <v>5</v>
      </c>
      <c r="S208" s="88">
        <v>1296</v>
      </c>
      <c r="T208" s="48">
        <f>(24000/8500)*(S208/12/12)*R208</f>
        <v>127.05882352941177</v>
      </c>
      <c r="U208" s="48" t="s">
        <v>179</v>
      </c>
      <c r="V208" s="48">
        <f t="shared" si="25"/>
        <v>10</v>
      </c>
      <c r="W208" s="83"/>
      <c r="X208" s="83"/>
    </row>
    <row r="209" spans="1:24" ht="105" x14ac:dyDescent="0.25">
      <c r="A209" s="82" t="s">
        <v>1934</v>
      </c>
      <c r="B209" s="129" t="s">
        <v>850</v>
      </c>
      <c r="C209" s="82" t="s">
        <v>1935</v>
      </c>
      <c r="D209" s="84">
        <f t="shared" si="22"/>
        <v>26600</v>
      </c>
      <c r="E209" s="128">
        <f t="shared" si="20"/>
        <v>13297.398888888889</v>
      </c>
      <c r="F209" s="86" t="s">
        <v>199</v>
      </c>
      <c r="G209" s="102"/>
      <c r="H209" s="102"/>
      <c r="I209" s="106">
        <f>IF(NOT(ISNA(VLOOKUP(B209,'FL Contract Prices'!$A$2:$C$71,3,FALSE))),VLOOKUP(B209,'FL Contract Prices'!$A$2:$C$71,3,FALSE),ROUND(D209*0.7,-1))</f>
        <v>18948.539999999997</v>
      </c>
      <c r="J209" s="106"/>
      <c r="K209" s="102"/>
      <c r="L209" s="146"/>
      <c r="M209" s="146"/>
      <c r="N209" s="146"/>
      <c r="O209" s="155"/>
      <c r="P209" s="153">
        <f>P$150+P$118+P$71+P$109+P$55+P$157+P$159+P$111+P$155+P$82+P$104+P$154+P$180</f>
        <v>13270.51</v>
      </c>
      <c r="Q209" s="48">
        <v>15</v>
      </c>
      <c r="R209" s="88">
        <v>1</v>
      </c>
      <c r="S209" s="88">
        <f t="shared" si="23"/>
        <v>289</v>
      </c>
      <c r="T209" s="48">
        <f t="shared" si="24"/>
        <v>1.8888888888888886</v>
      </c>
      <c r="U209" s="48" t="s">
        <v>179</v>
      </c>
      <c r="V209" s="48">
        <f t="shared" si="25"/>
        <v>10</v>
      </c>
      <c r="W209" s="83"/>
      <c r="X209" s="83"/>
    </row>
    <row r="210" spans="1:24" ht="105" x14ac:dyDescent="0.25">
      <c r="A210" s="82" t="s">
        <v>1936</v>
      </c>
      <c r="B210" s="83" t="s">
        <v>853</v>
      </c>
      <c r="C210" s="82" t="s">
        <v>1937</v>
      </c>
      <c r="D210" s="84">
        <f t="shared" si="22"/>
        <v>20860</v>
      </c>
      <c r="E210" s="128">
        <f t="shared" si="20"/>
        <v>10425.59888888889</v>
      </c>
      <c r="F210" s="86" t="s">
        <v>199</v>
      </c>
      <c r="G210" s="102"/>
      <c r="H210" s="102"/>
      <c r="I210" s="106">
        <f>IF(NOT(ISNA(VLOOKUP(B210,'FL Contract Prices'!$A$2:$C$71,3,FALSE))),VLOOKUP(B210,'FL Contract Prices'!$A$2:$C$71,3,FALSE),ROUND(D210*0.7,-1))</f>
        <v>15109.1715789474</v>
      </c>
      <c r="J210" s="106"/>
      <c r="K210" s="102"/>
      <c r="L210" s="146"/>
      <c r="M210" s="146"/>
      <c r="N210" s="146"/>
      <c r="O210" s="155"/>
      <c r="P210" s="153">
        <f>P$150+P$130+P$71+P$109+P$55+P$157+P$159+P$111+P$155+P$82+P$104+P$154+P$180</f>
        <v>10398.710000000001</v>
      </c>
      <c r="Q210" s="48">
        <v>15</v>
      </c>
      <c r="R210" s="88">
        <v>1</v>
      </c>
      <c r="S210" s="88">
        <f t="shared" si="23"/>
        <v>289</v>
      </c>
      <c r="T210" s="48">
        <f t="shared" si="24"/>
        <v>1.8888888888888886</v>
      </c>
      <c r="U210" s="48" t="s">
        <v>179</v>
      </c>
      <c r="V210" s="48">
        <f t="shared" si="25"/>
        <v>10</v>
      </c>
      <c r="W210" s="83"/>
      <c r="X210" s="83"/>
    </row>
    <row r="211" spans="1:24" ht="45" x14ac:dyDescent="0.25">
      <c r="A211" s="82" t="s">
        <v>1938</v>
      </c>
      <c r="B211" s="83" t="s">
        <v>1038</v>
      </c>
      <c r="C211" s="82" t="s">
        <v>857</v>
      </c>
      <c r="D211" s="84">
        <f t="shared" si="22"/>
        <v>9040</v>
      </c>
      <c r="E211" s="128">
        <f t="shared" si="20"/>
        <v>4517.8888888888887</v>
      </c>
      <c r="F211" s="86" t="s">
        <v>199</v>
      </c>
      <c r="G211" s="102"/>
      <c r="H211" s="102"/>
      <c r="I211" s="106">
        <f>IF(NOT(ISNA(VLOOKUP(B211,'FL Contract Prices'!$A$2:$C$71,3,FALSE))),VLOOKUP(B211,'FL Contract Prices'!$A$2:$C$71,3,FALSE),ROUND(D211*0.7,-1))</f>
        <v>8430.2105263157882</v>
      </c>
      <c r="J211" s="106"/>
      <c r="K211" s="102"/>
      <c r="L211" s="146"/>
      <c r="M211" s="146"/>
      <c r="N211" s="146"/>
      <c r="O211" s="155"/>
      <c r="P211" s="150">
        <f>P$146+P$80+P$120+P$104+P$154+P$180</f>
        <v>4491</v>
      </c>
      <c r="Q211" s="48">
        <v>15</v>
      </c>
      <c r="R211" s="88">
        <v>1</v>
      </c>
      <c r="S211" s="88">
        <f t="shared" si="23"/>
        <v>289</v>
      </c>
      <c r="T211" s="48">
        <f t="shared" si="24"/>
        <v>1.8888888888888886</v>
      </c>
      <c r="U211" s="48" t="s">
        <v>179</v>
      </c>
      <c r="V211" s="48">
        <f t="shared" si="25"/>
        <v>10</v>
      </c>
      <c r="W211" s="83"/>
      <c r="X211" s="83"/>
    </row>
    <row r="212" spans="1:24" ht="45" x14ac:dyDescent="0.25">
      <c r="A212" s="82" t="s">
        <v>858</v>
      </c>
      <c r="B212" s="83" t="s">
        <v>1040</v>
      </c>
      <c r="C212" s="82" t="s">
        <v>860</v>
      </c>
      <c r="D212" s="84">
        <f t="shared" si="22"/>
        <v>14160</v>
      </c>
      <c r="E212" s="128">
        <f t="shared" si="20"/>
        <v>7078.0588235294117</v>
      </c>
      <c r="F212" s="86" t="s">
        <v>199</v>
      </c>
      <c r="G212" s="102"/>
      <c r="H212" s="102"/>
      <c r="I212" s="106">
        <f>IF(NOT(ISNA(VLOOKUP(B212,'FL Contract Prices'!$A$2:$C$71,3,FALSE))),VLOOKUP(B212,'FL Contract Prices'!$A$2:$C$71,3,FALSE),ROUND(D212*0.7,-1))</f>
        <v>12965.22</v>
      </c>
      <c r="J212" s="106"/>
      <c r="K212" s="102"/>
      <c r="L212" s="146"/>
      <c r="M212" s="146"/>
      <c r="N212" s="146"/>
      <c r="O212" s="155"/>
      <c r="P212" s="150">
        <f>P$146+P$80+P$120+P$104+P$154+P$180+P28</f>
        <v>6941</v>
      </c>
      <c r="Q212" s="48">
        <v>0</v>
      </c>
      <c r="R212" s="88">
        <v>5</v>
      </c>
      <c r="S212" s="88">
        <v>1296</v>
      </c>
      <c r="T212" s="48">
        <f>(24000/8500)*(S212/12/12)*R212</f>
        <v>127.05882352941177</v>
      </c>
      <c r="U212" s="48" t="s">
        <v>179</v>
      </c>
      <c r="V212" s="48">
        <f t="shared" si="25"/>
        <v>10</v>
      </c>
      <c r="W212" s="83"/>
      <c r="X212" s="83"/>
    </row>
    <row r="213" spans="1:24" ht="30" x14ac:dyDescent="0.25">
      <c r="A213" s="82" t="s">
        <v>861</v>
      </c>
      <c r="B213" s="83" t="s">
        <v>1939</v>
      </c>
      <c r="C213" s="82" t="s">
        <v>857</v>
      </c>
      <c r="D213" s="84">
        <f t="shared" si="22"/>
        <v>7000</v>
      </c>
      <c r="E213" s="128">
        <f t="shared" si="20"/>
        <v>3495.8888888888887</v>
      </c>
      <c r="F213" s="86" t="s">
        <v>199</v>
      </c>
      <c r="G213" s="102"/>
      <c r="H213" s="102"/>
      <c r="I213" s="106">
        <f>IF(NOT(ISNA(VLOOKUP(B213,'FL Contract Prices'!$A$2:$C$71,3,FALSE))),VLOOKUP(B213,'FL Contract Prices'!$A$2:$C$71,3,FALSE),ROUND(D213*0.7,-1))</f>
        <v>4900</v>
      </c>
      <c r="J213" s="106"/>
      <c r="K213" s="102"/>
      <c r="L213" s="146"/>
      <c r="M213" s="146"/>
      <c r="N213" s="146"/>
      <c r="O213" s="155"/>
      <c r="P213" s="150">
        <f>P$146+P$80+P$123+P$104+P$154+P$180</f>
        <v>3469</v>
      </c>
      <c r="Q213" s="48">
        <v>15</v>
      </c>
      <c r="R213" s="88">
        <v>1</v>
      </c>
      <c r="S213" s="88">
        <f t="shared" si="23"/>
        <v>289</v>
      </c>
      <c r="T213" s="48">
        <f t="shared" si="24"/>
        <v>1.8888888888888886</v>
      </c>
      <c r="U213" s="48" t="s">
        <v>179</v>
      </c>
      <c r="V213" s="48">
        <f t="shared" si="25"/>
        <v>10</v>
      </c>
      <c r="W213" s="83"/>
      <c r="X213" s="83"/>
    </row>
    <row r="214" spans="1:24" ht="30" x14ac:dyDescent="0.25">
      <c r="A214" s="82" t="s">
        <v>1940</v>
      </c>
      <c r="B214" s="83" t="s">
        <v>1034</v>
      </c>
      <c r="C214" s="82" t="s">
        <v>1941</v>
      </c>
      <c r="D214" s="84">
        <f t="shared" si="22"/>
        <v>5850</v>
      </c>
      <c r="E214" s="128">
        <f t="shared" si="20"/>
        <v>2921.8888888888887</v>
      </c>
      <c r="F214" s="86" t="s">
        <v>199</v>
      </c>
      <c r="G214" s="102"/>
      <c r="H214" s="102"/>
      <c r="I214" s="106">
        <f>IF(NOT(ISNA(VLOOKUP(B214,'FL Contract Prices'!$A$2:$C$71,3,FALSE))),VLOOKUP(B214,'FL Contract Prices'!$A$2:$C$71,3,FALSE),ROUND(D214*0.7,-1))</f>
        <v>4768.9473684210516</v>
      </c>
      <c r="J214" s="106"/>
      <c r="K214" s="102"/>
      <c r="L214" s="146"/>
      <c r="M214" s="146"/>
      <c r="N214" s="146"/>
      <c r="O214" s="155"/>
      <c r="P214" s="150">
        <f>P$146+P$80+P$126+P$104+P$154+P$180</f>
        <v>2895</v>
      </c>
      <c r="Q214" s="48">
        <v>15</v>
      </c>
      <c r="R214" s="88">
        <v>1</v>
      </c>
      <c r="S214" s="88">
        <f t="shared" si="23"/>
        <v>289</v>
      </c>
      <c r="T214" s="48">
        <f t="shared" si="24"/>
        <v>1.8888888888888886</v>
      </c>
      <c r="U214" s="48" t="s">
        <v>179</v>
      </c>
      <c r="V214" s="48">
        <f t="shared" si="25"/>
        <v>10</v>
      </c>
      <c r="W214" s="83"/>
      <c r="X214" s="83"/>
    </row>
    <row r="215" spans="1:24" ht="30" x14ac:dyDescent="0.25">
      <c r="A215" s="82" t="s">
        <v>871</v>
      </c>
      <c r="B215" s="83" t="s">
        <v>1036</v>
      </c>
      <c r="C215" s="82" t="s">
        <v>873</v>
      </c>
      <c r="D215" s="84">
        <f t="shared" si="22"/>
        <v>6850</v>
      </c>
      <c r="E215" s="128">
        <f t="shared" si="20"/>
        <v>3421.8888888888887</v>
      </c>
      <c r="F215" s="86" t="s">
        <v>199</v>
      </c>
      <c r="G215" s="102"/>
      <c r="H215" s="102"/>
      <c r="I215" s="106">
        <f>IF(NOT(ISNA(VLOOKUP(B215,'FL Contract Prices'!$A$2:$C$71,3,FALSE))),VLOOKUP(B215,'FL Contract Prices'!$A$2:$C$71,3,FALSE),ROUND(D215*0.7,-1))</f>
        <v>6433.1578947368416</v>
      </c>
      <c r="J215" s="106"/>
      <c r="K215" s="102"/>
      <c r="L215" s="146"/>
      <c r="M215" s="146"/>
      <c r="N215" s="146"/>
      <c r="O215" s="155"/>
      <c r="P215" s="150">
        <f>P$146+P$80+P$129+P$104+P$154+P$180</f>
        <v>3395</v>
      </c>
      <c r="Q215" s="48">
        <v>15</v>
      </c>
      <c r="R215" s="88">
        <v>1</v>
      </c>
      <c r="S215" s="88">
        <f t="shared" si="23"/>
        <v>289</v>
      </c>
      <c r="T215" s="48">
        <f t="shared" si="24"/>
        <v>1.8888888888888886</v>
      </c>
      <c r="U215" s="48" t="s">
        <v>179</v>
      </c>
      <c r="V215" s="48">
        <f t="shared" si="25"/>
        <v>10</v>
      </c>
      <c r="W215" s="83"/>
      <c r="X215" s="83"/>
    </row>
    <row r="216" spans="1:24" ht="45" x14ac:dyDescent="0.25">
      <c r="A216" s="82" t="s">
        <v>874</v>
      </c>
      <c r="B216" s="83" t="s">
        <v>875</v>
      </c>
      <c r="C216" s="82" t="s">
        <v>1942</v>
      </c>
      <c r="D216" s="84">
        <f t="shared" si="22"/>
        <v>8550</v>
      </c>
      <c r="E216" s="128">
        <f t="shared" si="20"/>
        <v>4271.8888888888887</v>
      </c>
      <c r="F216" s="86" t="s">
        <v>199</v>
      </c>
      <c r="G216" s="102"/>
      <c r="H216" s="102"/>
      <c r="I216" s="106">
        <f>IF(NOT(ISNA(VLOOKUP(B216,'FL Contract Prices'!$A$2:$C$71,3,FALSE))),VLOOKUP(B216,'FL Contract Prices'!$A$2:$C$71,3,FALSE),ROUND(D216*0.7,-1))</f>
        <v>5990</v>
      </c>
      <c r="J216" s="106"/>
      <c r="K216" s="102"/>
      <c r="L216" s="146"/>
      <c r="M216" s="146"/>
      <c r="N216" s="146"/>
      <c r="O216" s="155"/>
      <c r="P216" s="150">
        <f>P$146+P$102+P$120+P$104+P$154+P$180</f>
        <v>4245</v>
      </c>
      <c r="Q216" s="48">
        <v>15</v>
      </c>
      <c r="R216" s="88">
        <v>1</v>
      </c>
      <c r="S216" s="88">
        <f t="shared" si="23"/>
        <v>289</v>
      </c>
      <c r="T216" s="48">
        <f t="shared" si="24"/>
        <v>1.8888888888888886</v>
      </c>
      <c r="U216" s="48" t="s">
        <v>179</v>
      </c>
      <c r="V216" s="48">
        <f t="shared" si="25"/>
        <v>10</v>
      </c>
      <c r="W216" s="83"/>
      <c r="X216" s="83"/>
    </row>
    <row r="217" spans="1:24" ht="30" x14ac:dyDescent="0.25">
      <c r="A217" s="82" t="s">
        <v>1943</v>
      </c>
      <c r="B217" s="83" t="s">
        <v>1944</v>
      </c>
      <c r="C217" s="82" t="s">
        <v>1945</v>
      </c>
      <c r="D217" s="84">
        <f t="shared" si="22"/>
        <v>5360</v>
      </c>
      <c r="E217" s="128">
        <f t="shared" si="20"/>
        <v>2675.8888888888887</v>
      </c>
      <c r="F217" s="86" t="s">
        <v>199</v>
      </c>
      <c r="G217" s="102"/>
      <c r="H217" s="102"/>
      <c r="I217" s="106">
        <f>IF(NOT(ISNA(VLOOKUP(B217,'FL Contract Prices'!$A$2:$C$71,3,FALSE))),VLOOKUP(B217,'FL Contract Prices'!$A$2:$C$71,3,FALSE),ROUND(D217*0.7,-1))</f>
        <v>3750</v>
      </c>
      <c r="J217" s="106"/>
      <c r="K217" s="102"/>
      <c r="L217" s="146"/>
      <c r="M217" s="146"/>
      <c r="N217" s="146"/>
      <c r="O217" s="155"/>
      <c r="P217" s="150">
        <f>P$146+P$102+P$126+P$104+P$154+P$180</f>
        <v>2649</v>
      </c>
      <c r="Q217" s="48">
        <v>15</v>
      </c>
      <c r="R217" s="88">
        <v>1</v>
      </c>
      <c r="S217" s="88">
        <f t="shared" si="23"/>
        <v>289</v>
      </c>
      <c r="T217" s="48">
        <f t="shared" si="24"/>
        <v>1.8888888888888886</v>
      </c>
      <c r="U217" s="48" t="s">
        <v>179</v>
      </c>
      <c r="V217" s="48">
        <f t="shared" si="25"/>
        <v>10</v>
      </c>
      <c r="W217" s="83"/>
      <c r="X217" s="83"/>
    </row>
    <row r="218" spans="1:24" ht="45" x14ac:dyDescent="0.25">
      <c r="A218" s="82" t="s">
        <v>899</v>
      </c>
      <c r="B218" s="83" t="s">
        <v>900</v>
      </c>
      <c r="C218" s="129" t="s">
        <v>901</v>
      </c>
      <c r="D218" s="84">
        <f>IF(E218&lt;20, ROUNDUP(E218/0.3,0), ROUNDUP(E218/0.3,-1))</f>
        <v>14800</v>
      </c>
      <c r="E218" s="128">
        <f t="shared" si="20"/>
        <v>4439.3888888888887</v>
      </c>
      <c r="F218" s="86" t="s">
        <v>178</v>
      </c>
      <c r="G218" s="102"/>
      <c r="H218" s="102"/>
      <c r="I218" s="106">
        <f>IF(NOT(ISNA(VLOOKUP(B218,'FL Contract Prices'!$A$2:$C$71,3,FALSE))),VLOOKUP(B218,'FL Contract Prices'!$A$2:$C$71,3,FALSE),ROUND(D218*0.7,-1))</f>
        <v>10360</v>
      </c>
      <c r="J218" s="106"/>
      <c r="K218" s="102"/>
      <c r="L218" s="146"/>
      <c r="M218" s="146"/>
      <c r="N218" s="146"/>
      <c r="O218" s="155"/>
      <c r="P218" s="153">
        <f>P$150+P$128+P$156</f>
        <v>4412.5</v>
      </c>
      <c r="Q218" s="48">
        <v>15</v>
      </c>
      <c r="R218" s="88">
        <v>1</v>
      </c>
      <c r="S218" s="88">
        <f t="shared" si="23"/>
        <v>289</v>
      </c>
      <c r="T218" s="48">
        <f t="shared" si="24"/>
        <v>1.8888888888888886</v>
      </c>
      <c r="U218" s="48" t="s">
        <v>179</v>
      </c>
      <c r="V218" s="48">
        <f t="shared" si="25"/>
        <v>10</v>
      </c>
      <c r="W218" s="83"/>
      <c r="X218" s="83"/>
    </row>
    <row r="219" spans="1:24" ht="30" x14ac:dyDescent="0.25">
      <c r="A219" s="82" t="s">
        <v>902</v>
      </c>
      <c r="B219" s="83" t="s">
        <v>903</v>
      </c>
      <c r="C219" s="82" t="s">
        <v>904</v>
      </c>
      <c r="D219" s="84">
        <f>IF(E219&lt;20, ROUNDUP(E219/0.4,0), ROUNDUP(E219/0.5,-1))</f>
        <v>8240</v>
      </c>
      <c r="E219" s="128">
        <f t="shared" si="20"/>
        <v>4117.8888888888887</v>
      </c>
      <c r="F219" s="86" t="s">
        <v>199</v>
      </c>
      <c r="G219" s="102"/>
      <c r="H219" s="102"/>
      <c r="I219" s="106">
        <f>IF(NOT(ISNA(VLOOKUP(B219,'FL Contract Prices'!$A$2:$C$71,3,FALSE))),VLOOKUP(B219,'FL Contract Prices'!$A$2:$C$71,3,FALSE),ROUND(D219*0.7,-1))</f>
        <v>5770</v>
      </c>
      <c r="J219" s="106"/>
      <c r="K219" s="102"/>
      <c r="L219" s="146"/>
      <c r="M219" s="146"/>
      <c r="N219" s="146"/>
      <c r="O219" s="155"/>
      <c r="P219" s="150">
        <f>P$144+P$80+P$120+P$104+P$154+P$180</f>
        <v>4091</v>
      </c>
      <c r="Q219" s="48">
        <v>15</v>
      </c>
      <c r="R219" s="88">
        <v>1</v>
      </c>
      <c r="S219" s="88">
        <f>17*17</f>
        <v>289</v>
      </c>
      <c r="T219" s="48">
        <f>(24000/8500)*(S219/12/12)/3*R219</f>
        <v>1.8888888888888886</v>
      </c>
      <c r="U219" s="48" t="s">
        <v>179</v>
      </c>
      <c r="V219" s="48">
        <f>IF(U219="Bulk",0,IF(U219="Std", 10,IF(U219="Pickup",20,30)))/60*60</f>
        <v>10</v>
      </c>
      <c r="W219" s="83"/>
      <c r="X219" s="83"/>
    </row>
    <row r="220" spans="1:24" ht="30" x14ac:dyDescent="0.25">
      <c r="A220" s="82" t="s">
        <v>1946</v>
      </c>
      <c r="B220" s="83" t="s">
        <v>1947</v>
      </c>
      <c r="C220" s="82" t="s">
        <v>1948</v>
      </c>
      <c r="D220" s="84">
        <f>IF(E220&lt;20, ROUNDUP(E220/0.4,0), ROUNDUP(E220/0.5,-1))</f>
        <v>5050</v>
      </c>
      <c r="E220" s="128">
        <f t="shared" si="20"/>
        <v>2521.8888888888887</v>
      </c>
      <c r="F220" s="86" t="s">
        <v>199</v>
      </c>
      <c r="G220" s="102"/>
      <c r="H220" s="102"/>
      <c r="I220" s="106">
        <f>IF(NOT(ISNA(VLOOKUP(B220,'FL Contract Prices'!$A$2:$C$71,3,FALSE))),VLOOKUP(B220,'FL Contract Prices'!$A$2:$C$71,3,FALSE),ROUND(D220*0.7,-1))</f>
        <v>3540</v>
      </c>
      <c r="J220" s="106"/>
      <c r="K220" s="102"/>
      <c r="L220" s="146"/>
      <c r="M220" s="146"/>
      <c r="N220" s="146"/>
      <c r="O220" s="155"/>
      <c r="P220" s="150">
        <f>P$144+P$80+P$126+P$104+P$154+P$180</f>
        <v>2495</v>
      </c>
      <c r="Q220" s="48">
        <v>15</v>
      </c>
      <c r="R220" s="88">
        <v>1</v>
      </c>
      <c r="S220" s="88">
        <f>17*17</f>
        <v>289</v>
      </c>
      <c r="T220" s="48">
        <f>(24000/8500)*(S220/12/12)/3*R220</f>
        <v>1.8888888888888886</v>
      </c>
      <c r="U220" s="48" t="s">
        <v>179</v>
      </c>
      <c r="V220" s="48">
        <f>IF(U220="Bulk",0,IF(U220="Std", 10,IF(U220="Pickup",20,30)))/60*60</f>
        <v>10</v>
      </c>
      <c r="W220" s="83"/>
      <c r="X220" s="83"/>
    </row>
    <row r="221" spans="1:24" ht="30" x14ac:dyDescent="0.25">
      <c r="A221" s="82" t="s">
        <v>905</v>
      </c>
      <c r="B221" s="83" t="s">
        <v>906</v>
      </c>
      <c r="C221" s="82" t="s">
        <v>904</v>
      </c>
      <c r="D221" s="84">
        <f>IF(E221&lt;20, ROUNDUP(E221/0.4,0), ROUNDUP(E221/0.5,-1))</f>
        <v>7950</v>
      </c>
      <c r="E221" s="128">
        <f t="shared" si="20"/>
        <v>3971.8888888888887</v>
      </c>
      <c r="F221" s="86" t="s">
        <v>199</v>
      </c>
      <c r="G221" s="102"/>
      <c r="H221" s="102"/>
      <c r="I221" s="106">
        <f>IF(NOT(ISNA(VLOOKUP(B221,'FL Contract Prices'!$A$2:$C$71,3,FALSE))),VLOOKUP(B221,'FL Contract Prices'!$A$2:$C$71,3,FALSE),ROUND(D221*0.7,-1))</f>
        <v>5570</v>
      </c>
      <c r="J221" s="106"/>
      <c r="K221" s="102"/>
      <c r="L221" s="146"/>
      <c r="M221" s="146"/>
      <c r="N221" s="146"/>
      <c r="O221" s="155"/>
      <c r="P221" s="150">
        <f>P$144+P$103+P$120+P$104+P$154+P$180</f>
        <v>3945</v>
      </c>
      <c r="Q221" s="48">
        <v>15</v>
      </c>
      <c r="R221" s="88">
        <v>1</v>
      </c>
      <c r="S221" s="88">
        <f>17*17</f>
        <v>289</v>
      </c>
      <c r="T221" s="48">
        <f>(24000/8500)*(S221/12/12)/3*R221</f>
        <v>1.8888888888888886</v>
      </c>
      <c r="U221" s="48" t="s">
        <v>179</v>
      </c>
      <c r="V221" s="48">
        <f>IF(U221="Bulk",0,IF(U221="Std", 10,IF(U221="Pickup",20,30)))/60*60</f>
        <v>10</v>
      </c>
      <c r="W221" s="83"/>
      <c r="X221" s="83"/>
    </row>
    <row r="222" spans="1:24" ht="30" x14ac:dyDescent="0.25">
      <c r="A222" s="82" t="s">
        <v>1949</v>
      </c>
      <c r="B222" s="83" t="s">
        <v>1950</v>
      </c>
      <c r="C222" s="82" t="s">
        <v>1951</v>
      </c>
      <c r="D222" s="84">
        <f>IF(E222&lt;20, ROUNDUP(E222/0.4,0), ROUNDUP(E222/0.5,-1))</f>
        <v>4760</v>
      </c>
      <c r="E222" s="128">
        <f t="shared" si="20"/>
        <v>2375.8888888888887</v>
      </c>
      <c r="F222" s="86" t="s">
        <v>199</v>
      </c>
      <c r="G222" s="102"/>
      <c r="H222" s="102"/>
      <c r="I222" s="106">
        <f>IF(NOT(ISNA(VLOOKUP(B222,'FL Contract Prices'!$A$2:$C$71,3,FALSE))),VLOOKUP(B222,'FL Contract Prices'!$A$2:$C$71,3,FALSE),ROUND(D222*0.7,-1))</f>
        <v>3330</v>
      </c>
      <c r="J222" s="106"/>
      <c r="K222" s="102"/>
      <c r="L222" s="146"/>
      <c r="M222" s="146"/>
      <c r="N222" s="146"/>
      <c r="O222" s="155"/>
      <c r="P222" s="150">
        <f>P$144+P$103+P$126+P$104+P$154+P$180</f>
        <v>2349</v>
      </c>
      <c r="Q222" s="48">
        <v>15</v>
      </c>
      <c r="R222" s="88">
        <v>1</v>
      </c>
      <c r="S222" s="88">
        <f>17*17</f>
        <v>289</v>
      </c>
      <c r="T222" s="48">
        <f>(24000/8500)*(S222/12/12)/3*R222</f>
        <v>1.8888888888888886</v>
      </c>
      <c r="U222" s="48" t="s">
        <v>179</v>
      </c>
      <c r="V222" s="48">
        <f>IF(U222="Bulk",0,IF(U222="Std", 10,IF(U222="Pickup",20,30)))/60*60</f>
        <v>10</v>
      </c>
      <c r="W222" s="83"/>
      <c r="X222" s="83"/>
    </row>
    <row r="223" spans="1:24" x14ac:dyDescent="0.25">
      <c r="A223" s="107" t="s">
        <v>907</v>
      </c>
      <c r="B223" s="108" t="s">
        <v>908</v>
      </c>
      <c r="C223" s="107" t="s">
        <v>909</v>
      </c>
      <c r="D223" s="84">
        <f>IF(E223&lt;20, ROUNDUP(E223/0.3,0), ROUNDUP(E223/0.3,-1))</f>
        <v>2</v>
      </c>
      <c r="E223" s="128">
        <f t="shared" si="20"/>
        <v>0.5</v>
      </c>
      <c r="F223" s="86" t="s">
        <v>178</v>
      </c>
      <c r="G223" s="102"/>
      <c r="H223" s="102"/>
      <c r="I223" s="106">
        <f>IF(NOT(ISNA(VLOOKUP(B223,'FL Contract Prices'!$A$2:$C$71,3,FALSE))),VLOOKUP(B223,'FL Contract Prices'!$A$2:$C$71,3,FALSE),ROUND(D223*0.7,-1))</f>
        <v>0</v>
      </c>
      <c r="J223" s="106"/>
      <c r="K223" s="102"/>
      <c r="L223" s="146"/>
      <c r="M223" s="146"/>
      <c r="N223" s="146"/>
      <c r="O223" s="155"/>
      <c r="P223" s="150">
        <v>0.5</v>
      </c>
      <c r="Q223" s="83"/>
      <c r="R223" s="83"/>
      <c r="S223" s="83"/>
      <c r="T223" s="83"/>
      <c r="U223" s="83"/>
      <c r="V223" s="83"/>
      <c r="W223" s="83"/>
      <c r="X223" s="83" t="s">
        <v>771</v>
      </c>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row r="584" spans="1:1" x14ac:dyDescent="0.25">
      <c r="A584" s="130"/>
    </row>
    <row r="585" spans="1:1" x14ac:dyDescent="0.25">
      <c r="A585" s="130"/>
    </row>
    <row r="586" spans="1:1" x14ac:dyDescent="0.25">
      <c r="A586" s="130"/>
    </row>
    <row r="587" spans="1:1" x14ac:dyDescent="0.25">
      <c r="A587" s="130"/>
    </row>
    <row r="588" spans="1:1" x14ac:dyDescent="0.25">
      <c r="A588" s="130"/>
    </row>
    <row r="589" spans="1:1" x14ac:dyDescent="0.25">
      <c r="A589" s="130"/>
    </row>
    <row r="590" spans="1:1" x14ac:dyDescent="0.25">
      <c r="A590" s="130"/>
    </row>
    <row r="591" spans="1:1" x14ac:dyDescent="0.25">
      <c r="A591" s="130"/>
    </row>
    <row r="592" spans="1:1" x14ac:dyDescent="0.25">
      <c r="A592" s="130"/>
    </row>
    <row r="593" spans="1:1" x14ac:dyDescent="0.25">
      <c r="A593" s="1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pageSetUpPr fitToPage="1"/>
  </sheetPr>
  <dimension ref="A1:AD5360"/>
  <sheetViews>
    <sheetView topLeftCell="A33" zoomScale="88" zoomScaleNormal="85" workbookViewId="0">
      <selection activeCell="E22" sqref="E22"/>
    </sheetView>
  </sheetViews>
  <sheetFormatPr defaultColWidth="9.42578125" defaultRowHeight="15" outlineLevelRow="1" outlineLevelCol="1" x14ac:dyDescent="0.25"/>
  <cols>
    <col min="1" max="1" width="20.5703125" bestFit="1" customWidth="1"/>
    <col min="2" max="2" width="55.5703125" customWidth="1"/>
    <col min="3" max="3" width="8.42578125" bestFit="1" customWidth="1"/>
    <col min="4" max="4" width="14.42578125" customWidth="1"/>
    <col min="5" max="5" width="25.5703125" customWidth="1"/>
    <col min="6" max="6" width="10.5703125" customWidth="1"/>
    <col min="13" max="13" width="8.5703125"/>
    <col min="14" max="14" width="9" customWidth="1"/>
    <col min="16" max="16" width="10.5703125" customWidth="1"/>
    <col min="17" max="17" width="7.42578125" customWidth="1"/>
    <col min="19" max="19" width="6.5703125" customWidth="1"/>
    <col min="21" max="21" width="7.5703125" customWidth="1"/>
    <col min="22" max="22" width="8.5703125" style="16" customWidth="1"/>
    <col min="23" max="23" width="4.42578125" customWidth="1"/>
    <col min="24" max="24" width="11" style="180" customWidth="1" outlineLevel="1"/>
    <col min="25" max="25" width="11.5703125" style="180" customWidth="1" outlineLevel="1"/>
    <col min="26" max="26" width="12.85546875" style="180" customWidth="1" outlineLevel="1"/>
    <col min="27" max="27" width="11" style="180" customWidth="1" outlineLevel="1"/>
    <col min="28" max="28" width="12.42578125" style="180" customWidth="1" outlineLevel="1"/>
    <col min="29" max="29" width="23.42578125" style="180" customWidth="1" outlineLevel="1"/>
  </cols>
  <sheetData>
    <row r="1" spans="1:24" ht="18" customHeight="1" outlineLevel="1" thickTop="1" thickBot="1" x14ac:dyDescent="0.3">
      <c r="A1" s="13" t="s">
        <v>55</v>
      </c>
      <c r="B1" s="7" t="s">
        <v>56</v>
      </c>
      <c r="C1" s="357" t="s">
        <v>57</v>
      </c>
      <c r="D1" s="358"/>
      <c r="E1" s="247" t="str">
        <f>VLOOKUP(B1,'Pricing Model'!A1:C21,3)</f>
        <v>Discount Based</v>
      </c>
    </row>
    <row r="2" spans="1:24" ht="18" customHeight="1" outlineLevel="1" thickBot="1" x14ac:dyDescent="0.3">
      <c r="A2" s="17" t="s">
        <v>58</v>
      </c>
      <c r="B2" s="283" t="str">
        <f>'Using Sales Activity Sheet'!E2</f>
        <v>Command International Security Services</v>
      </c>
      <c r="C2" s="359" t="s">
        <v>59</v>
      </c>
      <c r="D2" s="360"/>
      <c r="E2" s="245">
        <f>IF(E1="Discount Based", VLOOKUP(B1,'Pricing Model'!A1:D22,4), "")</f>
        <v>0.2</v>
      </c>
      <c r="P2" s="356" t="s">
        <v>60</v>
      </c>
      <c r="Q2" s="356"/>
      <c r="R2" s="356"/>
      <c r="S2" s="356"/>
      <c r="T2" s="356"/>
      <c r="U2" s="356"/>
    </row>
    <row r="3" spans="1:24" ht="18" customHeight="1" outlineLevel="1" x14ac:dyDescent="0.25">
      <c r="A3" s="17" t="s">
        <v>61</v>
      </c>
      <c r="B3" s="8" t="str">
        <f>'Using Sales Activity Sheet'!BF2&amp;" "&amp;'Using Sales Activity Sheet'!BG2</f>
        <v>Amira Hossain</v>
      </c>
      <c r="C3" s="359" t="s">
        <v>62</v>
      </c>
      <c r="D3" s="360"/>
      <c r="E3" s="245">
        <f>IF(E1="Discount Based", VLOOKUP(B1,'Pricing Model'!A1:E22,5), "")</f>
        <v>0.44</v>
      </c>
      <c r="M3" s="265" t="str">
        <f>IF($E$7&lt;&gt;"", "REPLACING", "")</f>
        <v/>
      </c>
    </row>
    <row r="4" spans="1:24" ht="18" customHeight="1" outlineLevel="1" x14ac:dyDescent="0.25">
      <c r="A4" s="20" t="s">
        <v>63</v>
      </c>
      <c r="B4" s="9" t="str">
        <f>'Using Sales Activity Sheet'!G2&amp;" | "&amp;'Using Sales Activity Sheet'!I2</f>
        <v>(747) 366-0211 | manny@commandinternationalsecurity.com</v>
      </c>
      <c r="C4" s="359" t="s">
        <v>64</v>
      </c>
      <c r="D4" s="360"/>
      <c r="E4" s="245" t="str">
        <f>IF(E1="Cost Based", VLOOKUP(B1,'Pricing Model'!A1:F21,6), "")</f>
        <v/>
      </c>
      <c r="G4" s="368" t="s">
        <v>65</v>
      </c>
      <c r="H4" s="368"/>
      <c r="I4" s="368"/>
      <c r="J4" s="368"/>
      <c r="K4" s="368"/>
      <c r="L4" s="368"/>
      <c r="M4" s="264" t="str">
        <f>IF($E$7&lt;&gt;"","LSID: "&amp;$E$7, "")</f>
        <v/>
      </c>
      <c r="P4" s="367" t="s">
        <v>66</v>
      </c>
      <c r="Q4" s="367"/>
      <c r="R4" s="367"/>
      <c r="S4" s="367"/>
      <c r="T4" s="367"/>
      <c r="U4" s="367"/>
    </row>
    <row r="5" spans="1:24" ht="18" customHeight="1" outlineLevel="1" thickBot="1" x14ac:dyDescent="0.3">
      <c r="A5" s="20" t="s">
        <v>67</v>
      </c>
      <c r="B5" s="104" t="str">
        <f>'Using Sales Activity Sheet'!L2</f>
        <v>MID-VALLEY PROFESSIONAL BUILDING</v>
      </c>
      <c r="C5" s="343" t="s">
        <v>68</v>
      </c>
      <c r="D5" s="344"/>
      <c r="E5" s="246" t="str">
        <f>IF(E1="Cost Based", VLOOKUP(B1,'Pricing Model'!A1:G21,7), "")</f>
        <v/>
      </c>
      <c r="G5" s="368" t="s">
        <v>69</v>
      </c>
      <c r="H5" s="368"/>
      <c r="I5" s="368"/>
      <c r="J5" s="368"/>
      <c r="K5" s="368"/>
      <c r="L5" s="368"/>
      <c r="M5" s="22"/>
    </row>
    <row r="6" spans="1:24" ht="18" customHeight="1" outlineLevel="1" thickBot="1" x14ac:dyDescent="0.3">
      <c r="A6" s="20" t="s">
        <v>12</v>
      </c>
      <c r="B6" s="250" t="str">
        <f>'Using Sales Activity Sheet'!M2</f>
        <v>6819 Sepulveda Blvd, Van Nuys, CA 91405</v>
      </c>
      <c r="C6" s="25"/>
      <c r="D6" s="25"/>
      <c r="E6" s="25"/>
      <c r="G6" s="368" t="s">
        <v>70</v>
      </c>
      <c r="H6" s="368"/>
      <c r="I6" s="368"/>
      <c r="J6" s="368"/>
      <c r="K6" s="368"/>
      <c r="L6" s="368"/>
      <c r="M6" s="22"/>
      <c r="P6" s="367" t="s">
        <v>71</v>
      </c>
      <c r="Q6" s="367"/>
      <c r="R6" s="367"/>
      <c r="S6" s="367"/>
      <c r="T6" s="367"/>
      <c r="U6" s="367"/>
    </row>
    <row r="7" spans="1:24" ht="18" customHeight="1" outlineLevel="1" thickBot="1" x14ac:dyDescent="0.4">
      <c r="A7" s="17" t="s">
        <v>72</v>
      </c>
      <c r="B7" s="262" t="str">
        <f>'Using Sales Activity Sheet'!BF2&amp;" "&amp;'Using Sales Activity Sheet'!BG2</f>
        <v>Amira Hossain</v>
      </c>
      <c r="C7" s="291" t="s">
        <v>73</v>
      </c>
      <c r="D7" s="292"/>
      <c r="E7" s="263"/>
      <c r="G7" s="26"/>
    </row>
    <row r="8" spans="1:24" ht="18" customHeight="1" outlineLevel="1" thickBot="1" x14ac:dyDescent="0.35">
      <c r="A8" s="20" t="s">
        <v>74</v>
      </c>
      <c r="B8" s="9" t="str">
        <f>'Using Sales Activity Sheet'!G2&amp;" | "&amp;'Using Sales Activity Sheet'!I2</f>
        <v>(747) 366-0211 | manny@commandinternationalsecurity.com</v>
      </c>
      <c r="C8" s="25"/>
      <c r="D8" s="25"/>
      <c r="E8" s="25"/>
      <c r="G8" s="350" t="s">
        <v>75</v>
      </c>
      <c r="H8" s="351"/>
      <c r="I8" s="351"/>
      <c r="J8" s="351"/>
      <c r="K8" s="351"/>
      <c r="L8" s="351"/>
      <c r="M8" s="352"/>
      <c r="O8" s="350" t="s">
        <v>76</v>
      </c>
      <c r="P8" s="351"/>
      <c r="Q8" s="351"/>
      <c r="R8" s="351"/>
      <c r="S8" s="351"/>
      <c r="T8" s="351"/>
      <c r="U8" s="351"/>
      <c r="V8" s="352"/>
    </row>
    <row r="9" spans="1:24" ht="18" customHeight="1" outlineLevel="1" x14ac:dyDescent="0.25">
      <c r="A9" s="20" t="s">
        <v>77</v>
      </c>
      <c r="B9" s="104" t="str">
        <f>'Using Sales Activity Sheet'!L2</f>
        <v>MID-VALLEY PROFESSIONAL BUILDING</v>
      </c>
      <c r="C9" s="25"/>
      <c r="D9" s="25"/>
      <c r="E9" s="25"/>
      <c r="G9" s="353" t="str">
        <f>IF('Blank Quote'!B2="", "", 'Blank Quote'!B2)</f>
        <v>Command International Security Services</v>
      </c>
      <c r="H9" s="354"/>
      <c r="I9" s="354"/>
      <c r="J9" s="354"/>
      <c r="K9" s="354"/>
      <c r="L9" s="354"/>
      <c r="M9" s="355"/>
      <c r="O9" s="340" t="str">
        <f>IF('Blank Quote'!B2="", "", 'Blank Quote'!B2)</f>
        <v>Command International Security Services</v>
      </c>
      <c r="P9" s="341"/>
      <c r="Q9" s="341"/>
      <c r="R9" s="341"/>
      <c r="S9" s="341"/>
      <c r="T9" s="341"/>
      <c r="U9" s="341"/>
      <c r="V9" s="342"/>
      <c r="X9" s="194"/>
    </row>
    <row r="10" spans="1:24" ht="18" customHeight="1" outlineLevel="1" thickBot="1" x14ac:dyDescent="0.3">
      <c r="A10" s="27" t="s">
        <v>12</v>
      </c>
      <c r="B10" s="250" t="str">
        <f>'Using Sales Activity Sheet'!M2</f>
        <v>6819 Sepulveda Blvd, Van Nuys, CA 91405</v>
      </c>
      <c r="C10" s="345" t="s">
        <v>78</v>
      </c>
      <c r="D10" s="346"/>
      <c r="E10" s="346"/>
      <c r="G10" s="340" t="str">
        <f>IF('Blank Quote'!B3="", "", 'Blank Quote'!B3)</f>
        <v>Amira Hossain</v>
      </c>
      <c r="H10" s="341"/>
      <c r="I10" s="341"/>
      <c r="J10" s="341"/>
      <c r="K10" s="341"/>
      <c r="L10" s="341"/>
      <c r="M10" s="342"/>
      <c r="O10" s="340" t="str">
        <f>IF('Blank Quote'!B7="", "", 'Blank Quote'!B7)</f>
        <v>Amira Hossain</v>
      </c>
      <c r="P10" s="341"/>
      <c r="Q10" s="341"/>
      <c r="R10" s="341"/>
      <c r="S10" s="341"/>
      <c r="T10" s="341"/>
      <c r="U10" s="341"/>
      <c r="V10" s="342"/>
      <c r="X10" s="195"/>
    </row>
    <row r="11" spans="1:24" ht="18" customHeight="1" outlineLevel="1" thickBot="1" x14ac:dyDescent="0.3">
      <c r="A11" s="27" t="s">
        <v>79</v>
      </c>
      <c r="B11" s="259">
        <f>IF(B10="Tax Exempt",0,
IF(MID(B10,FIND(", ",B10)+2,2)&lt;&gt;"CA",
  IF(MID(B10,FIND(", ",B10)+2,2)="WA",
     IF(ISNA(VLOOKUP(LEFT(B10, FIND(",",B10)-1),[6]Sheet1!$A$4:$F$500,6,FALSE)),0.065,
         VLOOKUP(LEFT(B10, FIND(",",B10)-1),[6]Sheet1!$A$4:$F$500,6,FALSE)),0),
     IF(ISNA(VLOOKUP(LEFT(B10, FIND(",",B10)-1),[7]Sheet1!$A$9:$C$1793,3,FALSE)),0.075,
          VLOOKUP(LEFT(B10, FIND(",",B10)-1),[7]Sheet1!$A$9:$C$1793,3,FALSE))))</f>
        <v>0</v>
      </c>
      <c r="C11" s="304" t="s">
        <v>80</v>
      </c>
      <c r="D11" s="305"/>
      <c r="E11" s="305"/>
      <c r="G11" s="340" t="str">
        <f>IF('Blank Quote'!B4="", "", 'Blank Quote'!B4)</f>
        <v>(747) 366-0211 | manny@commandinternationalsecurity.com</v>
      </c>
      <c r="H11" s="341"/>
      <c r="I11" s="341"/>
      <c r="J11" s="341"/>
      <c r="K11" s="341"/>
      <c r="L11" s="341"/>
      <c r="M11" s="342"/>
      <c r="O11" s="340" t="str">
        <f>IF('Blank Quote'!B8="", "", 'Blank Quote'!B8)</f>
        <v>(747) 366-0211 | manny@commandinternationalsecurity.com</v>
      </c>
      <c r="P11" s="341"/>
      <c r="Q11" s="341"/>
      <c r="R11" s="341"/>
      <c r="S11" s="341"/>
      <c r="T11" s="341"/>
      <c r="U11" s="341"/>
      <c r="V11" s="342"/>
      <c r="X11" s="196"/>
    </row>
    <row r="12" spans="1:24" ht="18" customHeight="1" outlineLevel="1" thickBot="1" x14ac:dyDescent="0.3">
      <c r="A12" s="13" t="s">
        <v>34</v>
      </c>
      <c r="B12" s="10" t="s">
        <v>81</v>
      </c>
      <c r="C12" s="25"/>
      <c r="D12" s="81"/>
      <c r="E12" s="25"/>
      <c r="G12" s="340" t="str">
        <f>IF('Blank Quote'!B5="", "", 'Blank Quote'!B5)</f>
        <v>MID-VALLEY PROFESSIONAL BUILDING</v>
      </c>
      <c r="H12" s="341"/>
      <c r="I12" s="341"/>
      <c r="J12" s="341"/>
      <c r="K12" s="341"/>
      <c r="L12" s="341"/>
      <c r="M12" s="342"/>
      <c r="O12" s="340" t="str">
        <f>IF('Blank Quote'!B9="", "", 'Blank Quote'!B9)</f>
        <v>MID-VALLEY PROFESSIONAL BUILDING</v>
      </c>
      <c r="P12" s="341"/>
      <c r="Q12" s="341"/>
      <c r="R12" s="341"/>
      <c r="S12" s="341"/>
      <c r="T12" s="341"/>
      <c r="U12" s="341"/>
      <c r="V12" s="342"/>
      <c r="X12" s="195"/>
    </row>
    <row r="13" spans="1:24" ht="18" customHeight="1" outlineLevel="1" thickBot="1" x14ac:dyDescent="0.3">
      <c r="A13" s="13" t="s">
        <v>82</v>
      </c>
      <c r="B13" s="11" t="s">
        <v>83</v>
      </c>
      <c r="C13" s="25"/>
      <c r="D13" s="25"/>
      <c r="E13" s="25"/>
      <c r="G13" s="295" t="str">
        <f>IF('Blank Quote'!B6="", "", 'Blank Quote'!B6)</f>
        <v>6819 Sepulveda Blvd, Van Nuys, CA 91405</v>
      </c>
      <c r="H13" s="296"/>
      <c r="I13" s="296"/>
      <c r="J13" s="296"/>
      <c r="K13" s="296"/>
      <c r="L13" s="296"/>
      <c r="M13" s="297"/>
      <c r="O13" s="295" t="str">
        <f>IF('Blank Quote'!B10="", "", 'Blank Quote'!B10)</f>
        <v>6819 Sepulveda Blvd, Van Nuys, CA 91405</v>
      </c>
      <c r="P13" s="296"/>
      <c r="Q13" s="296"/>
      <c r="R13" s="296"/>
      <c r="S13" s="296"/>
      <c r="T13" s="296"/>
      <c r="U13" s="296"/>
      <c r="V13" s="297"/>
      <c r="X13" s="197"/>
    </row>
    <row r="14" spans="1:24" ht="5.25" customHeight="1" outlineLevel="1" thickBot="1" x14ac:dyDescent="0.3">
      <c r="B14" s="31"/>
      <c r="C14" s="25"/>
      <c r="D14" s="25"/>
      <c r="E14" s="25"/>
    </row>
    <row r="15" spans="1:24" ht="16.5" outlineLevel="1" thickBot="1" x14ac:dyDescent="0.3">
      <c r="A15" s="32" t="s">
        <v>84</v>
      </c>
      <c r="B15" s="33" t="str">
        <f>VLOOKUP(B1,'Pricing Model'!A1:J30,10)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4" ht="15.75" outlineLevel="1" thickBot="1" x14ac:dyDescent="0.3">
      <c r="A16" s="34" t="s">
        <v>91</v>
      </c>
      <c r="B16" s="33">
        <f>VLOOKUP(B1,'Pricing Model'!A1:H21,8)</f>
        <v>0</v>
      </c>
      <c r="C16" s="25"/>
      <c r="D16" s="25"/>
      <c r="E16" s="25"/>
      <c r="G16" s="362">
        <f ca="1">TODAY()</f>
        <v>45140</v>
      </c>
      <c r="H16" s="363"/>
      <c r="I16" s="364">
        <f ca="1">NOW()</f>
        <v>45140.445939351855</v>
      </c>
      <c r="J16" s="365"/>
      <c r="K16" s="366"/>
      <c r="L16" s="301" t="str">
        <f>'Blank Quote'!B12</f>
        <v>EC</v>
      </c>
      <c r="M16" s="302"/>
      <c r="N16" s="303"/>
      <c r="O16" s="301" t="str">
        <f>VLOOKUP(B1,'Pricing Model'!A1:I21,9)</f>
        <v>Due on Rcpt</v>
      </c>
      <c r="P16" s="303"/>
      <c r="Q16" s="301" t="str">
        <f>B13</f>
        <v>Ground</v>
      </c>
      <c r="R16" s="302"/>
      <c r="S16" s="301" t="str">
        <f>IF(B16&lt;&gt;0,B16,"")</f>
        <v/>
      </c>
      <c r="T16" s="302"/>
      <c r="U16" s="302"/>
      <c r="V16" s="303"/>
    </row>
    <row r="17" spans="1:29" ht="5.25" customHeight="1" outlineLevel="1" thickBot="1" x14ac:dyDescent="0.3">
      <c r="D17" s="35"/>
    </row>
    <row r="18" spans="1:29"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231" t="s">
        <v>100</v>
      </c>
      <c r="Y18" s="181" t="s">
        <v>101</v>
      </c>
      <c r="Z18" s="181" t="s">
        <v>102</v>
      </c>
      <c r="AA18" s="181" t="s">
        <v>103</v>
      </c>
      <c r="AB18" s="181" t="s">
        <v>104</v>
      </c>
      <c r="AC18" s="244" t="s">
        <v>105</v>
      </c>
    </row>
    <row r="19" spans="1:29" s="1" customFormat="1" ht="30" customHeight="1" x14ac:dyDescent="0.25">
      <c r="A19" s="248" t="str">
        <f>IF(B19&lt;&gt;"",
IF($B$1="Contract NY",VLOOKUP(B19,'Raw BOM'!$A$3:$N$495,8,FALSE),
IF($B$1="Contract FL",VLOOKUP(B19,'Raw BOM'!$A$3:$N$495,10,FALSE),
IF($B$1="Contract LA",VLOOKUP(B19,'Raw BOM'!$A$3:$N$495,12,FALSE),
IF($B$1="Contract FL",VLOOKUP(B19,'Raw BOM'!$A$3:$N$495,14,FALSE),
VLOOKUP(B19,'Raw BOM'!$A$3:$B$495,2,FALSE))))), IF(E19&lt;&gt;"","Misc",""))</f>
        <v>HW-LT-Std-Home</v>
      </c>
      <c r="B19" s="170" t="s">
        <v>106</v>
      </c>
      <c r="C19" s="171">
        <v>1</v>
      </c>
      <c r="D19" s="176"/>
      <c r="E19" s="172" t="s">
        <v>107</v>
      </c>
      <c r="F19"/>
      <c r="G19" s="374" t="str">
        <f t="shared" ref="G19:G30" si="0">A19</f>
        <v>HW-LT-Std-Home</v>
      </c>
      <c r="H19" s="375"/>
      <c r="I19" s="376" t="str">
        <f t="shared" ref="I19:I30" si="1">IF(B19&lt;&gt;"", B19, "")&amp;IF(E19&lt;&gt;"", "   *** "&amp;E19, "")</f>
        <v>Hardware-Laptop-Standard with Windows Home Edition   *** Standard with Windows 11</v>
      </c>
      <c r="J19" s="376"/>
      <c r="K19" s="376" t="str">
        <f t="shared" ref="K19:K30" si="2">E19</f>
        <v>Standard with Windows 11</v>
      </c>
      <c r="L19" s="376"/>
      <c r="M19" s="376" t="str">
        <f t="shared" ref="M19" si="3">G19</f>
        <v>HW-LT-Std-Home</v>
      </c>
      <c r="N19" s="376"/>
      <c r="O19" s="376" t="str">
        <f t="shared" ref="O19" si="4">I19</f>
        <v>Hardware-Laptop-Standard with Windows Home Edition   *** Standard with Windows 11</v>
      </c>
      <c r="P19" s="376"/>
      <c r="Q19" s="98">
        <f t="shared" ref="Q19:Q30" si="5">IF(C19="", "", C19)</f>
        <v>1</v>
      </c>
      <c r="R19" s="319">
        <f>IF(C19="", "",IF(D19&lt;&gt;0,D19,
IF($E$1="Contract NY", VLOOKUP(B19,'Raw BOM'!$A$3:$G$495,7,FALSE),
IF($E$1="Contract FL", VLOOKUP(B19,'Raw BOM'!$A$3:$I$495,9,FALSE),
IF($E$1="Contract LA", VLOOKUP(B19,'Raw BOM'!$A$3:$K$495,11,FALSE),
IF($E$1="Contract WA", VLOOKUP(B19,'Raw BOM'!$A$3:$M$495,13,FALSE),
VLOOKUP(B19,'Raw BOM'!$A$3:$D$495,4,FALSE)))))))</f>
        <v>750</v>
      </c>
      <c r="S19" s="319" t="str">
        <f t="shared" ref="S19" si="6">M19</f>
        <v>HW-LT-Std-Home</v>
      </c>
      <c r="T19" s="319">
        <f t="shared" ref="T19:T30" si="7">IF(C19="", "", Q19*R19)</f>
        <v>750</v>
      </c>
      <c r="U19" s="319" t="str">
        <f t="shared" ref="U19" si="8">O19</f>
        <v>Hardware-Laptop-Standard with Windows Home Edition   *** Standard with Windows 11</v>
      </c>
      <c r="V19" s="46" t="str">
        <f>IF(C19="","", VLOOKUP(B19,'Raw BOM'!$A$3:$F$495,6,FALSE))</f>
        <v>Yes</v>
      </c>
      <c r="X19" s="239">
        <f t="shared" ref="X19:X39" si="9">IF(AND(V19="Yes", Q19&lt;&gt;0), (T19-Y19)*$B$11, 0)</f>
        <v>0</v>
      </c>
      <c r="Y19" s="240">
        <f>IF(LEFT($B$1,8)="Contract",0,ROUND(
IF(AND(C19&lt;&gt;"", D19="", V19="Yes"),
     IF($E$1="Discount Based",
         R19*IF(OR(LEFT(A19,2)="HW", LEFT(A19,12)="CMS-Hardware"),
              $E$2,
              IF(AND(LEFT(A19,3)="Sys", LEFT(A19,4)&lt;&gt;"Ship"),
                   ($E$2+$E$3)/2,
                    0)),
         IF($E$1="Cost Based",
              IF(OR(LEFT(A19,2)="HW", LEFT(A19,12)="CMS-Hardware"),
                   R19-(1+$E$4)*VLOOKUP(B19,'Raw BOM'!$A$3:$E$492,5,FALSE),
              IF(AND(LEFT(A19,3)="Sys", LEFT(A19,4)&lt;&gt;"Ship"),
                   R19-(1+($E$4+$E$5)/2)*VLOOKUP(B19,'Raw BOM'!$A$3:$E$492,5,FALSE),
                   0))))),2))</f>
        <v>150</v>
      </c>
      <c r="Z19" s="241">
        <f>IF(LEFT($B$1,8)="Contract",0,ROUND(
IF(AND(C19&lt;&gt;"", D19="", V19="No"),
     IF($E$1="Discount Based",
         R19*IF(AND(LEFT(A19,2)&lt;&gt;"HW", LEFT(A19,12)&lt;&gt;"CMS-Hardware",LEFT(A19,3)&lt;&gt;"Sys", LEFT(A19,4)&lt;&gt;"Ship"),
                   $E$3,0),
     IF($E$1="Cost Based",
          IF(AND(LEFT(A19,2)&lt;&gt;"HW", LEFT(A19,12)&lt;&gt;"CMS-Hardware",LEFT(A19,3)&lt;&gt;"Sys", LEFT(A19,4)&lt;&gt;"Ship"),
               R19-(1+$E$4)*VLOOKUP(B19,'Raw BOM'!$A$3:$E$492,5,FALSE),0),0)),0),2))</f>
        <v>0</v>
      </c>
      <c r="AA19" s="242">
        <f t="shared" ref="AA19:AA30" si="10">ROUND(IF(AND(Y19&gt;0, Y19&lt;&gt;"", D19=""),Q19*Y19,0), 2)</f>
        <v>150</v>
      </c>
      <c r="AB19" s="242">
        <f t="shared" ref="AB19:AB30" si="11">ROUND(IF(AND(Z19&lt;&gt;"",Z19&gt;0, D19=""),Q19*Z19,0),2)</f>
        <v>0</v>
      </c>
      <c r="AC19" s="243" t="str">
        <f>IF(B19&lt;&gt;"", VLOOKUP(B19,'Raw BOM'!$A$3:$B$495,2,FALSE), IF(E19&lt;&gt;"","Misc",""))</f>
        <v>HW-LT-Std-Home</v>
      </c>
    </row>
    <row r="20" spans="1:29" s="1" customFormat="1" ht="30" customHeight="1" x14ac:dyDescent="0.25">
      <c r="A20" s="248" t="str">
        <f>IF(B20&lt;&gt;"",
IF($B$1="Contract NY",VLOOKUP(B20,'Raw BOM'!$A$3:$N$495,8,FALSE),
IF($B$1="Contract FL",VLOOKUP(B20,'Raw BOM'!$A$3:$N$495,10,FALSE),
IF($B$1="Contract LA",VLOOKUP(B20,'Raw BOM'!$A$3:$N$495,12,FALSE),
IF($B$1="Contract FL",VLOOKUP(B20,'Raw BOM'!$A$3:$N$495,14,FALSE),
VLOOKUP(B20,'Raw BOM'!$A$3:$B$495,2,FALSE))))), IF(E20&lt;&gt;"","Misc",""))</f>
        <v>LS4G-Applicant-CA</v>
      </c>
      <c r="B20" s="170" t="s">
        <v>108</v>
      </c>
      <c r="C20" s="171">
        <v>1</v>
      </c>
      <c r="D20" s="176"/>
      <c r="E20" s="172"/>
      <c r="F20"/>
      <c r="G20" s="315" t="str">
        <f t="shared" si="0"/>
        <v>LS4G-Applicant-CA</v>
      </c>
      <c r="H20" s="316"/>
      <c r="I20" s="317" t="str">
        <f t="shared" si="1"/>
        <v>LiveScan 4th Gen Software-Applicant CA TOT Module</v>
      </c>
      <c r="J20" s="317"/>
      <c r="K20" s="317">
        <f t="shared" si="2"/>
        <v>0</v>
      </c>
      <c r="L20" s="317"/>
      <c r="M20" s="317" t="str">
        <f t="shared" ref="M20:M36" si="12">G20</f>
        <v>LS4G-Applicant-CA</v>
      </c>
      <c r="N20" s="317"/>
      <c r="O20" s="317" t="str">
        <f t="shared" ref="O20:O36" si="13">I20</f>
        <v>LiveScan 4th Gen Software-Applicant CA TOT Module</v>
      </c>
      <c r="P20" s="317"/>
      <c r="Q20" s="99">
        <f t="shared" si="5"/>
        <v>1</v>
      </c>
      <c r="R20" s="319">
        <f>IF(C20="", "",IF(D20&lt;&gt;0,D20,
IF($E$1="Contract NY", VLOOKUP(B20,'Raw BOM'!$A$3:$G$495,7,FALSE),
IF($E$1="Contract FL", VLOOKUP(B20,'Raw BOM'!$A$3:$I$495,9,FALSE),
IF($E$1="Contract LA", VLOOKUP(B20,'Raw BOM'!$A$3:$K$495,11,FALSE),
IF($E$1="Contract WA", VLOOKUP(B20,'Raw BOM'!$A$3:$M$495,13,FALSE),
VLOOKUP(B20,'Raw BOM'!$A$3:$D$495,4,FALSE)))))))</f>
        <v>1340</v>
      </c>
      <c r="S20" s="319" t="str">
        <f t="shared" ref="S20:S39" si="14">M20</f>
        <v>LS4G-Applicant-CA</v>
      </c>
      <c r="T20" s="318">
        <f t="shared" si="7"/>
        <v>1340</v>
      </c>
      <c r="U20" s="318" t="str">
        <f t="shared" ref="U20:U30" si="15">O20</f>
        <v>LiveScan 4th Gen Software-Applicant CA TOT Module</v>
      </c>
      <c r="V20" s="49" t="str">
        <f>IF(C20="","", VLOOKUP(B20,'Raw BOM'!$A$3:$F$495,6,FALSE))</f>
        <v>No</v>
      </c>
      <c r="X20" s="232">
        <f t="shared" si="9"/>
        <v>0</v>
      </c>
      <c r="Y20" s="198">
        <f>IF(LEFT($B$1,8)="Contract",0,ROUND(
IF(AND(C20&lt;&gt;"", D20="", V20="Yes"),
     IF($E$1="Discount Based",
         R20*IF(OR(LEFT(A20,2)="HW", LEFT(A20,12)="CMS-Hardware"),
              $E$2,
              IF(AND(LEFT(A20,3)="Sys", LEFT(A20,4)&lt;&gt;"Ship"),
                   ($E$2+$E$3)/2,
                    0)),
         IF($E$1="Cost Based",
              IF(OR(LEFT(A20,2)="HW", LEFT(A20,12)="CMS-Hardware"),
                   R20-(1+$E$4)*VLOOKUP(B20,'Raw BOM'!$A$3:$E$492,5,FALSE),
              IF(AND(LEFT(A20,3)="Sys", LEFT(A20,4)&lt;&gt;"Ship"),
                   R20-(1+($E$4+$E$5)/2)*VLOOKUP(B20,'Raw BOM'!$A$3:$E$492,5,FALSE),
                   0))))),2))</f>
        <v>0</v>
      </c>
      <c r="Z20" s="47">
        <f>IF(LEFT($B$1,8)="Contract",0,ROUND(
IF(AND(C20&lt;&gt;"", D20="", V20="No"),
     IF($E$1="Discount Based",
         R20*IF(AND(LEFT(A20,2)&lt;&gt;"HW", LEFT(A20,12)&lt;&gt;"CMS-Hardware",LEFT(A20,3)&lt;&gt;"Sys", LEFT(A20,4)&lt;&gt;"Ship"),
                   $E$3,0),
     IF($E$1="Cost Based",
          IF(AND(LEFT(A20,2)&lt;&gt;"HW", LEFT(A20,12)&lt;&gt;"CMS-Hardware",LEFT(A20,3)&lt;&gt;"Sys", LEFT(A20,4)&lt;&gt;"Ship"),
               R20-(1+$E$4)*VLOOKUP(B20,'Raw BOM'!$A$3:$E$492,5,FALSE),0),0)),0),2))</f>
        <v>589.6</v>
      </c>
      <c r="AA20" s="182">
        <f t="shared" si="10"/>
        <v>0</v>
      </c>
      <c r="AB20" s="182">
        <f t="shared" si="11"/>
        <v>589.6</v>
      </c>
      <c r="AC20" s="233" t="str">
        <f>IF(B20&lt;&gt;"", VLOOKUP(B20,'Raw BOM'!$A$3:$B$495,2,FALSE), IF(E20&lt;&gt;"","Misc",""))</f>
        <v>LS4G-Applicant-CA</v>
      </c>
    </row>
    <row r="21" spans="1:29" s="1" customFormat="1" ht="30" customHeight="1" x14ac:dyDescent="0.2">
      <c r="A21" s="248" t="str">
        <f>IF(B21&lt;&gt;"",
IF($B$1="Contract NY",VLOOKUP(B21,'Raw BOM'!$A$3:$N$495,8,FALSE),
IF($B$1="Contract FL",VLOOKUP(B21,'Raw BOM'!$A$3:$N$495,10,FALSE),
IF($B$1="Contract LA",VLOOKUP(B21,'Raw BOM'!$A$3:$N$495,12,FALSE),
IF($B$1="Contract FL",VLOOKUP(B21,'Raw BOM'!$A$3:$N$495,14,FALSE),
VLOOKUP(B21,'Raw BOM'!$A$3:$B$495,2,FALSE))))), IF(E21&lt;&gt;"","Misc",""))</f>
        <v>HW-Scan-Patrol</v>
      </c>
      <c r="B21" s="157" t="s">
        <v>109</v>
      </c>
      <c r="C21" s="158">
        <v>1</v>
      </c>
      <c r="D21" s="177"/>
      <c r="E21" s="159"/>
      <c r="F21" s="100" t="s">
        <v>110</v>
      </c>
      <c r="G21" s="315" t="str">
        <f t="shared" si="0"/>
        <v>HW-Scan-Patrol</v>
      </c>
      <c r="H21" s="316"/>
      <c r="I21" s="317" t="str">
        <f t="shared" si="1"/>
        <v>Hardware-Scanner-Crossmatch Patrol</v>
      </c>
      <c r="J21" s="317"/>
      <c r="K21" s="317">
        <f t="shared" si="2"/>
        <v>0</v>
      </c>
      <c r="L21" s="317"/>
      <c r="M21" s="317" t="str">
        <f t="shared" si="12"/>
        <v>HW-Scan-Patrol</v>
      </c>
      <c r="N21" s="317"/>
      <c r="O21" s="317" t="str">
        <f t="shared" si="13"/>
        <v>Hardware-Scanner-Crossmatch Patrol</v>
      </c>
      <c r="P21" s="317"/>
      <c r="Q21" s="99">
        <f t="shared" si="5"/>
        <v>1</v>
      </c>
      <c r="R21" s="319">
        <f>IF(C21="", "",IF(D21&lt;&gt;0,D21,
IF($E$1="Contract NY", VLOOKUP(B21,'Raw BOM'!$A$3:$G$495,7,FALSE),
IF($E$1="Contract FL", VLOOKUP(B21,'Raw BOM'!$A$3:$I$495,9,FALSE),
IF($E$1="Contract LA", VLOOKUP(B21,'Raw BOM'!$A$3:$K$495,11,FALSE),
IF($E$1="Contract WA", VLOOKUP(B21,'Raw BOM'!$A$3:$M$495,13,FALSE),
VLOOKUP(B21,'Raw BOM'!$A$3:$D$495,4,FALSE)))))))</f>
        <v>1850</v>
      </c>
      <c r="S21" s="319" t="str">
        <f t="shared" si="14"/>
        <v>HW-Scan-Patrol</v>
      </c>
      <c r="T21" s="318">
        <f t="shared" si="7"/>
        <v>1850</v>
      </c>
      <c r="U21" s="318" t="str">
        <f t="shared" si="15"/>
        <v>Hardware-Scanner-Crossmatch Patrol</v>
      </c>
      <c r="V21" s="49" t="str">
        <f>IF(C21="","", VLOOKUP(B21,'Raw BOM'!$A$3:$F$495,6,FALSE))</f>
        <v>Yes</v>
      </c>
      <c r="X21" s="232">
        <f t="shared" si="9"/>
        <v>0</v>
      </c>
      <c r="Y21" s="198">
        <f>IF(LEFT($B$1,8)="Contract",0,ROUND(
IF(AND(C21&lt;&gt;"", D21="", V21="Yes"),
     IF($E$1="Discount Based",
         R21*IF(OR(LEFT(A21,2)="HW", LEFT(A21,12)="CMS-Hardware"),
              $E$2,
              IF(AND(LEFT(A21,3)="Sys", LEFT(A21,4)&lt;&gt;"Ship"),
                   ($E$2+$E$3)/2,
                    0)),
         IF($E$1="Cost Based",
              IF(OR(LEFT(A21,2)="HW", LEFT(A21,12)="CMS-Hardware"),
                   R21-(1+$E$4)*VLOOKUP(B21,'Raw BOM'!$A$3:$E$492,5,FALSE),
              IF(AND(LEFT(A21,3)="Sys", LEFT(A21,4)&lt;&gt;"Ship"),
                   R21-(1+($E$4+$E$5)/2)*VLOOKUP(B21,'Raw BOM'!$A$3:$E$492,5,FALSE),
                   0))))),2))</f>
        <v>370</v>
      </c>
      <c r="Z21" s="47">
        <f>IF(LEFT($B$1,8)="Contract",0,ROUND(
IF(AND(C21&lt;&gt;"", D21="", V21="No"),
     IF($E$1="Discount Based",
         R21*IF(AND(LEFT(A21,2)&lt;&gt;"HW", LEFT(A21,12)&lt;&gt;"CMS-Hardware",LEFT(A21,3)&lt;&gt;"Sys", LEFT(A21,4)&lt;&gt;"Ship"),
                   $E$3,0),
     IF($E$1="Cost Based",
          IF(AND(LEFT(A21,2)&lt;&gt;"HW", LEFT(A21,12)&lt;&gt;"CMS-Hardware",LEFT(A21,3)&lt;&gt;"Sys", LEFT(A21,4)&lt;&gt;"Ship"),
               R21-(1+$E$4)*VLOOKUP(B21,'Raw BOM'!$A$3:$E$492,5,FALSE),0),0)),0),2))</f>
        <v>0</v>
      </c>
      <c r="AA21" s="182">
        <f t="shared" si="10"/>
        <v>370</v>
      </c>
      <c r="AB21" s="182">
        <f t="shared" si="11"/>
        <v>0</v>
      </c>
      <c r="AC21" s="233" t="str">
        <f>IF(B21&lt;&gt;"", VLOOKUP(B21,'Raw BOM'!$A$3:$B$495,2,FALSE), IF(E21&lt;&gt;"","Misc",""))</f>
        <v>HW-Scan-Patrol</v>
      </c>
    </row>
    <row r="22" spans="1:29" s="1" customFormat="1" ht="30" customHeight="1" x14ac:dyDescent="0.25">
      <c r="A22" s="248" t="str">
        <f>IF(B22&lt;&gt;"",
IF($B$1="Contract NY",VLOOKUP(B22,'Raw BOM'!$A$3:$N$495,8,FALSE),
IF($B$1="Contract FL",VLOOKUP(B22,'Raw BOM'!$A$3:$N$495,10,FALSE),
IF($B$1="Contract LA",VLOOKUP(B22,'Raw BOM'!$A$3:$N$495,12,FALSE),
IF($B$1="Contract FL",VLOOKUP(B22,'Raw BOM'!$A$3:$N$495,14,FALSE),
VLOOKUP(B22,'Raw BOM'!$A$3:$B$495,2,FALSE))))), IF(E22&lt;&gt;"","Misc",""))</f>
        <v/>
      </c>
      <c r="B22" s="170"/>
      <c r="C22" s="171"/>
      <c r="D22" s="176"/>
      <c r="E22" s="172"/>
      <c r="F22"/>
      <c r="G22" s="315" t="str">
        <f t="shared" si="0"/>
        <v/>
      </c>
      <c r="H22" s="316"/>
      <c r="I22" s="317" t="str">
        <f t="shared" si="1"/>
        <v/>
      </c>
      <c r="J22" s="317"/>
      <c r="K22" s="317">
        <f t="shared" si="2"/>
        <v>0</v>
      </c>
      <c r="L22" s="317"/>
      <c r="M22" s="317" t="str">
        <f t="shared" si="12"/>
        <v/>
      </c>
      <c r="N22" s="317"/>
      <c r="O22" s="317" t="str">
        <f t="shared" si="13"/>
        <v/>
      </c>
      <c r="P22" s="317"/>
      <c r="Q22" s="99" t="str">
        <f t="shared" si="5"/>
        <v/>
      </c>
      <c r="R22" s="319" t="str">
        <f>IF(C22="", "",IF(D22&lt;&gt;0,D22,
IF($E$1="Contract NY", VLOOKUP(B22,'Raw BOM'!$A$3:$G$495,7,FALSE),
IF($E$1="Contract FL", VLOOKUP(B22,'Raw BOM'!$A$3:$I$495,9,FALSE),
IF($E$1="Contract LA", VLOOKUP(B22,'Raw BOM'!$A$3:$K$495,11,FALSE),
IF($E$1="Contract WA", VLOOKUP(B22,'Raw BOM'!$A$3:$M$495,13,FALSE),
VLOOKUP(B22,'Raw BOM'!$A$3:$D$495,4,FALSE)))))))</f>
        <v/>
      </c>
      <c r="S22" s="319" t="str">
        <f t="shared" si="14"/>
        <v/>
      </c>
      <c r="T22" s="318" t="str">
        <f t="shared" si="7"/>
        <v/>
      </c>
      <c r="U22" s="318" t="str">
        <f t="shared" si="15"/>
        <v/>
      </c>
      <c r="V22" s="49" t="str">
        <f>IF(C22="","", VLOOKUP(B22,'Raw BOM'!$A$3:$F$495,6,FALSE))</f>
        <v/>
      </c>
      <c r="X22" s="232">
        <f t="shared" si="9"/>
        <v>0</v>
      </c>
      <c r="Y22" s="198">
        <f>IF(LEFT($B$1,8)="Contract",0,ROUND(
IF(AND(C22&lt;&gt;"", D22="", V22="Yes"),
     IF($E$1="Discount Based",
         R22*IF(OR(LEFT(A22,2)="HW", LEFT(A22,12)="CMS-Hardware"),
              $E$2,
              IF(AND(LEFT(A22,3)="Sys", LEFT(A22,4)&lt;&gt;"Ship"),
                   ($E$2+$E$3)/2,
                    0)),
         IF($E$1="Cost Based",
              IF(OR(LEFT(A22,2)="HW", LEFT(A22,12)="CMS-Hardware"),
                   R22-(1+$E$4)*VLOOKUP(B22,'Raw BOM'!$A$3:$E$492,5,FALSE),
              IF(AND(LEFT(A22,3)="Sys", LEFT(A22,4)&lt;&gt;"Ship"),
                   R22-(1+($E$4+$E$5)/2)*VLOOKUP(B22,'Raw BOM'!$A$3:$E$492,5,FALSE),
                   0))))),2))</f>
        <v>0</v>
      </c>
      <c r="Z22" s="47">
        <f>IF(LEFT($B$1,8)="Contract",0,ROUND(
IF(AND(C22&lt;&gt;"", D22="", V22="No"),
     IF($E$1="Discount Based",
         R22*IF(AND(LEFT(A22,2)&lt;&gt;"HW", LEFT(A22,12)&lt;&gt;"CMS-Hardware",LEFT(A22,3)&lt;&gt;"Sys", LEFT(A22,4)&lt;&gt;"Ship"),
                   $E$3,0),
     IF($E$1="Cost Based",
          IF(AND(LEFT(A22,2)&lt;&gt;"HW", LEFT(A22,12)&lt;&gt;"CMS-Hardware",LEFT(A22,3)&lt;&gt;"Sys", LEFT(A22,4)&lt;&gt;"Ship"),
               R22-(1+$E$4)*VLOOKUP(B22,'Raw BOM'!$A$3:$E$492,5,FALSE),0),0)),0),2))</f>
        <v>0</v>
      </c>
      <c r="AA22" s="182">
        <f t="shared" si="10"/>
        <v>0</v>
      </c>
      <c r="AB22" s="182">
        <f t="shared" si="11"/>
        <v>0</v>
      </c>
      <c r="AC22" s="233" t="str">
        <f>IF(B22&lt;&gt;"", VLOOKUP(B22,'Raw BOM'!$A$3:$B$495,2,FALSE), IF(E22&lt;&gt;"","Misc",""))</f>
        <v/>
      </c>
    </row>
    <row r="23" spans="1:29" s="1" customFormat="1" ht="30" customHeight="1" x14ac:dyDescent="0.25">
      <c r="A23" s="248" t="str">
        <f>IF(B23&lt;&gt;"",
IF($B$1="Contract NY",VLOOKUP(B23,'Raw BOM'!$A$3:$N$495,8,FALSE),
IF($B$1="Contract FL",VLOOKUP(B23,'Raw BOM'!$A$3:$N$495,10,FALSE),
IF($B$1="Contract LA",VLOOKUP(B23,'Raw BOM'!$A$3:$N$495,12,FALSE),
IF($B$1="Contract FL",VLOOKUP(B23,'Raw BOM'!$A$3:$N$495,14,FALSE),
VLOOKUP(B23,'Raw BOM'!$A$3:$B$495,2,FALSE))))), IF(E23&lt;&gt;"","Misc",""))</f>
        <v>HW-Magtrip</v>
      </c>
      <c r="B23" s="170" t="s">
        <v>111</v>
      </c>
      <c r="C23" s="171">
        <v>1</v>
      </c>
      <c r="D23" s="176"/>
      <c r="E23" s="172" t="s">
        <v>112</v>
      </c>
      <c r="F23"/>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12"/>
        <v>HW-Magtrip</v>
      </c>
      <c r="N23" s="317"/>
      <c r="O23" s="317" t="str">
        <f t="shared" si="13"/>
        <v>Hardware-Magnetic Strip Reader   *** Auto populate personal information with a swipe of a driver's license from anywhere on the screen</v>
      </c>
      <c r="P23" s="317"/>
      <c r="Q23" s="99">
        <f t="shared" si="5"/>
        <v>1</v>
      </c>
      <c r="R23" s="319">
        <f>IF(C23="", "",IF(D23&lt;&gt;0,D23,
IF($E$1="Contract NY", VLOOKUP(B23,'Raw BOM'!$A$3:$G$495,7,FALSE),
IF($E$1="Contract FL", VLOOKUP(B23,'Raw BOM'!$A$3:$I$495,9,FALSE),
IF($E$1="Contract LA", VLOOKUP(B23,'Raw BOM'!$A$3:$K$495,11,FALSE),
IF($E$1="Contract WA", VLOOKUP(B23,'Raw BOM'!$A$3:$M$495,13,FALSE),
VLOOKUP(B23,'Raw BOM'!$A$3:$D$495,4,FALSE)))))))</f>
        <v>130</v>
      </c>
      <c r="S23" s="319" t="str">
        <f t="shared" si="14"/>
        <v>HW-Magtrip</v>
      </c>
      <c r="T23" s="318">
        <f t="shared" si="7"/>
        <v>130</v>
      </c>
      <c r="U23" s="318" t="str">
        <f t="shared" si="15"/>
        <v>Hardware-Magnetic Strip Reader   *** Auto populate personal information with a swipe of a driver's license from anywhere on the screen</v>
      </c>
      <c r="V23" s="49" t="str">
        <f>IF(C23="","", VLOOKUP(B23,'Raw BOM'!$A$3:$F$495,6,FALSE))</f>
        <v>Yes</v>
      </c>
      <c r="X23" s="232">
        <f t="shared" si="9"/>
        <v>0</v>
      </c>
      <c r="Y23" s="198">
        <f>IF(LEFT($B$1,8)="Contract",0,ROUND(
IF(AND(C23&lt;&gt;"", D23="", V23="Yes"),
     IF($E$1="Discount Based",
         R23*IF(OR(LEFT(A23,2)="HW", LEFT(A23,12)="CMS-Hardware"),
              $E$2,
              IF(AND(LEFT(A23,3)="Sys", LEFT(A23,4)&lt;&gt;"Ship"),
                   ($E$2+$E$3)/2,
                    0)),
         IF($E$1="Cost Based",
              IF(OR(LEFT(A23,2)="HW", LEFT(A23,12)="CMS-Hardware"),
                   R23-(1+$E$4)*VLOOKUP(B23,'Raw BOM'!$A$3:$E$492,5,FALSE),
              IF(AND(LEFT(A23,3)="Sys", LEFT(A23,4)&lt;&gt;"Ship"),
                   R23-(1+($E$4+$E$5)/2)*VLOOKUP(B23,'Raw BOM'!$A$3:$E$492,5,FALSE),
                   0))))),2))</f>
        <v>26</v>
      </c>
      <c r="Z23" s="47">
        <f>IF(LEFT($B$1,8)="Contract",0,ROUND(
IF(AND(C23&lt;&gt;"", D23="", V23="No"),
     IF($E$1="Discount Based",
         R23*IF(AND(LEFT(A23,2)&lt;&gt;"HW", LEFT(A23,12)&lt;&gt;"CMS-Hardware",LEFT(A23,3)&lt;&gt;"Sys", LEFT(A23,4)&lt;&gt;"Ship"),
                   $E$3,0),
     IF($E$1="Cost Based",
          IF(AND(LEFT(A23,2)&lt;&gt;"HW", LEFT(A23,12)&lt;&gt;"CMS-Hardware",LEFT(A23,3)&lt;&gt;"Sys", LEFT(A23,4)&lt;&gt;"Ship"),
               R23-(1+$E$4)*VLOOKUP(B23,'Raw BOM'!$A$3:$E$492,5,FALSE),0),0)),0),2))</f>
        <v>0</v>
      </c>
      <c r="AA23" s="182">
        <f t="shared" si="10"/>
        <v>26</v>
      </c>
      <c r="AB23" s="182">
        <f t="shared" si="11"/>
        <v>0</v>
      </c>
      <c r="AC23" s="233" t="str">
        <f>IF(B23&lt;&gt;"", VLOOKUP(B23,'Raw BOM'!$A$3:$B$495,2,FALSE), IF(E23&lt;&gt;"","Misc",""))</f>
        <v>HW-Magtrip</v>
      </c>
    </row>
    <row r="24" spans="1:29" s="1" customFormat="1" ht="30" customHeight="1" x14ac:dyDescent="0.25">
      <c r="A24" s="248" t="str">
        <f>IF(B24&lt;&gt;"",
IF($B$1="Contract NY",VLOOKUP(B24,'Raw BOM'!$A$3:$N$495,8,FALSE),
IF($B$1="Contract FL",VLOOKUP(B24,'Raw BOM'!$A$3:$N$495,10,FALSE),
IF($B$1="Contract LA",VLOOKUP(B24,'Raw BOM'!$A$3:$N$495,12,FALSE),
IF($B$1="Contract FL",VLOOKUP(B24,'Raw BOM'!$A$3:$N$495,14,FALSE),
VLOOKUP(B24,'Raw BOM'!$A$3:$B$495,2,FALSE))))), IF(E24&lt;&gt;"","Misc",""))</f>
        <v>LS4G-IDCard</v>
      </c>
      <c r="B24" s="170" t="s">
        <v>113</v>
      </c>
      <c r="C24" s="171">
        <v>1</v>
      </c>
      <c r="D24" s="176"/>
      <c r="E24" s="172"/>
      <c r="F24"/>
      <c r="G24" s="315" t="str">
        <f t="shared" si="0"/>
        <v>LS4G-IDCard</v>
      </c>
      <c r="H24" s="316"/>
      <c r="I24" s="317" t="str">
        <f t="shared" si="1"/>
        <v>LiveScan 4th Gen Software-Driver License and ID Reading software</v>
      </c>
      <c r="J24" s="317"/>
      <c r="K24" s="317">
        <f t="shared" si="2"/>
        <v>0</v>
      </c>
      <c r="L24" s="317"/>
      <c r="M24" s="317" t="str">
        <f t="shared" si="12"/>
        <v>LS4G-IDCard</v>
      </c>
      <c r="N24" s="317"/>
      <c r="O24" s="317" t="str">
        <f t="shared" si="13"/>
        <v>LiveScan 4th Gen Software-Driver License and ID Reading software</v>
      </c>
      <c r="P24" s="317"/>
      <c r="Q24" s="99">
        <f t="shared" si="5"/>
        <v>1</v>
      </c>
      <c r="R24" s="319">
        <f>IF(C24="", "",IF(D24&lt;&gt;0,D24,
IF($E$1="Contract NY", VLOOKUP(B24,'Raw BOM'!$A$3:$G$495,7,FALSE),
IF($E$1="Contract FL", VLOOKUP(B24,'Raw BOM'!$A$3:$I$495,9,FALSE),
IF($E$1="Contract LA", VLOOKUP(B24,'Raw BOM'!$A$3:$K$495,11,FALSE),
IF($E$1="Contract WA", VLOOKUP(B24,'Raw BOM'!$A$3:$M$495,13,FALSE),
VLOOKUP(B24,'Raw BOM'!$A$3:$D$495,4,FALSE)))))))</f>
        <v>340</v>
      </c>
      <c r="S24" s="319" t="str">
        <f t="shared" si="14"/>
        <v>LS4G-IDCard</v>
      </c>
      <c r="T24" s="318">
        <f t="shared" si="7"/>
        <v>340</v>
      </c>
      <c r="U24" s="318" t="str">
        <f t="shared" si="15"/>
        <v>LiveScan 4th Gen Software-Driver License and ID Reading software</v>
      </c>
      <c r="V24" s="49" t="str">
        <f>IF(C24="","", VLOOKUP(B24,'Raw BOM'!$A$3:$F$495,6,FALSE))</f>
        <v>No</v>
      </c>
      <c r="X24" s="232">
        <f t="shared" si="9"/>
        <v>0</v>
      </c>
      <c r="Y24" s="198">
        <f>IF(LEFT($B$1,8)="Contract",0,ROUND(
IF(AND(C24&lt;&gt;"", D24="", V24="Yes"),
     IF($E$1="Discount Based",
         R24*IF(OR(LEFT(A24,2)="HW", LEFT(A24,12)="CMS-Hardware"),
              $E$2,
              IF(AND(LEFT(A24,3)="Sys", LEFT(A24,4)&lt;&gt;"Ship"),
                   ($E$2+$E$3)/2,
                    0)),
         IF($E$1="Cost Based",
              IF(OR(LEFT(A24,2)="HW", LEFT(A24,12)="CMS-Hardware"),
                   R24-(1+$E$4)*VLOOKUP(B24,'Raw BOM'!$A$3:$E$492,5,FALSE),
              IF(AND(LEFT(A24,3)="Sys", LEFT(A24,4)&lt;&gt;"Ship"),
                   R24-(1+($E$4+$E$5)/2)*VLOOKUP(B24,'Raw BOM'!$A$3:$E$492,5,FALSE),
                   0))))),2))</f>
        <v>0</v>
      </c>
      <c r="Z24" s="47">
        <f>IF(LEFT($B$1,8)="Contract",0,ROUND(
IF(AND(C24&lt;&gt;"", D24="", V24="No"),
     IF($E$1="Discount Based",
         R24*IF(AND(LEFT(A24,2)&lt;&gt;"HW", LEFT(A24,12)&lt;&gt;"CMS-Hardware",LEFT(A24,3)&lt;&gt;"Sys", LEFT(A24,4)&lt;&gt;"Ship"),
                   $E$3,0),
     IF($E$1="Cost Based",
          IF(AND(LEFT(A24,2)&lt;&gt;"HW", LEFT(A24,12)&lt;&gt;"CMS-Hardware",LEFT(A24,3)&lt;&gt;"Sys", LEFT(A24,4)&lt;&gt;"Ship"),
               R24-(1+$E$4)*VLOOKUP(B24,'Raw BOM'!$A$3:$E$492,5,FALSE),0),0)),0),2))</f>
        <v>149.6</v>
      </c>
      <c r="AA24" s="182">
        <f t="shared" si="10"/>
        <v>0</v>
      </c>
      <c r="AB24" s="182">
        <f t="shared" si="11"/>
        <v>149.6</v>
      </c>
      <c r="AC24" s="233" t="str">
        <f>IF(B24&lt;&gt;"", VLOOKUP(B24,'Raw BOM'!$A$3:$B$495,2,FALSE), IF(E24&lt;&gt;"","Misc",""))</f>
        <v>LS4G-IDCard</v>
      </c>
    </row>
    <row r="25" spans="1:29" s="1" customFormat="1" ht="30" customHeight="1" x14ac:dyDescent="0.25">
      <c r="A25" s="248" t="str">
        <f>IF(B25&lt;&gt;"",
IF($B$1="Contract NY",VLOOKUP(B25,'Raw BOM'!$A$3:$N$495,8,FALSE),
IF($B$1="Contract FL",VLOOKUP(B25,'Raw BOM'!$A$3:$N$495,10,FALSE),
IF($B$1="Contract LA",VLOOKUP(B25,'Raw BOM'!$A$3:$N$495,12,FALSE),
IF($B$1="Contract FL",VLOOKUP(B25,'Raw BOM'!$A$3:$N$495,14,FALSE),
VLOOKUP(B25,'Raw BOM'!$A$3:$B$495,2,FALSE))))), IF(E25&lt;&gt;"","Misc",""))</f>
        <v/>
      </c>
      <c r="B25" s="170"/>
      <c r="C25" s="171"/>
      <c r="D25" s="176"/>
      <c r="E25" s="172"/>
      <c r="F25"/>
      <c r="G25" s="315" t="str">
        <f t="shared" si="0"/>
        <v/>
      </c>
      <c r="H25" s="316"/>
      <c r="I25" s="317" t="str">
        <f t="shared" si="1"/>
        <v/>
      </c>
      <c r="J25" s="317"/>
      <c r="K25" s="317">
        <f t="shared" si="2"/>
        <v>0</v>
      </c>
      <c r="L25" s="317"/>
      <c r="M25" s="317" t="str">
        <f t="shared" si="12"/>
        <v/>
      </c>
      <c r="N25" s="317"/>
      <c r="O25" s="317" t="str">
        <f t="shared" si="13"/>
        <v/>
      </c>
      <c r="P25" s="317"/>
      <c r="Q25" s="99" t="str">
        <f t="shared" si="5"/>
        <v/>
      </c>
      <c r="R25" s="319" t="str">
        <f>IF(C25="", "",IF(D25&lt;&gt;0,D25,
IF($E$1="Contract NY", VLOOKUP(B25,'Raw BOM'!$A$3:$G$495,7,FALSE),
IF($E$1="Contract FL", VLOOKUP(B25,'Raw BOM'!$A$3:$I$495,9,FALSE),
IF($E$1="Contract LA", VLOOKUP(B25,'Raw BOM'!$A$3:$K$495,11,FALSE),
IF($E$1="Contract WA", VLOOKUP(B25,'Raw BOM'!$A$3:$M$495,13,FALSE),
VLOOKUP(B25,'Raw BOM'!$A$3:$D$495,4,FALSE)))))))</f>
        <v/>
      </c>
      <c r="S25" s="319" t="str">
        <f t="shared" si="14"/>
        <v/>
      </c>
      <c r="T25" s="318" t="str">
        <f t="shared" si="7"/>
        <v/>
      </c>
      <c r="U25" s="318" t="str">
        <f t="shared" si="15"/>
        <v/>
      </c>
      <c r="V25" s="49" t="str">
        <f>IF(C25="","", VLOOKUP(B25,'Raw BOM'!$A$3:$F$495,6,FALSE))</f>
        <v/>
      </c>
      <c r="X25" s="232">
        <f t="shared" si="9"/>
        <v>0</v>
      </c>
      <c r="Y25" s="198">
        <f>IF(LEFT($B$1,8)="Contract",0,ROUND(
IF(AND(C25&lt;&gt;"", D25="", V25="Yes"),
     IF($E$1="Discount Based",
         R25*IF(OR(LEFT(A25,2)="HW", LEFT(A25,12)="CMS-Hardware"),
              $E$2,
              IF(AND(LEFT(A25,3)="Sys", LEFT(A25,4)&lt;&gt;"Ship"),
                   ($E$2+$E$3)/2,
                    0)),
         IF($E$1="Cost Based",
              IF(OR(LEFT(A25,2)="HW", LEFT(A25,12)="CMS-Hardware"),
                   R25-(1+$E$4)*VLOOKUP(B25,'Raw BOM'!$A$3:$E$492,5,FALSE),
              IF(AND(LEFT(A25,3)="Sys", LEFT(A25,4)&lt;&gt;"Ship"),
                   R25-(1+($E$4+$E$5)/2)*VLOOKUP(B25,'Raw BOM'!$A$3:$E$492,5,FALSE),
                   0))))),2))</f>
        <v>0</v>
      </c>
      <c r="Z25" s="47">
        <f>IF(LEFT($B$1,8)="Contract",0,ROUND(
IF(AND(C25&lt;&gt;"", D25="", V25="No"),
     IF($E$1="Discount Based",
         R25*IF(AND(LEFT(A25,2)&lt;&gt;"HW", LEFT(A25,12)&lt;&gt;"CMS-Hardware",LEFT(A25,3)&lt;&gt;"Sys", LEFT(A25,4)&lt;&gt;"Ship"),
                   $E$3,0),
     IF($E$1="Cost Based",
          IF(AND(LEFT(A25,2)&lt;&gt;"HW", LEFT(A25,12)&lt;&gt;"CMS-Hardware",LEFT(A25,3)&lt;&gt;"Sys", LEFT(A25,4)&lt;&gt;"Ship"),
               R25-(1+$E$4)*VLOOKUP(B25,'Raw BOM'!$A$3:$E$492,5,FALSE),0),0)),0),2))</f>
        <v>0</v>
      </c>
      <c r="AA25" s="182">
        <f t="shared" si="10"/>
        <v>0</v>
      </c>
      <c r="AB25" s="182">
        <f t="shared" si="11"/>
        <v>0</v>
      </c>
      <c r="AC25" s="233" t="str">
        <f>IF(B25&lt;&gt;"", VLOOKUP(B25,'Raw BOM'!$A$3:$B$495,2,FALSE), IF(E25&lt;&gt;"","Misc",""))</f>
        <v/>
      </c>
    </row>
    <row r="26" spans="1:29" s="1" customFormat="1" ht="30" customHeight="1" x14ac:dyDescent="0.25">
      <c r="A26" s="248" t="str">
        <f>IF(B26&lt;&gt;"",
IF($B$1="Contract NY",VLOOKUP(B26,'Raw BOM'!$A$3:$N$495,8,FALSE),
IF($B$1="Contract FL",VLOOKUP(B26,'Raw BOM'!$A$3:$N$495,10,FALSE),
IF($B$1="Contract LA",VLOOKUP(B26,'Raw BOM'!$A$3:$N$495,12,FALSE),
IF($B$1="Contract FL",VLOOKUP(B26,'Raw BOM'!$A$3:$N$495,14,FALSE),
VLOOKUP(B26,'Raw BOM'!$A$3:$B$495,2,FALSE))))), IF(E26&lt;&gt;"","Misc",""))</f>
        <v>Svcs-Cfg-CAPSP</v>
      </c>
      <c r="B26" s="170" t="s">
        <v>114</v>
      </c>
      <c r="C26" s="171">
        <v>1</v>
      </c>
      <c r="D26" s="176"/>
      <c r="E26" s="172" t="s">
        <v>115</v>
      </c>
      <c r="F26"/>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12"/>
        <v>Svcs-Cfg-CAPSP</v>
      </c>
      <c r="N26" s="317"/>
      <c r="O26" s="317" t="str">
        <f t="shared" si="13"/>
        <v>Services-Configuration-CA PSP Setup   *** Pick ONE of the following capture methods at the time of capture (TWO DIFFERENT BUTTONS on the screen):</v>
      </c>
      <c r="P26" s="317"/>
      <c r="Q26" s="99">
        <f t="shared" si="5"/>
        <v>1</v>
      </c>
      <c r="R26" s="319">
        <f>IF(C26="", "",IF(D26&lt;&gt;0,D26,
IF($E$1="Contract NY", VLOOKUP(B26,'Raw BOM'!$A$3:$G$495,7,FALSE),
IF($E$1="Contract FL", VLOOKUP(B26,'Raw BOM'!$A$3:$I$495,9,FALSE),
IF($E$1="Contract LA", VLOOKUP(B26,'Raw BOM'!$A$3:$K$495,11,FALSE),
IF($E$1="Contract WA", VLOOKUP(B26,'Raw BOM'!$A$3:$M$495,13,FALSE),
VLOOKUP(B26,'Raw BOM'!$A$3:$D$495,4,FALSE)))))))</f>
        <v>500</v>
      </c>
      <c r="S26" s="319" t="str">
        <f t="shared" si="14"/>
        <v>Svcs-Cfg-CAPSP</v>
      </c>
      <c r="T26" s="318">
        <f t="shared" si="7"/>
        <v>500</v>
      </c>
      <c r="U26" s="318" t="str">
        <f t="shared" si="15"/>
        <v>Services-Configuration-CA PSP Setup   *** Pick ONE of the following capture methods at the time of capture (TWO DIFFERENT BUTTONS on the screen):</v>
      </c>
      <c r="V26" s="49" t="str">
        <f>IF(C26="","", VLOOKUP(B26,'Raw BOM'!$A$3:$F$495,6,FALSE))</f>
        <v>No</v>
      </c>
      <c r="X26" s="232">
        <f t="shared" si="9"/>
        <v>0</v>
      </c>
      <c r="Y26" s="198">
        <f>IF(LEFT($B$1,8)="Contract",0,ROUND(
IF(AND(C26&lt;&gt;"", D26="", V26="Yes"),
     IF($E$1="Discount Based",
         R26*IF(OR(LEFT(A26,2)="HW", LEFT(A26,12)="CMS-Hardware"),
              $E$2,
              IF(AND(LEFT(A26,3)="Sys", LEFT(A26,4)&lt;&gt;"Ship"),
                   ($E$2+$E$3)/2,
                    0)),
         IF($E$1="Cost Based",
              IF(OR(LEFT(A26,2)="HW", LEFT(A26,12)="CMS-Hardware"),
                   R26-(1+$E$4)*VLOOKUP(B26,'Raw BOM'!$A$3:$E$492,5,FALSE),
              IF(AND(LEFT(A26,3)="Sys", LEFT(A26,4)&lt;&gt;"Ship"),
                   R26-(1+($E$4+$E$5)/2)*VLOOKUP(B26,'Raw BOM'!$A$3:$E$492,5,FALSE),
                   0))))),2))</f>
        <v>0</v>
      </c>
      <c r="Z26" s="47">
        <f>IF(LEFT($B$1,8)="Contract",0,ROUND(
IF(AND(C26&lt;&gt;"", D26="", V26="No"),
     IF($E$1="Discount Based",
         R26*IF(AND(LEFT(A26,2)&lt;&gt;"HW", LEFT(A26,12)&lt;&gt;"CMS-Hardware",LEFT(A26,3)&lt;&gt;"Sys", LEFT(A26,4)&lt;&gt;"Ship"),
                   $E$3,0),
     IF($E$1="Cost Based",
          IF(AND(LEFT(A26,2)&lt;&gt;"HW", LEFT(A26,12)&lt;&gt;"CMS-Hardware",LEFT(A26,3)&lt;&gt;"Sys", LEFT(A26,4)&lt;&gt;"Ship"),
               R26-(1+$E$4)*VLOOKUP(B26,'Raw BOM'!$A$3:$E$492,5,FALSE),0),0)),0),2))</f>
        <v>220</v>
      </c>
      <c r="AA26" s="182">
        <f t="shared" si="10"/>
        <v>0</v>
      </c>
      <c r="AB26" s="182">
        <f t="shared" si="11"/>
        <v>220</v>
      </c>
      <c r="AC26" s="233" t="str">
        <f>IF(B26&lt;&gt;"", VLOOKUP(B26,'Raw BOM'!$A$3:$B$495,2,FALSE), IF(E26&lt;&gt;"","Misc",""))</f>
        <v>Svcs-Cfg-CAPSP</v>
      </c>
    </row>
    <row r="27" spans="1:29" s="1" customFormat="1" ht="30" customHeight="1" x14ac:dyDescent="0.25">
      <c r="A27" s="248" t="str">
        <f>IF(B27&lt;&gt;"",
IF($B$1="Contract NY",VLOOKUP(B27,'Raw BOM'!$A$3:$N$495,8,FALSE),
IF($B$1="Contract FL",VLOOKUP(B27,'Raw BOM'!$A$3:$N$495,10,FALSE),
IF($B$1="Contract LA",VLOOKUP(B27,'Raw BOM'!$A$3:$N$495,12,FALSE),
IF($B$1="Contract FL",VLOOKUP(B27,'Raw BOM'!$A$3:$N$495,14,FALSE),
VLOOKUP(B27,'Raw BOM'!$A$3:$B$495,2,FALSE))))), IF(E27&lt;&gt;"","Misc",""))</f>
        <v>Misc</v>
      </c>
      <c r="B27" s="170"/>
      <c r="C27" s="171"/>
      <c r="D27" s="176"/>
      <c r="E27" s="172" t="s">
        <v>116</v>
      </c>
      <c r="F27"/>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12"/>
        <v>Misc</v>
      </c>
      <c r="N27" s="317"/>
      <c r="O27" s="317" t="str">
        <f t="shared" si="13"/>
        <v xml:space="preserve">   *** Transaction Fee - Traditional FLATS and ROLLS Method (1 to 10 minutes method): $0.75 per transaction with $150 per monthly cap</v>
      </c>
      <c r="P27" s="317"/>
      <c r="Q27" s="99" t="str">
        <f t="shared" si="5"/>
        <v/>
      </c>
      <c r="R27" s="319" t="str">
        <f>IF(C27="", "",IF(D27&lt;&gt;0,D27,
IF($E$1="Contract NY", VLOOKUP(B27,'Raw BOM'!$A$3:$G$495,7,FALSE),
IF($E$1="Contract FL", VLOOKUP(B27,'Raw BOM'!$A$3:$I$495,9,FALSE),
IF($E$1="Contract LA", VLOOKUP(B27,'Raw BOM'!$A$3:$K$495,11,FALSE),
IF($E$1="Contract WA", VLOOKUP(B27,'Raw BOM'!$A$3:$M$495,13,FALSE),
VLOOKUP(B27,'Raw BOM'!$A$3:$D$495,4,FALSE)))))))</f>
        <v/>
      </c>
      <c r="S27" s="319" t="str">
        <f t="shared" si="14"/>
        <v>Misc</v>
      </c>
      <c r="T27" s="318" t="str">
        <f t="shared" si="7"/>
        <v/>
      </c>
      <c r="U27" s="318" t="str">
        <f t="shared" si="15"/>
        <v xml:space="preserve">   *** Transaction Fee - Traditional FLATS and ROLLS Method (1 to 10 minutes method): $0.75 per transaction with $150 per monthly cap</v>
      </c>
      <c r="V27" s="49" t="str">
        <f>IF(C27="","", VLOOKUP(B27,'Raw BOM'!$A$3:$F$495,6,FALSE))</f>
        <v/>
      </c>
      <c r="X27" s="232">
        <f t="shared" si="9"/>
        <v>0</v>
      </c>
      <c r="Y27" s="198">
        <f>IF(LEFT($B$1,8)="Contract",0,ROUND(
IF(AND(C27&lt;&gt;"", D27="", V27="Yes"),
     IF($E$1="Discount Based",
         R27*IF(OR(LEFT(A27,2)="HW", LEFT(A27,12)="CMS-Hardware"),
              $E$2,
              IF(AND(LEFT(A27,3)="Sys", LEFT(A27,4)&lt;&gt;"Ship"),
                   ($E$2+$E$3)/2,
                    0)),
         IF($E$1="Cost Based",
              IF(OR(LEFT(A27,2)="HW", LEFT(A27,12)="CMS-Hardware"),
                   R27-(1+$E$4)*VLOOKUP(B27,'Raw BOM'!$A$3:$E$492,5,FALSE),
              IF(AND(LEFT(A27,3)="Sys", LEFT(A27,4)&lt;&gt;"Ship"),
                   R27-(1+($E$4+$E$5)/2)*VLOOKUP(B27,'Raw BOM'!$A$3:$E$492,5,FALSE),
                   0))))),2))</f>
        <v>0</v>
      </c>
      <c r="Z27" s="47">
        <f>IF(LEFT($B$1,8)="Contract",0,ROUND(
IF(AND(C27&lt;&gt;"", D27="", V27="No"),
     IF($E$1="Discount Based",
         R27*IF(AND(LEFT(A27,2)&lt;&gt;"HW", LEFT(A27,12)&lt;&gt;"CMS-Hardware",LEFT(A27,3)&lt;&gt;"Sys", LEFT(A27,4)&lt;&gt;"Ship"),
                   $E$3,0),
     IF($E$1="Cost Based",
          IF(AND(LEFT(A27,2)&lt;&gt;"HW", LEFT(A27,12)&lt;&gt;"CMS-Hardware",LEFT(A27,3)&lt;&gt;"Sys", LEFT(A27,4)&lt;&gt;"Ship"),
               R27-(1+$E$4)*VLOOKUP(B27,'Raw BOM'!$A$3:$E$492,5,FALSE),0),0)),0),2))</f>
        <v>0</v>
      </c>
      <c r="AA27" s="182">
        <f t="shared" si="10"/>
        <v>0</v>
      </c>
      <c r="AB27" s="182">
        <f t="shared" si="11"/>
        <v>0</v>
      </c>
      <c r="AC27" s="233" t="str">
        <f>IF(B27&lt;&gt;"", VLOOKUP(B27,'Raw BOM'!$A$3:$B$495,2,FALSE), IF(E27&lt;&gt;"","Misc",""))</f>
        <v>Misc</v>
      </c>
    </row>
    <row r="28" spans="1:29" s="1" customFormat="1" ht="30" customHeight="1" x14ac:dyDescent="0.25">
      <c r="A28" s="248" t="str">
        <f>IF(B28&lt;&gt;"",
IF($B$1="Contract NY",VLOOKUP(B28,'Raw BOM'!$A$3:$N$495,8,FALSE),
IF($B$1="Contract FL",VLOOKUP(B28,'Raw BOM'!$A$3:$N$495,10,FALSE),
IF($B$1="Contract LA",VLOOKUP(B28,'Raw BOM'!$A$3:$N$495,12,FALSE),
IF($B$1="Contract FL",VLOOKUP(B28,'Raw BOM'!$A$3:$N$495,14,FALSE),
VLOOKUP(B28,'Raw BOM'!$A$3:$B$495,2,FALSE))))), IF(E28&lt;&gt;"","Misc",""))</f>
        <v>Misc</v>
      </c>
      <c r="B28" s="170"/>
      <c r="C28" s="171"/>
      <c r="D28" s="176"/>
      <c r="E28" s="172" t="s">
        <v>117</v>
      </c>
      <c r="F28"/>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12"/>
        <v>Misc</v>
      </c>
      <c r="N28" s="317"/>
      <c r="O28" s="317" t="str">
        <f t="shared" si="13"/>
        <v xml:space="preserve">   *** Transaction Fee - NEW FLATS ONLY Method (10 to 15 second fingerprinting): $4.00 per transaction with no cap ($2.80 per trans for 501(c)(3) organizations)</v>
      </c>
      <c r="P28" s="317"/>
      <c r="Q28" s="99" t="str">
        <f t="shared" si="5"/>
        <v/>
      </c>
      <c r="R28" s="319" t="str">
        <f>IF(C28="", "",IF(D28&lt;&gt;0,D28,
IF($E$1="Contract NY", VLOOKUP(B28,'Raw BOM'!$A$3:$G$495,7,FALSE),
IF($E$1="Contract FL", VLOOKUP(B28,'Raw BOM'!$A$3:$I$495,9,FALSE),
IF($E$1="Contract LA", VLOOKUP(B28,'Raw BOM'!$A$3:$K$495,11,FALSE),
IF($E$1="Contract WA", VLOOKUP(B28,'Raw BOM'!$A$3:$M$495,13,FALSE),
VLOOKUP(B28,'Raw BOM'!$A$3:$D$495,4,FALSE)))))))</f>
        <v/>
      </c>
      <c r="S28" s="319" t="str">
        <f t="shared" si="14"/>
        <v>Misc</v>
      </c>
      <c r="T28" s="318" t="str">
        <f t="shared" si="7"/>
        <v/>
      </c>
      <c r="U28" s="318" t="str">
        <f t="shared" si="15"/>
        <v xml:space="preserve">   *** Transaction Fee - NEW FLATS ONLY Method (10 to 15 second fingerprinting): $4.00 per transaction with no cap ($2.80 per trans for 501(c)(3) organizations)</v>
      </c>
      <c r="V28" s="49" t="str">
        <f>IF(C28="","", VLOOKUP(B28,'Raw BOM'!$A$3:$F$495,6,FALSE))</f>
        <v/>
      </c>
      <c r="X28" s="232">
        <f t="shared" si="9"/>
        <v>0</v>
      </c>
      <c r="Y28" s="198">
        <f>IF(LEFT($B$1,8)="Contract",0,ROUND(
IF(AND(C28&lt;&gt;"", D28="", V28="Yes"),
     IF($E$1="Discount Based",
         R28*IF(OR(LEFT(A28,2)="HW", LEFT(A28,12)="CMS-Hardware"),
              $E$2,
              IF(AND(LEFT(A28,3)="Sys", LEFT(A28,4)&lt;&gt;"Ship"),
                   ($E$2+$E$3)/2,
                    0)),
         IF($E$1="Cost Based",
              IF(OR(LEFT(A28,2)="HW", LEFT(A28,12)="CMS-Hardware"),
                   R28-(1+$E$4)*VLOOKUP(B28,'Raw BOM'!$A$3:$E$492,5,FALSE),
              IF(AND(LEFT(A28,3)="Sys", LEFT(A28,4)&lt;&gt;"Ship"),
                   R28-(1+($E$4+$E$5)/2)*VLOOKUP(B28,'Raw BOM'!$A$3:$E$492,5,FALSE),
                   0))))),2))</f>
        <v>0</v>
      </c>
      <c r="Z28" s="47">
        <f>IF(LEFT($B$1,8)="Contract",0,ROUND(
IF(AND(C28&lt;&gt;"", D28="", V28="No"),
     IF($E$1="Discount Based",
         R28*IF(AND(LEFT(A28,2)&lt;&gt;"HW", LEFT(A28,12)&lt;&gt;"CMS-Hardware",LEFT(A28,3)&lt;&gt;"Sys", LEFT(A28,4)&lt;&gt;"Ship"),
                   $E$3,0),
     IF($E$1="Cost Based",
          IF(AND(LEFT(A28,2)&lt;&gt;"HW", LEFT(A28,12)&lt;&gt;"CMS-Hardware",LEFT(A28,3)&lt;&gt;"Sys", LEFT(A28,4)&lt;&gt;"Ship"),
               R28-(1+$E$4)*VLOOKUP(B28,'Raw BOM'!$A$3:$E$492,5,FALSE),0),0)),0),2))</f>
        <v>0</v>
      </c>
      <c r="AA28" s="182">
        <f t="shared" si="10"/>
        <v>0</v>
      </c>
      <c r="AB28" s="182">
        <f t="shared" si="11"/>
        <v>0</v>
      </c>
      <c r="AC28" s="233" t="str">
        <f>IF(B28&lt;&gt;"", VLOOKUP(B28,'Raw BOM'!$A$3:$B$495,2,FALSE), IF(E28&lt;&gt;"","Misc",""))</f>
        <v>Misc</v>
      </c>
    </row>
    <row r="29" spans="1:29" s="1" customFormat="1" ht="30" customHeight="1" x14ac:dyDescent="0.25">
      <c r="A29" s="248" t="str">
        <f>IF(B29&lt;&gt;"",
IF($B$1="Contract NY",VLOOKUP(B29,'Raw BOM'!$A$3:$N$495,8,FALSE),
IF($B$1="Contract FL",VLOOKUP(B29,'Raw BOM'!$A$3:$N$495,10,FALSE),
IF($B$1="Contract LA",VLOOKUP(B29,'Raw BOM'!$A$3:$N$495,12,FALSE),
IF($B$1="Contract FL",VLOOKUP(B29,'Raw BOM'!$A$3:$N$495,14,FALSE),
VLOOKUP(B29,'Raw BOM'!$A$3:$B$495,2,FALSE))))), IF(E29&lt;&gt;"","Misc",""))</f>
        <v/>
      </c>
      <c r="B29" s="170"/>
      <c r="C29" s="171"/>
      <c r="D29" s="176"/>
      <c r="E29" s="173"/>
      <c r="G29" s="315" t="str">
        <f t="shared" si="0"/>
        <v/>
      </c>
      <c r="H29" s="316"/>
      <c r="I29" s="317" t="str">
        <f t="shared" si="1"/>
        <v/>
      </c>
      <c r="J29" s="317"/>
      <c r="K29" s="317">
        <f t="shared" si="2"/>
        <v>0</v>
      </c>
      <c r="L29" s="317"/>
      <c r="M29" s="317" t="str">
        <f t="shared" si="12"/>
        <v/>
      </c>
      <c r="N29" s="317"/>
      <c r="O29" s="317" t="str">
        <f t="shared" si="13"/>
        <v/>
      </c>
      <c r="P29" s="317"/>
      <c r="Q29" s="99" t="str">
        <f t="shared" si="5"/>
        <v/>
      </c>
      <c r="R29" s="319" t="str">
        <f>IF(C29="", "",IF(D29&lt;&gt;0,D29,
IF($E$1="Contract NY", VLOOKUP(B29,'Raw BOM'!$A$3:$G$495,7,FALSE),
IF($E$1="Contract FL", VLOOKUP(B29,'Raw BOM'!$A$3:$I$495,9,FALSE),
IF($E$1="Contract LA", VLOOKUP(B29,'Raw BOM'!$A$3:$K$495,11,FALSE),
IF($E$1="Contract WA", VLOOKUP(B29,'Raw BOM'!$A$3:$M$495,13,FALSE),
VLOOKUP(B29,'Raw BOM'!$A$3:$D$495,4,FALSE)))))))</f>
        <v/>
      </c>
      <c r="S29" s="319" t="str">
        <f t="shared" si="14"/>
        <v/>
      </c>
      <c r="T29" s="318" t="str">
        <f t="shared" si="7"/>
        <v/>
      </c>
      <c r="U29" s="318" t="str">
        <f t="shared" si="15"/>
        <v/>
      </c>
      <c r="V29" s="49" t="str">
        <f>IF(C29="","",IF(D29&gt;0,"No",VLOOKUP(B29,'Raw BOM'!$A$3:$F$495,6,FALSE)))</f>
        <v/>
      </c>
      <c r="X29" s="232">
        <f t="shared" si="9"/>
        <v>0</v>
      </c>
      <c r="Y29" s="198">
        <f>IF(LEFT($B$1,8)="Contract",0,ROUND(
IF(AND(C29&lt;&gt;"", D29="", V29="Yes"),
     IF($E$1="Discount Based",
         R29*IF(OR(LEFT(A29,2)="HW", LEFT(A29,12)="CMS-Hardware"),
              $E$2,
              IF(AND(LEFT(A29,3)="Sys", LEFT(A29,4)&lt;&gt;"Ship"),
                   ($E$2+$E$3)/2,
                    0)),
         IF($E$1="Cost Based",
              IF(OR(LEFT(A29,2)="HW", LEFT(A29,12)="CMS-Hardware"),
                   R29-(1+$E$4)*VLOOKUP(B29,'Raw BOM'!$A$3:$E$492,5,FALSE),
              IF(AND(LEFT(A29,3)="Sys", LEFT(A29,4)&lt;&gt;"Ship"),
                   R29-(1+($E$4+$E$5)/2)*VLOOKUP(B29,'Raw BOM'!$A$3:$E$492,5,FALSE),
                   0))))),2))</f>
        <v>0</v>
      </c>
      <c r="Z29" s="47">
        <f>IF(LEFT($B$1,8)="Contract",0,ROUND(
IF(AND(C29&lt;&gt;"", D29="", V29="No"),
     IF($E$1="Discount Based",
         R29*IF(AND(LEFT(A29,2)&lt;&gt;"HW", LEFT(A29,12)&lt;&gt;"CMS-Hardware",LEFT(A29,3)&lt;&gt;"Sys", LEFT(A29,4)&lt;&gt;"Ship"),
                   $E$3,0),
     IF($E$1="Cost Based",
          IF(AND(LEFT(A29,2)&lt;&gt;"HW", LEFT(A29,12)&lt;&gt;"CMS-Hardware",LEFT(A29,3)&lt;&gt;"Sys", LEFT(A29,4)&lt;&gt;"Ship"),
               R29-(1+$E$4)*VLOOKUP(B29,'Raw BOM'!$A$3:$E$492,5,FALSE),0),0)),0),2))</f>
        <v>0</v>
      </c>
      <c r="AA29" s="182">
        <f t="shared" si="10"/>
        <v>0</v>
      </c>
      <c r="AB29" s="182">
        <f t="shared" si="11"/>
        <v>0</v>
      </c>
      <c r="AC29" s="233" t="str">
        <f>IF(B29&lt;&gt;"", VLOOKUP(B29,'Raw BOM'!$A$3:$B$495,2,FALSE), IF(E29&lt;&gt;"","Misc",""))</f>
        <v/>
      </c>
    </row>
    <row r="30" spans="1:29" s="1" customFormat="1" ht="30" customHeight="1" x14ac:dyDescent="0.25">
      <c r="A30" s="248" t="str">
        <f>IF(B30&lt;&gt;"",
IF($B$1="Contract NY",VLOOKUP(B30,'Raw BOM'!$A$3:$N$495,8,FALSE),
IF($B$1="Contract FL",VLOOKUP(B30,'Raw BOM'!$A$3:$N$495,10,FALSE),
IF($B$1="Contract LA",VLOOKUP(B30,'Raw BOM'!$A$3:$N$495,12,FALSE),
IF($B$1="Contract FL",VLOOKUP(B30,'Raw BOM'!$A$3:$N$495,14,FALSE),
VLOOKUP(B30,'Raw BOM'!$A$3:$B$495,2,FALSE))))), IF(E30&lt;&gt;"","Misc",""))</f>
        <v>Svcs-InstallTrain</v>
      </c>
      <c r="B30" s="170" t="s">
        <v>118</v>
      </c>
      <c r="C30" s="171">
        <v>1</v>
      </c>
      <c r="D30" s="176"/>
      <c r="E30" s="173"/>
      <c r="G30" s="315" t="str">
        <f t="shared" si="0"/>
        <v>Svcs-InstallTrain</v>
      </c>
      <c r="H30" s="316"/>
      <c r="I30" s="317" t="str">
        <f t="shared" si="1"/>
        <v>Services-Installation and Training Session 4hrs (see Service Method for price)</v>
      </c>
      <c r="J30" s="317"/>
      <c r="K30" s="317">
        <f t="shared" si="2"/>
        <v>0</v>
      </c>
      <c r="L30" s="317"/>
      <c r="M30" s="317" t="str">
        <f t="shared" si="12"/>
        <v>Svcs-InstallTrain</v>
      </c>
      <c r="N30" s="317"/>
      <c r="O30" s="317" t="str">
        <f t="shared" si="13"/>
        <v>Services-Installation and Training Session 4hrs (see Service Method for price)</v>
      </c>
      <c r="P30" s="317"/>
      <c r="Q30" s="99">
        <f t="shared" si="5"/>
        <v>1</v>
      </c>
      <c r="R30" s="319">
        <f>IF(C30="", "",IF(D30&lt;&gt;0,D30,
IF($E$1="Contract NY", VLOOKUP(B30,'Raw BOM'!$A$3:$G$495,7,FALSE),
IF($E$1="Contract FL", VLOOKUP(B30,'Raw BOM'!$A$3:$I$495,9,FALSE),
IF($E$1="Contract LA", VLOOKUP(B30,'Raw BOM'!$A$3:$K$495,11,FALSE),
IF($E$1="Contract WA", VLOOKUP(B30,'Raw BOM'!$A$3:$M$495,13,FALSE),
VLOOKUP(B30,'Raw BOM'!$A$3:$D$495,4,FALSE)))))))</f>
        <v>0</v>
      </c>
      <c r="S30" s="319" t="str">
        <f t="shared" si="14"/>
        <v>Svcs-InstallTrain</v>
      </c>
      <c r="T30" s="318">
        <f t="shared" si="7"/>
        <v>0</v>
      </c>
      <c r="U30" s="318" t="str">
        <f t="shared" si="15"/>
        <v>Services-Installation and Training Session 4hrs (see Service Method for price)</v>
      </c>
      <c r="V30" s="49" t="str">
        <f>IF(C30="","", VLOOKUP(B30,'Raw BOM'!$A$3:$F$495,6,FALSE))</f>
        <v>No</v>
      </c>
      <c r="X30" s="232">
        <f t="shared" si="9"/>
        <v>0</v>
      </c>
      <c r="Y30" s="198">
        <f>IF(LEFT($B$1,8)="Contract",0,ROUND(
IF(AND(C30&lt;&gt;"", D30="", V30="Yes"),
     IF($E$1="Discount Based",
         R30*IF(OR(LEFT(A30,2)="HW", LEFT(A30,12)="CMS-Hardware"),
              $E$2,
              IF(AND(LEFT(A30,3)="Sys", LEFT(A30,4)&lt;&gt;"Ship"),
                   ($E$2+$E$3)/2,
                    0)),
         IF($E$1="Cost Based",
              IF(OR(LEFT(A30,2)="HW", LEFT(A30,12)="CMS-Hardware"),
                   R30-(1+$E$4)*VLOOKUP(B30,'Raw BOM'!$A$3:$E$492,5,FALSE),
              IF(AND(LEFT(A30,3)="Sys", LEFT(A30,4)&lt;&gt;"Ship"),
                   R30-(1+($E$4+$E$5)/2)*VLOOKUP(B30,'Raw BOM'!$A$3:$E$492,5,FALSE),
                   0))))),2))</f>
        <v>0</v>
      </c>
      <c r="Z30" s="47">
        <f>IF(LEFT($B$1,8)="Contract",0,ROUND(
IF(AND(C30&lt;&gt;"", D30="", V30="No"),
     IF($E$1="Discount Based",
         R30*IF(AND(LEFT(A30,2)&lt;&gt;"HW", LEFT(A30,12)&lt;&gt;"CMS-Hardware",LEFT(A30,3)&lt;&gt;"Sys", LEFT(A30,4)&lt;&gt;"Ship"),
                   $E$3,0),
     IF($E$1="Cost Based",
          IF(AND(LEFT(A30,2)&lt;&gt;"HW", LEFT(A30,12)&lt;&gt;"CMS-Hardware",LEFT(A30,3)&lt;&gt;"Sys", LEFT(A30,4)&lt;&gt;"Ship"),
               R30-(1+$E$4)*VLOOKUP(B30,'Raw BOM'!$A$3:$E$492,5,FALSE),0),0)),0),2))</f>
        <v>0</v>
      </c>
      <c r="AA30" s="182">
        <f t="shared" si="10"/>
        <v>0</v>
      </c>
      <c r="AB30" s="182">
        <f t="shared" si="11"/>
        <v>0</v>
      </c>
      <c r="AC30" s="233" t="str">
        <f>IF(B30&lt;&gt;"", VLOOKUP(B30,'Raw BOM'!$A$3:$B$495,2,FALSE), IF(E30&lt;&gt;"","Misc",""))</f>
        <v>Svcs-InstallTrain</v>
      </c>
    </row>
    <row r="31" spans="1:29" s="1" customFormat="1" ht="30" customHeight="1" x14ac:dyDescent="0.25">
      <c r="A31" s="248" t="str">
        <f>IF(B31&lt;&gt;"",
IF($B$1="Contract NY",VLOOKUP(B31,'Raw BOM'!$A$3:$N$495,8,FALSE),
IF($B$1="Contract FL",VLOOKUP(B31,'Raw BOM'!$A$3:$N$495,10,FALSE),
IF($B$1="Contract LA",VLOOKUP(B31,'Raw BOM'!$A$3:$N$495,12,FALSE),
IF($B$1="Contract FL",VLOOKUP(B31,'Raw BOM'!$A$3:$N$495,14,FALSE),
VLOOKUP(B31,'Raw BOM'!$A$3:$B$495,2,FALSE))))), IF(E31&lt;&gt;"","Misc",""))</f>
        <v>Svcs-Phone</v>
      </c>
      <c r="B31" s="170" t="s">
        <v>119</v>
      </c>
      <c r="C31" s="171">
        <v>1</v>
      </c>
      <c r="D31" s="176"/>
      <c r="E31" s="173" t="s">
        <v>120</v>
      </c>
      <c r="G31" s="315" t="str">
        <f t="shared" ref="G31:G35" si="16">A31</f>
        <v>Svcs-Phone</v>
      </c>
      <c r="H31" s="316"/>
      <c r="I31" s="317" t="str">
        <f t="shared" ref="I31:I35" si="17">IF(B31&lt;&gt;"", B31, "")&amp;IF(E31&lt;&gt;"", "   *** "&amp;E31, "")</f>
        <v xml:space="preserve">Services Method-Remote (Phone)   *** To perform services shown in the line above. </v>
      </c>
      <c r="J31" s="317"/>
      <c r="K31" s="317" t="str">
        <f t="shared" ref="K31:K35" si="18">E31</f>
        <v xml:space="preserve">To perform services shown in the line above. </v>
      </c>
      <c r="L31" s="317"/>
      <c r="M31" s="317" t="str">
        <f t="shared" ref="M31:M35" si="19">G31</f>
        <v>Svcs-Phone</v>
      </c>
      <c r="N31" s="317"/>
      <c r="O31" s="317" t="str">
        <f t="shared" ref="O31:O35" si="20">I31</f>
        <v xml:space="preserve">Services Method-Remote (Phone)   *** To perform services shown in the line above. </v>
      </c>
      <c r="P31" s="317"/>
      <c r="Q31" s="99">
        <f t="shared" ref="Q31:Q35" si="21">IF(C31="", "", C31)</f>
        <v>1</v>
      </c>
      <c r="R31" s="319">
        <f>IF(C31="", "",IF(D31&lt;&gt;0,D31,
IF($E$1="Contract NY", VLOOKUP(B31,'Raw BOM'!$A$3:$G$495,7,FALSE),
IF($E$1="Contract FL", VLOOKUP(B31,'Raw BOM'!$A$3:$I$495,9,FALSE),
IF($E$1="Contract LA", VLOOKUP(B31,'Raw BOM'!$A$3:$K$495,11,FALSE),
IF($E$1="Contract WA", VLOOKUP(B31,'Raw BOM'!$A$3:$M$495,13,FALSE),
VLOOKUP(B31,'Raw BOM'!$A$3:$D$495,4,FALSE)))))))</f>
        <v>750</v>
      </c>
      <c r="S31" s="319" t="str">
        <f t="shared" ref="S31:S35" si="22">M31</f>
        <v>Svcs-Phone</v>
      </c>
      <c r="T31" s="318">
        <f t="shared" ref="T31:T35" si="23">IF(C31="", "", Q31*R31)</f>
        <v>750</v>
      </c>
      <c r="U31" s="318" t="str">
        <f t="shared" ref="U31:U35" si="24">O31</f>
        <v xml:space="preserve">Services Method-Remote (Phone)   *** To perform services shown in the line above. </v>
      </c>
      <c r="V31" s="49" t="str">
        <f>IF(C31="","", VLOOKUP(B31,'Raw BOM'!$A$3:$F$495,6,FALSE))</f>
        <v>No</v>
      </c>
      <c r="X31" s="232">
        <f t="shared" ref="X31:X35" si="25">IF(AND(V31="Yes", Q31&lt;&gt;0), (T31-Y31)*$B$11, 0)</f>
        <v>0</v>
      </c>
      <c r="Y31" s="198">
        <f>IF(LEFT($B$1,8)="Contract",0,ROUND(
IF(AND(C31&lt;&gt;"", D31="", V31="Yes"),
     IF($E$1="Discount Based",
         R31*IF(OR(LEFT(A31,2)="HW", LEFT(A31,12)="CMS-Hardware"),
              $E$2,
              IF(AND(LEFT(A31,3)="Sys", LEFT(A31,4)&lt;&gt;"Ship"),
                   ($E$2+$E$3)/2,
                    0)),
         IF($E$1="Cost Based",
              IF(OR(LEFT(A31,2)="HW", LEFT(A31,12)="CMS-Hardware"),
                   R31-(1+$E$4)*VLOOKUP(B31,'Raw BOM'!$A$3:$E$492,5,FALSE),
              IF(AND(LEFT(A31,3)="Sys", LEFT(A31,4)&lt;&gt;"Ship"),
                   R31-(1+($E$4+$E$5)/2)*VLOOKUP(B31,'Raw BOM'!$A$3:$E$492,5,FALSE),
                   0))))),2))</f>
        <v>0</v>
      </c>
      <c r="Z31" s="47">
        <f>IF(LEFT($B$1,8)="Contract",0,ROUND(
IF(AND(C31&lt;&gt;"", D31="", V31="No"),
     IF($E$1="Discount Based",
         R31*IF(AND(LEFT(A31,2)&lt;&gt;"HW", LEFT(A31,12)&lt;&gt;"CMS-Hardware",LEFT(A31,3)&lt;&gt;"Sys", LEFT(A31,4)&lt;&gt;"Ship"),
                   $E$3,0),
     IF($E$1="Cost Based",
          IF(AND(LEFT(A31,2)&lt;&gt;"HW", LEFT(A31,12)&lt;&gt;"CMS-Hardware",LEFT(A31,3)&lt;&gt;"Sys", LEFT(A31,4)&lt;&gt;"Ship"),
               R31-(1+$E$4)*VLOOKUP(B31,'Raw BOM'!$A$3:$E$492,5,FALSE),0),0)),0),2))</f>
        <v>330</v>
      </c>
      <c r="AA31" s="182">
        <f t="shared" ref="AA31:AA35" si="26">ROUND(IF(AND(Y31&gt;0, Y31&lt;&gt;"", D31=""),Q31*Y31,0), 2)</f>
        <v>0</v>
      </c>
      <c r="AB31" s="182">
        <f t="shared" ref="AB31:AB35" si="27">ROUND(IF(AND(Z31&lt;&gt;"",Z31&gt;0, D31=""),Q31*Z31,0),2)</f>
        <v>330</v>
      </c>
      <c r="AC31" s="233" t="str">
        <f>IF(B31&lt;&gt;"", VLOOKUP(B31,'Raw BOM'!$A$3:$B$495,2,FALSE), IF(E31&lt;&gt;"","Misc",""))</f>
        <v>Svcs-Phone</v>
      </c>
    </row>
    <row r="32" spans="1:29" s="1" customFormat="1" ht="30" customHeight="1" x14ac:dyDescent="0.25">
      <c r="A32" s="248" t="str">
        <f>IF(B32&lt;&gt;"",
IF($B$1="Contract NY",VLOOKUP(B32,'Raw BOM'!$A$3:$N$495,8,FALSE),
IF($B$1="Contract FL",VLOOKUP(B32,'Raw BOM'!$A$3:$N$495,10,FALSE),
IF($B$1="Contract LA",VLOOKUP(B32,'Raw BOM'!$A$3:$N$495,12,FALSE),
IF($B$1="Contract FL",VLOOKUP(B32,'Raw BOM'!$A$3:$N$495,14,FALSE),
VLOOKUP(B32,'Raw BOM'!$A$3:$B$495,2,FALSE))))), IF(E32&lt;&gt;"","Misc",""))</f>
        <v/>
      </c>
      <c r="B32" s="170"/>
      <c r="C32" s="171"/>
      <c r="D32" s="176"/>
      <c r="E32" s="173"/>
      <c r="G32" s="315" t="str">
        <f t="shared" si="16"/>
        <v/>
      </c>
      <c r="H32" s="316"/>
      <c r="I32" s="317" t="str">
        <f t="shared" si="17"/>
        <v/>
      </c>
      <c r="J32" s="317"/>
      <c r="K32" s="317">
        <f t="shared" si="18"/>
        <v>0</v>
      </c>
      <c r="L32" s="317"/>
      <c r="M32" s="317" t="str">
        <f t="shared" si="19"/>
        <v/>
      </c>
      <c r="N32" s="317"/>
      <c r="O32" s="317" t="str">
        <f t="shared" si="20"/>
        <v/>
      </c>
      <c r="P32" s="317"/>
      <c r="Q32" s="99" t="str">
        <f t="shared" si="21"/>
        <v/>
      </c>
      <c r="R32" s="319" t="str">
        <f>IF(C32="", "",IF(D32&lt;&gt;0,D32,
IF($E$1="Contract NY", VLOOKUP(B32,'Raw BOM'!$A$3:$G$495,7,FALSE),
IF($E$1="Contract FL", VLOOKUP(B32,'Raw BOM'!$A$3:$I$495,9,FALSE),
IF($E$1="Contract LA", VLOOKUP(B32,'Raw BOM'!$A$3:$K$495,11,FALSE),
IF($E$1="Contract WA", VLOOKUP(B32,'Raw BOM'!$A$3:$M$495,13,FALSE),
VLOOKUP(B32,'Raw BOM'!$A$3:$D$495,4,FALSE)))))))</f>
        <v/>
      </c>
      <c r="S32" s="319" t="str">
        <f t="shared" si="22"/>
        <v/>
      </c>
      <c r="T32" s="318" t="str">
        <f t="shared" si="23"/>
        <v/>
      </c>
      <c r="U32" s="318" t="str">
        <f t="shared" si="24"/>
        <v/>
      </c>
      <c r="V32" s="49" t="str">
        <f>IF(C32="","", VLOOKUP(B32,'Raw BOM'!$A$3:$F$495,6,FALSE))</f>
        <v/>
      </c>
      <c r="X32" s="232">
        <f t="shared" si="25"/>
        <v>0</v>
      </c>
      <c r="Y32" s="198">
        <f>IF(LEFT($B$1,8)="Contract",0,ROUND(
IF(AND(C32&lt;&gt;"", D32="", V32="Yes"),
     IF($E$1="Discount Based",
         R32*IF(OR(LEFT(A32,2)="HW", LEFT(A32,12)="CMS-Hardware"),
              $E$2,
              IF(AND(LEFT(A32,3)="Sys", LEFT(A32,4)&lt;&gt;"Ship"),
                   ($E$2+$E$3)/2,
                    0)),
         IF($E$1="Cost Based",
              IF(OR(LEFT(A32,2)="HW", LEFT(A32,12)="CMS-Hardware"),
                   R32-(1+$E$4)*VLOOKUP(B32,'Raw BOM'!$A$3:$E$492,5,FALSE),
              IF(AND(LEFT(A32,3)="Sys", LEFT(A32,4)&lt;&gt;"Ship"),
                   R32-(1+($E$4+$E$5)/2)*VLOOKUP(B32,'Raw BOM'!$A$3:$E$492,5,FALSE),
                   0))))),2))</f>
        <v>0</v>
      </c>
      <c r="Z32" s="47">
        <f>IF(LEFT($B$1,8)="Contract",0,ROUND(
IF(AND(C32&lt;&gt;"", D32="", V32="No"),
     IF($E$1="Discount Based",
         R32*IF(AND(LEFT(A32,2)&lt;&gt;"HW", LEFT(A32,12)&lt;&gt;"CMS-Hardware",LEFT(A32,3)&lt;&gt;"Sys", LEFT(A32,4)&lt;&gt;"Ship"),
                   $E$3,0),
     IF($E$1="Cost Based",
          IF(AND(LEFT(A32,2)&lt;&gt;"HW", LEFT(A32,12)&lt;&gt;"CMS-Hardware",LEFT(A32,3)&lt;&gt;"Sys", LEFT(A32,4)&lt;&gt;"Ship"),
               R32-(1+$E$4)*VLOOKUP(B32,'Raw BOM'!$A$3:$E$492,5,FALSE),0),0)),0),2))</f>
        <v>0</v>
      </c>
      <c r="AA32" s="182">
        <f t="shared" si="26"/>
        <v>0</v>
      </c>
      <c r="AB32" s="182">
        <f t="shared" si="27"/>
        <v>0</v>
      </c>
      <c r="AC32" s="233" t="str">
        <f>IF(B32&lt;&gt;"", VLOOKUP(B32,'Raw BOM'!$A$3:$B$495,2,FALSE), IF(E32&lt;&gt;"","Misc",""))</f>
        <v/>
      </c>
    </row>
    <row r="33" spans="1:30" s="1" customFormat="1" ht="30" customHeight="1" x14ac:dyDescent="0.25">
      <c r="A33" s="248" t="str">
        <f>IF(B33&lt;&gt;"",
IF($B$1="Contract NY",VLOOKUP(B33,'Raw BOM'!$A$3:$N$495,8,FALSE),
IF($B$1="Contract FL",VLOOKUP(B33,'Raw BOM'!$A$3:$N$495,10,FALSE),
IF($B$1="Contract LA",VLOOKUP(B33,'Raw BOM'!$A$3:$N$495,12,FALSE),
IF($B$1="Contract FL",VLOOKUP(B33,'Raw BOM'!$A$3:$N$495,14,FALSE),
VLOOKUP(B33,'Raw BOM'!$A$3:$B$495,2,FALSE))))), IF(E33&lt;&gt;"","Misc",""))</f>
        <v>Ship-L</v>
      </c>
      <c r="B33" s="170" t="s">
        <v>121</v>
      </c>
      <c r="C33" s="171">
        <v>1</v>
      </c>
      <c r="D33" s="176"/>
      <c r="E33" s="173"/>
      <c r="G33" s="315" t="str">
        <f t="shared" si="16"/>
        <v>Ship-L</v>
      </c>
      <c r="H33" s="316"/>
      <c r="I33" s="317" t="str">
        <f t="shared" si="17"/>
        <v>Shipping-Ground for Large Package</v>
      </c>
      <c r="J33" s="317"/>
      <c r="K33" s="317">
        <f t="shared" si="18"/>
        <v>0</v>
      </c>
      <c r="L33" s="317"/>
      <c r="M33" s="317" t="str">
        <f t="shared" si="19"/>
        <v>Ship-L</v>
      </c>
      <c r="N33" s="317"/>
      <c r="O33" s="317" t="str">
        <f t="shared" si="20"/>
        <v>Shipping-Ground for Large Package</v>
      </c>
      <c r="P33" s="317"/>
      <c r="Q33" s="99">
        <f t="shared" si="21"/>
        <v>1</v>
      </c>
      <c r="R33" s="319">
        <f>IF(C33="", "",IF(D33&lt;&gt;0,D33,
IF($E$1="Contract NY", VLOOKUP(B33,'Raw BOM'!$A$3:$G$495,7,FALSE),
IF($E$1="Contract FL", VLOOKUP(B33,'Raw BOM'!$A$3:$I$495,9,FALSE),
IF($E$1="Contract LA", VLOOKUP(B33,'Raw BOM'!$A$3:$K$495,11,FALSE),
IF($E$1="Contract WA", VLOOKUP(B33,'Raw BOM'!$A$3:$M$495,13,FALSE),
VLOOKUP(B33,'Raw BOM'!$A$3:$D$495,4,FALSE)))))))</f>
        <v>60</v>
      </c>
      <c r="S33" s="319" t="str">
        <f t="shared" si="22"/>
        <v>Ship-L</v>
      </c>
      <c r="T33" s="318">
        <f t="shared" si="23"/>
        <v>60</v>
      </c>
      <c r="U33" s="318" t="str">
        <f t="shared" si="24"/>
        <v>Shipping-Ground for Large Package</v>
      </c>
      <c r="V33" s="49" t="str">
        <f>IF(C33="","", VLOOKUP(B33,'Raw BOM'!$A$3:$F$495,6,FALSE))</f>
        <v>No</v>
      </c>
      <c r="X33" s="232">
        <f t="shared" si="25"/>
        <v>0</v>
      </c>
      <c r="Y33" s="198">
        <f>IF(LEFT($B$1,8)="Contract",0,ROUND(
IF(AND(C33&lt;&gt;"", D33="", V33="Yes"),
     IF($E$1="Discount Based",
         R33*IF(OR(LEFT(A33,2)="HW", LEFT(A33,12)="CMS-Hardware"),
              $E$2,
              IF(AND(LEFT(A33,3)="Sys", LEFT(A33,4)&lt;&gt;"Ship"),
                   ($E$2+$E$3)/2,
                    0)),
         IF($E$1="Cost Based",
              IF(OR(LEFT(A33,2)="HW", LEFT(A33,12)="CMS-Hardware"),
                   R33-(1+$E$4)*VLOOKUP(B33,'Raw BOM'!$A$3:$E$492,5,FALSE),
              IF(AND(LEFT(A33,3)="Sys", LEFT(A33,4)&lt;&gt;"Ship"),
                   R33-(1+($E$4+$E$5)/2)*VLOOKUP(B33,'Raw BOM'!$A$3:$E$492,5,FALSE),
                   0))))),2))</f>
        <v>0</v>
      </c>
      <c r="Z33" s="47">
        <f>IF(LEFT($B$1,8)="Contract",0,ROUND(
IF(AND(C33&lt;&gt;"", D33="", V33="No"),
     IF($E$1="Discount Based",
         R33*IF(AND(LEFT(A33,2)&lt;&gt;"HW", LEFT(A33,12)&lt;&gt;"CMS-Hardware",LEFT(A33,3)&lt;&gt;"Sys", LEFT(A33,4)&lt;&gt;"Ship"),
                   $E$3,0),
     IF($E$1="Cost Based",
          IF(AND(LEFT(A33,2)&lt;&gt;"HW", LEFT(A33,12)&lt;&gt;"CMS-Hardware",LEFT(A33,3)&lt;&gt;"Sys", LEFT(A33,4)&lt;&gt;"Ship"),
               R33-(1+$E$4)*VLOOKUP(B33,'Raw BOM'!$A$3:$E$492,5,FALSE),0),0)),0),2))</f>
        <v>0</v>
      </c>
      <c r="AA33" s="182">
        <f t="shared" si="26"/>
        <v>0</v>
      </c>
      <c r="AB33" s="182">
        <f t="shared" si="27"/>
        <v>0</v>
      </c>
      <c r="AC33" s="233" t="str">
        <f>IF(B33&lt;&gt;"", VLOOKUP(B33,'Raw BOM'!$A$3:$B$495,2,FALSE), IF(E33&lt;&gt;"","Misc",""))</f>
        <v>Ship-L</v>
      </c>
    </row>
    <row r="34" spans="1:30" s="1" customFormat="1" ht="30" customHeight="1" x14ac:dyDescent="0.25">
      <c r="A34" s="248" t="str">
        <f>IF(B34&lt;&gt;"",
IF($B$1="Contract NY",VLOOKUP(B34,'Raw BOM'!$A$3:$N$495,8,FALSE),
IF($B$1="Contract FL",VLOOKUP(B34,'Raw BOM'!$A$3:$N$495,10,FALSE),
IF($B$1="Contract LA",VLOOKUP(B34,'Raw BOM'!$A$3:$N$495,12,FALSE),
IF($B$1="Contract FL",VLOOKUP(B34,'Raw BOM'!$A$3:$N$495,14,FALSE),
VLOOKUP(B34,'Raw BOM'!$A$3:$B$495,2,FALSE))))), IF(E34&lt;&gt;"","Misc",""))</f>
        <v>Maint-Warr</v>
      </c>
      <c r="B34" s="170" t="s">
        <v>122</v>
      </c>
      <c r="C34" s="171">
        <v>1</v>
      </c>
      <c r="D34" s="176"/>
      <c r="E34" s="173" t="s">
        <v>123</v>
      </c>
      <c r="G34" s="315" t="str">
        <f t="shared" si="16"/>
        <v>Maint-Warr</v>
      </c>
      <c r="H34" s="316"/>
      <c r="I34" s="317" t="str">
        <f t="shared" si="17"/>
        <v>Maintenance-Initial Year Warranty   *** Cross Ship</v>
      </c>
      <c r="J34" s="317"/>
      <c r="K34" s="317" t="str">
        <f t="shared" si="18"/>
        <v>Cross Ship</v>
      </c>
      <c r="L34" s="317"/>
      <c r="M34" s="317" t="str">
        <f t="shared" si="19"/>
        <v>Maint-Warr</v>
      </c>
      <c r="N34" s="317"/>
      <c r="O34" s="317" t="str">
        <f t="shared" si="20"/>
        <v>Maintenance-Initial Year Warranty   *** Cross Ship</v>
      </c>
      <c r="P34" s="317"/>
      <c r="Q34" s="99">
        <f t="shared" si="21"/>
        <v>1</v>
      </c>
      <c r="R34" s="319">
        <f>IF(C34="", "",IF(D34&lt;&gt;0,D34,
IF($E$1="Contract NY", VLOOKUP(B34,'Raw BOM'!$A$3:$G$495,7,FALSE),
IF($E$1="Contract FL", VLOOKUP(B34,'Raw BOM'!$A$3:$I$495,9,FALSE),
IF($E$1="Contract LA", VLOOKUP(B34,'Raw BOM'!$A$3:$K$495,11,FALSE),
IF($E$1="Contract WA", VLOOKUP(B34,'Raw BOM'!$A$3:$M$495,13,FALSE),
VLOOKUP(B34,'Raw BOM'!$A$3:$D$495,4,FALSE)))))))</f>
        <v>0</v>
      </c>
      <c r="S34" s="319" t="str">
        <f t="shared" si="22"/>
        <v>Maint-Warr</v>
      </c>
      <c r="T34" s="318">
        <f t="shared" si="23"/>
        <v>0</v>
      </c>
      <c r="U34" s="318" t="str">
        <f t="shared" si="24"/>
        <v>Maintenance-Initial Year Warranty   *** Cross Ship</v>
      </c>
      <c r="V34" s="49" t="str">
        <f>IF(C34="","", VLOOKUP(B34,'Raw BOM'!$A$3:$F$495,6,FALSE))</f>
        <v>No</v>
      </c>
      <c r="X34" s="232">
        <f t="shared" si="25"/>
        <v>0</v>
      </c>
      <c r="Y34" s="198">
        <f>IF(LEFT($B$1,8)="Contract",0,ROUND(
IF(AND(C34&lt;&gt;"", D34="", V34="Yes"),
     IF($E$1="Discount Based",
         R34*IF(OR(LEFT(A34,2)="HW", LEFT(A34,12)="CMS-Hardware"),
              $E$2,
              IF(AND(LEFT(A34,3)="Sys", LEFT(A34,4)&lt;&gt;"Ship"),
                   ($E$2+$E$3)/2,
                    0)),
         IF($E$1="Cost Based",
              IF(OR(LEFT(A34,2)="HW", LEFT(A34,12)="CMS-Hardware"),
                   R34-(1+$E$4)*VLOOKUP(B34,'Raw BOM'!$A$3:$E$492,5,FALSE),
              IF(AND(LEFT(A34,3)="Sys", LEFT(A34,4)&lt;&gt;"Ship"),
                   R34-(1+($E$4+$E$5)/2)*VLOOKUP(B34,'Raw BOM'!$A$3:$E$492,5,FALSE),
                   0))))),2))</f>
        <v>0</v>
      </c>
      <c r="Z34" s="47">
        <f>IF(LEFT($B$1,8)="Contract",0,ROUND(
IF(AND(C34&lt;&gt;"", D34="", V34="No"),
     IF($E$1="Discount Based",
         R34*IF(AND(LEFT(A34,2)&lt;&gt;"HW", LEFT(A34,12)&lt;&gt;"CMS-Hardware",LEFT(A34,3)&lt;&gt;"Sys", LEFT(A34,4)&lt;&gt;"Ship"),
                   $E$3,0),
     IF($E$1="Cost Based",
          IF(AND(LEFT(A34,2)&lt;&gt;"HW", LEFT(A34,12)&lt;&gt;"CMS-Hardware",LEFT(A34,3)&lt;&gt;"Sys", LEFT(A34,4)&lt;&gt;"Ship"),
               R34-(1+$E$4)*VLOOKUP(B34,'Raw BOM'!$A$3:$E$492,5,FALSE),0),0)),0),2))</f>
        <v>0</v>
      </c>
      <c r="AA34" s="182">
        <f t="shared" si="26"/>
        <v>0</v>
      </c>
      <c r="AB34" s="182">
        <f t="shared" si="27"/>
        <v>0</v>
      </c>
      <c r="AC34" s="233" t="str">
        <f>IF(B34&lt;&gt;"", VLOOKUP(B34,'Raw BOM'!$A$3:$B$495,2,FALSE), IF(E34&lt;&gt;"","Misc",""))</f>
        <v>Maint-Warr</v>
      </c>
    </row>
    <row r="35" spans="1:30" s="1" customFormat="1" ht="30" customHeight="1" x14ac:dyDescent="0.25">
      <c r="A35" s="248" t="str">
        <f>IF(B35&lt;&gt;"",
IF($B$1="Contract NY",VLOOKUP(B35,'Raw BOM'!$A$3:$N$495,8,FALSE),
IF($B$1="Contract FL",VLOOKUP(B35,'Raw BOM'!$A$3:$N$495,10,FALSE),
IF($B$1="Contract LA",VLOOKUP(B35,'Raw BOM'!$A$3:$N$495,12,FALSE),
IF($B$1="Contract FL",VLOOKUP(B35,'Raw BOM'!$A$3:$N$495,14,FALSE),
VLOOKUP(B35,'Raw BOM'!$A$3:$B$495,2,FALSE))))), IF(E35&lt;&gt;"","Misc",""))</f>
        <v>Misc</v>
      </c>
      <c r="B35" s="170"/>
      <c r="C35" s="171"/>
      <c r="D35" s="176"/>
      <c r="E35" s="173" t="s">
        <v>124</v>
      </c>
      <c r="G35" s="315" t="str">
        <f t="shared" si="16"/>
        <v>Misc</v>
      </c>
      <c r="H35" s="316"/>
      <c r="I35" s="317" t="str">
        <f t="shared" si="17"/>
        <v xml:space="preserve">   *** Pick one of the following 2 Maintenance options in the 12th month.  We recommend picking 2nd line if processing more than 1,200 transactions per year.</v>
      </c>
      <c r="J35" s="317"/>
      <c r="K35" s="317" t="str">
        <f t="shared" si="18"/>
        <v>Pick one of the following 2 Maintenance options in the 12th month.  We recommend picking 2nd line if processing more than 1,200 transactions per year.</v>
      </c>
      <c r="L35" s="317"/>
      <c r="M35" s="317" t="str">
        <f t="shared" si="19"/>
        <v>Misc</v>
      </c>
      <c r="N35" s="317"/>
      <c r="O35" s="317" t="str">
        <f t="shared" si="20"/>
        <v xml:space="preserve">   *** Pick one of the following 2 Maintenance options in the 12th month.  We recommend picking 2nd line if processing more than 1,200 transactions per year.</v>
      </c>
      <c r="P35" s="317"/>
      <c r="Q35" s="99" t="str">
        <f t="shared" si="21"/>
        <v/>
      </c>
      <c r="R35" s="319" t="str">
        <f>IF(C35="", "",IF(D35&lt;&gt;0,D35,
IF($E$1="Contract NY", VLOOKUP(B35,'Raw BOM'!$A$3:$G$495,7,FALSE),
IF($E$1="Contract FL", VLOOKUP(B35,'Raw BOM'!$A$3:$I$495,9,FALSE),
IF($E$1="Contract LA", VLOOKUP(B35,'Raw BOM'!$A$3:$K$495,11,FALSE),
IF($E$1="Contract WA", VLOOKUP(B35,'Raw BOM'!$A$3:$M$495,13,FALSE),
VLOOKUP(B35,'Raw BOM'!$A$3:$D$495,4,FALSE)))))))</f>
        <v/>
      </c>
      <c r="S35" s="319" t="str">
        <f t="shared" si="22"/>
        <v>Misc</v>
      </c>
      <c r="T35" s="318" t="str">
        <f t="shared" si="23"/>
        <v/>
      </c>
      <c r="U35" s="318" t="str">
        <f t="shared" si="24"/>
        <v xml:space="preserve">   *** Pick one of the following 2 Maintenance options in the 12th month.  We recommend picking 2nd line if processing more than 1,200 transactions per year.</v>
      </c>
      <c r="V35" s="49" t="str">
        <f>IF(C35="","", VLOOKUP(B35,'Raw BOM'!$A$3:$F$495,6,FALSE))</f>
        <v/>
      </c>
      <c r="X35" s="232">
        <f t="shared" si="25"/>
        <v>0</v>
      </c>
      <c r="Y35" s="198">
        <f>IF(LEFT($B$1,8)="Contract",0,ROUND(
IF(AND(C35&lt;&gt;"", D35="", V35="Yes"),
     IF($E$1="Discount Based",
         R35*IF(OR(LEFT(A35,2)="HW", LEFT(A35,12)="CMS-Hardware"),
              $E$2,
              IF(AND(LEFT(A35,3)="Sys", LEFT(A35,4)&lt;&gt;"Ship"),
                   ($E$2+$E$3)/2,
                    0)),
         IF($E$1="Cost Based",
              IF(OR(LEFT(A35,2)="HW", LEFT(A35,12)="CMS-Hardware"),
                   R35-(1+$E$4)*VLOOKUP(B35,'Raw BOM'!$A$3:$E$492,5,FALSE),
              IF(AND(LEFT(A35,3)="Sys", LEFT(A35,4)&lt;&gt;"Ship"),
                   R35-(1+($E$4+$E$5)/2)*VLOOKUP(B35,'Raw BOM'!$A$3:$E$492,5,FALSE),
                   0))))),2))</f>
        <v>0</v>
      </c>
      <c r="Z35" s="47">
        <f>IF(LEFT($B$1,8)="Contract",0,ROUND(
IF(AND(C35&lt;&gt;"", D35="", V35="No"),
     IF($E$1="Discount Based",
         R35*IF(AND(LEFT(A35,2)&lt;&gt;"HW", LEFT(A35,12)&lt;&gt;"CMS-Hardware",LEFT(A35,3)&lt;&gt;"Sys", LEFT(A35,4)&lt;&gt;"Ship"),
                   $E$3,0),
     IF($E$1="Cost Based",
          IF(AND(LEFT(A35,2)&lt;&gt;"HW", LEFT(A35,12)&lt;&gt;"CMS-Hardware",LEFT(A35,3)&lt;&gt;"Sys", LEFT(A35,4)&lt;&gt;"Ship"),
               R35-(1+$E$4)*VLOOKUP(B35,'Raw BOM'!$A$3:$E$492,5,FALSE),0),0)),0),2))</f>
        <v>0</v>
      </c>
      <c r="AA35" s="182">
        <f t="shared" si="26"/>
        <v>0</v>
      </c>
      <c r="AB35" s="182">
        <f t="shared" si="27"/>
        <v>0</v>
      </c>
      <c r="AC35" s="233" t="str">
        <f>IF(B35&lt;&gt;"", VLOOKUP(B35,'Raw BOM'!$A$3:$B$495,2,FALSE), IF(E35&lt;&gt;"","Misc",""))</f>
        <v>Misc</v>
      </c>
    </row>
    <row r="36" spans="1:30" s="1" customFormat="1" ht="30" customHeight="1" x14ac:dyDescent="0.25">
      <c r="A36" s="248" t="str">
        <f>IF(B36&lt;&gt;"",
IF($B$1="Contract NY",VLOOKUP(B36,'Raw BOM'!$A$3:$N$495,8,FALSE),
IF($B$1="Contract FL",VLOOKUP(B36,'Raw BOM'!$A$3:$N$495,10,FALSE),
IF($B$1="Contract LA",VLOOKUP(B36,'Raw BOM'!$A$3:$N$495,12,FALSE),
IF($B$1="Contract FL",VLOOKUP(B36,'Raw BOM'!$A$3:$N$495,14,FALSE),
VLOOKUP(B36,'Raw BOM'!$A$3:$B$495,2,FALSE))))), IF(E36&lt;&gt;"","Misc",""))</f>
        <v>Maint-9X5-SW-App</v>
      </c>
      <c r="B36" s="170" t="s">
        <v>125</v>
      </c>
      <c r="C36" s="171">
        <v>0</v>
      </c>
      <c r="D36" s="176">
        <v>495</v>
      </c>
      <c r="E36" s="173" t="s">
        <v>126</v>
      </c>
      <c r="F36" s="193">
        <f>ROUND(S41*0.08,-1)</f>
        <v>460</v>
      </c>
      <c r="G36" s="315" t="str">
        <f>A36</f>
        <v>Maint-9X5-SW-App</v>
      </c>
      <c r="H36" s="316"/>
      <c r="I36" s="317" t="str">
        <f>IF(B36&lt;&gt;"", B36, "")&amp;IF(E36&lt;&gt;"", "   *** "&amp;E36, "")</f>
        <v>Maintenance-9X5 Software Only Support Applicant   *** Software Only coverage, per system</v>
      </c>
      <c r="J36" s="317"/>
      <c r="K36" s="317" t="str">
        <f>E36</f>
        <v>Software Only coverage, per system</v>
      </c>
      <c r="L36" s="317"/>
      <c r="M36" s="317" t="str">
        <f t="shared" si="12"/>
        <v>Maint-9X5-SW-App</v>
      </c>
      <c r="N36" s="317"/>
      <c r="O36" s="317" t="str">
        <f t="shared" si="13"/>
        <v>Maintenance-9X5 Software Only Support Applicant   *** Software Only coverage, per system</v>
      </c>
      <c r="P36" s="317"/>
      <c r="Q36" s="99">
        <f>IF(C36="", "", C36)</f>
        <v>0</v>
      </c>
      <c r="R36" s="319">
        <f>IF(C36="", "",IF(D36&lt;&gt;0,D36,
IF($E$1="Contract NY", VLOOKUP(B36,'Raw BOM'!$A$3:$G$495,7,FALSE),
IF($E$1="Contract FL", VLOOKUP(B36,'Raw BOM'!$A$3:$I$495,9,FALSE),
IF($E$1="Contract LA", VLOOKUP(B36,'Raw BOM'!$A$3:$K$495,11,FALSE),
IF($E$1="Contract WA", VLOOKUP(B36,'Raw BOM'!$A$3:$M$495,13,FALSE),
VLOOKUP(B36,'Raw BOM'!$A$3:$D$495,4,FALSE)))))))</f>
        <v>495</v>
      </c>
      <c r="S36" s="319" t="str">
        <f t="shared" si="14"/>
        <v>Maint-9X5-SW-App</v>
      </c>
      <c r="T36" s="318">
        <f>IF(C36="", "", Q36*R36)</f>
        <v>0</v>
      </c>
      <c r="U36" s="318" t="str">
        <f t="shared" ref="U36" si="28">O36</f>
        <v>Maintenance-9X5 Software Only Support Applicant   *** Software Only coverage, per system</v>
      </c>
      <c r="V36" s="49" t="str">
        <f>IF(C36="","", VLOOKUP(B36,'Raw BOM'!$A$3:$F$495,6,FALSE))</f>
        <v>No</v>
      </c>
      <c r="X36" s="232">
        <f t="shared" si="9"/>
        <v>0</v>
      </c>
      <c r="Y36" s="198"/>
      <c r="Z36" s="47"/>
      <c r="AA36" s="182"/>
      <c r="AB36" s="182"/>
      <c r="AC36" s="233" t="str">
        <f>IF(B36&lt;&gt;"", VLOOKUP(B36,'Raw BOM'!$A$3:$B$495,2,FALSE), IF(E36&lt;&gt;"","Misc",""))</f>
        <v>Maint-9X5-SW-App</v>
      </c>
    </row>
    <row r="37" spans="1:30" s="1" customFormat="1" ht="30" customHeight="1" x14ac:dyDescent="0.25">
      <c r="A37" s="248" t="str">
        <f>IF(B37&lt;&gt;"",
IF($B$1="Contract NY",VLOOKUP(B37,'Raw BOM'!$A$3:$N$495,8,FALSE),
IF($B$1="Contract FL",VLOOKUP(B37,'Raw BOM'!$A$3:$N$495,10,FALSE),
IF($B$1="Contract LA",VLOOKUP(B37,'Raw BOM'!$A$3:$N$495,12,FALSE),
IF($B$1="Contract FL",VLOOKUP(B37,'Raw BOM'!$A$3:$N$495,14,FALSE),
VLOOKUP(B37,'Raw BOM'!$A$3:$B$495,2,FALSE))))), IF(E37&lt;&gt;"","Misc",""))</f>
        <v>Maint-9X5-Remote</v>
      </c>
      <c r="B37" s="170" t="s">
        <v>127</v>
      </c>
      <c r="C37" s="171">
        <v>0</v>
      </c>
      <c r="D37" s="176">
        <v>960</v>
      </c>
      <c r="E37" s="173" t="s">
        <v>128</v>
      </c>
      <c r="F37" s="193">
        <f>ROUND(S41*0.12,-1)</f>
        <v>690</v>
      </c>
      <c r="G37" s="315" t="str">
        <f>A37</f>
        <v>Maint-9X5-Remote</v>
      </c>
      <c r="H37" s="316"/>
      <c r="I37" s="317" t="str">
        <f>IF(B37&lt;&gt;"", B37, "")&amp;IF(E37&lt;&gt;"", "   *** "&amp;E37, "")</f>
        <v>Maintenance-9 X 5 (8am - 5pm, M-F) Remote with Cross Ship   *** Software and Hardware Coverage, per system</v>
      </c>
      <c r="J37" s="317"/>
      <c r="K37" s="317" t="str">
        <f>E37</f>
        <v>Software and Hardware Coverage, per system</v>
      </c>
      <c r="L37" s="317"/>
      <c r="M37" s="317" t="str">
        <f t="shared" ref="M37:M39" si="29">G37</f>
        <v>Maint-9X5-Remote</v>
      </c>
      <c r="N37" s="317"/>
      <c r="O37" s="317" t="str">
        <f t="shared" ref="O37:O39" si="30">I37</f>
        <v>Maintenance-9 X 5 (8am - 5pm, M-F) Remote with Cross Ship   *** Software and Hardware Coverage, per system</v>
      </c>
      <c r="P37" s="317"/>
      <c r="Q37" s="99">
        <f>IF(C37="", "", C37)</f>
        <v>0</v>
      </c>
      <c r="R37" s="319">
        <f>IF(C37="", "",IF(D37&lt;&gt;0,D37,
IF($E$1="Contract NY", VLOOKUP(B37,'Raw BOM'!$A$3:$G$495,7,FALSE),
IF($E$1="Contract FL", VLOOKUP(B37,'Raw BOM'!$A$3:$I$495,9,FALSE),
IF($E$1="Contract LA", VLOOKUP(B37,'Raw BOM'!$A$3:$K$495,11,FALSE),
IF($E$1="Contract WA", VLOOKUP(B37,'Raw BOM'!$A$3:$M$495,13,FALSE),
VLOOKUP(B37,'Raw BOM'!$A$3:$D$495,4,FALSE)))))))</f>
        <v>960</v>
      </c>
      <c r="S37" s="319" t="str">
        <f t="shared" si="14"/>
        <v>Maint-9X5-Remote</v>
      </c>
      <c r="T37" s="318">
        <f>IF(C37="", "", Q37*R37)</f>
        <v>0</v>
      </c>
      <c r="U37" s="318" t="str">
        <f t="shared" ref="U37" si="31">O37</f>
        <v>Maintenance-9 X 5 (8am - 5pm, M-F) Remote with Cross Ship   *** Software and Hardware Coverage, per system</v>
      </c>
      <c r="V37" s="49" t="str">
        <f>IF(C37="","", VLOOKUP(B37,'Raw BOM'!$A$3:$F$495,6,FALSE))</f>
        <v>No</v>
      </c>
      <c r="X37" s="232">
        <f t="shared" si="9"/>
        <v>0</v>
      </c>
      <c r="Y37" s="199"/>
      <c r="Z37" s="47"/>
      <c r="AA37" s="182"/>
      <c r="AB37" s="182"/>
      <c r="AC37" s="233" t="str">
        <f>IF(B37&lt;&gt;"", VLOOKUP(B37,'Raw BOM'!$A$3:$B$495,2,FALSE), IF(E37&lt;&gt;"","Misc",""))</f>
        <v>Maint-9X5-Remote</v>
      </c>
    </row>
    <row r="38" spans="1:30" s="1" customFormat="1" ht="30" customHeight="1" x14ac:dyDescent="0.25">
      <c r="A38" s="248" t="str">
        <f>IF(B38&lt;&gt;"",
IF($B$1="Contract NY",VLOOKUP(B38,'Raw BOM'!$A$3:$N$495,8,FALSE),
IF($B$1="Contract FL",VLOOKUP(B38,'Raw BOM'!$A$3:$N$495,10,FALSE),
IF($B$1="Contract LA",VLOOKUP(B38,'Raw BOM'!$A$3:$N$495,12,FALSE),
IF($B$1="Contract FL",VLOOKUP(B38,'Raw BOM'!$A$3:$N$495,14,FALSE),
VLOOKUP(B38,'Raw BOM'!$A$3:$B$495,2,FALSE))))), IF(E38&lt;&gt;"","Misc",""))</f>
        <v/>
      </c>
      <c r="B38" s="170"/>
      <c r="C38" s="171"/>
      <c r="D38" s="176"/>
      <c r="E38" s="173"/>
      <c r="F38" s="193">
        <f>ROUND(S41*0.18,-1)</f>
        <v>1030</v>
      </c>
      <c r="G38" s="315" t="str">
        <f>A38</f>
        <v/>
      </c>
      <c r="H38" s="316"/>
      <c r="I38" s="317" t="str">
        <f>IF(B38&lt;&gt;"", B38, "")&amp;IF(E38&lt;&gt;"", "   *** "&amp;E38, "")</f>
        <v/>
      </c>
      <c r="J38" s="317"/>
      <c r="K38" s="317">
        <f>E38</f>
        <v>0</v>
      </c>
      <c r="L38" s="317"/>
      <c r="M38" s="317" t="str">
        <f t="shared" si="29"/>
        <v/>
      </c>
      <c r="N38" s="317"/>
      <c r="O38" s="317" t="str">
        <f t="shared" si="30"/>
        <v/>
      </c>
      <c r="P38" s="317"/>
      <c r="Q38" s="99" t="str">
        <f>IF(C38="", "", C38)</f>
        <v/>
      </c>
      <c r="R38" s="319" t="str">
        <f>IF(C38="", "",IF(D38&lt;&gt;0,D38,
IF($E$1="Contract NY", VLOOKUP(B38,'Raw BOM'!$A$3:$G$495,7,FALSE),
IF($E$1="Contract FL", VLOOKUP(B38,'Raw BOM'!$A$3:$I$495,9,FALSE),
IF($E$1="Contract LA", VLOOKUP(B38,'Raw BOM'!$A$3:$K$495,11,FALSE),
IF($E$1="Contract WA", VLOOKUP(B38,'Raw BOM'!$A$3:$M$495,13,FALSE),
VLOOKUP(B38,'Raw BOM'!$A$3:$D$495,4,FALSE)))))))</f>
        <v/>
      </c>
      <c r="S38" s="319" t="str">
        <f t="shared" si="14"/>
        <v/>
      </c>
      <c r="T38" s="318" t="str">
        <f>IF(C38="", "", Q38*R38)</f>
        <v/>
      </c>
      <c r="U38" s="318" t="str">
        <f t="shared" ref="U38" si="32">O38</f>
        <v/>
      </c>
      <c r="V38" s="49" t="str">
        <f>IF(C38="","", VLOOKUP(B38,'Raw BOM'!$A$3:$F$495,6,FALSE))</f>
        <v/>
      </c>
      <c r="X38" s="232">
        <f t="shared" si="9"/>
        <v>0</v>
      </c>
      <c r="Y38" s="199"/>
      <c r="Z38" s="47"/>
      <c r="AA38" s="182"/>
      <c r="AB38" s="182"/>
      <c r="AC38" s="233" t="str">
        <f>IF(B38&lt;&gt;"", VLOOKUP(B38,'Raw BOM'!$A$3:$B$495,2,FALSE), IF(E38&lt;&gt;"","Misc",""))</f>
        <v/>
      </c>
    </row>
    <row r="39" spans="1:30" s="1" customFormat="1" ht="30" customHeight="1" thickBot="1" x14ac:dyDescent="0.3">
      <c r="A39" s="248" t="str">
        <f>IF(B39&lt;&gt;"",
IF($B$1="Contract NY",VLOOKUP(B39,'Raw BOM'!$A$3:$N$495,8,FALSE),
IF($B$1="Contract FL",VLOOKUP(B39,'Raw BOM'!$A$3:$N$495,10,FALSE),
IF($B$1="Contract LA",VLOOKUP(B39,'Raw BOM'!$A$3:$N$495,12,FALSE),
IF($B$1="Contract FL",VLOOKUP(B39,'Raw BOM'!$A$3:$N$495,14,FALSE),
VLOOKUP(B39,'Raw BOM'!$A$3:$B$495,2,FALSE))))), IF(E39&lt;&gt;"","Misc",""))</f>
        <v/>
      </c>
      <c r="B39" s="174"/>
      <c r="C39" s="175"/>
      <c r="D39" s="178"/>
      <c r="E39" s="173"/>
      <c r="F39" s="193">
        <f>ROUND(S41*0.24,-1)</f>
        <v>1370</v>
      </c>
      <c r="G39" s="369" t="str">
        <f>A39</f>
        <v/>
      </c>
      <c r="H39" s="370"/>
      <c r="I39" s="371" t="str">
        <f>IF(B39&lt;&gt;"", B39, "")&amp;IF(E39&lt;&gt;"", "   *** "&amp;E39, "")</f>
        <v/>
      </c>
      <c r="J39" s="371"/>
      <c r="K39" s="371">
        <f>E39</f>
        <v>0</v>
      </c>
      <c r="L39" s="371"/>
      <c r="M39" s="371" t="str">
        <f t="shared" si="29"/>
        <v/>
      </c>
      <c r="N39" s="371"/>
      <c r="O39" s="371" t="str">
        <f t="shared" si="30"/>
        <v/>
      </c>
      <c r="P39" s="371"/>
      <c r="Q39" s="96" t="str">
        <f>IF(C39="", "", C39)</f>
        <v/>
      </c>
      <c r="R39" s="372" t="str">
        <f>IF(C39="", "",IF(D39&lt;&gt;0,D39,
IF($E$1="Contract NY", VLOOKUP(B39,'Raw BOM'!$A$3:$G$495,7,FALSE),
IF($E$1="Contract FL", VLOOKUP(B39,'Raw BOM'!$A$3:$I$495,9,FALSE),
IF($E$1="Contract LA", VLOOKUP(B39,'Raw BOM'!$A$3:$K$495,11,FALSE),
IF($E$1="Contract WA", VLOOKUP(B39,'Raw BOM'!$A$3:$M$495,13,FALSE),
VLOOKUP(B39,'Raw BOM'!$A$3:$D$495,4,FALSE)))))))</f>
        <v/>
      </c>
      <c r="S39" s="372" t="str">
        <f t="shared" si="14"/>
        <v/>
      </c>
      <c r="T39" s="373" t="str">
        <f>IF(C39="", "", Q39*R39)</f>
        <v/>
      </c>
      <c r="U39" s="373" t="str">
        <f t="shared" ref="U39" si="33">O39</f>
        <v/>
      </c>
      <c r="V39" s="55" t="str">
        <f>IF(C39="","", VLOOKUP(B39,'Raw BOM'!$A$3:$F$495,6,FALSE))</f>
        <v/>
      </c>
      <c r="X39" s="234">
        <f t="shared" si="9"/>
        <v>0</v>
      </c>
      <c r="Y39" s="235"/>
      <c r="Z39" s="236"/>
      <c r="AA39" s="237"/>
      <c r="AB39" s="237"/>
      <c r="AC39" s="238" t="str">
        <f>IF(B39&lt;&gt;"", VLOOKUP(B39,'Raw BOM'!$A$3:$B$495,2,FALSE), IF(E39&lt;&gt;"","Misc",""))</f>
        <v/>
      </c>
    </row>
    <row r="40" spans="1:30" ht="5.25" customHeight="1" thickTop="1" thickBot="1" x14ac:dyDescent="0.3">
      <c r="D40" s="35"/>
    </row>
    <row r="41" spans="1:30" ht="17.25" customHeight="1" outlineLevel="1" thickBot="1" x14ac:dyDescent="0.3">
      <c r="A41" s="65"/>
      <c r="B41" s="65"/>
      <c r="C41" s="65"/>
      <c r="D41" s="65"/>
      <c r="E41" s="65"/>
      <c r="G41" s="329" t="s">
        <v>129</v>
      </c>
      <c r="H41" s="330"/>
      <c r="I41" s="330"/>
      <c r="J41" s="330"/>
      <c r="K41" s="330"/>
      <c r="L41" s="330"/>
      <c r="M41" s="331"/>
      <c r="N41" s="338" t="s">
        <v>130</v>
      </c>
      <c r="O41" s="339"/>
      <c r="P41" s="57"/>
      <c r="Q41" s="57"/>
      <c r="R41" s="58" t="s">
        <v>131</v>
      </c>
      <c r="S41" s="323">
        <f>SUMIF(T19:U35,"&gt;0")</f>
        <v>5720</v>
      </c>
      <c r="T41" s="324"/>
      <c r="U41" s="325"/>
      <c r="V41" s="200"/>
      <c r="Y41" s="195"/>
    </row>
    <row r="42" spans="1:30" ht="17.25" customHeight="1" outlineLevel="1" thickBot="1" x14ac:dyDescent="0.3">
      <c r="A42" s="65"/>
      <c r="B42" s="65"/>
      <c r="C42" s="65"/>
      <c r="D42" s="65"/>
      <c r="E42" s="65"/>
      <c r="G42" s="332"/>
      <c r="H42" s="333"/>
      <c r="I42" s="333"/>
      <c r="J42" s="333"/>
      <c r="K42" s="333"/>
      <c r="L42" s="333"/>
      <c r="M42" s="334"/>
      <c r="N42" s="338" t="str">
        <f>"PT: "&amp;LEFT(B1,2)&amp;RIGHT(B1,2)</f>
        <v>PT: Apte</v>
      </c>
      <c r="O42" s="339"/>
      <c r="P42" s="57"/>
      <c r="Q42" s="57"/>
      <c r="R42" s="58" t="str">
        <f>IF(X42&gt;0,"Discount on Taxable Items:", "")</f>
        <v>Discount on Taxable Items:</v>
      </c>
      <c r="S42" s="326">
        <f>IF(X42&gt;0, -X42, 0)</f>
        <v>-546</v>
      </c>
      <c r="T42" s="327"/>
      <c r="U42" s="328"/>
      <c r="V42" s="253">
        <f>IF(S42&lt;&gt;"", S42/S41, "")</f>
        <v>-9.5454545454545459E-2</v>
      </c>
      <c r="W42">
        <f>SUMIF(T19:U35,"&lt;0"&amp;V19&amp;"&lt;&gt;Yes")</f>
        <v>0</v>
      </c>
      <c r="X42" s="183">
        <f>SUM(AA19:AA39)</f>
        <v>546</v>
      </c>
      <c r="Y42" s="195"/>
    </row>
    <row r="43" spans="1:30" ht="17.25" customHeight="1" outlineLevel="1" thickBot="1" x14ac:dyDescent="0.3">
      <c r="A43" s="65"/>
      <c r="B43" s="65"/>
      <c r="C43" s="65"/>
      <c r="D43" s="65"/>
      <c r="E43" s="65"/>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3">
        <f>IF(S43&lt;&gt;"", S43/S41, "")</f>
        <v>-0.22538461538461541</v>
      </c>
      <c r="X43" s="183">
        <f>SUM(AB19:AB39)</f>
        <v>1289.2</v>
      </c>
      <c r="AD43">
        <f>IFERROR(SUMIF(T19:U35,"&lt;0"),0)</f>
        <v>0</v>
      </c>
    </row>
    <row r="44" spans="1:30" ht="17.25" customHeight="1" outlineLevel="1" thickBot="1" x14ac:dyDescent="0.3">
      <c r="A44" s="65"/>
      <c r="B44" s="65"/>
      <c r="C44" s="65"/>
      <c r="D44" s="65"/>
      <c r="E44" s="65"/>
      <c r="G44" s="332"/>
      <c r="H44" s="333"/>
      <c r="I44" s="333"/>
      <c r="J44" s="333"/>
      <c r="K44" s="333"/>
      <c r="L44" s="333"/>
      <c r="M44" s="334"/>
      <c r="N44" s="56"/>
      <c r="P44" s="57"/>
      <c r="R44" s="58" t="s">
        <v>132</v>
      </c>
      <c r="S44" s="323">
        <f>SUM(T36:U39)</f>
        <v>0</v>
      </c>
      <c r="T44" s="324"/>
      <c r="U44" s="325"/>
      <c r="V44" s="203"/>
      <c r="X44" s="183"/>
    </row>
    <row r="45" spans="1:30" ht="17.25" customHeight="1" outlineLevel="1" thickBot="1" x14ac:dyDescent="0.3">
      <c r="A45" s="65"/>
      <c r="B45" s="65"/>
      <c r="C45" s="65"/>
      <c r="D45" s="65"/>
      <c r="E45" s="65"/>
      <c r="G45" s="332"/>
      <c r="H45" s="333"/>
      <c r="I45" s="333"/>
      <c r="J45" s="333"/>
      <c r="K45" s="333"/>
      <c r="L45" s="333"/>
      <c r="M45" s="334"/>
      <c r="N45" s="56"/>
      <c r="P45" s="57"/>
      <c r="Q45" s="57"/>
      <c r="R45" s="58" t="s">
        <v>133</v>
      </c>
      <c r="S45" s="326" t="str">
        <f>IF(B11=0, "Tax Exempt", X45)</f>
        <v>Tax Exempt</v>
      </c>
      <c r="T45" s="327"/>
      <c r="U45" s="328"/>
      <c r="V45" s="254">
        <f>B11</f>
        <v>0</v>
      </c>
      <c r="X45" s="183">
        <f>IF(ISNUMBER(SEARCH(", WA",B10)), SUM(S41:U44)*B11, SUM(X19:X39))</f>
        <v>0</v>
      </c>
    </row>
    <row r="46" spans="1:30" ht="17.25" customHeight="1" outlineLevel="1" thickBot="1" x14ac:dyDescent="0.3">
      <c r="A46" s="65"/>
      <c r="B46" s="65"/>
      <c r="C46" s="65"/>
      <c r="D46" s="65"/>
      <c r="E46" s="65"/>
      <c r="G46" s="335"/>
      <c r="H46" s="336"/>
      <c r="I46" s="336"/>
      <c r="J46" s="336"/>
      <c r="K46" s="336"/>
      <c r="L46" s="336"/>
      <c r="M46" s="337"/>
      <c r="N46" s="56"/>
      <c r="P46" s="57"/>
      <c r="Q46" s="57"/>
      <c r="R46" s="58" t="s">
        <v>134</v>
      </c>
      <c r="S46" s="320">
        <f>SUM(S41:U45)</f>
        <v>3884.8</v>
      </c>
      <c r="T46" s="321"/>
      <c r="U46" s="322"/>
      <c r="V46" s="202"/>
    </row>
    <row r="47" spans="1:30" ht="5.25" customHeight="1" thickBot="1" x14ac:dyDescent="0.3">
      <c r="A47" s="65"/>
      <c r="B47" s="65"/>
      <c r="C47" s="65"/>
      <c r="D47" s="65"/>
      <c r="E47" s="65"/>
    </row>
    <row r="48" spans="1:30" ht="15" customHeight="1" outlineLevel="1" x14ac:dyDescent="0.25">
      <c r="A48" s="65"/>
      <c r="B48" s="65"/>
      <c r="C48" s="65"/>
      <c r="D48" s="65"/>
      <c r="E48" s="65"/>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65"/>
      <c r="B49" s="65"/>
      <c r="C49" s="65"/>
      <c r="D49" s="65"/>
      <c r="E49" s="65"/>
      <c r="G49" s="309"/>
      <c r="H49" s="310"/>
      <c r="I49" s="310"/>
      <c r="J49" s="310"/>
      <c r="K49" s="310"/>
      <c r="L49" s="310"/>
      <c r="M49" s="310"/>
      <c r="N49" s="310"/>
      <c r="O49" s="310"/>
      <c r="P49" s="310"/>
      <c r="Q49" s="310"/>
      <c r="R49" s="310"/>
      <c r="S49" s="310"/>
      <c r="T49" s="310"/>
      <c r="U49" s="310"/>
      <c r="V49" s="311"/>
    </row>
    <row r="50" spans="1:22" outlineLevel="1" x14ac:dyDescent="0.25">
      <c r="A50" s="65"/>
      <c r="B50" s="65"/>
      <c r="C50" s="65"/>
      <c r="D50" s="65"/>
      <c r="E50" s="65"/>
      <c r="G50" s="309"/>
      <c r="H50" s="310"/>
      <c r="I50" s="310"/>
      <c r="J50" s="310"/>
      <c r="K50" s="310"/>
      <c r="L50" s="310"/>
      <c r="M50" s="310"/>
      <c r="N50" s="310"/>
      <c r="O50" s="310"/>
      <c r="P50" s="310"/>
      <c r="Q50" s="310"/>
      <c r="R50" s="310"/>
      <c r="S50" s="310"/>
      <c r="T50" s="310"/>
      <c r="U50" s="310"/>
      <c r="V50" s="311"/>
    </row>
    <row r="51" spans="1:22" outlineLevel="1" x14ac:dyDescent="0.25">
      <c r="A51" s="65"/>
      <c r="B51" s="65"/>
      <c r="C51" s="65"/>
      <c r="D51" s="65"/>
      <c r="E51" s="65"/>
      <c r="G51" s="309"/>
      <c r="H51" s="310"/>
      <c r="I51" s="310"/>
      <c r="J51" s="310"/>
      <c r="K51" s="310"/>
      <c r="L51" s="310"/>
      <c r="M51" s="310"/>
      <c r="N51" s="310"/>
      <c r="O51" s="310"/>
      <c r="P51" s="310"/>
      <c r="Q51" s="310"/>
      <c r="R51" s="310"/>
      <c r="S51" s="310"/>
      <c r="T51" s="310"/>
      <c r="U51" s="310"/>
      <c r="V51" s="311"/>
    </row>
    <row r="52" spans="1:22" outlineLevel="1" x14ac:dyDescent="0.25">
      <c r="A52" s="65"/>
      <c r="B52" s="65"/>
      <c r="C52" s="65"/>
      <c r="D52" s="65"/>
      <c r="E52" s="65"/>
      <c r="G52" s="309"/>
      <c r="H52" s="310"/>
      <c r="I52" s="310"/>
      <c r="J52" s="310"/>
      <c r="K52" s="310"/>
      <c r="L52" s="310"/>
      <c r="M52" s="310"/>
      <c r="N52" s="310"/>
      <c r="O52" s="310"/>
      <c r="P52" s="310"/>
      <c r="Q52" s="310"/>
      <c r="R52" s="310"/>
      <c r="S52" s="310"/>
      <c r="T52" s="310"/>
      <c r="U52" s="310"/>
      <c r="V52" s="311"/>
    </row>
    <row r="53" spans="1:22" outlineLevel="1" x14ac:dyDescent="0.25">
      <c r="A53" s="65"/>
      <c r="B53" s="65"/>
      <c r="C53" s="65"/>
      <c r="D53" s="65"/>
      <c r="E53" s="65"/>
      <c r="G53" s="309"/>
      <c r="H53" s="310"/>
      <c r="I53" s="310"/>
      <c r="J53" s="310"/>
      <c r="K53" s="310"/>
      <c r="L53" s="310"/>
      <c r="M53" s="310"/>
      <c r="N53" s="310"/>
      <c r="O53" s="310"/>
      <c r="P53" s="310"/>
      <c r="Q53" s="310"/>
      <c r="R53" s="310"/>
      <c r="S53" s="310"/>
      <c r="T53" s="310"/>
      <c r="U53" s="310"/>
      <c r="V53" s="311"/>
    </row>
    <row r="54" spans="1:22" ht="15.75" outlineLevel="1" thickBot="1" x14ac:dyDescent="0.3">
      <c r="A54" s="65"/>
      <c r="B54" s="65"/>
      <c r="C54" s="65"/>
      <c r="D54" s="65"/>
      <c r="E54" s="65"/>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36">
    <mergeCell ref="I31:P31"/>
    <mergeCell ref="R31:S31"/>
    <mergeCell ref="T31:U31"/>
    <mergeCell ref="C3:D3"/>
    <mergeCell ref="G39:H39"/>
    <mergeCell ref="I39:P39"/>
    <mergeCell ref="R39:S39"/>
    <mergeCell ref="T39:U39"/>
    <mergeCell ref="R18:S18"/>
    <mergeCell ref="T18:U18"/>
    <mergeCell ref="G19:H19"/>
    <mergeCell ref="I19:P19"/>
    <mergeCell ref="T19:U19"/>
    <mergeCell ref="R19:S19"/>
    <mergeCell ref="I25:P25"/>
    <mergeCell ref="R20:S20"/>
    <mergeCell ref="R21:S21"/>
    <mergeCell ref="G26:H26"/>
    <mergeCell ref="I26:P26"/>
    <mergeCell ref="G27:H27"/>
    <mergeCell ref="I27:P27"/>
    <mergeCell ref="G20:H20"/>
    <mergeCell ref="I20:P20"/>
    <mergeCell ref="G21:H21"/>
    <mergeCell ref="I21:P21"/>
    <mergeCell ref="G22:H22"/>
    <mergeCell ref="G31:H31"/>
    <mergeCell ref="P2:U2"/>
    <mergeCell ref="C1:D1"/>
    <mergeCell ref="C2:D2"/>
    <mergeCell ref="C4:D4"/>
    <mergeCell ref="I15:K15"/>
    <mergeCell ref="L15:N15"/>
    <mergeCell ref="G16:H16"/>
    <mergeCell ref="I16:K16"/>
    <mergeCell ref="L16:N16"/>
    <mergeCell ref="O15:P15"/>
    <mergeCell ref="O16:P16"/>
    <mergeCell ref="Q15:R15"/>
    <mergeCell ref="Q16:R16"/>
    <mergeCell ref="P4:U4"/>
    <mergeCell ref="P6:U6"/>
    <mergeCell ref="G6:L6"/>
    <mergeCell ref="G5:L5"/>
    <mergeCell ref="G4:L4"/>
    <mergeCell ref="O8:V8"/>
    <mergeCell ref="O9:V9"/>
    <mergeCell ref="O10:V10"/>
    <mergeCell ref="O11:V11"/>
    <mergeCell ref="O12:V12"/>
    <mergeCell ref="C5:D5"/>
    <mergeCell ref="I22:P22"/>
    <mergeCell ref="G23:H23"/>
    <mergeCell ref="I23:P23"/>
    <mergeCell ref="G24:H24"/>
    <mergeCell ref="I24:P24"/>
    <mergeCell ref="G25:H25"/>
    <mergeCell ref="T20:U20"/>
    <mergeCell ref="T21:U21"/>
    <mergeCell ref="R22:S22"/>
    <mergeCell ref="T22:U22"/>
    <mergeCell ref="R23:S23"/>
    <mergeCell ref="T23:U23"/>
    <mergeCell ref="C10:E10"/>
    <mergeCell ref="G18:H18"/>
    <mergeCell ref="I18:P18"/>
    <mergeCell ref="G8:M8"/>
    <mergeCell ref="G9:M9"/>
    <mergeCell ref="G10:M10"/>
    <mergeCell ref="G11:M11"/>
    <mergeCell ref="G12:M12"/>
    <mergeCell ref="G13:M13"/>
    <mergeCell ref="R33:S33"/>
    <mergeCell ref="T33:U33"/>
    <mergeCell ref="R34:S34"/>
    <mergeCell ref="T34:U34"/>
    <mergeCell ref="R30:S30"/>
    <mergeCell ref="T30:U30"/>
    <mergeCell ref="R32:S32"/>
    <mergeCell ref="T32:U32"/>
    <mergeCell ref="R24:S24"/>
    <mergeCell ref="R25:S25"/>
    <mergeCell ref="R26:S26"/>
    <mergeCell ref="T26:U26"/>
    <mergeCell ref="R27:S27"/>
    <mergeCell ref="T27:U27"/>
    <mergeCell ref="T24:U24"/>
    <mergeCell ref="T25:U25"/>
    <mergeCell ref="S41:U41"/>
    <mergeCell ref="S45:U45"/>
    <mergeCell ref="R35:S35"/>
    <mergeCell ref="T35:U35"/>
    <mergeCell ref="G35:H35"/>
    <mergeCell ref="I35:P35"/>
    <mergeCell ref="G41:M46"/>
    <mergeCell ref="G36:H36"/>
    <mergeCell ref="I36:P36"/>
    <mergeCell ref="R36:S36"/>
    <mergeCell ref="T36:U36"/>
    <mergeCell ref="G37:H37"/>
    <mergeCell ref="I37:P37"/>
    <mergeCell ref="R37:S37"/>
    <mergeCell ref="T37:U37"/>
    <mergeCell ref="G38:H38"/>
    <mergeCell ref="I38:P38"/>
    <mergeCell ref="R38:S38"/>
    <mergeCell ref="T38:U38"/>
    <mergeCell ref="S42:U42"/>
    <mergeCell ref="S43:U43"/>
    <mergeCell ref="N41:O41"/>
    <mergeCell ref="N42:O42"/>
    <mergeCell ref="S44:U44"/>
    <mergeCell ref="C7:D7"/>
    <mergeCell ref="G15:H15"/>
    <mergeCell ref="O13:V13"/>
    <mergeCell ref="S15:V15"/>
    <mergeCell ref="S16:V16"/>
    <mergeCell ref="C11:E11"/>
    <mergeCell ref="G48:V54"/>
    <mergeCell ref="G28:H28"/>
    <mergeCell ref="I28:P28"/>
    <mergeCell ref="G29:H29"/>
    <mergeCell ref="I29:P29"/>
    <mergeCell ref="T29:U29"/>
    <mergeCell ref="R28:S28"/>
    <mergeCell ref="T28:U28"/>
    <mergeCell ref="R29:S29"/>
    <mergeCell ref="G30:H30"/>
    <mergeCell ref="I30:P30"/>
    <mergeCell ref="G32:H32"/>
    <mergeCell ref="I32:P32"/>
    <mergeCell ref="G33:H33"/>
    <mergeCell ref="I33:P33"/>
    <mergeCell ref="G34:H34"/>
    <mergeCell ref="I34:P34"/>
    <mergeCell ref="S46:U46"/>
  </mergeCells>
  <conditionalFormatting sqref="B21:E21">
    <cfRule type="expression" dxfId="5" priority="2">
      <formula>LEFT($A21,7)&lt;&gt;"HW-Scan"</formula>
    </cfRule>
  </conditionalFormatting>
  <conditionalFormatting sqref="D36:D39">
    <cfRule type="expression" dxfId="4" priority="1">
      <formula>D36&lt;&gt;F36</formula>
    </cfRule>
  </conditionalFormatting>
  <conditionalFormatting sqref="G19:V39">
    <cfRule type="expression" dxfId="3" priority="4">
      <formula>OR($Q19=0,$Q19="")</formula>
    </cfRule>
  </conditionalFormatting>
  <printOptions horizontalCentered="1" verticalCentered="1"/>
  <pageMargins left="0.5" right="0.25" top="0.25" bottom="0.25" header="0.1" footer="0.1"/>
  <pageSetup scale="67"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'Pricing Model'!$A$2:$A$24</xm:f>
          </x14:formula1>
          <xm:sqref>B1</xm:sqref>
        </x14:dataValidation>
        <x14:dataValidation type="list" allowBlank="1" showInputMessage="1" showErrorMessage="1" xr:uid="{00000000-0002-0000-0000-000001000000}">
          <x14:formula1>
            <xm:f>'Raw BOM'!$A$3:$A$260</xm:f>
          </x14:formula1>
          <xm:sqref>B19:B39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F5360"/>
  <sheetViews>
    <sheetView topLeftCell="G19" zoomScale="85" zoomScaleNormal="85" workbookViewId="0">
      <selection activeCell="V41" sqref="V4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9.42578125"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7" style="16" customWidth="1"/>
    <col min="23" max="23" width="4.42578125" customWidth="1"/>
    <col min="24" max="26" width="5.5703125" style="180" hidden="1" customWidth="1" outlineLevel="1"/>
    <col min="27" max="27" width="9.85546875" style="180" hidden="1" customWidth="1" outlineLevel="1"/>
    <col min="28" max="28" width="12.42578125" style="180" hidden="1" customWidth="1" outlineLevel="1"/>
    <col min="29" max="29" width="13.42578125" style="180" hidden="1" customWidth="1" outlineLevel="1"/>
    <col min="30" max="30" width="7.42578125" style="180" hidden="1" customWidth="1" outlineLevel="1"/>
    <col min="31" max="31" width="8.42578125" style="180" hidden="1" customWidth="1" outlineLevel="1"/>
    <col min="32" max="32" width="9.42578125" collapsed="1"/>
  </cols>
  <sheetData>
    <row r="1" spans="1:22" ht="18" customHeight="1" outlineLevel="1" thickTop="1" thickBot="1" x14ac:dyDescent="0.3">
      <c r="A1" s="13" t="s">
        <v>55</v>
      </c>
      <c r="B1" s="14" t="s">
        <v>135</v>
      </c>
      <c r="C1" s="392" t="s">
        <v>57</v>
      </c>
      <c r="D1" s="393"/>
      <c r="E1" s="15" t="str">
        <f>VLOOKUP(B1,'Pricing Model'!A1:C21,3)</f>
        <v>Discount Based</v>
      </c>
    </row>
    <row r="2" spans="1:22" ht="18" customHeight="1" outlineLevel="1" thickBot="1" x14ac:dyDescent="0.3">
      <c r="A2" s="17" t="s">
        <v>58</v>
      </c>
      <c r="B2" s="18" t="str">
        <f>'Blank Quote'!B2</f>
        <v>Command International Security Services</v>
      </c>
      <c r="C2" s="394" t="s">
        <v>59</v>
      </c>
      <c r="D2" s="395"/>
      <c r="E2" s="19">
        <f>IF(E1="Discount Based", VLOOKUP(B1,'Pricing Model'!A1:D21,4), "")</f>
        <v>0.22</v>
      </c>
      <c r="P2" s="356" t="s">
        <v>136</v>
      </c>
      <c r="Q2" s="356"/>
      <c r="R2" s="356"/>
      <c r="S2" s="356"/>
      <c r="T2" s="356"/>
      <c r="U2" s="356"/>
    </row>
    <row r="3" spans="1:22" ht="18" customHeight="1" outlineLevel="1" x14ac:dyDescent="0.25">
      <c r="A3" s="17" t="s">
        <v>61</v>
      </c>
      <c r="B3" s="18" t="str">
        <f>'Blank Quote'!B3</f>
        <v>Amira Hossain</v>
      </c>
      <c r="C3" s="394" t="s">
        <v>62</v>
      </c>
      <c r="D3" s="395"/>
      <c r="E3" s="19">
        <f>IF(E1="Discount Based", VLOOKUP(B1,'Pricing Model'!A1:E21,5), "")</f>
        <v>0.46</v>
      </c>
    </row>
    <row r="4" spans="1:22" ht="18" customHeight="1" outlineLevel="1" x14ac:dyDescent="0.25">
      <c r="A4" s="20" t="s">
        <v>67</v>
      </c>
      <c r="B4" s="21" t="str">
        <f>'Blank Quote'!B4</f>
        <v>(747) 366-0211 | manny@commandinternationalsecurity.com</v>
      </c>
      <c r="C4" s="394" t="s">
        <v>64</v>
      </c>
      <c r="D4" s="395"/>
      <c r="E4" s="19" t="str">
        <f>IF(E1="Cost Based", VLOOKUP(B1,'Pricing Model'!A1:F21,6), "")</f>
        <v/>
      </c>
      <c r="G4" s="368" t="s">
        <v>65</v>
      </c>
      <c r="H4" s="368"/>
      <c r="I4" s="368"/>
      <c r="J4" s="368"/>
      <c r="K4" s="368"/>
      <c r="L4" s="368"/>
      <c r="M4" s="22"/>
      <c r="P4" s="367" t="s">
        <v>66</v>
      </c>
      <c r="Q4" s="367"/>
      <c r="R4" s="367"/>
      <c r="S4" s="367"/>
      <c r="T4" s="367"/>
      <c r="U4" s="367"/>
    </row>
    <row r="5" spans="1:22" ht="18" customHeight="1" outlineLevel="1" thickBot="1" x14ac:dyDescent="0.3">
      <c r="A5" s="20" t="s">
        <v>137</v>
      </c>
      <c r="B5" s="21" t="str">
        <f>'Blank Quote'!B5</f>
        <v>MID-VALLEY PROFESSIONAL BUILDING</v>
      </c>
      <c r="C5" s="390" t="s">
        <v>68</v>
      </c>
      <c r="D5" s="391"/>
      <c r="E5" s="23" t="str">
        <f>IF(E1="Cost Based", VLOOKUP(B1,'Pricing Model'!A1:G21,7), "")</f>
        <v/>
      </c>
      <c r="G5" s="368" t="s">
        <v>69</v>
      </c>
      <c r="H5" s="368"/>
      <c r="I5" s="368"/>
      <c r="J5" s="368"/>
      <c r="K5" s="368"/>
      <c r="L5" s="368"/>
      <c r="M5" s="22"/>
    </row>
    <row r="6" spans="1:22" ht="18" customHeight="1" outlineLevel="1" thickBot="1" x14ac:dyDescent="0.3">
      <c r="A6" s="20" t="s">
        <v>12</v>
      </c>
      <c r="B6" s="24" t="str">
        <f>'Blank Quote'!B6</f>
        <v>6819 Sepulveda Blvd, Van Nuys, CA 91405</v>
      </c>
      <c r="C6" s="25"/>
      <c r="D6" s="25"/>
      <c r="E6" s="25"/>
      <c r="G6" s="368" t="s">
        <v>70</v>
      </c>
      <c r="H6" s="368"/>
      <c r="I6" s="368"/>
      <c r="J6" s="368"/>
      <c r="K6" s="368"/>
      <c r="L6" s="368"/>
      <c r="M6" s="22"/>
      <c r="P6" s="367" t="s">
        <v>71</v>
      </c>
      <c r="Q6" s="367"/>
      <c r="R6" s="367"/>
      <c r="S6" s="367"/>
      <c r="T6" s="367"/>
      <c r="U6" s="367"/>
    </row>
    <row r="7" spans="1:22" ht="18" customHeight="1" outlineLevel="1" thickBot="1" x14ac:dyDescent="0.4">
      <c r="A7" s="17" t="s">
        <v>72</v>
      </c>
      <c r="B7" s="18" t="str">
        <f>'Blank Quote'!B7</f>
        <v>Amira Hossain</v>
      </c>
      <c r="C7" s="25"/>
      <c r="D7" s="25"/>
      <c r="E7" s="25"/>
      <c r="G7" s="26"/>
    </row>
    <row r="8" spans="1:22" ht="18" customHeight="1" outlineLevel="1" thickBot="1" x14ac:dyDescent="0.35">
      <c r="A8" s="20" t="s">
        <v>77</v>
      </c>
      <c r="B8" s="21" t="str">
        <f>'Blank Quote'!B8</f>
        <v>(747) 366-0211 | manny@commandinternationalsecurity.com</v>
      </c>
      <c r="C8" s="25"/>
      <c r="D8" s="25"/>
      <c r="E8" s="25"/>
      <c r="G8" s="350" t="s">
        <v>75</v>
      </c>
      <c r="H8" s="351"/>
      <c r="I8" s="351"/>
      <c r="J8" s="351"/>
      <c r="K8" s="351"/>
      <c r="L8" s="351"/>
      <c r="M8" s="352"/>
      <c r="O8" s="350" t="s">
        <v>76</v>
      </c>
      <c r="P8" s="351"/>
      <c r="Q8" s="351"/>
      <c r="R8" s="351"/>
      <c r="S8" s="351"/>
      <c r="T8" s="351"/>
      <c r="U8" s="351"/>
      <c r="V8" s="352"/>
    </row>
    <row r="9" spans="1:22" ht="18" customHeight="1" outlineLevel="1" x14ac:dyDescent="0.25">
      <c r="A9" s="20" t="s">
        <v>137</v>
      </c>
      <c r="B9" s="21" t="str">
        <f>'Blank Quote'!B9</f>
        <v>MID-VALLEY PROFESSIONAL BUILDING</v>
      </c>
      <c r="C9" s="25"/>
      <c r="D9" s="25"/>
      <c r="E9" s="25"/>
      <c r="G9" s="353" t="str">
        <f>IF('Blank Quote'!B2="", "", 'Blank Quote'!B2)</f>
        <v>Command International Security Services</v>
      </c>
      <c r="H9" s="354"/>
      <c r="I9" s="354"/>
      <c r="J9" s="354"/>
      <c r="K9" s="354"/>
      <c r="L9" s="354"/>
      <c r="M9" s="355"/>
      <c r="O9" s="340" t="str">
        <f>IF('Blank Quote'!B2="", "", 'Blank Quote'!B2)</f>
        <v>Command International Security Services</v>
      </c>
      <c r="P9" s="341"/>
      <c r="Q9" s="341"/>
      <c r="R9" s="341"/>
      <c r="S9" s="341"/>
      <c r="T9" s="341"/>
      <c r="U9" s="341"/>
      <c r="V9" s="342"/>
    </row>
    <row r="10" spans="1:22" ht="18" customHeight="1" outlineLevel="1" thickBot="1" x14ac:dyDescent="0.3">
      <c r="A10" s="27" t="s">
        <v>12</v>
      </c>
      <c r="B10" s="24" t="str">
        <f>'Blank Quote'!B10</f>
        <v>6819 Sepulveda Blvd, Van Nuys, CA 91405</v>
      </c>
      <c r="C10" s="25"/>
      <c r="D10" s="25"/>
      <c r="E10" s="25"/>
      <c r="G10" s="340" t="str">
        <f>IF('Blank Quote'!B3="", "", 'Blank Quote'!B3)</f>
        <v>Amira Hossain</v>
      </c>
      <c r="H10" s="341"/>
      <c r="I10" s="341"/>
      <c r="J10" s="341"/>
      <c r="K10" s="341"/>
      <c r="L10" s="341"/>
      <c r="M10" s="342"/>
      <c r="O10" s="340" t="str">
        <f>IF('Blank Quote'!B7="", "", 'Blank Quote'!B7)</f>
        <v>Amira Hossain</v>
      </c>
      <c r="P10" s="341"/>
      <c r="Q10" s="341"/>
      <c r="R10" s="341"/>
      <c r="S10" s="341"/>
      <c r="T10" s="341"/>
      <c r="U10" s="341"/>
      <c r="V10" s="342"/>
    </row>
    <row r="11" spans="1:22" ht="18" customHeight="1" outlineLevel="1" thickBot="1" x14ac:dyDescent="0.3">
      <c r="A11" s="27" t="s">
        <v>79</v>
      </c>
      <c r="B11" s="28">
        <v>0</v>
      </c>
      <c r="C11" s="25"/>
      <c r="D11" s="25"/>
      <c r="E11" s="25"/>
      <c r="G11" s="340" t="str">
        <f>IF('Blank Quote'!B4="", "", 'Blank Quote'!B4)</f>
        <v>(747) 366-0211 | manny@commandinternationalsecurity.com</v>
      </c>
      <c r="H11" s="341"/>
      <c r="I11" s="341"/>
      <c r="J11" s="341"/>
      <c r="K11" s="341"/>
      <c r="L11" s="341"/>
      <c r="M11" s="342"/>
      <c r="O11" s="340" t="str">
        <f>IF('Blank Quote'!B8="", "", 'Blank Quote'!B8)</f>
        <v>(747) 366-0211 | manny@commandinternationalsecurity.com</v>
      </c>
      <c r="P11" s="341"/>
      <c r="Q11" s="341"/>
      <c r="R11" s="341"/>
      <c r="S11" s="341"/>
      <c r="T11" s="341"/>
      <c r="U11" s="341"/>
      <c r="V11" s="342"/>
    </row>
    <row r="12" spans="1:22" ht="18" customHeight="1" outlineLevel="1" thickBot="1" x14ac:dyDescent="0.3">
      <c r="A12" s="13" t="s">
        <v>34</v>
      </c>
      <c r="B12" s="29" t="str">
        <f>'Blank Quote'!B12</f>
        <v>EC</v>
      </c>
      <c r="C12" s="25"/>
      <c r="D12" s="25"/>
      <c r="E12" s="25"/>
      <c r="G12" s="340" t="str">
        <f>IF('Blank Quote'!B5="", "", 'Blank Quote'!B5)</f>
        <v>MID-VALLEY PROFESSIONAL BUILDING</v>
      </c>
      <c r="H12" s="341"/>
      <c r="I12" s="341"/>
      <c r="J12" s="341"/>
      <c r="K12" s="341"/>
      <c r="L12" s="341"/>
      <c r="M12" s="342"/>
      <c r="O12" s="340" t="str">
        <f>IF('Blank Quote'!B9="", "", 'Blank Quote'!B9)</f>
        <v>MID-VALLEY PROFESSIONAL BUILDING</v>
      </c>
      <c r="P12" s="341"/>
      <c r="Q12" s="341"/>
      <c r="R12" s="341"/>
      <c r="S12" s="341"/>
      <c r="T12" s="341"/>
      <c r="U12" s="341"/>
      <c r="V12" s="342"/>
    </row>
    <row r="13" spans="1:22" ht="18" customHeight="1" outlineLevel="1" thickBot="1" x14ac:dyDescent="0.3">
      <c r="A13" s="13" t="s">
        <v>82</v>
      </c>
      <c r="B13" s="30" t="str">
        <f>'Blank Quote'!B13</f>
        <v>Ground</v>
      </c>
      <c r="C13" s="25"/>
      <c r="D13" s="25"/>
      <c r="E13" s="25"/>
      <c r="G13" s="295" t="str">
        <f>IF('Blank Quote'!B6="", "", 'Blank Quote'!B6)</f>
        <v>6819 Sepulveda Blvd, Van Nuys, CA 91405</v>
      </c>
      <c r="H13" s="296"/>
      <c r="I13" s="296"/>
      <c r="J13" s="296"/>
      <c r="K13" s="296"/>
      <c r="L13" s="296"/>
      <c r="M13" s="297"/>
      <c r="O13" s="295" t="str">
        <f>IF('Blank Quote'!B10="", "", 'Blank Quote'!B10)</f>
        <v>6819 Sepulveda Blvd, Van Nuys, CA 91405</v>
      </c>
      <c r="P13" s="296"/>
      <c r="Q13" s="296"/>
      <c r="R13" s="296"/>
      <c r="S13" s="296"/>
      <c r="T13" s="296"/>
      <c r="U13" s="296"/>
      <c r="V13" s="297"/>
    </row>
    <row r="14" spans="1:22" ht="5.25" customHeight="1" outlineLevel="1" thickBot="1" x14ac:dyDescent="0.3">
      <c r="B14" s="31"/>
      <c r="C14" s="25"/>
      <c r="D14" s="25"/>
      <c r="E14" s="25"/>
    </row>
    <row r="15" spans="1:22" ht="16.5" outlineLevel="1" thickBot="1" x14ac:dyDescent="0.3">
      <c r="A15" s="32" t="s">
        <v>84</v>
      </c>
      <c r="B15" s="33" t="str">
        <f>VLOOKUP(B1,'Pricing Model'!A1:J21,10)</f>
        <v>Public</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75" outlineLevel="1" thickBot="1" x14ac:dyDescent="0.3">
      <c r="A16" s="34" t="s">
        <v>91</v>
      </c>
      <c r="B16" s="33">
        <f>VLOOKUP(B1,'Pricing Model'!A1:H21,8)</f>
        <v>0</v>
      </c>
      <c r="C16" s="25"/>
      <c r="D16" s="25"/>
      <c r="E16" s="25"/>
      <c r="G16" s="362">
        <f ca="1">TODAY()</f>
        <v>45140</v>
      </c>
      <c r="H16" s="363"/>
      <c r="I16" s="364">
        <f ca="1">NOW()</f>
        <v>45140.445939351855</v>
      </c>
      <c r="J16" s="365"/>
      <c r="K16" s="366"/>
      <c r="L16" s="301" t="str">
        <f>Distributor!B12</f>
        <v>EC</v>
      </c>
      <c r="M16" s="302"/>
      <c r="N16" s="303"/>
      <c r="O16" s="301" t="str">
        <f>VLOOKUP(B1,'Pricing Model'!A1:I21,9)</f>
        <v>Net 30</v>
      </c>
      <c r="P16" s="303"/>
      <c r="Q16" s="301" t="str">
        <f>B13</f>
        <v>Ground</v>
      </c>
      <c r="R16" s="302"/>
      <c r="S16" s="301" t="str">
        <f>IF(B16&lt;&gt;0,B16,"")</f>
        <v/>
      </c>
      <c r="T16" s="302"/>
      <c r="U16" s="302"/>
      <c r="V16" s="303"/>
    </row>
    <row r="17" spans="1:31" ht="5.25" customHeight="1" outlineLevel="1" thickBot="1" x14ac:dyDescent="0.3">
      <c r="D17" s="35"/>
    </row>
    <row r="18" spans="1:31"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385" t="s">
        <v>98</v>
      </c>
      <c r="Y18" s="385"/>
      <c r="Z18" s="385" t="s">
        <v>97</v>
      </c>
      <c r="AA18" s="385"/>
      <c r="AB18" s="181" t="s">
        <v>101</v>
      </c>
      <c r="AC18" s="181" t="s">
        <v>102</v>
      </c>
      <c r="AD18" s="181" t="s">
        <v>103</v>
      </c>
      <c r="AE18" s="181" t="s">
        <v>104</v>
      </c>
    </row>
    <row r="19" spans="1:31" s="1" customFormat="1" ht="30" customHeight="1" x14ac:dyDescent="0.25">
      <c r="A19" s="41" t="str">
        <f>IF(B19&lt;&gt;"",VLOOKUP(B19,'Raw BOM'!$A$3:$B$495,2,FALSE),IF(E19&lt;&gt;"","Misc",""))</f>
        <v>HW-LT-Std-Home</v>
      </c>
      <c r="B19" s="138" t="str">
        <f>IF('Blank Quote'!B19&lt;&gt;"", 'Blank Quote'!B19, "")</f>
        <v>Hardware-Laptop-Standard with Windows Home Edition</v>
      </c>
      <c r="C19" s="139">
        <f>IF('Blank Quote'!C19&lt;&gt;"", 'Blank Quote'!C19, "")</f>
        <v>1</v>
      </c>
      <c r="D19" s="140" t="str">
        <f>IF('Blank Quote'!D19&lt;&gt;"", 'Blank Quote'!D19, "")</f>
        <v/>
      </c>
      <c r="E19" s="141" t="str">
        <f>IF('Blank Quote'!E19&lt;&gt;"", 'Blank Quote'!E19, "")</f>
        <v>Standard with Windows 11</v>
      </c>
      <c r="F19"/>
      <c r="G19" s="386" t="str">
        <f>A19</f>
        <v>HW-LT-Std-Home</v>
      </c>
      <c r="H19" s="387"/>
      <c r="I19" s="388" t="str">
        <f>IF(B19&lt;&gt;"", B19, "")&amp;IF(E19&lt;&gt;"", "   *** "&amp;E19, "")</f>
        <v>Hardware-Laptop-Standard with Windows Home Edition   *** Standard with Windows 11</v>
      </c>
      <c r="J19" s="388"/>
      <c r="K19" s="388"/>
      <c r="L19" s="388"/>
      <c r="M19" s="388"/>
      <c r="N19" s="388"/>
      <c r="O19" s="388"/>
      <c r="P19" s="388"/>
      <c r="Q19" s="136">
        <f>IF(C19="", "", C19)</f>
        <v>1</v>
      </c>
      <c r="R19" s="389">
        <f>IF(C19="","",Z19-SUM(AB19:AC19))</f>
        <v>585</v>
      </c>
      <c r="S19" s="389"/>
      <c r="T19" s="389">
        <f>IF(C19="","",Q19*R19)</f>
        <v>585</v>
      </c>
      <c r="U19" s="389"/>
      <c r="V19" s="137" t="str">
        <f>IF(C19="","", VLOOKUP(B19,'Raw BOM'!$A$3:$F$495,6,FALSE))</f>
        <v>Yes</v>
      </c>
      <c r="X19" s="378">
        <f>IF(C19="", 0, Q19*Z19)</f>
        <v>750</v>
      </c>
      <c r="Y19" s="378">
        <f>O19</f>
        <v>0</v>
      </c>
      <c r="Z19" s="378">
        <f>IF(C19="", 0,IF(D19&lt;&gt;"",D19,
IF($E$1="Contract NY", VLOOKUP(B19,'Raw BOM'!$A$3:$G$495,7,FALSE),
IF($E$1="Contract FL", VLOOKUP(B19,'Raw BOM'!$A$3:$I$495,8,FALSE),
IF($E$1="Contract LA", VLOOKUP(B19,'Raw BOM'!$A$3:$K$495,9,FALSE),
IF($E$1="Contract WA", VLOOKUP(B19,'Raw BOM'!$A$3:$M$495,10,FALSE),
VLOOKUP(B19,'Raw BOM'!$A$3:$D$495,4,FALSE)))))))</f>
        <v>750</v>
      </c>
      <c r="AA19" s="378">
        <f t="shared" ref="AA19" si="0">M19</f>
        <v>0</v>
      </c>
      <c r="AB19" s="182">
        <f>ROUND(
IF(AND(C19&lt;&gt;"", D19="", V19="Yes"),
     IF($E$1="Discount Based",
         Z19*IF(OR(LEFT(A19,2)="HW", LEFT(A19,12)="CMS-Hardware"),
              $E$2,
              IF(AND(LEFT(A19,3)="Sys", LEFT(A177,4)&lt;&gt;"Ship"),
                   ($E$2+$E$3*0.7)/2,
                    0)),
         IF($E$1="Cost Based",
              IF(OR(LEFT(A19,2)="HW", LEFT(A19,12)="CMS-Hardware"),
                   Z19-(1+$E$4)*VLOOKUP(B19,'Raw BOM'!$A$3:$E$492,5,FALSE),
              IF(AND(LEFT(A19,3)="Sys",LEFT(A177,4)&lt;&gt;"Ship"),
                   Z19-(1+($E$4+$E$5*0.7)/2)*VLOOKUP(B19,'Raw BOM'!$A$3:$E$492,5,FALSE),
                   0))))),2)</f>
        <v>165</v>
      </c>
      <c r="AC19" s="47">
        <f>ROUND(
IF(AND(C19&lt;&gt;"", D19="", V19="No"),
     IF($E$1="Discount Based",
         Z19*IF(AND(LEFT(A19,2)&lt;&gt;"HW", LEFT(A19,12)&lt;&gt;"CMS-Hardware",LEFT(A19,3)&lt;&gt;"Sys", LEFT(A177,4)&lt;&gt;"Ship"),
                   $E$3,0),
     IF($E$1="Cost Based",
          IF(AND(LEFT(A19,2)&lt;&gt;"HW", LEFT(A19,12)&lt;&gt;"CMS-Hardware",LEFT(A19,3)&lt;&gt;"Sys", LEFT(A177,4)&lt;&gt;"Ship"),
               Z19-(1+$E$4)*VLOOKUP(B19,'Raw BOM'!$A$3:$E$492,5,FALSE),0),0)),0),2)</f>
        <v>0</v>
      </c>
      <c r="AD19" s="182">
        <f t="shared" ref="AD19:AD39" si="1">IF(AND(AB19&gt;0, AB19&lt;&gt;"", D19&lt;=0),Q19*AB19,0)</f>
        <v>0</v>
      </c>
      <c r="AE19" s="182">
        <f t="shared" ref="AE19:AE39" si="2">IF(AND(AC19&lt;&gt;"",AC19&gt;0, D19&lt;=0),Q19*AC19,0)</f>
        <v>0</v>
      </c>
    </row>
    <row r="20" spans="1:31" s="1" customFormat="1" ht="30" customHeight="1" x14ac:dyDescent="0.25">
      <c r="A20" s="41" t="str">
        <f>IF(B20&lt;&gt;"",VLOOKUP(B20,'Raw BOM'!$A$3:$B$495,2,FALSE),IF(E20&lt;&gt;"","Misc",""))</f>
        <v>LS4G-Applicant-CA</v>
      </c>
      <c r="B20" s="138" t="str">
        <f>IF('Blank Quote'!B20&lt;&gt;"", 'Blank Quote'!B20, "")</f>
        <v>LiveScan 4th Gen Software-Applicant CA TOT Module</v>
      </c>
      <c r="C20" s="139">
        <f>IF('Blank Quote'!C20&lt;&gt;"", 'Blank Quote'!C20, "")</f>
        <v>1</v>
      </c>
      <c r="D20" s="140" t="str">
        <f>IF('Blank Quote'!D20&lt;&gt;"", 'Blank Quote'!D20, "")</f>
        <v/>
      </c>
      <c r="E20" s="141" t="str">
        <f>IF('Blank Quote'!E20&lt;&gt;"", 'Blank Quote'!E20, "")</f>
        <v/>
      </c>
      <c r="F20"/>
      <c r="G20" s="315" t="str">
        <f t="shared" ref="G20:G39" si="3">A20</f>
        <v>LS4G-Applicant-CA</v>
      </c>
      <c r="H20" s="316"/>
      <c r="I20" s="317" t="str">
        <f t="shared" ref="I20:I39" si="4">IF(B20&lt;&gt;"", B20, "")&amp;IF(E20&lt;&gt;"", "   *** "&amp;E20, "")</f>
        <v>LiveScan 4th Gen Software-Applicant CA TOT Module</v>
      </c>
      <c r="J20" s="317"/>
      <c r="K20" s="317"/>
      <c r="L20" s="317"/>
      <c r="M20" s="317"/>
      <c r="N20" s="317"/>
      <c r="O20" s="317"/>
      <c r="P20" s="317"/>
      <c r="Q20" s="99">
        <f t="shared" ref="Q20:Q39" si="5">IF(C20="", "", C20)</f>
        <v>1</v>
      </c>
      <c r="R20" s="377">
        <f t="shared" ref="R20" si="6">IF(C20="","",Z20-SUM(AB20:AC20))</f>
        <v>723.6</v>
      </c>
      <c r="S20" s="377"/>
      <c r="T20" s="377">
        <f t="shared" ref="T20:T39" si="7">IF(C20="","",Q20*R20)</f>
        <v>723.6</v>
      </c>
      <c r="U20" s="377"/>
      <c r="V20" s="49" t="str">
        <f>IF(C20="","", VLOOKUP(B20,'Raw BOM'!$A$3:$F$495,6,FALSE))</f>
        <v>No</v>
      </c>
      <c r="X20" s="378">
        <f t="shared" ref="X20:X36" si="8">IF(C20="", "", Q20*Z20)</f>
        <v>1340</v>
      </c>
      <c r="Y20" s="378"/>
      <c r="Z20" s="378">
        <f>IF(C20="", 0,IF(D20&lt;&gt;"",D20,
IF($E$1="Contract NY", VLOOKUP(B20,'Raw BOM'!$A$3:$G$495,7,FALSE),
IF($E$1="Contract FL", VLOOKUP(B20,'Raw BOM'!$A$3:$I$495,8,FALSE),
IF($E$1="Contract LA", VLOOKUP(B20,'Raw BOM'!$A$3:$K$495,9,FALSE),
IF($E$1="Contract WA", VLOOKUP(B20,'Raw BOM'!$A$3:$M$495,10,FALSE),
VLOOKUP(B20,'Raw BOM'!$A$3:$D$495,4,FALSE)))))))</f>
        <v>1340</v>
      </c>
      <c r="AA20" s="378">
        <f t="shared" ref="AA20" si="9">M20</f>
        <v>0</v>
      </c>
      <c r="AB20" s="182">
        <f>ROUND(
IF(AND(C20&lt;&gt;"", D20="", V20="Yes"),
     IF($E$1="Discount Based",
         Z20*IF(OR(LEFT(A20,2)="HW", LEFT(A20,12)="CMS-Hardware"),
              $E$2,
              IF(AND(LEFT(A20,3)="Sys", LEFT(A178,4)&lt;&gt;"Ship"),
                   ($E$2+$E$3*0.7)/2,
                    0)),
         IF($E$1="Cost Based",
              IF(OR(LEFT(A20,2)="HW", LEFT(A20,12)="CMS-Hardware"),
                   Z20-(1+$E$4)*VLOOKUP(B20,'Raw BOM'!$A$3:$E$492,5,FALSE),
              IF(AND(LEFT(A20,3)="Sys",LEFT(A178,4)&lt;&gt;"Ship"),
                   Z20-(1+($E$4+$E$5*0.7)/2)*VLOOKUP(B20,'Raw BOM'!$A$3:$E$492,5,FALSE),
                   0))))),2)</f>
        <v>0</v>
      </c>
      <c r="AC20" s="47">
        <f>ROUND(
IF(AND(C20&lt;&gt;"", D20="", V20="No"),
     IF($E$1="Discount Based",
         Z20*IF(AND(LEFT(A20,2)&lt;&gt;"HW", LEFT(A20,12)&lt;&gt;"CMS-Hardware",LEFT(A20,3)&lt;&gt;"Sys", LEFT(A178,4)&lt;&gt;"Ship"),
                   $E$3,0),
     IF($E$1="Cost Based",
          IF(AND(LEFT(A20,2)&lt;&gt;"HW", LEFT(A20,12)&lt;&gt;"CMS-Hardware",LEFT(A20,3)&lt;&gt;"Sys", LEFT(A178,4)&lt;&gt;"Ship"),
               Z20-(1+$E$4)*VLOOKUP(B20,'Raw BOM'!$A$3:$E$492,5,FALSE),0),0)),0),2)</f>
        <v>616.4</v>
      </c>
      <c r="AD20" s="182">
        <f t="shared" si="1"/>
        <v>0</v>
      </c>
      <c r="AE20" s="182">
        <f t="shared" si="2"/>
        <v>0</v>
      </c>
    </row>
    <row r="21" spans="1:31" s="1" customFormat="1" ht="30" customHeight="1" x14ac:dyDescent="0.25">
      <c r="A21" s="41" t="str">
        <f>IF(B21&lt;&gt;"",VLOOKUP(B21,'Raw BOM'!$A$3:$B$495,2,FALSE),IF(E21&lt;&gt;"","Misc",""))</f>
        <v>HW-Scan-Patrol</v>
      </c>
      <c r="B21" s="138" t="str">
        <f>IF('Blank Quote'!B21&lt;&gt;"", 'Blank Quote'!B21, "")</f>
        <v>Hardware-Scanner-Crossmatch Patrol</v>
      </c>
      <c r="C21" s="139">
        <f>IF('Blank Quote'!C21&lt;&gt;"", 'Blank Quote'!C21, "")</f>
        <v>1</v>
      </c>
      <c r="D21" s="140" t="str">
        <f>IF('Blank Quote'!D21&lt;&gt;"", 'Blank Quote'!D21, "")</f>
        <v/>
      </c>
      <c r="E21" s="141" t="str">
        <f>IF('Blank Quote'!E21&lt;&gt;"", 'Blank Quote'!E21, "")</f>
        <v/>
      </c>
      <c r="F21"/>
      <c r="G21" s="315" t="str">
        <f t="shared" ref="G21:G35" si="10">A21</f>
        <v>HW-Scan-Patrol</v>
      </c>
      <c r="H21" s="316"/>
      <c r="I21" s="317" t="str">
        <f t="shared" ref="I21:I35" si="11">IF(B21&lt;&gt;"", B21, "")&amp;IF(E21&lt;&gt;"", "   *** "&amp;E21, "")</f>
        <v>Hardware-Scanner-Crossmatch Patrol</v>
      </c>
      <c r="J21" s="317"/>
      <c r="K21" s="317"/>
      <c r="L21" s="317"/>
      <c r="M21" s="317"/>
      <c r="N21" s="317"/>
      <c r="O21" s="317"/>
      <c r="P21" s="317"/>
      <c r="Q21" s="99">
        <f t="shared" ref="Q21:Q35" si="12">IF(C21="", "", C21)</f>
        <v>1</v>
      </c>
      <c r="R21" s="377">
        <f t="shared" ref="R21:R35" si="13">IF(C21="","",Z21-SUM(AB21:AC21))</f>
        <v>1443</v>
      </c>
      <c r="S21" s="377"/>
      <c r="T21" s="377">
        <f t="shared" ref="T21:T35" si="14">IF(C21="","",Q21*R21)</f>
        <v>1443</v>
      </c>
      <c r="U21" s="377"/>
      <c r="V21" s="49" t="str">
        <f>IF(C21="","", VLOOKUP(B21,'Raw BOM'!$A$3:$F$495,6,FALSE))</f>
        <v>Yes</v>
      </c>
      <c r="X21" s="378">
        <f t="shared" ref="X21:X35" si="15">IF(C21="", "", Q21*Z21)</f>
        <v>1850</v>
      </c>
      <c r="Y21" s="378"/>
      <c r="Z21" s="378">
        <f>IF(C21="", 0,IF(D21&lt;&gt;"",D21,
IF($E$1="Contract NY", VLOOKUP(B21,'Raw BOM'!$A$3:$G$495,7,FALSE),
IF($E$1="Contract FL", VLOOKUP(B21,'Raw BOM'!$A$3:$I$495,8,FALSE),
IF($E$1="Contract LA", VLOOKUP(B21,'Raw BOM'!$A$3:$K$495,9,FALSE),
IF($E$1="Contract WA", VLOOKUP(B21,'Raw BOM'!$A$3:$M$495,10,FALSE),
VLOOKUP(B21,'Raw BOM'!$A$3:$D$495,4,FALSE)))))))</f>
        <v>1850</v>
      </c>
      <c r="AA21" s="378">
        <f t="shared" ref="AA21:AA36" si="16">M21</f>
        <v>0</v>
      </c>
      <c r="AB21" s="182">
        <f>ROUND(
IF(AND(C21&lt;&gt;"", D21="", V21="Yes"),
     IF($E$1="Discount Based",
         Z21*IF(OR(LEFT(A21,2)="HW", LEFT(A21,12)="CMS-Hardware"),
              $E$2,
              IF(AND(LEFT(A21,3)="Sys", LEFT(A179,4)&lt;&gt;"Ship"),
                   ($E$2+$E$3*0.7)/2,
                    0)),
         IF($E$1="Cost Based",
              IF(OR(LEFT(A21,2)="HW", LEFT(A21,12)="CMS-Hardware"),
                   Z21-(1+$E$4)*VLOOKUP(B21,'Raw BOM'!$A$3:$E$492,5,FALSE),
              IF(AND(LEFT(A21,3)="Sys",LEFT(A179,4)&lt;&gt;"Ship"),
                   Z21-(1+($E$4+$E$5*0.7)/2)*VLOOKUP(B21,'Raw BOM'!$A$3:$E$492,5,FALSE),
                   0))))),2)</f>
        <v>407</v>
      </c>
      <c r="AC21" s="47">
        <f>ROUND(
IF(AND(C21&lt;&gt;"", D21="", V21="No"),
     IF($E$1="Discount Based",
         Z21*IF(AND(LEFT(A21,2)&lt;&gt;"HW", LEFT(A21,12)&lt;&gt;"CMS-Hardware",LEFT(A21,3)&lt;&gt;"Sys", LEFT(A179,4)&lt;&gt;"Ship"),
                   $E$3,0),
     IF($E$1="Cost Based",
          IF(AND(LEFT(A21,2)&lt;&gt;"HW", LEFT(A21,12)&lt;&gt;"CMS-Hardware",LEFT(A21,3)&lt;&gt;"Sys", LEFT(A179,4)&lt;&gt;"Ship"),
               Z21-(1+$E$4)*VLOOKUP(B21,'Raw BOM'!$A$3:$E$492,5,FALSE),0),0)),0),2)</f>
        <v>0</v>
      </c>
      <c r="AD21" s="182">
        <f t="shared" ref="AD21:AD35" si="17">IF(AND(AB21&gt;0, AB21&lt;&gt;"", D21&lt;=0),Q21*AB21,0)</f>
        <v>0</v>
      </c>
      <c r="AE21" s="182">
        <f t="shared" ref="AE21:AE35" si="18">IF(AND(AC21&lt;&gt;"",AC21&gt;0, D21&lt;=0),Q21*AC21,0)</f>
        <v>0</v>
      </c>
    </row>
    <row r="22" spans="1:31" s="1" customFormat="1" ht="30" customHeight="1" x14ac:dyDescent="0.25">
      <c r="A22" s="41" t="str">
        <f>IF(B22&lt;&gt;"",VLOOKUP(B22,'Raw BOM'!$A$3:$B$495,2,FALSE),IF(E22&lt;&gt;"","Misc",""))</f>
        <v/>
      </c>
      <c r="B22" s="138" t="str">
        <f>IF('Blank Quote'!B22&lt;&gt;"", 'Blank Quote'!B22, "")</f>
        <v/>
      </c>
      <c r="C22" s="139" t="str">
        <f>IF('Blank Quote'!C22&lt;&gt;"", 'Blank Quote'!C22, "")</f>
        <v/>
      </c>
      <c r="D22" s="140" t="str">
        <f>IF('Blank Quote'!D22&lt;&gt;"", 'Blank Quote'!D22, "")</f>
        <v/>
      </c>
      <c r="E22" s="141" t="str">
        <f>IF('Blank Quote'!E22&lt;&gt;"", 'Blank Quote'!E22, "")</f>
        <v/>
      </c>
      <c r="F22"/>
      <c r="G22" s="315" t="str">
        <f t="shared" si="10"/>
        <v/>
      </c>
      <c r="H22" s="316"/>
      <c r="I22" s="317" t="str">
        <f t="shared" si="11"/>
        <v/>
      </c>
      <c r="J22" s="317"/>
      <c r="K22" s="317"/>
      <c r="L22" s="317"/>
      <c r="M22" s="317"/>
      <c r="N22" s="317"/>
      <c r="O22" s="317"/>
      <c r="P22" s="317"/>
      <c r="Q22" s="99" t="str">
        <f t="shared" si="12"/>
        <v/>
      </c>
      <c r="R22" s="377" t="str">
        <f t="shared" si="13"/>
        <v/>
      </c>
      <c r="S22" s="377"/>
      <c r="T22" s="377" t="str">
        <f t="shared" si="14"/>
        <v/>
      </c>
      <c r="U22" s="377"/>
      <c r="V22" s="49" t="str">
        <f>IF(C22="","", VLOOKUP(B22,'Raw BOM'!$A$3:$F$495,6,FALSE))</f>
        <v/>
      </c>
      <c r="X22" s="378" t="str">
        <f t="shared" si="15"/>
        <v/>
      </c>
      <c r="Y22" s="378"/>
      <c r="Z22" s="378">
        <f>IF(C22="", 0,IF(D22&lt;&gt;"",D22,
IF($E$1="Contract NY", VLOOKUP(B22,'Raw BOM'!$A$3:$G$495,7,FALSE),
IF($E$1="Contract FL", VLOOKUP(B22,'Raw BOM'!$A$3:$I$495,8,FALSE),
IF($E$1="Contract LA", VLOOKUP(B22,'Raw BOM'!$A$3:$K$495,9,FALSE),
IF($E$1="Contract WA", VLOOKUP(B22,'Raw BOM'!$A$3:$M$495,10,FALSE),
VLOOKUP(B22,'Raw BOM'!$A$3:$D$495,4,FALSE)))))))</f>
        <v>0</v>
      </c>
      <c r="AA22" s="378">
        <f t="shared" si="16"/>
        <v>0</v>
      </c>
      <c r="AB22" s="182">
        <f>ROUND(
IF(AND(C22&lt;&gt;"", D22="", V22="Yes"),
     IF($E$1="Discount Based",
         Z22*IF(OR(LEFT(A22,2)="HW", LEFT(A22,12)="CMS-Hardware"),
              $E$2,
              IF(AND(LEFT(A22,3)="Sys", LEFT(A180,4)&lt;&gt;"Ship"),
                   ($E$2+$E$3*0.7)/2,
                    0)),
         IF($E$1="Cost Based",
              IF(OR(LEFT(A22,2)="HW", LEFT(A22,12)="CMS-Hardware"),
                   Z22-(1+$E$4)*VLOOKUP(B22,'Raw BOM'!$A$3:$E$492,5,FALSE),
              IF(AND(LEFT(A22,3)="Sys",LEFT(A180,4)&lt;&gt;"Ship"),
                   Z22-(1+($E$4+$E$5*0.7)/2)*VLOOKUP(B22,'Raw BOM'!$A$3:$E$492,5,FALSE),
                   0))))),2)</f>
        <v>0</v>
      </c>
      <c r="AC22" s="47">
        <f>ROUND(
IF(AND(C22&lt;&gt;"", D22="", V22="No"),
     IF($E$1="Discount Based",
         Z22*IF(AND(LEFT(A22,2)&lt;&gt;"HW", LEFT(A22,12)&lt;&gt;"CMS-Hardware",LEFT(A22,3)&lt;&gt;"Sys", LEFT(A180,4)&lt;&gt;"Ship"),
                   $E$3,0),
     IF($E$1="Cost Based",
          IF(AND(LEFT(A22,2)&lt;&gt;"HW", LEFT(A22,12)&lt;&gt;"CMS-Hardware",LEFT(A22,3)&lt;&gt;"Sys", LEFT(A180,4)&lt;&gt;"Ship"),
               Z22-(1+$E$4)*VLOOKUP(B22,'Raw BOM'!$A$3:$E$492,5,FALSE),0),0)),0),2)</f>
        <v>0</v>
      </c>
      <c r="AD22" s="182">
        <f t="shared" si="17"/>
        <v>0</v>
      </c>
      <c r="AE22" s="182">
        <f t="shared" si="18"/>
        <v>0</v>
      </c>
    </row>
    <row r="23" spans="1:31" s="1" customFormat="1" ht="30" customHeight="1" x14ac:dyDescent="0.25">
      <c r="A23" s="41" t="str">
        <f>IF(B23&lt;&gt;"",VLOOKUP(B23,'Raw BOM'!$A$3:$B$495,2,FALSE),IF(E23&lt;&gt;"","Misc",""))</f>
        <v>HW-Magtrip</v>
      </c>
      <c r="B23" s="138" t="str">
        <f>IF('Blank Quote'!B23&lt;&gt;"", 'Blank Quote'!B23, "")</f>
        <v>Hardware-Magnetic Strip Reader</v>
      </c>
      <c r="C23" s="139">
        <f>IF('Blank Quote'!C23&lt;&gt;"", 'Blank Quote'!C23, "")</f>
        <v>1</v>
      </c>
      <c r="D23" s="140" t="str">
        <f>IF('Blank Quote'!D23&lt;&gt;"", 'Blank Quote'!D23, "")</f>
        <v/>
      </c>
      <c r="E23" s="141" t="str">
        <f>IF('Blank Quote'!E23&lt;&gt;"", 'Blank Quote'!E23, "")</f>
        <v>Auto populate personal information with a swipe of a driver's license from anywhere on the screen</v>
      </c>
      <c r="F23"/>
      <c r="G23" s="315" t="str">
        <f t="shared" si="10"/>
        <v>HW-Magtrip</v>
      </c>
      <c r="H23" s="316"/>
      <c r="I23" s="317" t="str">
        <f t="shared" si="11"/>
        <v>Hardware-Magnetic Strip Reader   *** Auto populate personal information with a swipe of a driver's license from anywhere on the screen</v>
      </c>
      <c r="J23" s="317"/>
      <c r="K23" s="317"/>
      <c r="L23" s="317"/>
      <c r="M23" s="317"/>
      <c r="N23" s="317"/>
      <c r="O23" s="317"/>
      <c r="P23" s="317"/>
      <c r="Q23" s="99">
        <f t="shared" si="12"/>
        <v>1</v>
      </c>
      <c r="R23" s="377">
        <f t="shared" si="13"/>
        <v>101.4</v>
      </c>
      <c r="S23" s="377"/>
      <c r="T23" s="377">
        <f t="shared" si="14"/>
        <v>101.4</v>
      </c>
      <c r="U23" s="377"/>
      <c r="V23" s="49" t="str">
        <f>IF(C23="","", VLOOKUP(B23,'Raw BOM'!$A$3:$F$495,6,FALSE))</f>
        <v>Yes</v>
      </c>
      <c r="X23" s="378">
        <f t="shared" si="15"/>
        <v>130</v>
      </c>
      <c r="Y23" s="378"/>
      <c r="Z23" s="378">
        <f>IF(C23="", 0,IF(D23&lt;&gt;"",D23,
IF($E$1="Contract NY", VLOOKUP(B23,'Raw BOM'!$A$3:$G$495,7,FALSE),
IF($E$1="Contract FL", VLOOKUP(B23,'Raw BOM'!$A$3:$I$495,8,FALSE),
IF($E$1="Contract LA", VLOOKUP(B23,'Raw BOM'!$A$3:$K$495,9,FALSE),
IF($E$1="Contract WA", VLOOKUP(B23,'Raw BOM'!$A$3:$M$495,10,FALSE),
VLOOKUP(B23,'Raw BOM'!$A$3:$D$495,4,FALSE)))))))</f>
        <v>130</v>
      </c>
      <c r="AA23" s="378">
        <f t="shared" si="16"/>
        <v>0</v>
      </c>
      <c r="AB23" s="182">
        <f>ROUND(
IF(AND(C23&lt;&gt;"", D23="", V23="Yes"),
     IF($E$1="Discount Based",
         Z23*IF(OR(LEFT(A23,2)="HW", LEFT(A23,12)="CMS-Hardware"),
              $E$2,
              IF(AND(LEFT(A23,3)="Sys", LEFT(A181,4)&lt;&gt;"Ship"),
                   ($E$2+$E$3*0.7)/2,
                    0)),
         IF($E$1="Cost Based",
              IF(OR(LEFT(A23,2)="HW", LEFT(A23,12)="CMS-Hardware"),
                   Z23-(1+$E$4)*VLOOKUP(B23,'Raw BOM'!$A$3:$E$492,5,FALSE),
              IF(AND(LEFT(A23,3)="Sys",LEFT(A181,4)&lt;&gt;"Ship"),
                   Z23-(1+($E$4+$E$5*0.7)/2)*VLOOKUP(B23,'Raw BOM'!$A$3:$E$492,5,FALSE),
                   0))))),2)</f>
        <v>28.6</v>
      </c>
      <c r="AC23" s="47">
        <f>ROUND(
IF(AND(C23&lt;&gt;"", D23="", V23="No"),
     IF($E$1="Discount Based",
         Z23*IF(AND(LEFT(A23,2)&lt;&gt;"HW", LEFT(A23,12)&lt;&gt;"CMS-Hardware",LEFT(A23,3)&lt;&gt;"Sys", LEFT(A181,4)&lt;&gt;"Ship"),
                   $E$3,0),
     IF($E$1="Cost Based",
          IF(AND(LEFT(A23,2)&lt;&gt;"HW", LEFT(A23,12)&lt;&gt;"CMS-Hardware",LEFT(A23,3)&lt;&gt;"Sys", LEFT(A181,4)&lt;&gt;"Ship"),
               Z23-(1+$E$4)*VLOOKUP(B23,'Raw BOM'!$A$3:$E$492,5,FALSE),0),0)),0),2)</f>
        <v>0</v>
      </c>
      <c r="AD23" s="182">
        <f t="shared" si="17"/>
        <v>0</v>
      </c>
      <c r="AE23" s="182">
        <f t="shared" si="18"/>
        <v>0</v>
      </c>
    </row>
    <row r="24" spans="1:31" s="1" customFormat="1" ht="30" customHeight="1" x14ac:dyDescent="0.25">
      <c r="A24" s="41" t="str">
        <f>IF(B24&lt;&gt;"",VLOOKUP(B24,'Raw BOM'!$A$3:$B$495,2,FALSE),IF(E24&lt;&gt;"","Misc",""))</f>
        <v>LS4G-IDCard</v>
      </c>
      <c r="B24" s="138" t="str">
        <f>IF('Blank Quote'!B24&lt;&gt;"", 'Blank Quote'!B24, "")</f>
        <v>LiveScan 4th Gen Software-Driver License and ID Reading software</v>
      </c>
      <c r="C24" s="139">
        <f>IF('Blank Quote'!C24&lt;&gt;"", 'Blank Quote'!C24, "")</f>
        <v>1</v>
      </c>
      <c r="D24" s="140" t="str">
        <f>IF('Blank Quote'!D24&lt;&gt;"", 'Blank Quote'!D24, "")</f>
        <v/>
      </c>
      <c r="E24" s="141" t="str">
        <f>IF('Blank Quote'!E24&lt;&gt;"", 'Blank Quote'!E24, "")</f>
        <v/>
      </c>
      <c r="F24"/>
      <c r="G24" s="315" t="str">
        <f t="shared" si="10"/>
        <v>LS4G-IDCard</v>
      </c>
      <c r="H24" s="316"/>
      <c r="I24" s="317" t="str">
        <f t="shared" si="11"/>
        <v>LiveScan 4th Gen Software-Driver License and ID Reading software</v>
      </c>
      <c r="J24" s="317"/>
      <c r="K24" s="317"/>
      <c r="L24" s="317"/>
      <c r="M24" s="317"/>
      <c r="N24" s="317"/>
      <c r="O24" s="317"/>
      <c r="P24" s="317"/>
      <c r="Q24" s="99">
        <f t="shared" si="12"/>
        <v>1</v>
      </c>
      <c r="R24" s="377">
        <f t="shared" si="13"/>
        <v>183.6</v>
      </c>
      <c r="S24" s="377"/>
      <c r="T24" s="377">
        <f t="shared" si="14"/>
        <v>183.6</v>
      </c>
      <c r="U24" s="377"/>
      <c r="V24" s="49" t="str">
        <f>IF(C24="","", VLOOKUP(B24,'Raw BOM'!$A$3:$F$495,6,FALSE))</f>
        <v>No</v>
      </c>
      <c r="X24" s="378">
        <f t="shared" si="15"/>
        <v>340</v>
      </c>
      <c r="Y24" s="378"/>
      <c r="Z24" s="378">
        <f>IF(C24="", 0,IF(D24&lt;&gt;"",D24,
IF($E$1="Contract NY", VLOOKUP(B24,'Raw BOM'!$A$3:$G$495,7,FALSE),
IF($E$1="Contract FL", VLOOKUP(B24,'Raw BOM'!$A$3:$I$495,8,FALSE),
IF($E$1="Contract LA", VLOOKUP(B24,'Raw BOM'!$A$3:$K$495,9,FALSE),
IF($E$1="Contract WA", VLOOKUP(B24,'Raw BOM'!$A$3:$M$495,10,FALSE),
VLOOKUP(B24,'Raw BOM'!$A$3:$D$495,4,FALSE)))))))</f>
        <v>340</v>
      </c>
      <c r="AA24" s="378">
        <f t="shared" si="16"/>
        <v>0</v>
      </c>
      <c r="AB24" s="182">
        <f>ROUND(
IF(AND(C24&lt;&gt;"", D24="", V24="Yes"),
     IF($E$1="Discount Based",
         Z24*IF(OR(LEFT(A24,2)="HW", LEFT(A24,12)="CMS-Hardware"),
              $E$2,
              IF(AND(LEFT(A24,3)="Sys", LEFT(A182,4)&lt;&gt;"Ship"),
                   ($E$2+$E$3*0.7)/2,
                    0)),
         IF($E$1="Cost Based",
              IF(OR(LEFT(A24,2)="HW", LEFT(A24,12)="CMS-Hardware"),
                   Z24-(1+$E$4)*VLOOKUP(B24,'Raw BOM'!$A$3:$E$492,5,FALSE),
              IF(AND(LEFT(A24,3)="Sys",LEFT(A182,4)&lt;&gt;"Ship"),
                   Z24-(1+($E$4+$E$5*0.7)/2)*VLOOKUP(B24,'Raw BOM'!$A$3:$E$492,5,FALSE),
                   0))))),2)</f>
        <v>0</v>
      </c>
      <c r="AC24" s="47">
        <f>ROUND(
IF(AND(C24&lt;&gt;"", D24="", V24="No"),
     IF($E$1="Discount Based",
         Z24*IF(AND(LEFT(A24,2)&lt;&gt;"HW", LEFT(A24,12)&lt;&gt;"CMS-Hardware",LEFT(A24,3)&lt;&gt;"Sys", LEFT(A182,4)&lt;&gt;"Ship"),
                   $E$3,0),
     IF($E$1="Cost Based",
          IF(AND(LEFT(A24,2)&lt;&gt;"HW", LEFT(A24,12)&lt;&gt;"CMS-Hardware",LEFT(A24,3)&lt;&gt;"Sys", LEFT(A182,4)&lt;&gt;"Ship"),
               Z24-(1+$E$4)*VLOOKUP(B24,'Raw BOM'!$A$3:$E$492,5,FALSE),0),0)),0),2)</f>
        <v>156.4</v>
      </c>
      <c r="AD24" s="182">
        <f t="shared" si="17"/>
        <v>0</v>
      </c>
      <c r="AE24" s="182">
        <f t="shared" si="18"/>
        <v>0</v>
      </c>
    </row>
    <row r="25" spans="1:31" s="1" customFormat="1" ht="30" customHeight="1" x14ac:dyDescent="0.25">
      <c r="A25" s="41" t="str">
        <f>IF(B25&lt;&gt;"",VLOOKUP(B25,'Raw BOM'!$A$3:$B$495,2,FALSE),IF(E25&lt;&gt;"","Misc",""))</f>
        <v/>
      </c>
      <c r="B25" s="138" t="str">
        <f>IF('Blank Quote'!B25&lt;&gt;"", 'Blank Quote'!B25, "")</f>
        <v/>
      </c>
      <c r="C25" s="139" t="str">
        <f>IF('Blank Quote'!C25&lt;&gt;"", 'Blank Quote'!C25, "")</f>
        <v/>
      </c>
      <c r="D25" s="140" t="str">
        <f>IF('Blank Quote'!D25&lt;&gt;"", 'Blank Quote'!D25, "")</f>
        <v/>
      </c>
      <c r="E25" s="141" t="str">
        <f>IF('Blank Quote'!E25&lt;&gt;"", 'Blank Quote'!E25, "")</f>
        <v/>
      </c>
      <c r="F25"/>
      <c r="G25" s="315" t="str">
        <f t="shared" si="10"/>
        <v/>
      </c>
      <c r="H25" s="316"/>
      <c r="I25" s="317" t="str">
        <f t="shared" si="11"/>
        <v/>
      </c>
      <c r="J25" s="317"/>
      <c r="K25" s="317"/>
      <c r="L25" s="317"/>
      <c r="M25" s="317"/>
      <c r="N25" s="317"/>
      <c r="O25" s="317"/>
      <c r="P25" s="317"/>
      <c r="Q25" s="99" t="str">
        <f t="shared" si="12"/>
        <v/>
      </c>
      <c r="R25" s="377" t="str">
        <f t="shared" si="13"/>
        <v/>
      </c>
      <c r="S25" s="377"/>
      <c r="T25" s="377" t="str">
        <f t="shared" si="14"/>
        <v/>
      </c>
      <c r="U25" s="377"/>
      <c r="V25" s="49" t="str">
        <f>IF(C25="","", VLOOKUP(B25,'Raw BOM'!$A$3:$F$495,6,FALSE))</f>
        <v/>
      </c>
      <c r="X25" s="378" t="str">
        <f t="shared" si="15"/>
        <v/>
      </c>
      <c r="Y25" s="378"/>
      <c r="Z25" s="378">
        <f>IF(C25="", 0,IF(D25&lt;&gt;"",D25,
IF($E$1="Contract NY", VLOOKUP(B25,'Raw BOM'!$A$3:$G$495,7,FALSE),
IF($E$1="Contract FL", VLOOKUP(B25,'Raw BOM'!$A$3:$I$495,8,FALSE),
IF($E$1="Contract LA", VLOOKUP(B25,'Raw BOM'!$A$3:$K$495,9,FALSE),
IF($E$1="Contract WA", VLOOKUP(B25,'Raw BOM'!$A$3:$M$495,10,FALSE),
VLOOKUP(B25,'Raw BOM'!$A$3:$D$495,4,FALSE)))))))</f>
        <v>0</v>
      </c>
      <c r="AA25" s="378">
        <f t="shared" si="16"/>
        <v>0</v>
      </c>
      <c r="AB25" s="182">
        <f>ROUND(
IF(AND(C25&lt;&gt;"", D25="", V25="Yes"),
     IF($E$1="Discount Based",
         Z25*IF(OR(LEFT(A25,2)="HW", LEFT(A25,12)="CMS-Hardware"),
              $E$2,
              IF(AND(LEFT(A25,3)="Sys", LEFT(A183,4)&lt;&gt;"Ship"),
                   ($E$2+$E$3*0.7)/2,
                    0)),
         IF($E$1="Cost Based",
              IF(OR(LEFT(A25,2)="HW", LEFT(A25,12)="CMS-Hardware"),
                   Z25-(1+$E$4)*VLOOKUP(B25,'Raw BOM'!$A$3:$E$492,5,FALSE),
              IF(AND(LEFT(A25,3)="Sys",LEFT(A183,4)&lt;&gt;"Ship"),
                   Z25-(1+($E$4+$E$5*0.7)/2)*VLOOKUP(B25,'Raw BOM'!$A$3:$E$492,5,FALSE),
                   0))))),2)</f>
        <v>0</v>
      </c>
      <c r="AC25" s="47">
        <f>ROUND(
IF(AND(C25&lt;&gt;"", D25="", V25="No"),
     IF($E$1="Discount Based",
         Z25*IF(AND(LEFT(A25,2)&lt;&gt;"HW", LEFT(A25,12)&lt;&gt;"CMS-Hardware",LEFT(A25,3)&lt;&gt;"Sys", LEFT(A183,4)&lt;&gt;"Ship"),
                   $E$3,0),
     IF($E$1="Cost Based",
          IF(AND(LEFT(A25,2)&lt;&gt;"HW", LEFT(A25,12)&lt;&gt;"CMS-Hardware",LEFT(A25,3)&lt;&gt;"Sys", LEFT(A183,4)&lt;&gt;"Ship"),
               Z25-(1+$E$4)*VLOOKUP(B25,'Raw BOM'!$A$3:$E$492,5,FALSE),0),0)),0),2)</f>
        <v>0</v>
      </c>
      <c r="AD25" s="182">
        <f t="shared" si="17"/>
        <v>0</v>
      </c>
      <c r="AE25" s="182">
        <f t="shared" si="18"/>
        <v>0</v>
      </c>
    </row>
    <row r="26" spans="1:31" s="1" customFormat="1" ht="30" customHeight="1" x14ac:dyDescent="0.25">
      <c r="A26" s="41" t="str">
        <f>IF(B26&lt;&gt;"",VLOOKUP(B26,'Raw BOM'!$A$3:$B$495,2,FALSE),IF(E26&lt;&gt;"","Misc",""))</f>
        <v>Svcs-Cfg-CAPSP</v>
      </c>
      <c r="B26" s="138" t="str">
        <f>IF('Blank Quote'!B26&lt;&gt;"", 'Blank Quote'!B26, "")</f>
        <v>Services-Configuration-CA PSP Setup</v>
      </c>
      <c r="C26" s="139">
        <f>IF('Blank Quote'!C26&lt;&gt;"", 'Blank Quote'!C26, "")</f>
        <v>1</v>
      </c>
      <c r="D26" s="140" t="str">
        <f>IF('Blank Quote'!D26&lt;&gt;"", 'Blank Quote'!D26, "")</f>
        <v/>
      </c>
      <c r="E26" s="141" t="str">
        <f>IF('Blank Quote'!E26&lt;&gt;"", 'Blank Quote'!E26, "")</f>
        <v>Pick ONE of the following capture methods at the time of capture (TWO DIFFERENT BUTTONS on the screen):</v>
      </c>
      <c r="F26"/>
      <c r="G26" s="315" t="str">
        <f t="shared" si="10"/>
        <v>Svcs-Cfg-CAPSP</v>
      </c>
      <c r="H26" s="316"/>
      <c r="I26" s="317" t="str">
        <f t="shared" si="11"/>
        <v>Services-Configuration-CA PSP Setup   *** Pick ONE of the following capture methods at the time of capture (TWO DIFFERENT BUTTONS on the screen):</v>
      </c>
      <c r="J26" s="317"/>
      <c r="K26" s="317"/>
      <c r="L26" s="317"/>
      <c r="M26" s="317"/>
      <c r="N26" s="317"/>
      <c r="O26" s="317"/>
      <c r="P26" s="317"/>
      <c r="Q26" s="99">
        <f t="shared" si="12"/>
        <v>1</v>
      </c>
      <c r="R26" s="377">
        <f t="shared" si="13"/>
        <v>270</v>
      </c>
      <c r="S26" s="377"/>
      <c r="T26" s="377">
        <f t="shared" si="14"/>
        <v>270</v>
      </c>
      <c r="U26" s="377"/>
      <c r="V26" s="49" t="str">
        <f>IF(C26="","", VLOOKUP(B26,'Raw BOM'!$A$3:$F$495,6,FALSE))</f>
        <v>No</v>
      </c>
      <c r="X26" s="378">
        <f t="shared" si="15"/>
        <v>500</v>
      </c>
      <c r="Y26" s="378"/>
      <c r="Z26" s="378">
        <f>IF(C26="", 0,IF(D26&lt;&gt;"",D26,
IF($E$1="Contract NY", VLOOKUP(B26,'Raw BOM'!$A$3:$G$495,7,FALSE),
IF($E$1="Contract FL", VLOOKUP(B26,'Raw BOM'!$A$3:$I$495,8,FALSE),
IF($E$1="Contract LA", VLOOKUP(B26,'Raw BOM'!$A$3:$K$495,9,FALSE),
IF($E$1="Contract WA", VLOOKUP(B26,'Raw BOM'!$A$3:$M$495,10,FALSE),
VLOOKUP(B26,'Raw BOM'!$A$3:$D$495,4,FALSE)))))))</f>
        <v>500</v>
      </c>
      <c r="AA26" s="378">
        <f t="shared" si="16"/>
        <v>0</v>
      </c>
      <c r="AB26" s="182">
        <f>ROUND(
IF(AND(C26&lt;&gt;"", D26="", V26="Yes"),
     IF($E$1="Discount Based",
         Z26*IF(OR(LEFT(A26,2)="HW", LEFT(A26,12)="CMS-Hardware"),
              $E$2,
              IF(AND(LEFT(A26,3)="Sys", LEFT(A184,4)&lt;&gt;"Ship"),
                   ($E$2+$E$3*0.7)/2,
                    0)),
         IF($E$1="Cost Based",
              IF(OR(LEFT(A26,2)="HW", LEFT(A26,12)="CMS-Hardware"),
                   Z26-(1+$E$4)*VLOOKUP(B26,'Raw BOM'!$A$3:$E$492,5,FALSE),
              IF(AND(LEFT(A26,3)="Sys",LEFT(A184,4)&lt;&gt;"Ship"),
                   Z26-(1+($E$4+$E$5*0.7)/2)*VLOOKUP(B26,'Raw BOM'!$A$3:$E$492,5,FALSE),
                   0))))),2)</f>
        <v>0</v>
      </c>
      <c r="AC26" s="47">
        <f>ROUND(
IF(AND(C26&lt;&gt;"", D26="", V26="No"),
     IF($E$1="Discount Based",
         Z26*IF(AND(LEFT(A26,2)&lt;&gt;"HW", LEFT(A26,12)&lt;&gt;"CMS-Hardware",LEFT(A26,3)&lt;&gt;"Sys", LEFT(A184,4)&lt;&gt;"Ship"),
                   $E$3,0),
     IF($E$1="Cost Based",
          IF(AND(LEFT(A26,2)&lt;&gt;"HW", LEFT(A26,12)&lt;&gt;"CMS-Hardware",LEFT(A26,3)&lt;&gt;"Sys", LEFT(A184,4)&lt;&gt;"Ship"),
               Z26-(1+$E$4)*VLOOKUP(B26,'Raw BOM'!$A$3:$E$492,5,FALSE),0),0)),0),2)</f>
        <v>230</v>
      </c>
      <c r="AD26" s="182">
        <f t="shared" si="17"/>
        <v>0</v>
      </c>
      <c r="AE26" s="182">
        <f t="shared" si="18"/>
        <v>0</v>
      </c>
    </row>
    <row r="27" spans="1:31" s="1" customFormat="1" ht="30" customHeight="1" x14ac:dyDescent="0.25">
      <c r="A27" s="41" t="str">
        <f>IF(B27&lt;&gt;"",VLOOKUP(B27,'Raw BOM'!$A$3:$B$495,2,FALSE),IF(E27&lt;&gt;"","Misc",""))</f>
        <v>Misc</v>
      </c>
      <c r="B27" s="138" t="str">
        <f>IF('Blank Quote'!B27&lt;&gt;"", 'Blank Quote'!B27, "")</f>
        <v/>
      </c>
      <c r="C27" s="139" t="str">
        <f>IF('Blank Quote'!C27&lt;&gt;"", 'Blank Quote'!C27, "")</f>
        <v/>
      </c>
      <c r="D27" s="140" t="str">
        <f>IF('Blank Quote'!D27&lt;&gt;"", 'Blank Quote'!D27, "")</f>
        <v/>
      </c>
      <c r="E27" s="141" t="str">
        <f>IF('Blank Quote'!E27&lt;&gt;"", 'Blank Quote'!E27, "")</f>
        <v>Transaction Fee - Traditional FLATS and ROLLS Method (1 to 10 minutes method): $0.75 per transaction with $150 per monthly cap</v>
      </c>
      <c r="F27"/>
      <c r="G27" s="315" t="str">
        <f t="shared" si="10"/>
        <v>Misc</v>
      </c>
      <c r="H27" s="316"/>
      <c r="I27" s="317" t="str">
        <f t="shared" si="11"/>
        <v xml:space="preserve">   *** Transaction Fee - Traditional FLATS and ROLLS Method (1 to 10 minutes method): $0.75 per transaction with $150 per monthly cap</v>
      </c>
      <c r="J27" s="317"/>
      <c r="K27" s="317"/>
      <c r="L27" s="317"/>
      <c r="M27" s="317"/>
      <c r="N27" s="317"/>
      <c r="O27" s="317"/>
      <c r="P27" s="317"/>
      <c r="Q27" s="99" t="str">
        <f t="shared" si="12"/>
        <v/>
      </c>
      <c r="R27" s="377" t="str">
        <f t="shared" si="13"/>
        <v/>
      </c>
      <c r="S27" s="377"/>
      <c r="T27" s="377" t="str">
        <f t="shared" si="14"/>
        <v/>
      </c>
      <c r="U27" s="377"/>
      <c r="V27" s="49" t="str">
        <f>IF(C27="","", VLOOKUP(B27,'Raw BOM'!$A$3:$F$495,6,FALSE))</f>
        <v/>
      </c>
      <c r="X27" s="378" t="str">
        <f t="shared" si="15"/>
        <v/>
      </c>
      <c r="Y27" s="378"/>
      <c r="Z27" s="378">
        <f>IF(C27="", 0,IF(D27&lt;&gt;"",D27,
IF($E$1="Contract NY", VLOOKUP(B27,'Raw BOM'!$A$3:$G$495,7,FALSE),
IF($E$1="Contract FL", VLOOKUP(B27,'Raw BOM'!$A$3:$I$495,8,FALSE),
IF($E$1="Contract LA", VLOOKUP(B27,'Raw BOM'!$A$3:$K$495,9,FALSE),
IF($E$1="Contract WA", VLOOKUP(B27,'Raw BOM'!$A$3:$M$495,10,FALSE),
VLOOKUP(B27,'Raw BOM'!$A$3:$D$495,4,FALSE)))))))</f>
        <v>0</v>
      </c>
      <c r="AA27" s="378">
        <f t="shared" si="16"/>
        <v>0</v>
      </c>
      <c r="AB27" s="182">
        <f>ROUND(
IF(AND(C27&lt;&gt;"", D27="", V27="Yes"),
     IF($E$1="Discount Based",
         Z27*IF(OR(LEFT(A27,2)="HW", LEFT(A27,12)="CMS-Hardware"),
              $E$2,
              IF(AND(LEFT(A27,3)="Sys", LEFT(A185,4)&lt;&gt;"Ship"),
                   ($E$2+$E$3*0.7)/2,
                    0)),
         IF($E$1="Cost Based",
              IF(OR(LEFT(A27,2)="HW", LEFT(A27,12)="CMS-Hardware"),
                   Z27-(1+$E$4)*VLOOKUP(B27,'Raw BOM'!$A$3:$E$492,5,FALSE),
              IF(AND(LEFT(A27,3)="Sys",LEFT(A185,4)&lt;&gt;"Ship"),
                   Z27-(1+($E$4+$E$5*0.7)/2)*VLOOKUP(B27,'Raw BOM'!$A$3:$E$492,5,FALSE),
                   0))))),2)</f>
        <v>0</v>
      </c>
      <c r="AC27" s="47">
        <f>ROUND(
IF(AND(C27&lt;&gt;"", D27="", V27="No"),
     IF($E$1="Discount Based",
         Z27*IF(AND(LEFT(A27,2)&lt;&gt;"HW", LEFT(A27,12)&lt;&gt;"CMS-Hardware",LEFT(A27,3)&lt;&gt;"Sys", LEFT(A185,4)&lt;&gt;"Ship"),
                   $E$3,0),
     IF($E$1="Cost Based",
          IF(AND(LEFT(A27,2)&lt;&gt;"HW", LEFT(A27,12)&lt;&gt;"CMS-Hardware",LEFT(A27,3)&lt;&gt;"Sys", LEFT(A185,4)&lt;&gt;"Ship"),
               Z27-(1+$E$4)*VLOOKUP(B27,'Raw BOM'!$A$3:$E$492,5,FALSE),0),0)),0),2)</f>
        <v>0</v>
      </c>
      <c r="AD27" s="182">
        <f t="shared" si="17"/>
        <v>0</v>
      </c>
      <c r="AE27" s="182">
        <f t="shared" si="18"/>
        <v>0</v>
      </c>
    </row>
    <row r="28" spans="1:31" s="1" customFormat="1" ht="30" customHeight="1" x14ac:dyDescent="0.25">
      <c r="A28" s="41" t="str">
        <f>IF(B28&lt;&gt;"",VLOOKUP(B28,'Raw BOM'!$A$3:$B$495,2,FALSE),IF(E28&lt;&gt;"","Misc",""))</f>
        <v>Misc</v>
      </c>
      <c r="B28" s="138" t="str">
        <f>IF('Blank Quote'!B28&lt;&gt;"", 'Blank Quote'!B28, "")</f>
        <v/>
      </c>
      <c r="C28" s="139" t="str">
        <f>IF('Blank Quote'!C28&lt;&gt;"", 'Blank Quote'!C28, "")</f>
        <v/>
      </c>
      <c r="D28" s="140" t="str">
        <f>IF('Blank Quote'!D28&lt;&gt;"", 'Blank Quote'!D28, "")</f>
        <v/>
      </c>
      <c r="E28" s="141" t="str">
        <f>IF('Blank Quote'!E28&lt;&gt;"", 'Blank Quote'!E28, "")</f>
        <v>Transaction Fee - NEW FLATS ONLY Method (10 to 15 second fingerprinting): $4.00 per transaction with no cap ($2.80 per trans for 501(c)(3) organizations)</v>
      </c>
      <c r="F28"/>
      <c r="G28" s="315" t="str">
        <f t="shared" si="10"/>
        <v>Misc</v>
      </c>
      <c r="H28" s="316"/>
      <c r="I28" s="317" t="str">
        <f t="shared" si="11"/>
        <v xml:space="preserve">   *** Transaction Fee - NEW FLATS ONLY Method (10 to 15 second fingerprinting): $4.00 per transaction with no cap ($2.80 per trans for 501(c)(3) organizations)</v>
      </c>
      <c r="J28" s="317"/>
      <c r="K28" s="317"/>
      <c r="L28" s="317"/>
      <c r="M28" s="317"/>
      <c r="N28" s="317"/>
      <c r="O28" s="317"/>
      <c r="P28" s="317"/>
      <c r="Q28" s="99" t="str">
        <f t="shared" si="12"/>
        <v/>
      </c>
      <c r="R28" s="377" t="str">
        <f t="shared" si="13"/>
        <v/>
      </c>
      <c r="S28" s="377"/>
      <c r="T28" s="377" t="str">
        <f t="shared" si="14"/>
        <v/>
      </c>
      <c r="U28" s="377"/>
      <c r="V28" s="49" t="str">
        <f>IF(C28="","", VLOOKUP(B28,'Raw BOM'!$A$3:$F$495,6,FALSE))</f>
        <v/>
      </c>
      <c r="X28" s="378" t="str">
        <f t="shared" si="15"/>
        <v/>
      </c>
      <c r="Y28" s="378"/>
      <c r="Z28" s="378">
        <f>IF(C28="", 0,IF(D28&lt;&gt;"",D28,
IF($E$1="Contract NY", VLOOKUP(B28,'Raw BOM'!$A$3:$G$495,7,FALSE),
IF($E$1="Contract FL", VLOOKUP(B28,'Raw BOM'!$A$3:$I$495,8,FALSE),
IF($E$1="Contract LA", VLOOKUP(B28,'Raw BOM'!$A$3:$K$495,9,FALSE),
IF($E$1="Contract WA", VLOOKUP(B28,'Raw BOM'!$A$3:$M$495,10,FALSE),
VLOOKUP(B28,'Raw BOM'!$A$3:$D$495,4,FALSE)))))))</f>
        <v>0</v>
      </c>
      <c r="AA28" s="378">
        <f t="shared" si="16"/>
        <v>0</v>
      </c>
      <c r="AB28" s="182">
        <f>ROUND(
IF(AND(C28&lt;&gt;"", D28="", V28="Yes"),
     IF($E$1="Discount Based",
         Z28*IF(OR(LEFT(A28,2)="HW", LEFT(A28,12)="CMS-Hardware"),
              $E$2,
              IF(AND(LEFT(A28,3)="Sys", LEFT(A186,4)&lt;&gt;"Ship"),
                   ($E$2+$E$3*0.7)/2,
                    0)),
         IF($E$1="Cost Based",
              IF(OR(LEFT(A28,2)="HW", LEFT(A28,12)="CMS-Hardware"),
                   Z28-(1+$E$4)*VLOOKUP(B28,'Raw BOM'!$A$3:$E$492,5,FALSE),
              IF(AND(LEFT(A28,3)="Sys",LEFT(A186,4)&lt;&gt;"Ship"),
                   Z28-(1+($E$4+$E$5*0.7)/2)*VLOOKUP(B28,'Raw BOM'!$A$3:$E$492,5,FALSE),
                   0))))),2)</f>
        <v>0</v>
      </c>
      <c r="AC28" s="47">
        <f>ROUND(
IF(AND(C28&lt;&gt;"", D28="", V28="No"),
     IF($E$1="Discount Based",
         Z28*IF(AND(LEFT(A28,2)&lt;&gt;"HW", LEFT(A28,12)&lt;&gt;"CMS-Hardware",LEFT(A28,3)&lt;&gt;"Sys", LEFT(A186,4)&lt;&gt;"Ship"),
                   $E$3,0),
     IF($E$1="Cost Based",
          IF(AND(LEFT(A28,2)&lt;&gt;"HW", LEFT(A28,12)&lt;&gt;"CMS-Hardware",LEFT(A28,3)&lt;&gt;"Sys", LEFT(A186,4)&lt;&gt;"Ship"),
               Z28-(1+$E$4)*VLOOKUP(B28,'Raw BOM'!$A$3:$E$492,5,FALSE),0),0)),0),2)</f>
        <v>0</v>
      </c>
      <c r="AD28" s="182">
        <f t="shared" si="17"/>
        <v>0</v>
      </c>
      <c r="AE28" s="182">
        <f t="shared" si="18"/>
        <v>0</v>
      </c>
    </row>
    <row r="29" spans="1:31" s="1" customFormat="1" ht="30" customHeight="1" x14ac:dyDescent="0.25">
      <c r="A29" s="41" t="str">
        <f>IF(B29&lt;&gt;"",VLOOKUP(B29,'Raw BOM'!$A$3:$B$495,2,FALSE),IF(E29&lt;&gt;"","Misc",""))</f>
        <v/>
      </c>
      <c r="B29" s="138" t="str">
        <f>IF('Blank Quote'!B29&lt;&gt;"", 'Blank Quote'!B29, "")</f>
        <v/>
      </c>
      <c r="C29" s="139" t="str">
        <f>IF('Blank Quote'!C29&lt;&gt;"", 'Blank Quote'!C29, "")</f>
        <v/>
      </c>
      <c r="D29" s="140" t="str">
        <f>IF('Blank Quote'!D29&lt;&gt;"", 'Blank Quote'!D29, "")</f>
        <v/>
      </c>
      <c r="E29" s="141" t="str">
        <f>IF('Blank Quote'!E29&lt;&gt;"", 'Blank Quote'!E29, "")</f>
        <v/>
      </c>
      <c r="F29"/>
      <c r="G29" s="315" t="str">
        <f t="shared" si="10"/>
        <v/>
      </c>
      <c r="H29" s="316"/>
      <c r="I29" s="317" t="str">
        <f t="shared" si="11"/>
        <v/>
      </c>
      <c r="J29" s="317"/>
      <c r="K29" s="317"/>
      <c r="L29" s="317"/>
      <c r="M29" s="317"/>
      <c r="N29" s="317"/>
      <c r="O29" s="317"/>
      <c r="P29" s="317"/>
      <c r="Q29" s="99" t="str">
        <f t="shared" si="12"/>
        <v/>
      </c>
      <c r="R29" s="377" t="str">
        <f t="shared" si="13"/>
        <v/>
      </c>
      <c r="S29" s="377"/>
      <c r="T29" s="377" t="str">
        <f t="shared" si="14"/>
        <v/>
      </c>
      <c r="U29" s="377"/>
      <c r="V29" s="49" t="str">
        <f>IF(C29="","", VLOOKUP(B29,'Raw BOM'!$A$3:$F$495,6,FALSE))</f>
        <v/>
      </c>
      <c r="X29" s="378" t="str">
        <f t="shared" si="15"/>
        <v/>
      </c>
      <c r="Y29" s="378"/>
      <c r="Z29" s="378">
        <f>IF(C29="", 0,IF(D29&lt;&gt;"",D29,
IF($E$1="Contract NY", VLOOKUP(B29,'Raw BOM'!$A$3:$G$495,7,FALSE),
IF($E$1="Contract FL", VLOOKUP(B29,'Raw BOM'!$A$3:$I$495,8,FALSE),
IF($E$1="Contract LA", VLOOKUP(B29,'Raw BOM'!$A$3:$K$495,9,FALSE),
IF($E$1="Contract WA", VLOOKUP(B29,'Raw BOM'!$A$3:$M$495,10,FALSE),
VLOOKUP(B29,'Raw BOM'!$A$3:$D$495,4,FALSE)))))))</f>
        <v>0</v>
      </c>
      <c r="AA29" s="378">
        <f t="shared" si="16"/>
        <v>0</v>
      </c>
      <c r="AB29" s="182">
        <f>ROUND(
IF(AND(C29&lt;&gt;"", D29="", V29="Yes"),
     IF($E$1="Discount Based",
         Z29*IF(OR(LEFT(A29,2)="HW", LEFT(A29,12)="CMS-Hardware"),
              $E$2,
              IF(AND(LEFT(A29,3)="Sys", LEFT(A187,4)&lt;&gt;"Ship"),
                   ($E$2+$E$3*0.7)/2,
                    0)),
         IF($E$1="Cost Based",
              IF(OR(LEFT(A29,2)="HW", LEFT(A29,12)="CMS-Hardware"),
                   Z29-(1+$E$4)*VLOOKUP(B29,'Raw BOM'!$A$3:$E$492,5,FALSE),
              IF(AND(LEFT(A29,3)="Sys",LEFT(A187,4)&lt;&gt;"Ship"),
                   Z29-(1+($E$4+$E$5*0.7)/2)*VLOOKUP(B29,'Raw BOM'!$A$3:$E$492,5,FALSE),
                   0))))),2)</f>
        <v>0</v>
      </c>
      <c r="AC29" s="47">
        <f>ROUND(
IF(AND(C29&lt;&gt;"", D29="", V29="No"),
     IF($E$1="Discount Based",
         Z29*IF(AND(LEFT(A29,2)&lt;&gt;"HW", LEFT(A29,12)&lt;&gt;"CMS-Hardware",LEFT(A29,3)&lt;&gt;"Sys", LEFT(A187,4)&lt;&gt;"Ship"),
                   $E$3,0),
     IF($E$1="Cost Based",
          IF(AND(LEFT(A29,2)&lt;&gt;"HW", LEFT(A29,12)&lt;&gt;"CMS-Hardware",LEFT(A29,3)&lt;&gt;"Sys", LEFT(A187,4)&lt;&gt;"Ship"),
               Z29-(1+$E$4)*VLOOKUP(B29,'Raw BOM'!$A$3:$E$492,5,FALSE),0),0)),0),2)</f>
        <v>0</v>
      </c>
      <c r="AD29" s="182">
        <f t="shared" si="17"/>
        <v>0</v>
      </c>
      <c r="AE29" s="182">
        <f t="shared" si="18"/>
        <v>0</v>
      </c>
    </row>
    <row r="30" spans="1:31" s="1" customFormat="1" ht="30" customHeight="1" x14ac:dyDescent="0.25">
      <c r="A30" s="41" t="str">
        <f>IF(B30&lt;&gt;"",VLOOKUP(B30,'Raw BOM'!$A$3:$B$495,2,FALSE),IF(E30&lt;&gt;"","Misc",""))</f>
        <v>Svcs-InstallTrain</v>
      </c>
      <c r="B30" s="138" t="str">
        <f>IF('Blank Quote'!B30&lt;&gt;"", 'Blank Quote'!B30, "")</f>
        <v>Services-Installation and Training Session 4hrs (see Service Method for price)</v>
      </c>
      <c r="C30" s="139">
        <f>IF('Blank Quote'!C30&lt;&gt;"", 'Blank Quote'!C30, "")</f>
        <v>1</v>
      </c>
      <c r="D30" s="140" t="str">
        <f>IF('Blank Quote'!D30&lt;&gt;"", 'Blank Quote'!D30, "")</f>
        <v/>
      </c>
      <c r="E30" s="141" t="str">
        <f>IF('Blank Quote'!E30&lt;&gt;"", 'Blank Quote'!E30, "")</f>
        <v/>
      </c>
      <c r="F30"/>
      <c r="G30" s="315" t="str">
        <f t="shared" si="10"/>
        <v>Svcs-InstallTrain</v>
      </c>
      <c r="H30" s="316"/>
      <c r="I30" s="317" t="str">
        <f t="shared" si="11"/>
        <v>Services-Installation and Training Session 4hrs (see Service Method for price)</v>
      </c>
      <c r="J30" s="317"/>
      <c r="K30" s="317"/>
      <c r="L30" s="317"/>
      <c r="M30" s="317"/>
      <c r="N30" s="317"/>
      <c r="O30" s="317"/>
      <c r="P30" s="317"/>
      <c r="Q30" s="99">
        <f t="shared" si="12"/>
        <v>1</v>
      </c>
      <c r="R30" s="377">
        <f t="shared" si="13"/>
        <v>0</v>
      </c>
      <c r="S30" s="377"/>
      <c r="T30" s="377">
        <f t="shared" si="14"/>
        <v>0</v>
      </c>
      <c r="U30" s="377"/>
      <c r="V30" s="49" t="str">
        <f>IF(C30="","", VLOOKUP(B30,'Raw BOM'!$A$3:$F$495,6,FALSE))</f>
        <v>No</v>
      </c>
      <c r="X30" s="378">
        <f t="shared" si="15"/>
        <v>0</v>
      </c>
      <c r="Y30" s="378"/>
      <c r="Z30" s="378">
        <f>IF(C30="", 0,IF(D30&lt;&gt;"",D30,
IF($E$1="Contract NY", VLOOKUP(B30,'Raw BOM'!$A$3:$G$495,7,FALSE),
IF($E$1="Contract FL", VLOOKUP(B30,'Raw BOM'!$A$3:$I$495,8,FALSE),
IF($E$1="Contract LA", VLOOKUP(B30,'Raw BOM'!$A$3:$K$495,9,FALSE),
IF($E$1="Contract WA", VLOOKUP(B30,'Raw BOM'!$A$3:$M$495,10,FALSE),
VLOOKUP(B30,'Raw BOM'!$A$3:$D$495,4,FALSE)))))))</f>
        <v>0</v>
      </c>
      <c r="AA30" s="378">
        <f t="shared" si="16"/>
        <v>0</v>
      </c>
      <c r="AB30" s="182">
        <f>ROUND(
IF(AND(C30&lt;&gt;"", D30="", V30="Yes"),
     IF($E$1="Discount Based",
         Z30*IF(OR(LEFT(A30,2)="HW", LEFT(A30,12)="CMS-Hardware"),
              $E$2,
              IF(AND(LEFT(A30,3)="Sys", LEFT(A188,4)&lt;&gt;"Ship"),
                   ($E$2+$E$3*0.7)/2,
                    0)),
         IF($E$1="Cost Based",
              IF(OR(LEFT(A30,2)="HW", LEFT(A30,12)="CMS-Hardware"),
                   Z30-(1+$E$4)*VLOOKUP(B30,'Raw BOM'!$A$3:$E$492,5,FALSE),
              IF(AND(LEFT(A30,3)="Sys",LEFT(A188,4)&lt;&gt;"Ship"),
                   Z30-(1+($E$4+$E$5*0.7)/2)*VLOOKUP(B30,'Raw BOM'!$A$3:$E$492,5,FALSE),
                   0))))),2)</f>
        <v>0</v>
      </c>
      <c r="AC30" s="47">
        <f>ROUND(
IF(AND(C30&lt;&gt;"", D30="", V30="No"),
     IF($E$1="Discount Based",
         Z30*IF(AND(LEFT(A30,2)&lt;&gt;"HW", LEFT(A30,12)&lt;&gt;"CMS-Hardware",LEFT(A30,3)&lt;&gt;"Sys", LEFT(A188,4)&lt;&gt;"Ship"),
                   $E$3,0),
     IF($E$1="Cost Based",
          IF(AND(LEFT(A30,2)&lt;&gt;"HW", LEFT(A30,12)&lt;&gt;"CMS-Hardware",LEFT(A30,3)&lt;&gt;"Sys", LEFT(A188,4)&lt;&gt;"Ship"),
               Z30-(1+$E$4)*VLOOKUP(B30,'Raw BOM'!$A$3:$E$492,5,FALSE),0),0)),0),2)</f>
        <v>0</v>
      </c>
      <c r="AD30" s="182">
        <f t="shared" si="17"/>
        <v>0</v>
      </c>
      <c r="AE30" s="182">
        <f t="shared" si="18"/>
        <v>0</v>
      </c>
    </row>
    <row r="31" spans="1:31" s="1" customFormat="1" ht="30" customHeight="1" x14ac:dyDescent="0.25">
      <c r="A31" s="41" t="str">
        <f>IF(B31&lt;&gt;"",VLOOKUP(B31,'Raw BOM'!$A$3:$B$495,2,FALSE),IF(E31&lt;&gt;"","Misc",""))</f>
        <v>Svcs-Phone</v>
      </c>
      <c r="B31" s="138" t="str">
        <f>IF('Blank Quote'!B31&lt;&gt;"", 'Blank Quote'!B31, "")</f>
        <v>Services Method-Remote (Phone)</v>
      </c>
      <c r="C31" s="139">
        <f>IF('Blank Quote'!C31&lt;&gt;"", 'Blank Quote'!C31, "")</f>
        <v>1</v>
      </c>
      <c r="D31" s="140" t="str">
        <f>IF('Blank Quote'!D31&lt;&gt;"", 'Blank Quote'!D31, "")</f>
        <v/>
      </c>
      <c r="E31" s="141" t="str">
        <f>IF('Blank Quote'!E31&lt;&gt;"", 'Blank Quote'!E31, "")</f>
        <v xml:space="preserve">To perform services shown in the line above. </v>
      </c>
      <c r="F31"/>
      <c r="G31" s="315" t="str">
        <f t="shared" si="10"/>
        <v>Svcs-Phone</v>
      </c>
      <c r="H31" s="316"/>
      <c r="I31" s="317" t="str">
        <f t="shared" si="11"/>
        <v xml:space="preserve">Services Method-Remote (Phone)   *** To perform services shown in the line above. </v>
      </c>
      <c r="J31" s="317"/>
      <c r="K31" s="317"/>
      <c r="L31" s="317"/>
      <c r="M31" s="317"/>
      <c r="N31" s="317"/>
      <c r="O31" s="317"/>
      <c r="P31" s="317"/>
      <c r="Q31" s="99">
        <f t="shared" si="12"/>
        <v>1</v>
      </c>
      <c r="R31" s="377">
        <f t="shared" si="13"/>
        <v>405</v>
      </c>
      <c r="S31" s="377"/>
      <c r="T31" s="377">
        <f t="shared" si="14"/>
        <v>405</v>
      </c>
      <c r="U31" s="377"/>
      <c r="V31" s="49" t="str">
        <f>IF(C31="","", VLOOKUP(B31,'Raw BOM'!$A$3:$F$495,6,FALSE))</f>
        <v>No</v>
      </c>
      <c r="X31" s="378">
        <f t="shared" si="15"/>
        <v>750</v>
      </c>
      <c r="Y31" s="378"/>
      <c r="Z31" s="378">
        <f>IF(C31="", 0,IF(D31&lt;&gt;"",D31,
IF($E$1="Contract NY", VLOOKUP(B31,'Raw BOM'!$A$3:$G$495,7,FALSE),
IF($E$1="Contract FL", VLOOKUP(B31,'Raw BOM'!$A$3:$I$495,8,FALSE),
IF($E$1="Contract LA", VLOOKUP(B31,'Raw BOM'!$A$3:$K$495,9,FALSE),
IF($E$1="Contract WA", VLOOKUP(B31,'Raw BOM'!$A$3:$M$495,10,FALSE),
VLOOKUP(B31,'Raw BOM'!$A$3:$D$495,4,FALSE)))))))</f>
        <v>750</v>
      </c>
      <c r="AA31" s="378">
        <f t="shared" si="16"/>
        <v>0</v>
      </c>
      <c r="AB31" s="182">
        <f>ROUND(
IF(AND(C31&lt;&gt;"", D31="", V31="Yes"),
     IF($E$1="Discount Based",
         Z31*IF(OR(LEFT(A31,2)="HW", LEFT(A31,12)="CMS-Hardware"),
              $E$2,
              IF(AND(LEFT(A31,3)="Sys", LEFT(A189,4)&lt;&gt;"Ship"),
                   ($E$2+$E$3*0.7)/2,
                    0)),
         IF($E$1="Cost Based",
              IF(OR(LEFT(A31,2)="HW", LEFT(A31,12)="CMS-Hardware"),
                   Z31-(1+$E$4)*VLOOKUP(B31,'Raw BOM'!$A$3:$E$492,5,FALSE),
              IF(AND(LEFT(A31,3)="Sys",LEFT(A189,4)&lt;&gt;"Ship"),
                   Z31-(1+($E$4+$E$5*0.7)/2)*VLOOKUP(B31,'Raw BOM'!$A$3:$E$492,5,FALSE),
                   0))))),2)</f>
        <v>0</v>
      </c>
      <c r="AC31" s="47">
        <f>ROUND(
IF(AND(C31&lt;&gt;"", D31="", V31="No"),
     IF($E$1="Discount Based",
         Z31*IF(AND(LEFT(A31,2)&lt;&gt;"HW", LEFT(A31,12)&lt;&gt;"CMS-Hardware",LEFT(A31,3)&lt;&gt;"Sys", LEFT(A189,4)&lt;&gt;"Ship"),
                   $E$3,0),
     IF($E$1="Cost Based",
          IF(AND(LEFT(A31,2)&lt;&gt;"HW", LEFT(A31,12)&lt;&gt;"CMS-Hardware",LEFT(A31,3)&lt;&gt;"Sys", LEFT(A189,4)&lt;&gt;"Ship"),
               Z31-(1+$E$4)*VLOOKUP(B31,'Raw BOM'!$A$3:$E$492,5,FALSE),0),0)),0),2)</f>
        <v>345</v>
      </c>
      <c r="AD31" s="182">
        <f t="shared" si="17"/>
        <v>0</v>
      </c>
      <c r="AE31" s="182">
        <f t="shared" si="18"/>
        <v>0</v>
      </c>
    </row>
    <row r="32" spans="1:31" s="1" customFormat="1" ht="30" customHeight="1" x14ac:dyDescent="0.25">
      <c r="A32" s="41" t="str">
        <f>IF(B32&lt;&gt;"",VLOOKUP(B32,'Raw BOM'!$A$3:$B$495,2,FALSE),IF(E32&lt;&gt;"","Misc",""))</f>
        <v/>
      </c>
      <c r="B32" s="138" t="str">
        <f>IF('Blank Quote'!B32&lt;&gt;"", 'Blank Quote'!B32, "")</f>
        <v/>
      </c>
      <c r="C32" s="139" t="str">
        <f>IF('Blank Quote'!C32&lt;&gt;"", 'Blank Quote'!C32, "")</f>
        <v/>
      </c>
      <c r="D32" s="140" t="str">
        <f>IF('Blank Quote'!D32&lt;&gt;"", 'Blank Quote'!D32, "")</f>
        <v/>
      </c>
      <c r="E32" s="141" t="str">
        <f>IF('Blank Quote'!E32&lt;&gt;"", 'Blank Quote'!E32, "")</f>
        <v/>
      </c>
      <c r="F32"/>
      <c r="G32" s="315" t="str">
        <f t="shared" si="10"/>
        <v/>
      </c>
      <c r="H32" s="316"/>
      <c r="I32" s="317" t="str">
        <f t="shared" si="11"/>
        <v/>
      </c>
      <c r="J32" s="317"/>
      <c r="K32" s="317"/>
      <c r="L32" s="317"/>
      <c r="M32" s="317"/>
      <c r="N32" s="317"/>
      <c r="O32" s="317"/>
      <c r="P32" s="317"/>
      <c r="Q32" s="99" t="str">
        <f t="shared" si="12"/>
        <v/>
      </c>
      <c r="R32" s="377" t="str">
        <f t="shared" si="13"/>
        <v/>
      </c>
      <c r="S32" s="377"/>
      <c r="T32" s="377" t="str">
        <f t="shared" si="14"/>
        <v/>
      </c>
      <c r="U32" s="377"/>
      <c r="V32" s="49" t="str">
        <f>IF(C32="","", VLOOKUP(B32,'Raw BOM'!$A$3:$F$495,6,FALSE))</f>
        <v/>
      </c>
      <c r="X32" s="378" t="str">
        <f t="shared" si="15"/>
        <v/>
      </c>
      <c r="Y32" s="378"/>
      <c r="Z32" s="378">
        <f>IF(C32="", 0,IF(D32&lt;&gt;"",D32,
IF($E$1="Contract NY", VLOOKUP(B32,'Raw BOM'!$A$3:$G$495,7,FALSE),
IF($E$1="Contract FL", VLOOKUP(B32,'Raw BOM'!$A$3:$I$495,8,FALSE),
IF($E$1="Contract LA", VLOOKUP(B32,'Raw BOM'!$A$3:$K$495,9,FALSE),
IF($E$1="Contract WA", VLOOKUP(B32,'Raw BOM'!$A$3:$M$495,10,FALSE),
VLOOKUP(B32,'Raw BOM'!$A$3:$D$495,4,FALSE)))))))</f>
        <v>0</v>
      </c>
      <c r="AA32" s="378">
        <f t="shared" si="16"/>
        <v>0</v>
      </c>
      <c r="AB32" s="182">
        <f>ROUND(
IF(AND(C32&lt;&gt;"", D32="", V32="Yes"),
     IF($E$1="Discount Based",
         Z32*IF(OR(LEFT(A32,2)="HW", LEFT(A32,12)="CMS-Hardware"),
              $E$2,
              IF(AND(LEFT(A32,3)="Sys", LEFT(A190,4)&lt;&gt;"Ship"),
                   ($E$2+$E$3*0.7)/2,
                    0)),
         IF($E$1="Cost Based",
              IF(OR(LEFT(A32,2)="HW", LEFT(A32,12)="CMS-Hardware"),
                   Z32-(1+$E$4)*VLOOKUP(B32,'Raw BOM'!$A$3:$E$492,5,FALSE),
              IF(AND(LEFT(A32,3)="Sys",LEFT(A190,4)&lt;&gt;"Ship"),
                   Z32-(1+($E$4+$E$5*0.7)/2)*VLOOKUP(B32,'Raw BOM'!$A$3:$E$492,5,FALSE),
                   0))))),2)</f>
        <v>0</v>
      </c>
      <c r="AC32" s="47">
        <f>ROUND(
IF(AND(C32&lt;&gt;"", D32="", V32="No"),
     IF($E$1="Discount Based",
         Z32*IF(AND(LEFT(A32,2)&lt;&gt;"HW", LEFT(A32,12)&lt;&gt;"CMS-Hardware",LEFT(A32,3)&lt;&gt;"Sys", LEFT(A190,4)&lt;&gt;"Ship"),
                   $E$3,0),
     IF($E$1="Cost Based",
          IF(AND(LEFT(A32,2)&lt;&gt;"HW", LEFT(A32,12)&lt;&gt;"CMS-Hardware",LEFT(A32,3)&lt;&gt;"Sys", LEFT(A190,4)&lt;&gt;"Ship"),
               Z32-(1+$E$4)*VLOOKUP(B32,'Raw BOM'!$A$3:$E$492,5,FALSE),0),0)),0),2)</f>
        <v>0</v>
      </c>
      <c r="AD32" s="182">
        <f t="shared" si="17"/>
        <v>0</v>
      </c>
      <c r="AE32" s="182">
        <f t="shared" si="18"/>
        <v>0</v>
      </c>
    </row>
    <row r="33" spans="1:31" s="1" customFormat="1" ht="30" customHeight="1" x14ac:dyDescent="0.25">
      <c r="A33" s="41" t="str">
        <f>IF(B33&lt;&gt;"",VLOOKUP(B33,'Raw BOM'!$A$3:$B$495,2,FALSE),IF(E33&lt;&gt;"","Misc",""))</f>
        <v>Ship-L</v>
      </c>
      <c r="B33" s="138" t="str">
        <f>IF('Blank Quote'!B33&lt;&gt;"", 'Blank Quote'!B33, "")</f>
        <v>Shipping-Ground for Large Package</v>
      </c>
      <c r="C33" s="139">
        <f>IF('Blank Quote'!C33&lt;&gt;"", 'Blank Quote'!C33, "")</f>
        <v>1</v>
      </c>
      <c r="D33" s="140" t="str">
        <f>IF('Blank Quote'!D33&lt;&gt;"", 'Blank Quote'!D33, "")</f>
        <v/>
      </c>
      <c r="E33" s="141" t="str">
        <f>IF('Blank Quote'!E33&lt;&gt;"", 'Blank Quote'!E33, "")</f>
        <v/>
      </c>
      <c r="F33"/>
      <c r="G33" s="315" t="str">
        <f t="shared" si="10"/>
        <v>Ship-L</v>
      </c>
      <c r="H33" s="316"/>
      <c r="I33" s="317" t="str">
        <f t="shared" si="11"/>
        <v>Shipping-Ground for Large Package</v>
      </c>
      <c r="J33" s="317"/>
      <c r="K33" s="317"/>
      <c r="L33" s="317"/>
      <c r="M33" s="317"/>
      <c r="N33" s="317"/>
      <c r="O33" s="317"/>
      <c r="P33" s="317"/>
      <c r="Q33" s="99">
        <f t="shared" si="12"/>
        <v>1</v>
      </c>
      <c r="R33" s="377">
        <f t="shared" si="13"/>
        <v>32.4</v>
      </c>
      <c r="S33" s="377"/>
      <c r="T33" s="377">
        <f t="shared" si="14"/>
        <v>32.4</v>
      </c>
      <c r="U33" s="377"/>
      <c r="V33" s="49" t="str">
        <f>IF(C33="","", VLOOKUP(B33,'Raw BOM'!$A$3:$F$495,6,FALSE))</f>
        <v>No</v>
      </c>
      <c r="X33" s="378">
        <f t="shared" si="15"/>
        <v>60</v>
      </c>
      <c r="Y33" s="378"/>
      <c r="Z33" s="378">
        <f>IF(C33="", 0,IF(D33&lt;&gt;"",D33,
IF($E$1="Contract NY", VLOOKUP(B33,'Raw BOM'!$A$3:$G$495,7,FALSE),
IF($E$1="Contract FL", VLOOKUP(B33,'Raw BOM'!$A$3:$I$495,8,FALSE),
IF($E$1="Contract LA", VLOOKUP(B33,'Raw BOM'!$A$3:$K$495,9,FALSE),
IF($E$1="Contract WA", VLOOKUP(B33,'Raw BOM'!$A$3:$M$495,10,FALSE),
VLOOKUP(B33,'Raw BOM'!$A$3:$D$495,4,FALSE)))))))</f>
        <v>60</v>
      </c>
      <c r="AA33" s="378">
        <f t="shared" si="16"/>
        <v>0</v>
      </c>
      <c r="AB33" s="182">
        <f>ROUND(
IF(AND(C33&lt;&gt;"", D33="", V33="Yes"),
     IF($E$1="Discount Based",
         Z33*IF(OR(LEFT(A33,2)="HW", LEFT(A33,12)="CMS-Hardware"),
              $E$2,
              IF(AND(LEFT(A33,3)="Sys", LEFT(A191,4)&lt;&gt;"Ship"),
                   ($E$2+$E$3*0.7)/2,
                    0)),
         IF($E$1="Cost Based",
              IF(OR(LEFT(A33,2)="HW", LEFT(A33,12)="CMS-Hardware"),
                   Z33-(1+$E$4)*VLOOKUP(B33,'Raw BOM'!$A$3:$E$492,5,FALSE),
              IF(AND(LEFT(A33,3)="Sys",LEFT(A191,4)&lt;&gt;"Ship"),
                   Z33-(1+($E$4+$E$5*0.7)/2)*VLOOKUP(B33,'Raw BOM'!$A$3:$E$492,5,FALSE),
                   0))))),2)</f>
        <v>0</v>
      </c>
      <c r="AC33" s="47">
        <f>ROUND(
IF(AND(C33&lt;&gt;"", D33="", V33="No"),
     IF($E$1="Discount Based",
         Z33*IF(AND(LEFT(A33,2)&lt;&gt;"HW", LEFT(A33,12)&lt;&gt;"CMS-Hardware",LEFT(A33,3)&lt;&gt;"Sys", LEFT(A191,4)&lt;&gt;"Ship"),
                   $E$3,0),
     IF($E$1="Cost Based",
          IF(AND(LEFT(A33,2)&lt;&gt;"HW", LEFT(A33,12)&lt;&gt;"CMS-Hardware",LEFT(A33,3)&lt;&gt;"Sys", LEFT(A191,4)&lt;&gt;"Ship"),
               Z33-(1+$E$4)*VLOOKUP(B33,'Raw BOM'!$A$3:$E$492,5,FALSE),0),0)),0),2)</f>
        <v>27.6</v>
      </c>
      <c r="AD33" s="182">
        <f t="shared" si="17"/>
        <v>0</v>
      </c>
      <c r="AE33" s="182">
        <f t="shared" si="18"/>
        <v>0</v>
      </c>
    </row>
    <row r="34" spans="1:31" s="1" customFormat="1" ht="30" customHeight="1" x14ac:dyDescent="0.25">
      <c r="A34" s="41" t="str">
        <f>IF(B34&lt;&gt;"",VLOOKUP(B34,'Raw BOM'!$A$3:$B$495,2,FALSE),IF(E34&lt;&gt;"","Misc",""))</f>
        <v>Maint-Warr</v>
      </c>
      <c r="B34" s="138" t="str">
        <f>IF('Blank Quote'!B34&lt;&gt;"", 'Blank Quote'!B34, "")</f>
        <v>Maintenance-Initial Year Warranty</v>
      </c>
      <c r="C34" s="139">
        <f>IF('Blank Quote'!C34&lt;&gt;"", 'Blank Quote'!C34, "")</f>
        <v>1</v>
      </c>
      <c r="D34" s="140" t="str">
        <f>IF('Blank Quote'!D34&lt;&gt;"", 'Blank Quote'!D34, "")</f>
        <v/>
      </c>
      <c r="E34" s="141" t="str">
        <f>IF('Blank Quote'!E34&lt;&gt;"", 'Blank Quote'!E34, "")</f>
        <v>Cross Ship</v>
      </c>
      <c r="F34"/>
      <c r="G34" s="315" t="str">
        <f t="shared" si="10"/>
        <v>Maint-Warr</v>
      </c>
      <c r="H34" s="316"/>
      <c r="I34" s="317" t="str">
        <f t="shared" si="11"/>
        <v>Maintenance-Initial Year Warranty   *** Cross Ship</v>
      </c>
      <c r="J34" s="317"/>
      <c r="K34" s="317"/>
      <c r="L34" s="317"/>
      <c r="M34" s="317"/>
      <c r="N34" s="317"/>
      <c r="O34" s="317"/>
      <c r="P34" s="317"/>
      <c r="Q34" s="99">
        <f t="shared" si="12"/>
        <v>1</v>
      </c>
      <c r="R34" s="377">
        <f t="shared" si="13"/>
        <v>0</v>
      </c>
      <c r="S34" s="377"/>
      <c r="T34" s="377">
        <f t="shared" si="14"/>
        <v>0</v>
      </c>
      <c r="U34" s="377"/>
      <c r="V34" s="49" t="str">
        <f>IF(C34="","", VLOOKUP(B34,'Raw BOM'!$A$3:$F$495,6,FALSE))</f>
        <v>No</v>
      </c>
      <c r="X34" s="378">
        <f t="shared" si="15"/>
        <v>0</v>
      </c>
      <c r="Y34" s="378"/>
      <c r="Z34" s="378">
        <f>IF(C34="", 0,IF(D34&lt;&gt;"",D34,
IF($E$1="Contract NY", VLOOKUP(B34,'Raw BOM'!$A$3:$G$495,7,FALSE),
IF($E$1="Contract FL", VLOOKUP(B34,'Raw BOM'!$A$3:$I$495,8,FALSE),
IF($E$1="Contract LA", VLOOKUP(B34,'Raw BOM'!$A$3:$K$495,9,FALSE),
IF($E$1="Contract WA", VLOOKUP(B34,'Raw BOM'!$A$3:$M$495,10,FALSE),
VLOOKUP(B34,'Raw BOM'!$A$3:$D$495,4,FALSE)))))))</f>
        <v>0</v>
      </c>
      <c r="AA34" s="378">
        <f t="shared" si="16"/>
        <v>0</v>
      </c>
      <c r="AB34" s="182">
        <f>ROUND(
IF(AND(C34&lt;&gt;"", D34="", V34="Yes"),
     IF($E$1="Discount Based",
         Z34*IF(OR(LEFT(A34,2)="HW", LEFT(A34,12)="CMS-Hardware"),
              $E$2,
              IF(AND(LEFT(A34,3)="Sys", LEFT(A192,4)&lt;&gt;"Ship"),
                   ($E$2+$E$3*0.7)/2,
                    0)),
         IF($E$1="Cost Based",
              IF(OR(LEFT(A34,2)="HW", LEFT(A34,12)="CMS-Hardware"),
                   Z34-(1+$E$4)*VLOOKUP(B34,'Raw BOM'!$A$3:$E$492,5,FALSE),
              IF(AND(LEFT(A34,3)="Sys",LEFT(A192,4)&lt;&gt;"Ship"),
                   Z34-(1+($E$4+$E$5*0.7)/2)*VLOOKUP(B34,'Raw BOM'!$A$3:$E$492,5,FALSE),
                   0))))),2)</f>
        <v>0</v>
      </c>
      <c r="AC34" s="47">
        <f>ROUND(
IF(AND(C34&lt;&gt;"", D34="", V34="No"),
     IF($E$1="Discount Based",
         Z34*IF(AND(LEFT(A34,2)&lt;&gt;"HW", LEFT(A34,12)&lt;&gt;"CMS-Hardware",LEFT(A34,3)&lt;&gt;"Sys", LEFT(A192,4)&lt;&gt;"Ship"),
                   $E$3,0),
     IF($E$1="Cost Based",
          IF(AND(LEFT(A34,2)&lt;&gt;"HW", LEFT(A34,12)&lt;&gt;"CMS-Hardware",LEFT(A34,3)&lt;&gt;"Sys", LEFT(A192,4)&lt;&gt;"Ship"),
               Z34-(1+$E$4)*VLOOKUP(B34,'Raw BOM'!$A$3:$E$492,5,FALSE),0),0)),0),2)</f>
        <v>0</v>
      </c>
      <c r="AD34" s="182">
        <f t="shared" si="17"/>
        <v>0</v>
      </c>
      <c r="AE34" s="182">
        <f t="shared" si="18"/>
        <v>0</v>
      </c>
    </row>
    <row r="35" spans="1:31" s="1" customFormat="1" ht="30" customHeight="1" x14ac:dyDescent="0.25">
      <c r="A35" s="41" t="str">
        <f>IF(B35&lt;&gt;"",VLOOKUP(B35,'Raw BOM'!$A$3:$B$495,2,FALSE),IF(E35&lt;&gt;"","Misc",""))</f>
        <v>Misc</v>
      </c>
      <c r="B35" s="138" t="str">
        <f>IF('Blank Quote'!B35&lt;&gt;"", 'Blank Quote'!B35, "")</f>
        <v/>
      </c>
      <c r="C35" s="139" t="str">
        <f>IF('Blank Quote'!C35&lt;&gt;"", 'Blank Quote'!C35, "")</f>
        <v/>
      </c>
      <c r="D35" s="140" t="str">
        <f>IF('Blank Quote'!D35&lt;&gt;"", 'Blank Quote'!D35, "")</f>
        <v/>
      </c>
      <c r="E35" s="141" t="str">
        <f>IF('Blank Quote'!E35&lt;&gt;"", 'Blank Quote'!E35, "")</f>
        <v>Pick one of the following 2 Maintenance options in the 12th month.  We recommend picking 2nd line if processing more than 1,200 transactions per year.</v>
      </c>
      <c r="F35"/>
      <c r="G35" s="315" t="str">
        <f t="shared" si="10"/>
        <v>Misc</v>
      </c>
      <c r="H35" s="316"/>
      <c r="I35" s="317" t="str">
        <f t="shared" si="11"/>
        <v xml:space="preserve">   *** Pick one of the following 2 Maintenance options in the 12th month.  We recommend picking 2nd line if processing more than 1,200 transactions per year.</v>
      </c>
      <c r="J35" s="317"/>
      <c r="K35" s="317"/>
      <c r="L35" s="317"/>
      <c r="M35" s="317"/>
      <c r="N35" s="317"/>
      <c r="O35" s="317"/>
      <c r="P35" s="317"/>
      <c r="Q35" s="99" t="str">
        <f t="shared" si="12"/>
        <v/>
      </c>
      <c r="R35" s="377" t="str">
        <f t="shared" si="13"/>
        <v/>
      </c>
      <c r="S35" s="377"/>
      <c r="T35" s="377" t="str">
        <f t="shared" si="14"/>
        <v/>
      </c>
      <c r="U35" s="377"/>
      <c r="V35" s="49" t="str">
        <f>IF(C35="","", VLOOKUP(B35,'Raw BOM'!$A$3:$F$495,6,FALSE))</f>
        <v/>
      </c>
      <c r="X35" s="378" t="str">
        <f t="shared" si="15"/>
        <v/>
      </c>
      <c r="Y35" s="378"/>
      <c r="Z35" s="378">
        <f>IF(C35="", 0,IF(D35&lt;&gt;"",D35,
IF($E$1="Contract NY", VLOOKUP(B35,'Raw BOM'!$A$3:$G$495,7,FALSE),
IF($E$1="Contract FL", VLOOKUP(B35,'Raw BOM'!$A$3:$I$495,8,FALSE),
IF($E$1="Contract LA", VLOOKUP(B35,'Raw BOM'!$A$3:$K$495,9,FALSE),
IF($E$1="Contract WA", VLOOKUP(B35,'Raw BOM'!$A$3:$M$495,10,FALSE),
VLOOKUP(B35,'Raw BOM'!$A$3:$D$495,4,FALSE)))))))</f>
        <v>0</v>
      </c>
      <c r="AA35" s="378">
        <f t="shared" si="16"/>
        <v>0</v>
      </c>
      <c r="AB35" s="182">
        <f>ROUND(
IF(AND(C35&lt;&gt;"", D35="", V35="Yes"),
     IF($E$1="Discount Based",
         Z35*IF(OR(LEFT(A35,2)="HW", LEFT(A35,12)="CMS-Hardware"),
              $E$2,
              IF(AND(LEFT(A35,3)="Sys", LEFT(A193,4)&lt;&gt;"Ship"),
                   ($E$2+$E$3*0.7)/2,
                    0)),
         IF($E$1="Cost Based",
              IF(OR(LEFT(A35,2)="HW", LEFT(A35,12)="CMS-Hardware"),
                   Z35-(1+$E$4)*VLOOKUP(B35,'Raw BOM'!$A$3:$E$492,5,FALSE),
              IF(AND(LEFT(A35,3)="Sys",LEFT(A193,4)&lt;&gt;"Ship"),
                   Z35-(1+($E$4+$E$5*0.7)/2)*VLOOKUP(B35,'Raw BOM'!$A$3:$E$492,5,FALSE),
                   0))))),2)</f>
        <v>0</v>
      </c>
      <c r="AC35" s="47">
        <f>ROUND(
IF(AND(C35&lt;&gt;"", D35="", V35="No"),
     IF($E$1="Discount Based",
         Z35*IF(AND(LEFT(A35,2)&lt;&gt;"HW", LEFT(A35,12)&lt;&gt;"CMS-Hardware",LEFT(A35,3)&lt;&gt;"Sys", LEFT(A193,4)&lt;&gt;"Ship"),
                   $E$3,0),
     IF($E$1="Cost Based",
          IF(AND(LEFT(A35,2)&lt;&gt;"HW", LEFT(A35,12)&lt;&gt;"CMS-Hardware",LEFT(A35,3)&lt;&gt;"Sys", LEFT(A193,4)&lt;&gt;"Ship"),
               Z35-(1+$E$4)*VLOOKUP(B35,'Raw BOM'!$A$3:$E$492,5,FALSE),0),0)),0),2)</f>
        <v>0</v>
      </c>
      <c r="AD35" s="182">
        <f t="shared" si="17"/>
        <v>0</v>
      </c>
      <c r="AE35" s="182">
        <f t="shared" si="18"/>
        <v>0</v>
      </c>
    </row>
    <row r="36" spans="1:31" s="1" customFormat="1" ht="30" customHeight="1" x14ac:dyDescent="0.25">
      <c r="A36" s="41" t="str">
        <f>IF(B36&lt;&gt;"",VLOOKUP(B36,'Raw BOM'!$A$3:$B$495,2,FALSE),IF(E36&lt;&gt;"","Misc",""))</f>
        <v>Maint-9X5-SW-App</v>
      </c>
      <c r="B36" s="138" t="str">
        <f>IF('Blank Quote'!B36&lt;&gt;"", 'Blank Quote'!B36, "")</f>
        <v>Maintenance-9X5 Software Only Support Applicant</v>
      </c>
      <c r="C36" s="139">
        <f>IF('Blank Quote'!C36&lt;&gt;"", 'Blank Quote'!C36, "")</f>
        <v>0</v>
      </c>
      <c r="D36" s="140">
        <f>IF('Blank Quote'!D36&lt;&gt;"", 'Blank Quote'!D36, F36)</f>
        <v>495</v>
      </c>
      <c r="E36" s="141" t="str">
        <f>CONCATENATE(IF('Blank Quote'!E36&lt;&gt;"", 'Blank Quote'!E36, ""), "  |  If purchased and paid for with the initial PO")</f>
        <v>Software Only coverage, per system  |  If purchased and paid for with the initial PO</v>
      </c>
      <c r="F36" s="193">
        <f>ROUND(S41*0.08,-1)</f>
        <v>300</v>
      </c>
      <c r="G36" s="315" t="str">
        <f t="shared" si="3"/>
        <v>Maint-9X5-SW-App</v>
      </c>
      <c r="H36" s="316"/>
      <c r="I36" s="317" t="str">
        <f t="shared" si="4"/>
        <v>Maintenance-9X5 Software Only Support Applicant   *** Software Only coverage, per system  |  If purchased and paid for with the initial PO</v>
      </c>
      <c r="J36" s="317"/>
      <c r="K36" s="317"/>
      <c r="L36" s="317"/>
      <c r="M36" s="317"/>
      <c r="N36" s="317"/>
      <c r="O36" s="317"/>
      <c r="P36" s="317"/>
      <c r="Q36" s="99">
        <f t="shared" si="5"/>
        <v>0</v>
      </c>
      <c r="R36" s="377">
        <f>D36</f>
        <v>495</v>
      </c>
      <c r="S36" s="377"/>
      <c r="T36" s="377">
        <f t="shared" si="7"/>
        <v>0</v>
      </c>
      <c r="U36" s="377"/>
      <c r="V36" s="49" t="str">
        <f>IF(C36="","", VLOOKUP(B36,'Raw BOM'!$A$3:$F$495,6,FALSE))</f>
        <v>No</v>
      </c>
      <c r="X36" s="384">
        <f t="shared" si="8"/>
        <v>0</v>
      </c>
      <c r="Y36" s="384">
        <f t="shared" ref="Y36" si="19">O36</f>
        <v>0</v>
      </c>
      <c r="Z36" s="382" t="b">
        <f>IF(D36="", $S$41*0.08,
IF($E$1="Contract NY", VLOOKUP(B36,'Raw BOM'!$A$3:$G$495,7,FALSE),
IF($E$1="Contract FL", VLOOKUP(B36,'Raw BOM'!$A$3:$I$495,8,FALSE),
IF($E$1="Contract LA", VLOOKUP(B36,'Raw BOM'!$A$3:$K$495,9,FALSE),
IF($E$1="Contract WA", VLOOKUP(B36,'Raw BOM'!$A$3:$M$495,10,FALSE))))))</f>
        <v>0</v>
      </c>
      <c r="AA36" s="383">
        <f t="shared" si="16"/>
        <v>0</v>
      </c>
      <c r="AB36" s="182"/>
      <c r="AC36" s="47"/>
      <c r="AD36" s="182">
        <f t="shared" si="1"/>
        <v>0</v>
      </c>
      <c r="AE36" s="182">
        <f t="shared" si="2"/>
        <v>0</v>
      </c>
    </row>
    <row r="37" spans="1:31" s="1" customFormat="1" ht="30" customHeight="1" x14ac:dyDescent="0.25">
      <c r="A37" s="41" t="str">
        <f>IF(B37&lt;&gt;"",VLOOKUP(B37,'Raw BOM'!$A$3:$B$495,2,FALSE),IF(E37&lt;&gt;"","Misc",""))</f>
        <v>Maint-9X5-Remote</v>
      </c>
      <c r="B37" s="138" t="str">
        <f>IF('Blank Quote'!B37&lt;&gt;"", 'Blank Quote'!B37, "")</f>
        <v>Maintenance-9 X 5 (8am - 5pm, M-F) Remote with Cross Ship</v>
      </c>
      <c r="C37" s="139">
        <f>IF('Blank Quote'!C37&lt;&gt;"", 'Blank Quote'!C37, "")</f>
        <v>0</v>
      </c>
      <c r="D37" s="140">
        <f>IF('Blank Quote'!D37&lt;&gt;"", 'Blank Quote'!D37, F37)</f>
        <v>960</v>
      </c>
      <c r="E37" s="141" t="str">
        <f>CONCATENATE(IF('Blank Quote'!E37&lt;&gt;"", 'Blank Quote'!E37, ""), "  |  If purchased and paid for with the initial PO")</f>
        <v>Software and Hardware Coverage, per system  |  If purchased and paid for with the initial PO</v>
      </c>
      <c r="F37" s="193">
        <f>ROUND(S41*0.12,-1)</f>
        <v>450</v>
      </c>
      <c r="G37" s="315" t="str">
        <f t="shared" si="3"/>
        <v>Maint-9X5-Remote</v>
      </c>
      <c r="H37" s="316"/>
      <c r="I37" s="317" t="str">
        <f t="shared" si="4"/>
        <v>Maintenance-9 X 5 (8am - 5pm, M-F) Remote with Cross Ship   *** Software and Hardware Coverage, per system  |  If purchased and paid for with the initial PO</v>
      </c>
      <c r="J37" s="317"/>
      <c r="K37" s="317"/>
      <c r="L37" s="317"/>
      <c r="M37" s="317"/>
      <c r="N37" s="317"/>
      <c r="O37" s="317"/>
      <c r="P37" s="317"/>
      <c r="Q37" s="99">
        <f t="shared" si="5"/>
        <v>0</v>
      </c>
      <c r="R37" s="377">
        <f t="shared" ref="R37:R39" si="20">D37</f>
        <v>960</v>
      </c>
      <c r="S37" s="377"/>
      <c r="T37" s="377">
        <f t="shared" si="7"/>
        <v>0</v>
      </c>
      <c r="U37" s="377"/>
      <c r="V37" s="49" t="str">
        <f>IF(C37="","", VLOOKUP(B37,'Raw BOM'!$A$3:$F$495,6,FALSE))</f>
        <v>No</v>
      </c>
      <c r="X37" s="382">
        <f t="shared" ref="X37:X39" si="21">IF(C37="", "", Q37*Z37)</f>
        <v>0</v>
      </c>
      <c r="Y37" s="383">
        <f t="shared" ref="Y37:Y39" si="22">O37</f>
        <v>0</v>
      </c>
      <c r="Z37" s="378" t="b">
        <f>IF(D37="", $S$41*0.12,
IF($E$1="Contract NY", VLOOKUP(B37,'Raw BOM'!$A$3:$G$495,7,FALSE),
IF($E$1="Contract FL", VLOOKUP(B37,'Raw BOM'!$A$3:$I$495,8,FALSE),
IF($E$1="Contract LA", VLOOKUP(B37,'Raw BOM'!$A$3:$K$495,9,FALSE),
IF($E$1="Contract WA", VLOOKUP(B37,'Raw BOM'!$A$3:$M$495,10,FALSE))))))</f>
        <v>0</v>
      </c>
      <c r="AA37" s="378">
        <f t="shared" ref="AA37" si="23">M37</f>
        <v>0</v>
      </c>
      <c r="AB37" s="182"/>
      <c r="AC37" s="47"/>
      <c r="AD37" s="182">
        <f t="shared" si="1"/>
        <v>0</v>
      </c>
      <c r="AE37" s="182">
        <f t="shared" si="2"/>
        <v>0</v>
      </c>
    </row>
    <row r="38" spans="1:31" s="1" customFormat="1" ht="30" customHeight="1" x14ac:dyDescent="0.25">
      <c r="A38" s="41" t="str">
        <f>IF(B38&lt;&gt;"",VLOOKUP(B38,'Raw BOM'!$A$3:$B$495,2,FALSE),IF(E38&lt;&gt;"","Misc",""))</f>
        <v>Misc</v>
      </c>
      <c r="B38" s="138" t="str">
        <f>IF('Blank Quote'!B38&lt;&gt;"", 'Blank Quote'!B38, "")</f>
        <v/>
      </c>
      <c r="C38" s="139" t="str">
        <f>IF('Blank Quote'!C38&lt;&gt;"", 'Blank Quote'!C38, "")</f>
        <v/>
      </c>
      <c r="D38" s="140">
        <f>IF('Blank Quote'!D38&lt;&gt;"", 'Blank Quote'!D38, F38)</f>
        <v>670</v>
      </c>
      <c r="E38" s="141" t="str">
        <f>CONCATENATE(IF('Blank Quote'!E38&lt;&gt;"", 'Blank Quote'!E38, ""), "  |  If purchased and paid for with the initial PO")</f>
        <v xml:space="preserve">  |  If purchased and paid for with the initial PO</v>
      </c>
      <c r="F38" s="193">
        <f>ROUND(S41*0.18,-1)</f>
        <v>670</v>
      </c>
      <c r="G38" s="315" t="str">
        <f t="shared" si="3"/>
        <v>Misc</v>
      </c>
      <c r="H38" s="316"/>
      <c r="I38" s="317" t="str">
        <f t="shared" si="4"/>
        <v xml:space="preserve">   ***   |  If purchased and paid for with the initial PO</v>
      </c>
      <c r="J38" s="317"/>
      <c r="K38" s="317"/>
      <c r="L38" s="317"/>
      <c r="M38" s="317"/>
      <c r="N38" s="317"/>
      <c r="O38" s="317"/>
      <c r="P38" s="317"/>
      <c r="Q38" s="99" t="str">
        <f t="shared" si="5"/>
        <v/>
      </c>
      <c r="R38" s="377">
        <f t="shared" si="20"/>
        <v>670</v>
      </c>
      <c r="S38" s="377"/>
      <c r="T38" s="377" t="str">
        <f t="shared" si="7"/>
        <v/>
      </c>
      <c r="U38" s="377"/>
      <c r="V38" s="49" t="str">
        <f>IF(C38="","", VLOOKUP(B38,'Raw BOM'!$A$3:$F$495,6,FALSE))</f>
        <v/>
      </c>
      <c r="X38" s="382" t="str">
        <f t="shared" si="21"/>
        <v/>
      </c>
      <c r="Y38" s="383">
        <f t="shared" si="22"/>
        <v>0</v>
      </c>
      <c r="Z38" s="378" t="b">
        <f>IF(D38="", $S$41*0.18,
IF($E$1="Contract NY", VLOOKUP(B38,'Raw BOM'!$A$3:$G$495,7,FALSE),
IF($E$1="Contract FL", VLOOKUP(B38,'Raw BOM'!$A$3:$I$495,8,FALSE),
IF($E$1="Contract LA", VLOOKUP(B38,'Raw BOM'!$A$3:$K$495,9,FALSE),
IF($E$1="Contract WA", VLOOKUP(B38,'Raw BOM'!$A$3:$M$495,10,FALSE))))))</f>
        <v>0</v>
      </c>
      <c r="AA38" s="378">
        <f t="shared" ref="AA38:AA39" si="24">M38</f>
        <v>0</v>
      </c>
      <c r="AB38" s="182"/>
      <c r="AC38" s="47"/>
      <c r="AD38" s="182">
        <f t="shared" si="1"/>
        <v>0</v>
      </c>
      <c r="AE38" s="182">
        <f t="shared" si="2"/>
        <v>0</v>
      </c>
    </row>
    <row r="39" spans="1:31" s="1" customFormat="1" ht="30" customHeight="1" thickBot="1" x14ac:dyDescent="0.3">
      <c r="A39" s="41" t="str">
        <f>IF(B39&lt;&gt;"",VLOOKUP(B39,'Raw BOM'!$A$3:$B$495,2,FALSE),IF(E39&lt;&gt;"","Misc",""))</f>
        <v>Misc</v>
      </c>
      <c r="B39" s="142" t="str">
        <f>IF('Blank Quote'!B39&lt;&gt;"", 'Blank Quote'!B39, "")</f>
        <v/>
      </c>
      <c r="C39" s="143" t="str">
        <f>IF('Blank Quote'!C39&lt;&gt;"", 'Blank Quote'!C39, "")</f>
        <v/>
      </c>
      <c r="D39" s="144">
        <f>IF('Blank Quote'!D39&lt;&gt;"", 'Blank Quote'!D39, F39)</f>
        <v>900</v>
      </c>
      <c r="E39" s="192" t="str">
        <f>CONCATENATE(IF('Blank Quote'!E39&lt;&gt;"", 'Blank Quote'!E39, ""), "  |  If purchased and paid for with the initial PO")</f>
        <v xml:space="preserve">  |  If purchased and paid for with the initial PO</v>
      </c>
      <c r="F39" s="193">
        <f>ROUND(S41*0.24,-1)</f>
        <v>900</v>
      </c>
      <c r="G39" s="369" t="str">
        <f t="shared" si="3"/>
        <v>Misc</v>
      </c>
      <c r="H39" s="370"/>
      <c r="I39" s="371" t="str">
        <f t="shared" si="4"/>
        <v xml:space="preserve">   ***   |  If purchased and paid for with the initial PO</v>
      </c>
      <c r="J39" s="371"/>
      <c r="K39" s="371"/>
      <c r="L39" s="371"/>
      <c r="M39" s="371"/>
      <c r="N39" s="371"/>
      <c r="O39" s="371"/>
      <c r="P39" s="371"/>
      <c r="Q39" s="96" t="str">
        <f t="shared" si="5"/>
        <v/>
      </c>
      <c r="R39" s="381">
        <f t="shared" si="20"/>
        <v>900</v>
      </c>
      <c r="S39" s="381"/>
      <c r="T39" s="381" t="str">
        <f t="shared" si="7"/>
        <v/>
      </c>
      <c r="U39" s="381"/>
      <c r="V39" s="55" t="str">
        <f>IF(C39="","", VLOOKUP(B39,'Raw BOM'!$A$3:$F$495,6,FALSE))</f>
        <v/>
      </c>
      <c r="X39" s="379" t="str">
        <f t="shared" si="21"/>
        <v/>
      </c>
      <c r="Y39" s="380">
        <f t="shared" si="22"/>
        <v>0</v>
      </c>
      <c r="Z39" s="378" t="b">
        <f>IF(D39="", $S$41*0.24,
IF($E$1="Contract NY", VLOOKUP(B39,'Raw BOM'!$A$3:$G$495,7,FALSE),
IF($E$1="Contract FL", VLOOKUP(B39,'Raw BOM'!$A$3:$I$495,8,FALSE),
IF($E$1="Contract LA", VLOOKUP(B39,'Raw BOM'!$A$3:$K$495,9,FALSE),
IF($E$1="Contract WA", VLOOKUP(B39,'Raw BOM'!$A$3:$M$495,10,FALSE))))))</f>
        <v>0</v>
      </c>
      <c r="AA39" s="378">
        <f t="shared" si="24"/>
        <v>0</v>
      </c>
      <c r="AB39" s="182"/>
      <c r="AC39" s="47"/>
      <c r="AD39" s="182">
        <f t="shared" si="1"/>
        <v>0</v>
      </c>
      <c r="AE39" s="182">
        <f t="shared" si="2"/>
        <v>0</v>
      </c>
    </row>
    <row r="40" spans="1:31" ht="5.25" customHeight="1" thickTop="1" thickBot="1" x14ac:dyDescent="0.3">
      <c r="D40" s="35"/>
    </row>
    <row r="41" spans="1:31" ht="17.25" customHeight="1" outlineLevel="1" thickBot="1" x14ac:dyDescent="0.3">
      <c r="A41" s="249"/>
      <c r="B41" s="249"/>
      <c r="C41" s="249"/>
      <c r="D41" s="249"/>
      <c r="E41" s="249"/>
      <c r="G41" s="329" t="s">
        <v>138</v>
      </c>
      <c r="H41" s="330"/>
      <c r="I41" s="330"/>
      <c r="J41" s="330"/>
      <c r="K41" s="330"/>
      <c r="L41" s="330"/>
      <c r="M41" s="331"/>
      <c r="N41" s="338" t="str">
        <f>'Blank Quote'!N41:O41</f>
        <v>QS: 20191222</v>
      </c>
      <c r="O41" s="339"/>
      <c r="P41" s="57"/>
      <c r="Q41" s="57"/>
      <c r="R41" s="58" t="s">
        <v>131</v>
      </c>
      <c r="S41" s="323">
        <f>SUM(T19:U35)</f>
        <v>3744</v>
      </c>
      <c r="T41" s="324"/>
      <c r="U41" s="325"/>
      <c r="V41" s="59"/>
    </row>
    <row r="42" spans="1:31" ht="17.25" customHeight="1" outlineLevel="1" thickBot="1" x14ac:dyDescent="0.3">
      <c r="A42" s="249"/>
      <c r="B42" s="249"/>
      <c r="C42" s="249"/>
      <c r="D42" s="249"/>
      <c r="E42" s="249"/>
      <c r="G42" s="332"/>
      <c r="H42" s="333"/>
      <c r="I42" s="333"/>
      <c r="J42" s="333"/>
      <c r="K42" s="333"/>
      <c r="L42" s="333"/>
      <c r="M42" s="334"/>
      <c r="N42" s="338" t="str">
        <f>'Blank Quote'!N42:O42</f>
        <v>PT: Apte</v>
      </c>
      <c r="O42" s="339"/>
      <c r="P42" s="57"/>
      <c r="Q42" s="57"/>
      <c r="R42" s="58" t="str">
        <f>IF(AA42&gt;0,"Discount on Taxable Items:", "")</f>
        <v/>
      </c>
      <c r="S42" s="326"/>
      <c r="T42" s="327"/>
      <c r="U42" s="328"/>
      <c r="V42" s="60"/>
      <c r="AA42" s="183">
        <f>SUM(AD19:AD39)</f>
        <v>0</v>
      </c>
    </row>
    <row r="43" spans="1:31" ht="17.25" customHeight="1" outlineLevel="1" thickBot="1" x14ac:dyDescent="0.3">
      <c r="A43" s="249"/>
      <c r="B43" s="249"/>
      <c r="C43" s="249"/>
      <c r="D43" s="249"/>
      <c r="E43" s="249"/>
      <c r="G43" s="332"/>
      <c r="H43" s="333"/>
      <c r="I43" s="333"/>
      <c r="J43" s="333"/>
      <c r="K43" s="333"/>
      <c r="L43" s="333"/>
      <c r="M43" s="334"/>
      <c r="N43" s="56"/>
      <c r="P43" s="57"/>
      <c r="R43" s="58" t="str">
        <f>IF(AA43&gt;0,"Discount on Non-Taxable Items:", "")</f>
        <v/>
      </c>
      <c r="S43" s="323"/>
      <c r="T43" s="324"/>
      <c r="U43" s="325"/>
      <c r="V43" s="60"/>
      <c r="AA43" s="183">
        <f>SUM(AE19:AE39)</f>
        <v>0</v>
      </c>
    </row>
    <row r="44" spans="1:31" ht="17.25" customHeight="1" outlineLevel="1" thickBot="1" x14ac:dyDescent="0.3">
      <c r="A44" s="249"/>
      <c r="B44" s="249"/>
      <c r="C44" s="249"/>
      <c r="D44" s="249"/>
      <c r="E44" s="249"/>
      <c r="G44" s="332"/>
      <c r="H44" s="333"/>
      <c r="I44" s="333"/>
      <c r="J44" s="333"/>
      <c r="K44" s="333"/>
      <c r="L44" s="333"/>
      <c r="M44" s="334"/>
      <c r="N44" s="56"/>
      <c r="P44" s="57"/>
      <c r="R44" s="58" t="s">
        <v>132</v>
      </c>
      <c r="S44" s="323">
        <f>SUM(T36:U39)</f>
        <v>0</v>
      </c>
      <c r="T44" s="324"/>
      <c r="U44" s="325"/>
      <c r="V44" s="60"/>
      <c r="AA44" s="183"/>
    </row>
    <row r="45" spans="1:31" ht="17.25" customHeight="1" outlineLevel="1" thickBot="1" x14ac:dyDescent="0.3">
      <c r="A45" s="249"/>
      <c r="B45" s="249"/>
      <c r="C45" s="249"/>
      <c r="D45" s="249"/>
      <c r="E45" s="249"/>
      <c r="G45" s="332"/>
      <c r="H45" s="333"/>
      <c r="I45" s="333"/>
      <c r="J45" s="333"/>
      <c r="K45" s="333"/>
      <c r="L45" s="333"/>
      <c r="M45" s="334"/>
      <c r="N45" s="56"/>
      <c r="P45" s="57"/>
      <c r="Q45" s="57"/>
      <c r="R45" s="58" t="s">
        <v>133</v>
      </c>
      <c r="S45" s="326"/>
      <c r="T45" s="327"/>
      <c r="U45" s="327"/>
      <c r="V45" s="255">
        <f>B11</f>
        <v>0</v>
      </c>
      <c r="AA45" s="183">
        <f>SUM(AB19:AB39)</f>
        <v>600.6</v>
      </c>
    </row>
    <row r="46" spans="1:31" ht="17.25" customHeight="1" outlineLevel="1" thickBot="1" x14ac:dyDescent="0.3">
      <c r="A46" s="249"/>
      <c r="B46" s="249"/>
      <c r="C46" s="249"/>
      <c r="D46" s="249"/>
      <c r="E46" s="249"/>
      <c r="G46" s="335"/>
      <c r="H46" s="336"/>
      <c r="I46" s="336"/>
      <c r="J46" s="336"/>
      <c r="K46" s="336"/>
      <c r="L46" s="336"/>
      <c r="M46" s="337"/>
      <c r="N46" s="56"/>
      <c r="P46" s="57"/>
      <c r="Q46" s="57"/>
      <c r="R46" s="58" t="s">
        <v>134</v>
      </c>
      <c r="S46" s="320">
        <f>SUM(S41:U45)</f>
        <v>3744</v>
      </c>
      <c r="T46" s="321"/>
      <c r="U46" s="322"/>
      <c r="V46" s="62"/>
    </row>
    <row r="47" spans="1:31" ht="5.25" customHeight="1" thickBot="1" x14ac:dyDescent="0.3">
      <c r="A47" s="249"/>
      <c r="B47" s="249"/>
      <c r="C47" s="249"/>
      <c r="D47" s="249"/>
      <c r="E47" s="249"/>
    </row>
    <row r="48" spans="1:31" ht="15" customHeight="1" outlineLevel="1" x14ac:dyDescent="0.25">
      <c r="A48" s="249"/>
      <c r="B48" s="249"/>
      <c r="C48" s="249"/>
      <c r="D48" s="249"/>
      <c r="E48" s="249"/>
      <c r="G48" s="306" t="str">
        <f>"TERMS &amp; CONDITIONS: "&amp;VLOOKUP(B15,'T&amp;C'!A1:B3,2,FALSE)</f>
        <v>TERMS &amp; CONDITIONS: 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outlineLevel="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outlineLevel="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outlineLevel="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outlineLevel="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75" outlineLevel="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77">
    <mergeCell ref="C1:D1"/>
    <mergeCell ref="C2:D2"/>
    <mergeCell ref="P2:U2"/>
    <mergeCell ref="C3:D3"/>
    <mergeCell ref="C4:D4"/>
    <mergeCell ref="G4:L4"/>
    <mergeCell ref="P4:U4"/>
    <mergeCell ref="G9:M9"/>
    <mergeCell ref="O9:V9"/>
    <mergeCell ref="G10:M10"/>
    <mergeCell ref="O10:V10"/>
    <mergeCell ref="G11:M11"/>
    <mergeCell ref="O11:V11"/>
    <mergeCell ref="C5:D5"/>
    <mergeCell ref="G5:L5"/>
    <mergeCell ref="G6:L6"/>
    <mergeCell ref="P6:U6"/>
    <mergeCell ref="G8:M8"/>
    <mergeCell ref="O8:V8"/>
    <mergeCell ref="G16:H16"/>
    <mergeCell ref="I16:K16"/>
    <mergeCell ref="L16:N16"/>
    <mergeCell ref="O16:P16"/>
    <mergeCell ref="Q16:R16"/>
    <mergeCell ref="S16:V16"/>
    <mergeCell ref="G12:M12"/>
    <mergeCell ref="O12:V12"/>
    <mergeCell ref="G13:M13"/>
    <mergeCell ref="O13:V13"/>
    <mergeCell ref="G15:H15"/>
    <mergeCell ref="I15:K15"/>
    <mergeCell ref="L15:N15"/>
    <mergeCell ref="O15:P15"/>
    <mergeCell ref="Q15:R15"/>
    <mergeCell ref="S15:V15"/>
    <mergeCell ref="G20:H20"/>
    <mergeCell ref="I20:P20"/>
    <mergeCell ref="Z20:AA20"/>
    <mergeCell ref="G21:H21"/>
    <mergeCell ref="I21:P21"/>
    <mergeCell ref="Z21:AA21"/>
    <mergeCell ref="X21:Y21"/>
    <mergeCell ref="G18:H18"/>
    <mergeCell ref="I18:P18"/>
    <mergeCell ref="Z18:AA18"/>
    <mergeCell ref="X18:Y18"/>
    <mergeCell ref="G19:H19"/>
    <mergeCell ref="I19:P19"/>
    <mergeCell ref="Z19:AA19"/>
    <mergeCell ref="X19:Y19"/>
    <mergeCell ref="R18:S18"/>
    <mergeCell ref="R19:S19"/>
    <mergeCell ref="R20:S20"/>
    <mergeCell ref="R21:S21"/>
    <mergeCell ref="X20:Y20"/>
    <mergeCell ref="T18:U18"/>
    <mergeCell ref="T19:U19"/>
    <mergeCell ref="T20:U20"/>
    <mergeCell ref="T21:U21"/>
    <mergeCell ref="G24:H24"/>
    <mergeCell ref="I24:P24"/>
    <mergeCell ref="Z24:AA24"/>
    <mergeCell ref="X24:Y24"/>
    <mergeCell ref="G25:H25"/>
    <mergeCell ref="I25:P25"/>
    <mergeCell ref="Z25:AA25"/>
    <mergeCell ref="X25:Y25"/>
    <mergeCell ref="G22:H22"/>
    <mergeCell ref="I22:P22"/>
    <mergeCell ref="Z22:AA22"/>
    <mergeCell ref="X22:Y22"/>
    <mergeCell ref="G23:H23"/>
    <mergeCell ref="I23:P23"/>
    <mergeCell ref="Z23:AA23"/>
    <mergeCell ref="X23:Y23"/>
    <mergeCell ref="R22:S22"/>
    <mergeCell ref="R23:S23"/>
    <mergeCell ref="R24:S24"/>
    <mergeCell ref="R25:S25"/>
    <mergeCell ref="T22:U22"/>
    <mergeCell ref="T23:U23"/>
    <mergeCell ref="T24:U24"/>
    <mergeCell ref="T25:U25"/>
    <mergeCell ref="G28:H28"/>
    <mergeCell ref="I28:P28"/>
    <mergeCell ref="Z28:AA28"/>
    <mergeCell ref="X28:Y28"/>
    <mergeCell ref="G29:H29"/>
    <mergeCell ref="I29:P29"/>
    <mergeCell ref="Z29:AA29"/>
    <mergeCell ref="X29:Y29"/>
    <mergeCell ref="G26:H26"/>
    <mergeCell ref="I26:P26"/>
    <mergeCell ref="Z26:AA26"/>
    <mergeCell ref="X26:Y26"/>
    <mergeCell ref="G27:H27"/>
    <mergeCell ref="I27:P27"/>
    <mergeCell ref="Z27:AA27"/>
    <mergeCell ref="X27:Y27"/>
    <mergeCell ref="R26:S26"/>
    <mergeCell ref="R27:S27"/>
    <mergeCell ref="R28:S28"/>
    <mergeCell ref="R29:S29"/>
    <mergeCell ref="T26:U26"/>
    <mergeCell ref="T27:U27"/>
    <mergeCell ref="T28:U28"/>
    <mergeCell ref="T29:U29"/>
    <mergeCell ref="G32:H32"/>
    <mergeCell ref="I32:P32"/>
    <mergeCell ref="Z32:AA32"/>
    <mergeCell ref="X32:Y32"/>
    <mergeCell ref="G34:H34"/>
    <mergeCell ref="I34:P34"/>
    <mergeCell ref="Z34:AA34"/>
    <mergeCell ref="X34:Y34"/>
    <mergeCell ref="G30:H30"/>
    <mergeCell ref="I30:P30"/>
    <mergeCell ref="Z30:AA30"/>
    <mergeCell ref="X30:Y30"/>
    <mergeCell ref="G31:H31"/>
    <mergeCell ref="I31:P31"/>
    <mergeCell ref="Z31:AA31"/>
    <mergeCell ref="X31:Y31"/>
    <mergeCell ref="R30:S30"/>
    <mergeCell ref="R31:S31"/>
    <mergeCell ref="R32:S32"/>
    <mergeCell ref="R34:S34"/>
    <mergeCell ref="T30:U30"/>
    <mergeCell ref="T31:U31"/>
    <mergeCell ref="T32:U32"/>
    <mergeCell ref="T34:U34"/>
    <mergeCell ref="Z37:AA37"/>
    <mergeCell ref="X37:Y37"/>
    <mergeCell ref="G38:H38"/>
    <mergeCell ref="I38:P38"/>
    <mergeCell ref="Z38:AA38"/>
    <mergeCell ref="X38:Y38"/>
    <mergeCell ref="G35:H35"/>
    <mergeCell ref="I35:P35"/>
    <mergeCell ref="Z35:AA35"/>
    <mergeCell ref="X35:Y35"/>
    <mergeCell ref="G36:H36"/>
    <mergeCell ref="I36:P36"/>
    <mergeCell ref="Z36:AA36"/>
    <mergeCell ref="X36:Y36"/>
    <mergeCell ref="R35:S35"/>
    <mergeCell ref="R36:S36"/>
    <mergeCell ref="R37:S37"/>
    <mergeCell ref="R38:S38"/>
    <mergeCell ref="T35:U35"/>
    <mergeCell ref="T36:U36"/>
    <mergeCell ref="T37:U37"/>
    <mergeCell ref="T38:U38"/>
    <mergeCell ref="G33:H33"/>
    <mergeCell ref="I33:P33"/>
    <mergeCell ref="R33:S33"/>
    <mergeCell ref="T33:U33"/>
    <mergeCell ref="X33:Y33"/>
    <mergeCell ref="Z33:AA33"/>
    <mergeCell ref="S46:U46"/>
    <mergeCell ref="G48:V54"/>
    <mergeCell ref="G39:H39"/>
    <mergeCell ref="I39:P39"/>
    <mergeCell ref="Z39:AA39"/>
    <mergeCell ref="X39:Y39"/>
    <mergeCell ref="G41:M46"/>
    <mergeCell ref="S41:U41"/>
    <mergeCell ref="S42:U42"/>
    <mergeCell ref="S43:U43"/>
    <mergeCell ref="S45:U45"/>
    <mergeCell ref="N41:O41"/>
    <mergeCell ref="N42:O42"/>
    <mergeCell ref="T39:U39"/>
    <mergeCell ref="R39:S39"/>
    <mergeCell ref="S44:U44"/>
    <mergeCell ref="G37:H37"/>
    <mergeCell ref="I37:P37"/>
  </mergeCells>
  <conditionalFormatting sqref="G19:V39">
    <cfRule type="expression" dxfId="2" priority="1">
      <formula>OR($Q19=0,$Q19="")</formula>
    </cfRule>
  </conditionalFormatting>
  <printOptions horizontalCentered="1" verticalCentered="1"/>
  <pageMargins left="0.5" right="0.25" top="0.25" bottom="0.25" header="0.1" footer="0.1"/>
  <pageSetup scale="66"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'Pricing Model'!$A$2:$A$24</xm:f>
          </x14:formula1>
          <xm:sqref>B1</xm:sqref>
        </x14:dataValidation>
        <x14:dataValidation type="list" allowBlank="1" showInputMessage="1" showErrorMessage="1" xr:uid="{00000000-0002-0000-0100-000001000000}">
          <x14:formula1>
            <xm:f>'Raw BOM'!$A$3:$A$202</xm:f>
          </x14:formula1>
          <xm:sqref>B19:B39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pageSetUpPr fitToPage="1"/>
  </sheetPr>
  <dimension ref="A1:AC5411"/>
  <sheetViews>
    <sheetView view="pageBreakPreview" topLeftCell="G37" zoomScale="70" zoomScaleNormal="70" zoomScaleSheetLayoutView="70" workbookViewId="0">
      <selection activeCell="G154" sqref="G154:V158"/>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18" customHeight="1" thickTop="1" thickBot="1" x14ac:dyDescent="0.3">
      <c r="A1" s="13" t="s">
        <v>55</v>
      </c>
      <c r="B1" s="14" t="str">
        <f>'Blank Quote'!B1</f>
        <v>App CA Private</v>
      </c>
      <c r="C1" s="392" t="s">
        <v>57</v>
      </c>
      <c r="D1" s="393"/>
      <c r="E1" s="15" t="str">
        <f>VLOOKUP(B1,'Pricing Model'!A1:C21,3)</f>
        <v>Discount Based</v>
      </c>
    </row>
    <row r="2" spans="1:22" ht="18" customHeight="1" thickBot="1" x14ac:dyDescent="0.3">
      <c r="A2" s="17" t="s">
        <v>58</v>
      </c>
      <c r="B2" s="18" t="str">
        <f>'Blank Quote'!B2</f>
        <v>Command International Security Services</v>
      </c>
      <c r="C2" s="394" t="s">
        <v>59</v>
      </c>
      <c r="D2" s="395"/>
      <c r="E2" s="19">
        <f>IF(E1="Discount Based", VLOOKUP(B1,'Pricing Model'!A1:D21,4), "")</f>
        <v>0.2</v>
      </c>
      <c r="P2" s="398" t="s">
        <v>139</v>
      </c>
      <c r="Q2" s="398"/>
      <c r="R2" s="398"/>
      <c r="S2" s="398"/>
      <c r="T2" s="398"/>
      <c r="U2" s="398"/>
    </row>
    <row r="3" spans="1:22" ht="18" customHeight="1" x14ac:dyDescent="0.25">
      <c r="A3" s="17" t="s">
        <v>61</v>
      </c>
      <c r="B3" s="18" t="str">
        <f>'Blank Quote'!B3</f>
        <v>Amira Hossain</v>
      </c>
      <c r="C3" s="394" t="s">
        <v>62</v>
      </c>
      <c r="D3" s="395"/>
      <c r="E3" s="19">
        <f>IF(E1="Discount Based", VLOOKUP(B1,'Pricing Model'!A1:E21,5), "")</f>
        <v>0.44</v>
      </c>
      <c r="N3" s="265" t="str">
        <f>IF('Blank Quote'!$E$7&lt;&gt;"", "REPLACING", "")</f>
        <v/>
      </c>
    </row>
    <row r="4" spans="1:22" ht="18" customHeight="1" x14ac:dyDescent="0.25">
      <c r="A4" s="20" t="s">
        <v>67</v>
      </c>
      <c r="B4" s="21" t="str">
        <f>'Blank Quote'!B4</f>
        <v>(747) 366-0211 | manny@commandinternationalsecurity.com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MID-VALLEY PROFESSIONAL BUILDING</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6819 Sepulveda Blvd, Van Nuys, CA 91405</v>
      </c>
      <c r="C6" s="25"/>
      <c r="D6" s="25"/>
      <c r="E6" s="25"/>
      <c r="G6" s="368" t="s">
        <v>70</v>
      </c>
      <c r="H6" s="368"/>
      <c r="I6" s="368"/>
      <c r="J6" s="368"/>
      <c r="K6" s="368"/>
      <c r="L6" s="368"/>
      <c r="M6" s="22"/>
      <c r="P6" s="367" t="s">
        <v>71</v>
      </c>
      <c r="Q6" s="367"/>
      <c r="R6" s="367"/>
      <c r="S6" s="367"/>
      <c r="T6" s="367"/>
      <c r="U6" s="367"/>
    </row>
    <row r="7" spans="1:22" ht="18" customHeight="1" thickBot="1" x14ac:dyDescent="0.4">
      <c r="A7" s="17" t="s">
        <v>72</v>
      </c>
      <c r="B7" s="18" t="str">
        <f>'Blank Quote'!B7</f>
        <v>Amira Hossain</v>
      </c>
      <c r="C7" s="25"/>
      <c r="D7" s="25"/>
      <c r="E7" s="25"/>
      <c r="G7" s="26"/>
    </row>
    <row r="8" spans="1:22" ht="18" customHeight="1" thickBot="1" x14ac:dyDescent="0.35">
      <c r="A8" s="20" t="s">
        <v>77</v>
      </c>
      <c r="B8" s="21" t="str">
        <f>'Blank Quote'!B8</f>
        <v>(747) 366-0211 | manny@commandinternationalsecurity.com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MID-VALLEY PROFESSIONAL BUILDING</v>
      </c>
      <c r="C9" s="25"/>
      <c r="D9" s="25"/>
      <c r="E9" s="25"/>
      <c r="G9" s="353" t="str">
        <f>IF('CA Multi Tenprint'!B2="", "", 'CA Multi Tenprint'!B2)</f>
        <v>Command International Security Services</v>
      </c>
      <c r="H9" s="354"/>
      <c r="I9" s="354"/>
      <c r="J9" s="354"/>
      <c r="K9" s="354"/>
      <c r="L9" s="354"/>
      <c r="M9" s="355"/>
      <c r="O9" s="340" t="str">
        <f>IF('CA Multi Tenprint'!B2="", "", 'CA Multi Tenprint'!B2)</f>
        <v>Command International Security Services</v>
      </c>
      <c r="P9" s="341"/>
      <c r="Q9" s="341"/>
      <c r="R9" s="341"/>
      <c r="S9" s="341"/>
      <c r="T9" s="341"/>
      <c r="U9" s="341"/>
      <c r="V9" s="342"/>
    </row>
    <row r="10" spans="1:22" ht="18" customHeight="1" thickBot="1" x14ac:dyDescent="0.3">
      <c r="A10" s="27" t="s">
        <v>12</v>
      </c>
      <c r="B10" s="24" t="str">
        <f>'Blank Quote'!B10</f>
        <v>6819 Sepulveda Blvd, Van Nuys, CA 91405</v>
      </c>
      <c r="C10" s="25"/>
      <c r="D10" s="25"/>
      <c r="E10" s="25"/>
      <c r="G10" s="340" t="str">
        <f>IF('CA Multi Tenprint'!B3="", "", 'CA Multi Tenprint'!B3)</f>
        <v>Amira Hossain</v>
      </c>
      <c r="H10" s="341"/>
      <c r="I10" s="341"/>
      <c r="J10" s="341"/>
      <c r="K10" s="341"/>
      <c r="L10" s="341"/>
      <c r="M10" s="342"/>
      <c r="O10" s="340" t="str">
        <f>IF('CA Multi Tenprint'!B7="", "", 'CA Multi Tenprint'!B7)</f>
        <v>Amira Hossain</v>
      </c>
      <c r="P10" s="341"/>
      <c r="Q10" s="341"/>
      <c r="R10" s="341"/>
      <c r="S10" s="341"/>
      <c r="T10" s="341"/>
      <c r="U10" s="341"/>
      <c r="V10" s="342"/>
    </row>
    <row r="11" spans="1:22" ht="18" customHeight="1" thickBot="1" x14ac:dyDescent="0.3">
      <c r="A11" s="27" t="s">
        <v>79</v>
      </c>
      <c r="B11" s="28">
        <f>'Blank Quote'!B11</f>
        <v>0</v>
      </c>
      <c r="C11" s="25"/>
      <c r="D11" s="25"/>
      <c r="E11" s="25"/>
      <c r="G11" s="340" t="str">
        <f>IF('CA Multi Tenprint'!B4="", "", 'CA Multi Tenprint'!B4)</f>
        <v>(747) 366-0211 | manny@commandinternationalsecurity.com</v>
      </c>
      <c r="H11" s="341"/>
      <c r="I11" s="341"/>
      <c r="J11" s="341"/>
      <c r="K11" s="341"/>
      <c r="L11" s="341"/>
      <c r="M11" s="342"/>
      <c r="O11" s="340" t="str">
        <f>IF('CA Multi Tenprint'!B8="", "", 'CA Multi Tenprint'!B8)</f>
        <v>(747) 366-0211 | manny@commandinternationalsecurity.com</v>
      </c>
      <c r="P11" s="341"/>
      <c r="Q11" s="341"/>
      <c r="R11" s="341"/>
      <c r="S11" s="341"/>
      <c r="T11" s="341"/>
      <c r="U11" s="341"/>
      <c r="V11" s="342"/>
    </row>
    <row r="12" spans="1:22" ht="18" customHeight="1" thickBot="1" x14ac:dyDescent="0.3">
      <c r="A12" s="13" t="s">
        <v>34</v>
      </c>
      <c r="B12" s="29" t="str">
        <f>'Blank Quote'!B12</f>
        <v>EC</v>
      </c>
      <c r="C12" s="25"/>
      <c r="D12" s="25"/>
      <c r="E12" s="25"/>
      <c r="G12" s="340" t="str">
        <f>IF('CA Multi Tenprint'!B5="", "", 'CA Multi Tenprint'!B5)</f>
        <v>MID-VALLEY PROFESSIONAL BUILDING</v>
      </c>
      <c r="H12" s="341"/>
      <c r="I12" s="341"/>
      <c r="J12" s="341"/>
      <c r="K12" s="341"/>
      <c r="L12" s="341"/>
      <c r="M12" s="342"/>
      <c r="O12" s="340" t="str">
        <f>IF('CA Multi Tenprint'!B9="", "", 'CA Multi Tenprint'!B9)</f>
        <v>MID-VALLEY PROFESSIONAL BUILDING</v>
      </c>
      <c r="P12" s="341"/>
      <c r="Q12" s="341"/>
      <c r="R12" s="341"/>
      <c r="S12" s="341"/>
      <c r="T12" s="341"/>
      <c r="U12" s="341"/>
      <c r="V12" s="342"/>
    </row>
    <row r="13" spans="1:22" ht="18" customHeight="1" thickBot="1" x14ac:dyDescent="0.3">
      <c r="A13" s="13" t="s">
        <v>82</v>
      </c>
      <c r="B13" s="30" t="str">
        <f>'Blank Quote'!B13</f>
        <v>Ground</v>
      </c>
      <c r="C13" s="25"/>
      <c r="D13" s="25"/>
      <c r="E13" s="25"/>
      <c r="G13" s="295" t="str">
        <f>IF('CA Multi Tenprint'!B6="", "", 'CA Multi Tenprint'!B6)</f>
        <v>6819 Sepulveda Blvd, Van Nuys, CA 91405</v>
      </c>
      <c r="H13" s="296"/>
      <c r="I13" s="296"/>
      <c r="J13" s="296"/>
      <c r="K13" s="296"/>
      <c r="L13" s="296"/>
      <c r="M13" s="297"/>
      <c r="O13" s="295" t="str">
        <f>IF('CA Multi Tenprint'!B10="", "", 'CA Multi Tenprint'!B10)</f>
        <v>6819 Sepulveda Blvd, Van Nuys, CA 91405</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45140</v>
      </c>
      <c r="H16" s="363"/>
      <c r="I16" s="364">
        <f ca="1">NOW()</f>
        <v>45140.445939351855</v>
      </c>
      <c r="J16" s="365"/>
      <c r="K16" s="366"/>
      <c r="L16" s="301" t="str">
        <f>'CA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A19</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9"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39" si="6">M19</f>
        <v>HW-LT-Std-Home</v>
      </c>
      <c r="T19" s="319">
        <f t="shared" ref="T19:T39" si="7">IF(C19="", "", Q19*R19)</f>
        <v>750</v>
      </c>
      <c r="U19" s="319" t="str">
        <f t="shared" ref="U19:U39" si="8">O19</f>
        <v>Hardware-Laptop-Standard with Windows Home Edition   *** Standard with Windows 11</v>
      </c>
      <c r="V19" s="46" t="str">
        <f>IF(C19="","", VLOOKUP(B19,'Raw BOM'!$A$3:$F$495,6,FALSE))</f>
        <v>Yes</v>
      </c>
      <c r="W19" s="1"/>
      <c r="X19" s="47">
        <f t="shared" ref="X19:X39" si="9">IF(AND(V19="Yes", Q19&lt;&gt;0), (T19-Y19)*$B$117, 0)</f>
        <v>0</v>
      </c>
      <c r="Y19" s="198">
        <f>ROUND(
IF(AND(C19&lt;&gt;"", D19="", V19="Yes"),
     IF($E$107="Discount Based",
         R19*IF(OR(LEFT(A19,2)="HW", LEFT(A19,12)="CMS-Hardware"),
              $E$108,
              IF(AND(LEFT(A19,3)="Sys", LEFT(A19,4)&lt;&gt;"Ship"),
                   ($E$108+$E$109)/2,
                    0)),
         IF($E$107="Cost Based",
              IF(OR(LEFT(A19,2)="HW", LEFT(A19,12)="CMS-Hardware"),
                   R19-(1+$E$110)*VLOOKUP(B19,'Raw BOM'!$A$3:$E$492,5,FALSE),
              IF(AND(LEFT(A19,3)="Sys", LEFT(A19,4)&lt;&gt;"Ship"),
                   R19-(1+($E$110+$E$111)/2)*VLOOKUP(B19,'Raw BOM'!$A$3:$E$492,5,FALSE),
                   0))))),2)</f>
        <v>150</v>
      </c>
      <c r="Z19" s="47">
        <f>ROUND(
IF(AND(C19&lt;&gt;"", D19="", V19="No"),
     IF($E$107="Discount Based",
         R19*IF(AND(LEFT(A19,2)&lt;&gt;"HW", LEFT(A19,12)&lt;&gt;"CMS-Hardware",LEFT(A19,3)&lt;&gt;"Sys", LEFT(A19,4)&lt;&gt;"Ship"),
                   $E$109,0),
     IF($E$107="Cost Based",
          IF(AND(LEFT(A19,2)&lt;&gt;"HW", LEFT(A19,12)&lt;&gt;"CMS-Hardware",LEFT(A19,3)&lt;&gt;"Sys", LEFT(A19,4)&lt;&gt;"Ship"),
               R19-(1+$E$110)*VLOOKUP(B19,'Raw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IF($E$107="Discount Based",
         R20*IF(OR(LEFT(A20,2)="HW", LEFT(A20,12)="CMS-Hardware"),
              $E$108,
              IF(AND(LEFT(A20,3)="Sys", LEFT(A20,4)&lt;&gt;"Ship"),
                   ($E$108+$E$109)/2,
                    0)),
         IF($E$107="Cost Based",
              IF(OR(LEFT(A20,2)="HW", LEFT(A20,12)="CMS-Hardware"),
                   R20-(1+$E$110)*VLOOKUP(B20,'Raw BOM'!$A$3:$E$492,5,FALSE),
              IF(AND(LEFT(A20,3)="Sys", LEFT(A20,4)&lt;&gt;"Ship"),
                   R20-(1+($E$110+$E$111)/2)*VLOOKUP(B20,'Raw BOM'!$A$3:$E$492,5,FALSE),
                   0))))),2)</f>
        <v>0</v>
      </c>
      <c r="Z20" s="47">
        <f>ROUND(
IF(AND(C20&lt;&gt;"", D20="", V20="No"),
     IF($E$107="Discount Based",
         R20*IF(AND(LEFT(A20,2)&lt;&gt;"HW", LEFT(A20,12)&lt;&gt;"CMS-Hardware",LEFT(A20,3)&lt;&gt;"Sys", LEFT(A20,4)&lt;&gt;"Ship"),
                   $E$109,0),
     IF($E$107="Cost Based",
          IF(AND(LEFT(A20,2)&lt;&gt;"HW", LEFT(A20,12)&lt;&gt;"CMS-Hardware",LEFT(A20,3)&lt;&gt;"Sys", LEFT(A20,4)&lt;&gt;"Ship"),
               R20-(1+$E$110)*VLOOKUP(B20,'Raw BOM'!$A$3:$E$492,5,FALSE),0),0)),0),2)</f>
        <v>589.6</v>
      </c>
      <c r="AA20" s="48">
        <f t="shared" ref="AA20:AA35" si="10">ROUND(IF(AND(Y20&gt;0, Y20&lt;&gt;"", D20=""),Q20*Y20,0), 2)</f>
        <v>0</v>
      </c>
      <c r="AB20" s="48">
        <f t="shared" ref="AB20:AB35"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IF(B21&lt;&gt;"", B21, "")&amp;IF(E21&lt;&gt;"", "   *** "&amp;E21, "")</f>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0</v>
      </c>
      <c r="Y21" s="198">
        <f>ROUND(
IF(AND(C21&lt;&gt;"", D21="", V21="Yes"),
     IF($E$107="Discount Based",
         R21*IF(OR(LEFT(A21,2)="HW", LEFT(A21,12)="CMS-Hardware"),
              $E$108,
              IF(AND(LEFT(A21,3)="Sys", LEFT(A21,4)&lt;&gt;"Ship"),
                   ($E$108+$E$109)/2,
                    0)),
         IF($E$107="Cost Based",
              IF(OR(LEFT(A21,2)="HW", LEFT(A21,12)="CMS-Hardware"),
                   R21-(1+$E$110)*VLOOKUP(B21,'Raw BOM'!$A$3:$E$492,5,FALSE),
              IF(AND(LEFT(A21,3)="Sys", LEFT(A21,4)&lt;&gt;"Ship"),
                   R21-(1+($E$110+$E$111)/2)*VLOOKUP(B21,'Raw BOM'!$A$3:$E$492,5,FALSE),
                   0))))),2)</f>
        <v>370</v>
      </c>
      <c r="Z21" s="47">
        <f>ROUND(
IF(AND(C21&lt;&gt;"", D21="", V21="No"),
     IF($E$107="Discount Based",
         R21*IF(AND(LEFT(A21,2)&lt;&gt;"HW", LEFT(A21,12)&lt;&gt;"CMS-Hardware",LEFT(A21,3)&lt;&gt;"Sys", LEFT(A21,4)&lt;&gt;"Ship"),
                   $E$109,0),
     IF($E$107="Cost Based",
          IF(AND(LEFT(A21,2)&lt;&gt;"HW", LEFT(A21,12)&lt;&gt;"CMS-Hardware",LEFT(A21,3)&lt;&gt;"Sys", LEFT(A21,4)&lt;&gt;"Ship"),
               R21-(1+$E$110)*VLOOKUP(B21,'Raw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IF($E$107="Discount Based",
         R22*IF(OR(LEFT(A22,2)="HW", LEFT(A22,12)="CMS-Hardware"),
              $E$108,
              IF(AND(LEFT(A22,3)="Sys", LEFT(A22,4)&lt;&gt;"Ship"),
                   ($E$108+$E$109)/2,
                    0)),
         IF($E$107="Cost Based",
              IF(OR(LEFT(A22,2)="HW", LEFT(A22,12)="CMS-Hardware"),
                   R22-(1+$E$110)*VLOOKUP(B22,'Raw BOM'!$A$3:$E$492,5,FALSE),
              IF(AND(LEFT(A22,3)="Sys", LEFT(A22,4)&lt;&gt;"Ship"),
                   R22-(1+($E$110+$E$111)/2)*VLOOKUP(B22,'Raw BOM'!$A$3:$E$492,5,FALSE),
                   0))))),2)</f>
        <v>0</v>
      </c>
      <c r="Z22" s="47">
        <f>ROUND(
IF(AND(C22&lt;&gt;"", D22="", V22="No"),
     IF($E$107="Discount Based",
         R22*IF(AND(LEFT(A22,2)&lt;&gt;"HW", LEFT(A22,12)&lt;&gt;"CMS-Hardware",LEFT(A22,3)&lt;&gt;"Sys", LEFT(A22,4)&lt;&gt;"Ship"),
                   $E$109,0),
     IF($E$107="Cost Based",
          IF(AND(LEFT(A22,2)&lt;&gt;"HW", LEFT(A22,12)&lt;&gt;"CMS-Hardware",LEFT(A22,3)&lt;&gt;"Sys", LEFT(A22,4)&lt;&gt;"Ship"),
               R22-(1+$E$110)*VLOOKUP(B22,'Raw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0</v>
      </c>
      <c r="Y23" s="198">
        <f>ROUND(
IF(AND(C23&lt;&gt;"", D23="", V23="Yes"),
     IF($E$107="Discount Based",
         R23*IF(OR(LEFT(A23,2)="HW", LEFT(A23,12)="CMS-Hardware"),
              $E$108,
              IF(AND(LEFT(A23,3)="Sys", LEFT(A23,4)&lt;&gt;"Ship"),
                   ($E$108+$E$109)/2,
                    0)),
         IF($E$107="Cost Based",
              IF(OR(LEFT(A23,2)="HW", LEFT(A23,12)="CMS-Hardware"),
                   R23-(1+$E$110)*VLOOKUP(B23,'Raw BOM'!$A$3:$E$492,5,FALSE),
              IF(AND(LEFT(A23,3)="Sys", LEFT(A23,4)&lt;&gt;"Ship"),
                   R23-(1+($E$110+$E$111)/2)*VLOOKUP(B23,'Raw BOM'!$A$3:$E$492,5,FALSE),
                   0))))),2)</f>
        <v>26</v>
      </c>
      <c r="Z23" s="47">
        <f>ROUND(
IF(AND(C23&lt;&gt;"", D23="", V23="No"),
     IF($E$107="Discount Based",
         R23*IF(AND(LEFT(A23,2)&lt;&gt;"HW", LEFT(A23,12)&lt;&gt;"CMS-Hardware",LEFT(A23,3)&lt;&gt;"Sys", LEFT(A23,4)&lt;&gt;"Ship"),
                   $E$109,0),
     IF($E$107="Cost Based",
          IF(AND(LEFT(A23,2)&lt;&gt;"HW", LEFT(A23,12)&lt;&gt;"CMS-Hardware",LEFT(A23,3)&lt;&gt;"Sys", LEFT(A23,4)&lt;&gt;"Ship"),
               R23-(1+$E$110)*VLOOKUP(B23,'Raw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si="1"/>
        <v>LiveScan 4th Gen Software-Driver License and ID Reading software</v>
      </c>
      <c r="J24" s="317"/>
      <c r="K24" s="317" t="str">
        <f t="shared" si="2"/>
        <v/>
      </c>
      <c r="L24" s="317"/>
      <c r="M24" s="317" t="str">
        <f t="shared" si="3"/>
        <v>LS4G-IDCard</v>
      </c>
      <c r="N24" s="317"/>
      <c r="O24" s="317" t="str">
        <f t="shared" si="4"/>
        <v>LiveScan 4th Gen Software-Driver License and ID Reading software</v>
      </c>
      <c r="P24" s="317"/>
      <c r="Q24" s="99">
        <f t="shared" si="5"/>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si="6"/>
        <v>LS4G-IDCard</v>
      </c>
      <c r="T24" s="318">
        <f t="shared" si="7"/>
        <v>340</v>
      </c>
      <c r="U24" s="318" t="str">
        <f t="shared" si="8"/>
        <v>LiveScan 4th Gen Software-Driver License and ID Reading software</v>
      </c>
      <c r="V24" s="49" t="str">
        <f>IF(C24="","", VLOOKUP(B24,'Raw BOM'!$A$3:$F$495,6,FALSE))</f>
        <v>No</v>
      </c>
      <c r="W24" s="1"/>
      <c r="X24" s="47">
        <f t="shared" si="9"/>
        <v>0</v>
      </c>
      <c r="Y24" s="198">
        <f>ROUND(
IF(AND(C24&lt;&gt;"", D24="", V24="Yes"),
     IF($E$107="Discount Based",
         R24*IF(OR(LEFT(A24,2)="HW", LEFT(A24,12)="CMS-Hardware"),
              $E$108,
              IF(AND(LEFT(A24,3)="Sys", LEFT(A24,4)&lt;&gt;"Ship"),
                   ($E$108+$E$109)/2,
                    0)),
         IF($E$107="Cost Based",
              IF(OR(LEFT(A24,2)="HW", LEFT(A24,12)="CMS-Hardware"),
                   R24-(1+$E$110)*VLOOKUP(B24,'Raw BOM'!$A$3:$E$492,5,FALSE),
              IF(AND(LEFT(A24,3)="Sys", LEFT(A24,4)&lt;&gt;"Ship"),
                   R24-(1+($E$110+$E$111)/2)*VLOOKUP(B24,'Raw BOM'!$A$3:$E$492,5,FALSE),
                   0))))),2)</f>
        <v>0</v>
      </c>
      <c r="Z24" s="47">
        <f>ROUND(
IF(AND(C24&lt;&gt;"", D24="", V24="No"),
     IF($E$107="Discount Based",
         R24*IF(AND(LEFT(A24,2)&lt;&gt;"HW", LEFT(A24,12)&lt;&gt;"CMS-Hardware",LEFT(A24,3)&lt;&gt;"Sys", LEFT(A24,4)&lt;&gt;"Ship"),
                   $E$109,0),
     IF($E$107="Cost Based",
          IF(AND(LEFT(A24,2)&lt;&gt;"HW", LEFT(A24,12)&lt;&gt;"CMS-Hardware",LEFT(A24,3)&lt;&gt;"Sys", LEFT(A24,4)&lt;&gt;"Ship"),
               R24-(1+$E$110)*VLOOKUP(B24,'Raw BOM'!$A$3:$E$492,5,FALSE),0),0)),0),2)</f>
        <v>149.6</v>
      </c>
      <c r="AA24" s="48">
        <f t="shared" si="10"/>
        <v>0</v>
      </c>
      <c r="AB24" s="48">
        <f t="shared" si="11"/>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
        <v/>
      </c>
      <c r="J25" s="317"/>
      <c r="K25" s="317" t="str">
        <f t="shared" si="2"/>
        <v/>
      </c>
      <c r="L25" s="317"/>
      <c r="M25" s="317" t="str">
        <f t="shared" si="3"/>
        <v/>
      </c>
      <c r="N25" s="317"/>
      <c r="O25" s="317" t="str">
        <f t="shared" si="4"/>
        <v/>
      </c>
      <c r="P25" s="317"/>
      <c r="Q25" s="99" t="str">
        <f t="shared" si="5"/>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6"/>
        <v/>
      </c>
      <c r="T25" s="318" t="str">
        <f t="shared" si="7"/>
        <v/>
      </c>
      <c r="U25" s="318" t="str">
        <f t="shared" si="8"/>
        <v/>
      </c>
      <c r="V25" s="49" t="str">
        <f>IF(C25="","", VLOOKUP(B25,'Raw BOM'!$A$3:$F$495,6,FALSE))</f>
        <v/>
      </c>
      <c r="W25" s="1"/>
      <c r="X25" s="47">
        <f t="shared" si="9"/>
        <v>0</v>
      </c>
      <c r="Y25" s="198">
        <f>ROUND(
IF(AND(C25&lt;&gt;"", D25="", V25="Yes"),
     IF($E$107="Discount Based",
         R25*IF(OR(LEFT(A25,2)="HW", LEFT(A25,12)="CMS-Hardware"),
              $E$108,
              IF(AND(LEFT(A25,3)="Sys", LEFT(A25,4)&lt;&gt;"Ship"),
                   ($E$108+$E$109)/2,
                    0)),
         IF($E$107="Cost Based",
              IF(OR(LEFT(A25,2)="HW", LEFT(A25,12)="CMS-Hardware"),
                   R25-(1+$E$110)*VLOOKUP(B25,'Raw BOM'!$A$3:$E$492,5,FALSE),
              IF(AND(LEFT(A25,3)="Sys", LEFT(A25,4)&lt;&gt;"Ship"),
                   R25-(1+($E$110+$E$111)/2)*VLOOKUP(B25,'Raw BOM'!$A$3:$E$492,5,FALSE),
                   0))))),2)</f>
        <v>0</v>
      </c>
      <c r="Z25" s="47">
        <f>ROUND(
IF(AND(C25&lt;&gt;"", D25="", V25="No"),
     IF($E$107="Discount Based",
         R25*IF(AND(LEFT(A25,2)&lt;&gt;"HW", LEFT(A25,12)&lt;&gt;"CMS-Hardware",LEFT(A25,3)&lt;&gt;"Sys", LEFT(A25,4)&lt;&gt;"Ship"),
                   $E$109,0),
     IF($E$107="Cost Based",
          IF(AND(LEFT(A25,2)&lt;&gt;"HW", LEFT(A25,12)&lt;&gt;"CMS-Hardware",LEFT(A25,3)&lt;&gt;"Sys", LEFT(A25,4)&lt;&gt;"Ship"),
               R25-(1+$E$110)*VLOOKUP(B25,'Raw BOM'!$A$3:$E$492,5,FALSE),0),0)),0),2)</f>
        <v>0</v>
      </c>
      <c r="AA25" s="48">
        <f t="shared" si="10"/>
        <v>0</v>
      </c>
      <c r="AB25" s="48">
        <f t="shared" si="1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3"/>
        <v>Svcs-Cfg-CAPSP</v>
      </c>
      <c r="N26" s="317"/>
      <c r="O26" s="317" t="str">
        <f t="shared" si="4"/>
        <v>Services-Configuration-CA PSP Setup   *** Pick ONE of the following capture methods at the time of capture (TWO DIFFERENT BUTTONS on the screen):</v>
      </c>
      <c r="P26" s="317"/>
      <c r="Q26" s="99">
        <f t="shared" si="5"/>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6"/>
        <v>Svcs-Cfg-CAPSP</v>
      </c>
      <c r="T26" s="318">
        <f t="shared" si="7"/>
        <v>500</v>
      </c>
      <c r="U26" s="318" t="str">
        <f t="shared" si="8"/>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IF($E$107="Discount Based",
         R26*IF(OR(LEFT(A26,2)="HW", LEFT(A26,12)="CMS-Hardware"),
              $E$108,
              IF(AND(LEFT(A26,3)="Sys", LEFT(A26,4)&lt;&gt;"Ship"),
                   ($E$108+$E$109)/2,
                    0)),
         IF($E$107="Cost Based",
              IF(OR(LEFT(A26,2)="HW", LEFT(A26,12)="CMS-Hardware"),
                   R26-(1+$E$110)*VLOOKUP(B26,'Raw BOM'!$A$3:$E$492,5,FALSE),
              IF(AND(LEFT(A26,3)="Sys", LEFT(A26,4)&lt;&gt;"Ship"),
                   R26-(1+($E$110+$E$111)/2)*VLOOKUP(B26,'Raw BOM'!$A$3:$E$492,5,FALSE),
                   0))))),2)</f>
        <v>0</v>
      </c>
      <c r="Z26" s="47">
        <f>ROUND(
IF(AND(C26&lt;&gt;"", D26="", V26="No"),
     IF($E$107="Discount Based",
         R26*IF(AND(LEFT(A26,2)&lt;&gt;"HW", LEFT(A26,12)&lt;&gt;"CMS-Hardware",LEFT(A26,3)&lt;&gt;"Sys", LEFT(A26,4)&lt;&gt;"Ship"),
                   $E$109,0),
     IF($E$107="Cost Based",
          IF(AND(LEFT(A26,2)&lt;&gt;"HW", LEFT(A26,12)&lt;&gt;"CMS-Hardware",LEFT(A26,3)&lt;&gt;"Sys", LEFT(A26,4)&lt;&gt;"Ship"),
               R26-(1+$E$110)*VLOOKUP(B26,'Raw BOM'!$A$3:$E$492,5,FALSE),0),0)),0),2)</f>
        <v>220</v>
      </c>
      <c r="AA26" s="48">
        <f t="shared" si="10"/>
        <v>0</v>
      </c>
      <c r="AB26" s="48">
        <f t="shared" si="1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3"/>
        <v>Misc</v>
      </c>
      <c r="N27" s="317"/>
      <c r="O27" s="317" t="str">
        <f t="shared" si="4"/>
        <v xml:space="preserve">   *** Transaction Fee - Traditional FLATS and ROLLS Method (1 to 10 minutes method): $0.75 per transaction with $150 per monthly cap</v>
      </c>
      <c r="P27" s="317"/>
      <c r="Q27" s="99" t="str">
        <f t="shared" si="5"/>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6"/>
        <v>Misc</v>
      </c>
      <c r="T27" s="318" t="str">
        <f t="shared" si="7"/>
        <v/>
      </c>
      <c r="U27" s="318" t="str">
        <f t="shared" si="8"/>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IF($E$107="Discount Based",
         R27*IF(OR(LEFT(A27,2)="HW", LEFT(A27,12)="CMS-Hardware"),
              $E$108,
              IF(AND(LEFT(A27,3)="Sys", LEFT(A27,4)&lt;&gt;"Ship"),
                   ($E$108+$E$109)/2,
                    0)),
         IF($E$107="Cost Based",
              IF(OR(LEFT(A27,2)="HW", LEFT(A27,12)="CMS-Hardware"),
                   R27-(1+$E$110)*VLOOKUP(B27,'Raw BOM'!$A$3:$E$492,5,FALSE),
              IF(AND(LEFT(A27,3)="Sys", LEFT(A27,4)&lt;&gt;"Ship"),
                   R27-(1+($E$110+$E$111)/2)*VLOOKUP(B27,'Raw BOM'!$A$3:$E$492,5,FALSE),
                   0))))),2)</f>
        <v>0</v>
      </c>
      <c r="Z27" s="47">
        <f>ROUND(
IF(AND(C27&lt;&gt;"", D27="", V27="No"),
     IF($E$107="Discount Based",
         R27*IF(AND(LEFT(A27,2)&lt;&gt;"HW", LEFT(A27,12)&lt;&gt;"CMS-Hardware",LEFT(A27,3)&lt;&gt;"Sys", LEFT(A27,4)&lt;&gt;"Ship"),
                   $E$109,0),
     IF($E$107="Cost Based",
          IF(AND(LEFT(A27,2)&lt;&gt;"HW", LEFT(A27,12)&lt;&gt;"CMS-Hardware",LEFT(A27,3)&lt;&gt;"Sys", LEFT(A27,4)&lt;&gt;"Ship"),
               R27-(1+$E$110)*VLOOKUP(B27,'Raw BOM'!$A$3:$E$492,5,FALSE),0),0)),0),2)</f>
        <v>0</v>
      </c>
      <c r="AA27" s="48">
        <f t="shared" si="10"/>
        <v>0</v>
      </c>
      <c r="AB27" s="48">
        <f t="shared" si="1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3"/>
        <v>Misc</v>
      </c>
      <c r="N28" s="317"/>
      <c r="O28" s="317" t="str">
        <f t="shared" si="4"/>
        <v xml:space="preserve">   *** Transaction Fee - NEW FLATS ONLY Method (10 to 15 second fingerprinting): $4.00 per transaction with no cap ($2.80 per trans for 501(c)(3) organizations)</v>
      </c>
      <c r="P28" s="317"/>
      <c r="Q28" s="99" t="str">
        <f t="shared" si="5"/>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6"/>
        <v>Misc</v>
      </c>
      <c r="T28" s="318" t="str">
        <f t="shared" si="7"/>
        <v/>
      </c>
      <c r="U28" s="318" t="str">
        <f t="shared" si="8"/>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IF($E$107="Discount Based",
         R28*IF(OR(LEFT(A28,2)="HW", LEFT(A28,12)="CMS-Hardware"),
              $E$108,
              IF(AND(LEFT(A28,3)="Sys", LEFT(A28,4)&lt;&gt;"Ship"),
                   ($E$108+$E$109)/2,
                    0)),
         IF($E$107="Cost Based",
              IF(OR(LEFT(A28,2)="HW", LEFT(A28,12)="CMS-Hardware"),
                   R28-(1+$E$110)*VLOOKUP(B28,'Raw BOM'!$A$3:$E$492,5,FALSE),
              IF(AND(LEFT(A28,3)="Sys", LEFT(A28,4)&lt;&gt;"Ship"),
                   R28-(1+($E$110+$E$111)/2)*VLOOKUP(B28,'Raw BOM'!$A$3:$E$492,5,FALSE),
                   0))))),2)</f>
        <v>0</v>
      </c>
      <c r="Z28" s="47">
        <f>ROUND(
IF(AND(C28&lt;&gt;"", D28="", V28="No"),
     IF($E$107="Discount Based",
         R28*IF(AND(LEFT(A28,2)&lt;&gt;"HW", LEFT(A28,12)&lt;&gt;"CMS-Hardware",LEFT(A28,3)&lt;&gt;"Sys", LEFT(A28,4)&lt;&gt;"Ship"),
                   $E$109,0),
     IF($E$107="Cost Based",
          IF(AND(LEFT(A28,2)&lt;&gt;"HW", LEFT(A28,12)&lt;&gt;"CMS-Hardware",LEFT(A28,3)&lt;&gt;"Sys", LEFT(A28,4)&lt;&gt;"Ship"),
               R28-(1+$E$110)*VLOOKUP(B28,'Raw BOM'!$A$3:$E$492,5,FALSE),0),0)),0),2)</f>
        <v>0</v>
      </c>
      <c r="AA28" s="48">
        <f t="shared" si="10"/>
        <v>0</v>
      </c>
      <c r="AB28" s="48">
        <f t="shared" si="1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
        <v/>
      </c>
      <c r="J29" s="317"/>
      <c r="K29" s="317" t="str">
        <f t="shared" si="2"/>
        <v/>
      </c>
      <c r="L29" s="317"/>
      <c r="M29" s="317" t="str">
        <f t="shared" si="3"/>
        <v/>
      </c>
      <c r="N29" s="317"/>
      <c r="O29" s="317" t="str">
        <f t="shared" si="4"/>
        <v/>
      </c>
      <c r="P29" s="317"/>
      <c r="Q29" s="99" t="str">
        <f t="shared" si="5"/>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6"/>
        <v/>
      </c>
      <c r="T29" s="318" t="str">
        <f t="shared" si="7"/>
        <v/>
      </c>
      <c r="U29" s="318" t="str">
        <f t="shared" si="8"/>
        <v/>
      </c>
      <c r="V29" s="49" t="str">
        <f>IF(C29="","", VLOOKUP(B29,'Raw BOM'!$A$3:$F$495,6,FALSE))</f>
        <v/>
      </c>
      <c r="W29" s="1"/>
      <c r="X29" s="47">
        <f t="shared" si="9"/>
        <v>0</v>
      </c>
      <c r="Y29" s="198">
        <f>ROUND(
IF(AND(C29&lt;&gt;"", D29="", V29="Yes"),
     IF($E$107="Discount Based",
         R29*IF(OR(LEFT(A29,2)="HW", LEFT(A29,12)="CMS-Hardware"),
              $E$108,
              IF(AND(LEFT(A29,3)="Sys", LEFT(A29,4)&lt;&gt;"Ship"),
                   ($E$108+$E$109)/2,
                    0)),
         IF($E$107="Cost Based",
              IF(OR(LEFT(A29,2)="HW", LEFT(A29,12)="CMS-Hardware"),
                   R29-(1+$E$110)*VLOOKUP(B29,'Raw BOM'!$A$3:$E$492,5,FALSE),
              IF(AND(LEFT(A29,3)="Sys", LEFT(A29,4)&lt;&gt;"Ship"),
                   R29-(1+($E$110+$E$111)/2)*VLOOKUP(B29,'Raw BOM'!$A$3:$E$492,5,FALSE),
                   0))))),2)</f>
        <v>0</v>
      </c>
      <c r="Z29" s="47">
        <f>ROUND(
IF(AND(C29&lt;&gt;"", D29="", V29="No"),
     IF($E$107="Discount Based",
         R29*IF(AND(LEFT(A29,2)&lt;&gt;"HW", LEFT(A29,12)&lt;&gt;"CMS-Hardware",LEFT(A29,3)&lt;&gt;"Sys", LEFT(A29,4)&lt;&gt;"Ship"),
                   $E$109,0),
     IF($E$107="Cost Based",
          IF(AND(LEFT(A29,2)&lt;&gt;"HW", LEFT(A29,12)&lt;&gt;"CMS-Hardware",LEFT(A29,3)&lt;&gt;"Sys", LEFT(A29,4)&lt;&gt;"Ship"),
               R29-(1+$E$110)*VLOOKUP(B29,'Raw BOM'!$A$3:$E$492,5,FALSE),0),0)),0),2)</f>
        <v>0</v>
      </c>
      <c r="AA29" s="48">
        <f t="shared" si="10"/>
        <v>0</v>
      </c>
      <c r="AB29" s="48">
        <f t="shared" si="1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
        <v>Services-Installation and Training Session 4hrs (see Service Method for price)</v>
      </c>
      <c r="J30" s="317"/>
      <c r="K30" s="317" t="str">
        <f t="shared" si="2"/>
        <v/>
      </c>
      <c r="L30" s="317"/>
      <c r="M30" s="317" t="str">
        <f t="shared" si="3"/>
        <v>Svcs-InstallTrain</v>
      </c>
      <c r="N30" s="317"/>
      <c r="O30" s="317" t="str">
        <f t="shared" si="4"/>
        <v>Services-Installation and Training Session 4hrs (see Service Method for price)</v>
      </c>
      <c r="P30" s="317"/>
      <c r="Q30" s="99">
        <f t="shared" si="5"/>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6"/>
        <v>Svcs-InstallTrain</v>
      </c>
      <c r="T30" s="318">
        <f t="shared" si="7"/>
        <v>0</v>
      </c>
      <c r="U30" s="318" t="str">
        <f t="shared" si="8"/>
        <v>Services-Installation and Training Session 4hrs (see Service Method for price)</v>
      </c>
      <c r="V30" s="49" t="str">
        <f>IF(C30="","", VLOOKUP(B30,'Raw BOM'!$A$3:$F$495,6,FALSE))</f>
        <v>No</v>
      </c>
      <c r="W30" s="1"/>
      <c r="X30" s="47">
        <f t="shared" si="9"/>
        <v>0</v>
      </c>
      <c r="Y30" s="198">
        <f>ROUND(
IF(AND(C30&lt;&gt;"", D30="", V30="Yes"),
     IF($E$107="Discount Based",
         R30*IF(OR(LEFT(A30,2)="HW", LEFT(A30,12)="CMS-Hardware"),
              $E$108,
              IF(AND(LEFT(A30,3)="Sys", LEFT(A30,4)&lt;&gt;"Ship"),
                   ($E$108+$E$109)/2,
                    0)),
         IF($E$107="Cost Based",
              IF(OR(LEFT(A30,2)="HW", LEFT(A30,12)="CMS-Hardware"),
                   R30-(1+$E$110)*VLOOKUP(B30,'Raw BOM'!$A$3:$E$492,5,FALSE),
              IF(AND(LEFT(A30,3)="Sys", LEFT(A30,4)&lt;&gt;"Ship"),
                   R30-(1+($E$110+$E$111)/2)*VLOOKUP(B30,'Raw BOM'!$A$3:$E$492,5,FALSE),
                   0))))),2)</f>
        <v>0</v>
      </c>
      <c r="Z30" s="47">
        <f>ROUND(
IF(AND(C30&lt;&gt;"", D30="", V30="No"),
     IF($E$107="Discount Based",
         R30*IF(AND(LEFT(A30,2)&lt;&gt;"HW", LEFT(A30,12)&lt;&gt;"CMS-Hardware",LEFT(A30,3)&lt;&gt;"Sys", LEFT(A30,4)&lt;&gt;"Ship"),
                   $E$109,0),
     IF($E$107="Cost Based",
          IF(AND(LEFT(A30,2)&lt;&gt;"HW", LEFT(A30,12)&lt;&gt;"CMS-Hardware",LEFT(A30,3)&lt;&gt;"Sys", LEFT(A30,4)&lt;&gt;"Ship"),
               R30-(1+$E$110)*VLOOKUP(B30,'Raw BOM'!$A$3:$E$492,5,FALSE),0),0)),0),2)</f>
        <v>0</v>
      </c>
      <c r="AA30" s="48">
        <f t="shared" si="10"/>
        <v>0</v>
      </c>
      <c r="AB30" s="48">
        <f t="shared" si="1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
        <v xml:space="preserve">Services Method-Remote (Phone)   *** To perform services shown in the line above. </v>
      </c>
      <c r="J31" s="317"/>
      <c r="K31" s="317" t="str">
        <f t="shared" si="2"/>
        <v xml:space="preserve">To perform services shown in the line above. </v>
      </c>
      <c r="L31" s="317"/>
      <c r="M31" s="317" t="str">
        <f t="shared" si="3"/>
        <v>Svcs-Phone</v>
      </c>
      <c r="N31" s="317"/>
      <c r="O31" s="317" t="str">
        <f t="shared" si="4"/>
        <v xml:space="preserve">Services Method-Remote (Phone)   *** To perform services shown in the line above. </v>
      </c>
      <c r="P31" s="317"/>
      <c r="Q31" s="99">
        <f t="shared" si="5"/>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6"/>
        <v>Svcs-Phone</v>
      </c>
      <c r="T31" s="318">
        <f t="shared" si="7"/>
        <v>750</v>
      </c>
      <c r="U31" s="318" t="str">
        <f t="shared" si="8"/>
        <v xml:space="preserve">Services Method-Remote (Phone)   *** To perform services shown in the line above. </v>
      </c>
      <c r="V31" s="49" t="str">
        <f>IF(C31="","", VLOOKUP(B31,'Raw BOM'!$A$3:$F$495,6,FALSE))</f>
        <v>No</v>
      </c>
      <c r="W31" s="1"/>
      <c r="X31" s="47">
        <f t="shared" si="9"/>
        <v>0</v>
      </c>
      <c r="Y31" s="198">
        <f>ROUND(
IF(AND(C31&lt;&gt;"", D31="", V31="Yes"),
     IF($E$107="Discount Based",
         R31*IF(OR(LEFT(A31,2)="HW", LEFT(A31,12)="CMS-Hardware"),
              $E$108,
              IF(AND(LEFT(A31,3)="Sys", LEFT(A31,4)&lt;&gt;"Ship"),
                   ($E$108+$E$109)/2,
                    0)),
         IF($E$107="Cost Based",
              IF(OR(LEFT(A31,2)="HW", LEFT(A31,12)="CMS-Hardware"),
                   R31-(1+$E$110)*VLOOKUP(B31,'Raw BOM'!$A$3:$E$492,5,FALSE),
              IF(AND(LEFT(A31,3)="Sys", LEFT(A31,4)&lt;&gt;"Ship"),
                   R31-(1+($E$110+$E$111)/2)*VLOOKUP(B31,'Raw BOM'!$A$3:$E$492,5,FALSE),
                   0))))),2)</f>
        <v>0</v>
      </c>
      <c r="Z31" s="47">
        <f>ROUND(
IF(AND(C31&lt;&gt;"", D31="", V31="No"),
     IF($E$107="Discount Based",
         R31*IF(AND(LEFT(A31,2)&lt;&gt;"HW", LEFT(A31,12)&lt;&gt;"CMS-Hardware",LEFT(A31,3)&lt;&gt;"Sys", LEFT(A31,4)&lt;&gt;"Ship"),
                   $E$109,0),
     IF($E$107="Cost Based",
          IF(AND(LEFT(A31,2)&lt;&gt;"HW", LEFT(A31,12)&lt;&gt;"CMS-Hardware",LEFT(A31,3)&lt;&gt;"Sys", LEFT(A31,4)&lt;&gt;"Ship"),
               R31-(1+$E$110)*VLOOKUP(B31,'Raw BOM'!$A$3:$E$492,5,FALSE),0),0)),0),2)</f>
        <v>330</v>
      </c>
      <c r="AA31" s="48">
        <f t="shared" si="10"/>
        <v>0</v>
      </c>
      <c r="AB31" s="48">
        <f t="shared" si="1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
        <v/>
      </c>
      <c r="J32" s="317"/>
      <c r="K32" s="317" t="str">
        <f t="shared" si="2"/>
        <v/>
      </c>
      <c r="L32" s="317"/>
      <c r="M32" s="317" t="str">
        <f t="shared" si="3"/>
        <v/>
      </c>
      <c r="N32" s="317"/>
      <c r="O32" s="317" t="str">
        <f t="shared" si="4"/>
        <v/>
      </c>
      <c r="P32" s="317"/>
      <c r="Q32" s="99" t="str">
        <f t="shared" si="5"/>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6"/>
        <v/>
      </c>
      <c r="T32" s="318" t="str">
        <f t="shared" si="7"/>
        <v/>
      </c>
      <c r="U32" s="318" t="str">
        <f t="shared" si="8"/>
        <v/>
      </c>
      <c r="V32" s="49" t="str">
        <f>IF(C32="","", VLOOKUP(B32,'Raw BOM'!$A$3:$F$495,6,FALSE))</f>
        <v/>
      </c>
      <c r="W32" s="1"/>
      <c r="X32" s="47">
        <f t="shared" si="9"/>
        <v>0</v>
      </c>
      <c r="Y32" s="198">
        <f>ROUND(
IF(AND(C32&lt;&gt;"", D32="", V32="Yes"),
     IF($E$107="Discount Based",
         R32*IF(OR(LEFT(A32,2)="HW", LEFT(A32,12)="CMS-Hardware"),
              $E$108,
              IF(AND(LEFT(A32,3)="Sys", LEFT(A32,4)&lt;&gt;"Ship"),
                   ($E$108+$E$109)/2,
                    0)),
         IF($E$107="Cost Based",
              IF(OR(LEFT(A32,2)="HW", LEFT(A32,12)="CMS-Hardware"),
                   R32-(1+$E$110)*VLOOKUP(B32,'Raw BOM'!$A$3:$E$492,5,FALSE),
              IF(AND(LEFT(A32,3)="Sys", LEFT(A32,4)&lt;&gt;"Ship"),
                   R32-(1+($E$110+$E$111)/2)*VLOOKUP(B32,'Raw BOM'!$A$3:$E$492,5,FALSE),
                   0))))),2)</f>
        <v>0</v>
      </c>
      <c r="Z32" s="47">
        <f>ROUND(
IF(AND(C32&lt;&gt;"", D32="", V32="No"),
     IF($E$107="Discount Based",
         R32*IF(AND(LEFT(A32,2)&lt;&gt;"HW", LEFT(A32,12)&lt;&gt;"CMS-Hardware",LEFT(A32,3)&lt;&gt;"Sys", LEFT(A32,4)&lt;&gt;"Ship"),
                   $E$109,0),
     IF($E$107="Cost Based",
          IF(AND(LEFT(A32,2)&lt;&gt;"HW", LEFT(A32,12)&lt;&gt;"CMS-Hardware",LEFT(A32,3)&lt;&gt;"Sys", LEFT(A32,4)&lt;&gt;"Ship"),
               R32-(1+$E$110)*VLOOKUP(B32,'Raw BOM'!$A$3:$E$492,5,FALSE),0),0)),0),2)</f>
        <v>0</v>
      </c>
      <c r="AA32" s="48">
        <f t="shared" si="10"/>
        <v>0</v>
      </c>
      <c r="AB32" s="48">
        <f t="shared" si="1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
        <v>Shipping-Ground for Large Package</v>
      </c>
      <c r="J33" s="317"/>
      <c r="K33" s="317" t="str">
        <f t="shared" si="2"/>
        <v/>
      </c>
      <c r="L33" s="317"/>
      <c r="M33" s="317" t="str">
        <f t="shared" si="3"/>
        <v>Ship-L</v>
      </c>
      <c r="N33" s="317"/>
      <c r="O33" s="317" t="str">
        <f t="shared" si="4"/>
        <v>Shipping-Ground for Large Package</v>
      </c>
      <c r="P33" s="317"/>
      <c r="Q33" s="99">
        <f t="shared" si="5"/>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6"/>
        <v>Ship-L</v>
      </c>
      <c r="T33" s="318">
        <f t="shared" si="7"/>
        <v>60</v>
      </c>
      <c r="U33" s="318" t="str">
        <f t="shared" si="8"/>
        <v>Shipping-Ground for Large Package</v>
      </c>
      <c r="V33" s="49" t="str">
        <f>IF(C33="","", VLOOKUP(B33,'Raw BOM'!$A$3:$F$495,6,FALSE))</f>
        <v>No</v>
      </c>
      <c r="W33" s="1"/>
      <c r="X33" s="47">
        <f t="shared" si="9"/>
        <v>0</v>
      </c>
      <c r="Y33" s="198">
        <f>ROUND(
IF(AND(C33&lt;&gt;"", D33="", V33="Yes"),
     IF($E$107="Discount Based",
         R33*IF(OR(LEFT(A33,2)="HW", LEFT(A33,12)="CMS-Hardware"),
              $E$108,
              IF(AND(LEFT(A33,3)="Sys", LEFT(A33,4)&lt;&gt;"Ship"),
                   ($E$108+$E$109)/2,
                    0)),
         IF($E$107="Cost Based",
              IF(OR(LEFT(A33,2)="HW", LEFT(A33,12)="CMS-Hardware"),
                   R33-(1+$E$110)*VLOOKUP(B33,'Raw BOM'!$A$3:$E$492,5,FALSE),
              IF(AND(LEFT(A33,3)="Sys", LEFT(A33,4)&lt;&gt;"Ship"),
                   R33-(1+($E$110+$E$111)/2)*VLOOKUP(B33,'Raw BOM'!$A$3:$E$492,5,FALSE),
                   0))))),2)</f>
        <v>0</v>
      </c>
      <c r="Z33" s="47">
        <f>ROUND(
IF(AND(C33&lt;&gt;"", D33="", V33="No"),
     IF($E$107="Discount Based",
         R33*IF(AND(LEFT(A33,2)&lt;&gt;"HW", LEFT(A33,12)&lt;&gt;"CMS-Hardware",LEFT(A33,3)&lt;&gt;"Sys", LEFT(A33,4)&lt;&gt;"Ship"),
                   $E$109,0),
     IF($E$107="Cost Based",
          IF(AND(LEFT(A33,2)&lt;&gt;"HW", LEFT(A33,12)&lt;&gt;"CMS-Hardware",LEFT(A33,3)&lt;&gt;"Sys", LEFT(A33,4)&lt;&gt;"Ship"),
               R33-(1+$E$110)*VLOOKUP(B33,'Raw BOM'!$A$3:$E$492,5,FALSE),0),0)),0),2)</f>
        <v>0</v>
      </c>
      <c r="AA33" s="48">
        <f t="shared" si="10"/>
        <v>0</v>
      </c>
      <c r="AB33" s="48">
        <f t="shared" si="1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
        <v>Maintenance-Initial Year Warranty   *** Cross Ship</v>
      </c>
      <c r="J34" s="317"/>
      <c r="K34" s="317" t="str">
        <f t="shared" si="2"/>
        <v>Cross Ship</v>
      </c>
      <c r="L34" s="317"/>
      <c r="M34" s="317" t="str">
        <f t="shared" si="3"/>
        <v>Maint-Warr</v>
      </c>
      <c r="N34" s="317"/>
      <c r="O34" s="317" t="str">
        <f t="shared" si="4"/>
        <v>Maintenance-Initial Year Warranty   *** Cross Ship</v>
      </c>
      <c r="P34" s="317"/>
      <c r="Q34" s="99">
        <f t="shared" si="5"/>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6"/>
        <v>Maint-Warr</v>
      </c>
      <c r="T34" s="318">
        <f t="shared" si="7"/>
        <v>0</v>
      </c>
      <c r="U34" s="318" t="str">
        <f t="shared" si="8"/>
        <v>Maintenance-Initial Year Warranty   *** Cross Ship</v>
      </c>
      <c r="V34" s="49" t="str">
        <f>IF(C34="","", VLOOKUP(B34,'Raw BOM'!$A$3:$F$495,6,FALSE))</f>
        <v>No</v>
      </c>
      <c r="W34" s="1"/>
      <c r="X34" s="47">
        <f t="shared" si="9"/>
        <v>0</v>
      </c>
      <c r="Y34" s="198">
        <f>ROUND(
IF(AND(C34&lt;&gt;"", D34="", V34="Yes"),
     IF($E$107="Discount Based",
         R34*IF(OR(LEFT(A34,2)="HW", LEFT(A34,12)="CMS-Hardware"),
              $E$108,
              IF(AND(LEFT(A34,3)="Sys", LEFT(A34,4)&lt;&gt;"Ship"),
                   ($E$108+$E$109)/2,
                    0)),
         IF($E$107="Cost Based",
              IF(OR(LEFT(A34,2)="HW", LEFT(A34,12)="CMS-Hardware"),
                   R34-(1+$E$110)*VLOOKUP(B34,'Raw BOM'!$A$3:$E$492,5,FALSE),
              IF(AND(LEFT(A34,3)="Sys", LEFT(A34,4)&lt;&gt;"Ship"),
                   R34-(1+($E$110+$E$111)/2)*VLOOKUP(B34,'Raw BOM'!$A$3:$E$492,5,FALSE),
                   0))))),2)</f>
        <v>0</v>
      </c>
      <c r="Z34" s="47">
        <f>ROUND(
IF(AND(C34&lt;&gt;"", D34="", V34="No"),
     IF($E$107="Discount Based",
         R34*IF(AND(LEFT(A34,2)&lt;&gt;"HW", LEFT(A34,12)&lt;&gt;"CMS-Hardware",LEFT(A34,3)&lt;&gt;"Sys", LEFT(A34,4)&lt;&gt;"Ship"),
                   $E$109,0),
     IF($E$107="Cost Based",
          IF(AND(LEFT(A34,2)&lt;&gt;"HW", LEFT(A34,12)&lt;&gt;"CMS-Hardware",LEFT(A34,3)&lt;&gt;"Sys", LEFT(A34,4)&lt;&gt;"Ship"),
               R34-(1+$E$110)*VLOOKUP(B34,'Raw BOM'!$A$3:$E$492,5,FALSE),0),0)),0),2)</f>
        <v>0</v>
      </c>
      <c r="AA34" s="48">
        <f t="shared" si="10"/>
        <v>0</v>
      </c>
      <c r="AB34" s="48">
        <f t="shared" si="1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
        <v xml:space="preserve">   *** Pick one of the following 2 Maintenance options in the 12th month.  We recommend picking 2nd line if processing more than 1,200 transactions per year.</v>
      </c>
      <c r="J35" s="317"/>
      <c r="K35" s="317" t="str">
        <f t="shared" si="2"/>
        <v>Pick one of the following 2 Maintenance options in the 12th month.  We recommend picking 2nd line if processing more than 1,200 transactions per year.</v>
      </c>
      <c r="L35" s="317"/>
      <c r="M35" s="317" t="str">
        <f t="shared" si="3"/>
        <v>Misc</v>
      </c>
      <c r="N35" s="317"/>
      <c r="O35" s="317" t="str">
        <f t="shared" si="4"/>
        <v xml:space="preserve">   *** Pick one of the following 2 Maintenance options in the 12th month.  We recommend picking 2nd line if processing more than 1,200 transactions per year.</v>
      </c>
      <c r="P35" s="317"/>
      <c r="Q35" s="99" t="str">
        <f t="shared" si="5"/>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6"/>
        <v>Misc</v>
      </c>
      <c r="T35" s="318" t="str">
        <f t="shared" si="7"/>
        <v/>
      </c>
      <c r="U35" s="318" t="str">
        <f t="shared" si="8"/>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IF($E$107="Discount Based",
         R35*IF(OR(LEFT(A35,2)="HW", LEFT(A35,12)="CMS-Hardware"),
              $E$108,
              IF(AND(LEFT(A35,3)="Sys", LEFT(A35,4)&lt;&gt;"Ship"),
                   ($E$108+$E$109)/2,
                    0)),
         IF($E$107="Cost Based",
              IF(OR(LEFT(A35,2)="HW", LEFT(A35,12)="CMS-Hardware"),
                   R35-(1+$E$110)*VLOOKUP(B35,'Raw BOM'!$A$3:$E$492,5,FALSE),
              IF(AND(LEFT(A35,3)="Sys", LEFT(A35,4)&lt;&gt;"Ship"),
                   R35-(1+($E$110+$E$111)/2)*VLOOKUP(B35,'Raw BOM'!$A$3:$E$492,5,FALSE),
                   0))))),2)</f>
        <v>0</v>
      </c>
      <c r="Z35" s="47">
        <f>ROUND(
IF(AND(C35&lt;&gt;"", D35="", V35="No"),
     IF($E$107="Discount Based",
         R35*IF(AND(LEFT(A35,2)&lt;&gt;"HW", LEFT(A35,12)&lt;&gt;"CMS-Hardware",LEFT(A35,3)&lt;&gt;"Sys", LEFT(A35,4)&lt;&gt;"Ship"),
                   $E$109,0),
     IF($E$107="Cost Based",
          IF(AND(LEFT(A35,2)&lt;&gt;"HW", LEFT(A35,12)&lt;&gt;"CMS-Hardware",LEFT(A35,3)&lt;&gt;"Sys", LEFT(A35,4)&lt;&gt;"Ship"),
               R35-(1+$E$110)*VLOOKUP(B35,'Raw BOM'!$A$3:$E$492,5,FALSE),0),0)),0),2)</f>
        <v>0</v>
      </c>
      <c r="AA35" s="48">
        <f t="shared" si="10"/>
        <v>0</v>
      </c>
      <c r="AB35" s="48">
        <f t="shared" si="11"/>
        <v>0</v>
      </c>
    </row>
    <row r="36" spans="1:28" ht="30" customHeight="1" x14ac:dyDescent="0.25">
      <c r="A36" s="41" t="str">
        <f>IF(B36&lt;&gt;"",VLOOKUP(B36,'Raw BOM'!$A$3:$B$495,2,FALSE),IF(E36&lt;&gt;"","Misc",""))</f>
        <v>Maint-9X5-SW-App</v>
      </c>
      <c r="B36" s="42" t="s">
        <v>125</v>
      </c>
      <c r="C36" s="43">
        <f>IF('Blank Quote'!C36&lt;&gt;"", 'Blank Quote'!C36, "")</f>
        <v>0</v>
      </c>
      <c r="D36" s="44">
        <v>495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D36</f>
        <v>495</v>
      </c>
      <c r="S36" s="318" t="str">
        <f t="shared" si="6"/>
        <v>Maint-9X5-SW-App</v>
      </c>
      <c r="T36" s="318">
        <f t="shared" si="7"/>
        <v>0</v>
      </c>
      <c r="U36" s="318" t="str">
        <f t="shared" si="8"/>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840</v>
      </c>
      <c r="E37" s="50" t="str">
        <f>IF('Blank Quote'!E37&lt;&gt;"", 'Blank Quote'!E37, "")</f>
        <v>Software and Hardware Coverage, per system</v>
      </c>
      <c r="F37" s="251">
        <f>ROUND(S41*0.12,-1)</f>
        <v>690</v>
      </c>
      <c r="G37" s="315" t="str">
        <f t="shared" si="0"/>
        <v>Maint-9X5-Remote</v>
      </c>
      <c r="H37" s="316"/>
      <c r="I37" s="317" t="str">
        <f t="shared" ref="I37:I39" si="12">IF(B37&lt;&gt;"", B37, "")&amp;IF(E37&lt;&gt;"", "   *** "&amp;E37, "")</f>
        <v>Maintenance-9 X 5 (8am - 5pm, M-F) Remote with Cross Ship   *** Software and Hardware Coverage, per system</v>
      </c>
      <c r="J37" s="317"/>
      <c r="K37" s="317" t="str">
        <f t="shared" ref="K37:K39" si="13">E37</f>
        <v>Software and Hardware Coverage, per system</v>
      </c>
      <c r="L37" s="317"/>
      <c r="M37" s="317" t="str">
        <f t="shared" ref="M37:M39" si="14">G37</f>
        <v>Maint-9X5-Remote</v>
      </c>
      <c r="N37" s="317"/>
      <c r="O37" s="317" t="str">
        <f t="shared" ref="O37:O39" si="15">I37</f>
        <v>Maintenance-9 X 5 (8am - 5pm, M-F) Remote with Cross Ship   *** Software and Hardware Coverage, per system</v>
      </c>
      <c r="P37" s="317"/>
      <c r="Q37" s="99">
        <f t="shared" si="5"/>
        <v>0</v>
      </c>
      <c r="R37" s="318">
        <f t="shared" ref="R37:R39" si="16">D37</f>
        <v>840</v>
      </c>
      <c r="S37" s="318" t="str">
        <f t="shared" si="6"/>
        <v>Maint-9X5-Remote</v>
      </c>
      <c r="T37" s="318">
        <f t="shared" si="7"/>
        <v>0</v>
      </c>
      <c r="U37" s="318" t="str">
        <f t="shared" si="8"/>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F38, "")</f>
        <v/>
      </c>
      <c r="E38" s="50" t="str">
        <f>IF('Blank Quote'!E38&lt;&gt;"", 'Blank Quote'!E38, "")</f>
        <v/>
      </c>
      <c r="F38" s="251">
        <f>ROUND(S41*0.18,-1)</f>
        <v>1030</v>
      </c>
      <c r="G38" s="315" t="str">
        <f t="shared" si="0"/>
        <v/>
      </c>
      <c r="H38" s="316"/>
      <c r="I38" s="317" t="str">
        <f t="shared" si="12"/>
        <v/>
      </c>
      <c r="J38" s="317"/>
      <c r="K38" s="317" t="str">
        <f t="shared" si="13"/>
        <v/>
      </c>
      <c r="L38" s="317"/>
      <c r="M38" s="317" t="str">
        <f t="shared" si="14"/>
        <v/>
      </c>
      <c r="N38" s="317"/>
      <c r="O38" s="317" t="str">
        <f t="shared" si="15"/>
        <v/>
      </c>
      <c r="P38" s="317"/>
      <c r="Q38" s="99" t="str">
        <f t="shared" si="5"/>
        <v/>
      </c>
      <c r="R38" s="318" t="str">
        <f t="shared" si="16"/>
        <v/>
      </c>
      <c r="S38" s="318" t="str">
        <f t="shared" si="6"/>
        <v/>
      </c>
      <c r="T38" s="318" t="str">
        <f t="shared" si="7"/>
        <v/>
      </c>
      <c r="U38" s="318" t="str">
        <f t="shared" si="8"/>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F39, "")</f>
        <v/>
      </c>
      <c r="E39" s="54" t="str">
        <f>IF('Blank Quote'!E39&lt;&gt;"", 'Blank Quote'!E39, "")</f>
        <v/>
      </c>
      <c r="F39" s="251">
        <f>ROUND(S41*0.24,-1)</f>
        <v>1370</v>
      </c>
      <c r="G39" s="369" t="str">
        <f t="shared" si="0"/>
        <v/>
      </c>
      <c r="H39" s="370"/>
      <c r="I39" s="371" t="str">
        <f t="shared" si="12"/>
        <v/>
      </c>
      <c r="J39" s="371"/>
      <c r="K39" s="371" t="str">
        <f t="shared" si="13"/>
        <v/>
      </c>
      <c r="L39" s="371"/>
      <c r="M39" s="371" t="str">
        <f t="shared" si="14"/>
        <v/>
      </c>
      <c r="N39" s="371"/>
      <c r="O39" s="371" t="str">
        <f t="shared" si="15"/>
        <v/>
      </c>
      <c r="P39" s="371"/>
      <c r="Q39" s="96" t="str">
        <f t="shared" si="5"/>
        <v/>
      </c>
      <c r="R39" s="373" t="str">
        <f t="shared" si="16"/>
        <v/>
      </c>
      <c r="S39" s="373" t="str">
        <f t="shared" si="6"/>
        <v/>
      </c>
      <c r="T39" s="373" t="str">
        <f t="shared" si="7"/>
        <v/>
      </c>
      <c r="U39" s="373" t="str">
        <f t="shared" si="8"/>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t="str">
        <f>IF(B11=0, "Tax Exempt", X45)</f>
        <v>Tax Exempt</v>
      </c>
      <c r="T45" s="327"/>
      <c r="U45" s="327"/>
      <c r="V45" s="257">
        <f>B11</f>
        <v>0</v>
      </c>
      <c r="X45" s="61">
        <f>SUM(X19:X39)</f>
        <v>0</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3884.8</v>
      </c>
      <c r="T46" s="321"/>
      <c r="U46" s="322"/>
      <c r="V46" s="62"/>
    </row>
    <row r="47" spans="1:28" ht="5.25" customHeight="1" thickBot="1" x14ac:dyDescent="0.3">
      <c r="A47" s="249"/>
      <c r="B47" s="249"/>
      <c r="C47" s="249"/>
      <c r="D47" s="249"/>
      <c r="E47" s="249"/>
    </row>
    <row r="48" spans="1:28" ht="7.5" customHeight="1" x14ac:dyDescent="0.25">
      <c r="A48" s="249"/>
      <c r="B48" s="249"/>
      <c r="C48" s="249"/>
      <c r="D48" s="249"/>
      <c r="E48" s="249"/>
      <c r="G48" s="41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416"/>
      <c r="I48" s="416"/>
      <c r="J48" s="416"/>
      <c r="K48" s="416"/>
      <c r="L48" s="416"/>
      <c r="M48" s="416"/>
      <c r="N48" s="416"/>
      <c r="O48" s="416"/>
      <c r="P48" s="416"/>
      <c r="Q48" s="416"/>
      <c r="R48" s="416"/>
      <c r="S48" s="416"/>
      <c r="T48" s="416"/>
      <c r="U48" s="416"/>
      <c r="V48" s="417"/>
    </row>
    <row r="49" spans="1:22" ht="6.75" customHeight="1" x14ac:dyDescent="0.25">
      <c r="A49" s="249"/>
      <c r="B49" s="249"/>
      <c r="C49" s="249"/>
      <c r="D49" s="249"/>
      <c r="E49" s="249"/>
      <c r="G49" s="418"/>
      <c r="H49" s="419"/>
      <c r="I49" s="419"/>
      <c r="J49" s="419"/>
      <c r="K49" s="419"/>
      <c r="L49" s="419"/>
      <c r="M49" s="419"/>
      <c r="N49" s="419"/>
      <c r="O49" s="419"/>
      <c r="P49" s="419"/>
      <c r="Q49" s="419"/>
      <c r="R49" s="419"/>
      <c r="S49" s="419"/>
      <c r="T49" s="419"/>
      <c r="U49" s="419"/>
      <c r="V49" s="420"/>
    </row>
    <row r="50" spans="1:22" ht="13.5" customHeight="1" x14ac:dyDescent="0.25">
      <c r="A50" s="249"/>
      <c r="B50" s="249"/>
      <c r="C50" s="249"/>
      <c r="D50" s="249"/>
      <c r="E50" s="249"/>
      <c r="G50" s="418"/>
      <c r="H50" s="419"/>
      <c r="I50" s="419"/>
      <c r="J50" s="419"/>
      <c r="K50" s="419"/>
      <c r="L50" s="419"/>
      <c r="M50" s="419"/>
      <c r="N50" s="419"/>
      <c r="O50" s="419"/>
      <c r="P50" s="419"/>
      <c r="Q50" s="419"/>
      <c r="R50" s="419"/>
      <c r="S50" s="419"/>
      <c r="T50" s="419"/>
      <c r="U50" s="419"/>
      <c r="V50" s="420"/>
    </row>
    <row r="51" spans="1:22" ht="13.5" customHeight="1" x14ac:dyDescent="0.25">
      <c r="A51" s="249"/>
      <c r="B51" s="249"/>
      <c r="C51" s="249"/>
      <c r="D51" s="249"/>
      <c r="E51" s="249"/>
      <c r="G51" s="418"/>
      <c r="H51" s="419"/>
      <c r="I51" s="419"/>
      <c r="J51" s="419"/>
      <c r="K51" s="419"/>
      <c r="L51" s="419"/>
      <c r="M51" s="419"/>
      <c r="N51" s="419"/>
      <c r="O51" s="419"/>
      <c r="P51" s="419"/>
      <c r="Q51" s="419"/>
      <c r="R51" s="419"/>
      <c r="S51" s="419"/>
      <c r="T51" s="419"/>
      <c r="U51" s="419"/>
      <c r="V51" s="420"/>
    </row>
    <row r="52" spans="1:22" ht="13.5" customHeight="1" x14ac:dyDescent="0.25">
      <c r="A52" s="249"/>
      <c r="B52" s="249"/>
      <c r="C52" s="249"/>
      <c r="D52" s="249"/>
      <c r="E52" s="249"/>
      <c r="G52" s="418"/>
      <c r="H52" s="419"/>
      <c r="I52" s="419"/>
      <c r="J52" s="419"/>
      <c r="K52" s="419"/>
      <c r="L52" s="419"/>
      <c r="M52" s="419"/>
      <c r="N52" s="419"/>
      <c r="O52" s="419"/>
      <c r="P52" s="419"/>
      <c r="Q52" s="419"/>
      <c r="R52" s="419"/>
      <c r="S52" s="419"/>
      <c r="T52" s="419"/>
      <c r="U52" s="419"/>
      <c r="V52" s="420"/>
    </row>
    <row r="53" spans="1:22" ht="5.45" customHeight="1" thickBot="1" x14ac:dyDescent="0.3">
      <c r="A53" s="249"/>
      <c r="B53" s="249"/>
      <c r="C53" s="249"/>
      <c r="D53" s="249"/>
      <c r="E53" s="249"/>
      <c r="G53" s="425"/>
      <c r="H53" s="426"/>
      <c r="I53" s="426"/>
      <c r="J53" s="426"/>
      <c r="K53" s="426"/>
      <c r="L53" s="426"/>
      <c r="M53" s="426"/>
      <c r="N53" s="426"/>
      <c r="O53" s="426"/>
      <c r="P53" s="426"/>
      <c r="Q53" s="426"/>
      <c r="R53" s="426"/>
      <c r="S53" s="426"/>
      <c r="T53" s="426"/>
      <c r="U53" s="426"/>
      <c r="V53" s="427"/>
    </row>
    <row r="54" spans="1:22" ht="18" customHeight="1" outlineLevel="1" thickTop="1" thickBot="1" x14ac:dyDescent="0.3">
      <c r="A54" s="13" t="s">
        <v>55</v>
      </c>
      <c r="B54" s="14" t="str">
        <f>'Blank Quote'!B1</f>
        <v>App CA Private</v>
      </c>
      <c r="C54" s="392" t="s">
        <v>57</v>
      </c>
      <c r="D54" s="393"/>
      <c r="E54" s="15" t="str">
        <f>VLOOKUP(B54,'Pricing Model'!A1:C21,3)</f>
        <v>Discount Based</v>
      </c>
    </row>
    <row r="55" spans="1:22" ht="18" customHeight="1" outlineLevel="1" thickBot="1" x14ac:dyDescent="0.3">
      <c r="A55" s="17" t="s">
        <v>58</v>
      </c>
      <c r="B55" s="18" t="str">
        <f>'Blank Quote'!B2</f>
        <v>Command International Security Services</v>
      </c>
      <c r="C55" s="394" t="s">
        <v>59</v>
      </c>
      <c r="D55" s="395"/>
      <c r="E55" s="19">
        <f>IF(E54="Discount Based", VLOOKUP(B54,'Pricing Model'!A1:D21,4), "")</f>
        <v>0.2</v>
      </c>
      <c r="P55" s="398" t="s">
        <v>139</v>
      </c>
      <c r="Q55" s="398"/>
      <c r="R55" s="398"/>
      <c r="S55" s="398"/>
      <c r="T55" s="398"/>
      <c r="U55" s="398"/>
    </row>
    <row r="56" spans="1:22" ht="18" customHeight="1" outlineLevel="1" x14ac:dyDescent="0.25">
      <c r="A56" s="17" t="s">
        <v>61</v>
      </c>
      <c r="B56" s="18" t="str">
        <f>'Blank Quote'!B3</f>
        <v>Amira Hossain</v>
      </c>
      <c r="C56" s="394" t="s">
        <v>62</v>
      </c>
      <c r="D56" s="395"/>
      <c r="E56" s="19">
        <f>IF(E54="Discount Based", VLOOKUP(B54,'Pricing Model'!A1:E21,5), "")</f>
        <v>0.44</v>
      </c>
      <c r="N56" s="265" t="str">
        <f>IF('Blank Quote'!$E$7&lt;&gt;"", "REPLACING", "")</f>
        <v/>
      </c>
    </row>
    <row r="57" spans="1:22" ht="18" customHeight="1" outlineLevel="1" x14ac:dyDescent="0.25">
      <c r="A57" s="20" t="s">
        <v>67</v>
      </c>
      <c r="B57" s="21" t="str">
        <f>'Blank Quote'!B4</f>
        <v>(747) 366-0211 | manny@commandinternationalsecurity.com</v>
      </c>
      <c r="C57" s="394" t="s">
        <v>64</v>
      </c>
      <c r="D57" s="395"/>
      <c r="E57" s="19" t="str">
        <f>IF(E54="Cost Based", VLOOKUP(B54,'Pricing Model'!A1:F21,6), "")</f>
        <v/>
      </c>
      <c r="G57" s="368" t="s">
        <v>65</v>
      </c>
      <c r="H57" s="368"/>
      <c r="I57" s="368"/>
      <c r="J57" s="368"/>
      <c r="K57" s="368"/>
      <c r="L57" s="368"/>
      <c r="M57" s="22"/>
      <c r="N57" s="264" t="str">
        <f>IF('Blank Quote'!$E$7&lt;&gt;"","LSID: "&amp;'Blank Quote'!$E$7, "")</f>
        <v/>
      </c>
      <c r="P57" s="367" t="s">
        <v>66</v>
      </c>
      <c r="Q57" s="367"/>
      <c r="R57" s="367"/>
      <c r="S57" s="367"/>
      <c r="T57" s="367"/>
      <c r="U57" s="367"/>
    </row>
    <row r="58" spans="1:22" ht="18" customHeight="1" outlineLevel="1" thickBot="1" x14ac:dyDescent="0.3">
      <c r="A58" s="20" t="s">
        <v>137</v>
      </c>
      <c r="B58" s="21" t="str">
        <f>'Blank Quote'!B5</f>
        <v>MID-VALLEY PROFESSIONAL BUILDING</v>
      </c>
      <c r="C58" s="390" t="s">
        <v>68</v>
      </c>
      <c r="D58" s="391"/>
      <c r="E58" s="23" t="str">
        <f>IF(E54="Cost Based", VLOOKUP(B54,'Pricing Model'!A1:G21,7), "")</f>
        <v/>
      </c>
      <c r="G58" s="368" t="s">
        <v>69</v>
      </c>
      <c r="H58" s="368"/>
      <c r="I58" s="368"/>
      <c r="J58" s="368"/>
      <c r="K58" s="368"/>
      <c r="L58" s="368"/>
      <c r="M58" s="22"/>
    </row>
    <row r="59" spans="1:22" ht="18" customHeight="1" outlineLevel="1" thickBot="1" x14ac:dyDescent="0.3">
      <c r="A59" s="20" t="s">
        <v>12</v>
      </c>
      <c r="B59" s="24" t="str">
        <f>'Blank Quote'!B6</f>
        <v>6819 Sepulveda Blvd, Van Nuys, CA 91405</v>
      </c>
      <c r="C59" s="25"/>
      <c r="D59" s="25"/>
      <c r="E59" s="25"/>
      <c r="G59" s="368" t="s">
        <v>70</v>
      </c>
      <c r="H59" s="368"/>
      <c r="I59" s="368"/>
      <c r="J59" s="368"/>
      <c r="K59" s="368"/>
      <c r="L59" s="368"/>
      <c r="M59" s="22"/>
      <c r="P59" s="367" t="s">
        <v>71</v>
      </c>
      <c r="Q59" s="367"/>
      <c r="R59" s="367"/>
      <c r="S59" s="367"/>
      <c r="T59" s="367"/>
      <c r="U59" s="367"/>
    </row>
    <row r="60" spans="1:22" ht="18" customHeight="1" outlineLevel="1" thickBot="1" x14ac:dyDescent="0.4">
      <c r="A60" s="17" t="s">
        <v>72</v>
      </c>
      <c r="B60" s="18" t="str">
        <f>'Blank Quote'!B7</f>
        <v>Amira Hossain</v>
      </c>
      <c r="C60" s="25"/>
      <c r="D60" s="25"/>
      <c r="E60" s="25"/>
      <c r="G60" s="26"/>
    </row>
    <row r="61" spans="1:22" ht="18" customHeight="1" outlineLevel="1" thickBot="1" x14ac:dyDescent="0.35">
      <c r="A61" s="20" t="s">
        <v>77</v>
      </c>
      <c r="B61" s="21" t="str">
        <f>'Blank Quote'!B8</f>
        <v>(747) 366-0211 | manny@commandinternationalsecurity.com</v>
      </c>
      <c r="C61" s="25"/>
      <c r="D61" s="25"/>
      <c r="E61" s="25"/>
      <c r="G61" s="350" t="s">
        <v>75</v>
      </c>
      <c r="H61" s="351"/>
      <c r="I61" s="351"/>
      <c r="J61" s="351"/>
      <c r="K61" s="351"/>
      <c r="L61" s="351"/>
      <c r="M61" s="352"/>
      <c r="O61" s="350" t="s">
        <v>76</v>
      </c>
      <c r="P61" s="351"/>
      <c r="Q61" s="351"/>
      <c r="R61" s="351"/>
      <c r="S61" s="351"/>
      <c r="T61" s="351"/>
      <c r="U61" s="351"/>
      <c r="V61" s="352"/>
    </row>
    <row r="62" spans="1:22" ht="18" customHeight="1" outlineLevel="1" x14ac:dyDescent="0.25">
      <c r="A62" s="20" t="s">
        <v>137</v>
      </c>
      <c r="B62" s="21" t="str">
        <f>'Blank Quote'!B9</f>
        <v>MID-VALLEY PROFESSIONAL BUILDING</v>
      </c>
      <c r="C62" s="25"/>
      <c r="D62" s="25"/>
      <c r="E62" s="25"/>
      <c r="G62" s="353" t="str">
        <f>IF('CA Multi Tenprint'!B55="", "", 'CA Multi Tenprint'!B55)</f>
        <v>Command International Security Services</v>
      </c>
      <c r="H62" s="354"/>
      <c r="I62" s="354"/>
      <c r="J62" s="354"/>
      <c r="K62" s="354"/>
      <c r="L62" s="354"/>
      <c r="M62" s="355"/>
      <c r="O62" s="340" t="str">
        <f>IF('CA Multi Tenprint'!B55="", "", 'CA Multi Tenprint'!B55)</f>
        <v>Command International Security Services</v>
      </c>
      <c r="P62" s="341"/>
      <c r="Q62" s="341"/>
      <c r="R62" s="341"/>
      <c r="S62" s="341"/>
      <c r="T62" s="341"/>
      <c r="U62" s="341"/>
      <c r="V62" s="342"/>
    </row>
    <row r="63" spans="1:22" ht="18" customHeight="1" outlineLevel="1" thickBot="1" x14ac:dyDescent="0.3">
      <c r="A63" s="27" t="s">
        <v>12</v>
      </c>
      <c r="B63" s="24" t="str">
        <f>'Blank Quote'!B10</f>
        <v>6819 Sepulveda Blvd, Van Nuys, CA 91405</v>
      </c>
      <c r="C63" s="25"/>
      <c r="D63" s="25"/>
      <c r="E63" s="25"/>
      <c r="G63" s="340" t="str">
        <f>IF('CA Multi Tenprint'!B56="", "", 'CA Multi Tenprint'!B56)</f>
        <v>Amira Hossain</v>
      </c>
      <c r="H63" s="341"/>
      <c r="I63" s="341"/>
      <c r="J63" s="341"/>
      <c r="K63" s="341"/>
      <c r="L63" s="341"/>
      <c r="M63" s="342"/>
      <c r="O63" s="340" t="str">
        <f>IF('CA Multi Tenprint'!B60="", "", 'CA Multi Tenprint'!B60)</f>
        <v>Amira Hossain</v>
      </c>
      <c r="P63" s="341"/>
      <c r="Q63" s="341"/>
      <c r="R63" s="341"/>
      <c r="S63" s="341"/>
      <c r="T63" s="341"/>
      <c r="U63" s="341"/>
      <c r="V63" s="342"/>
    </row>
    <row r="64" spans="1:22" ht="18" customHeight="1" outlineLevel="1" thickBot="1" x14ac:dyDescent="0.3">
      <c r="A64" s="27" t="s">
        <v>79</v>
      </c>
      <c r="B64" s="28">
        <f>'Blank Quote'!B11</f>
        <v>0</v>
      </c>
      <c r="C64" s="25"/>
      <c r="D64" s="25"/>
      <c r="E64" s="25"/>
      <c r="G64" s="340" t="str">
        <f>IF('CA Multi Tenprint'!B57="", "", 'CA Multi Tenprint'!B57)</f>
        <v>(747) 366-0211 | manny@commandinternationalsecurity.com</v>
      </c>
      <c r="H64" s="341"/>
      <c r="I64" s="341"/>
      <c r="J64" s="341"/>
      <c r="K64" s="341"/>
      <c r="L64" s="341"/>
      <c r="M64" s="342"/>
      <c r="O64" s="340" t="str">
        <f>IF('CA Multi Tenprint'!B61="", "", 'CA Multi Tenprint'!B61)</f>
        <v>(747) 366-0211 | manny@commandinternationalsecurity.com</v>
      </c>
      <c r="P64" s="341"/>
      <c r="Q64" s="341"/>
      <c r="R64" s="341"/>
      <c r="S64" s="341"/>
      <c r="T64" s="341"/>
      <c r="U64" s="341"/>
      <c r="V64" s="342"/>
    </row>
    <row r="65" spans="1:28" ht="18" customHeight="1" outlineLevel="1" thickBot="1" x14ac:dyDescent="0.3">
      <c r="A65" s="13" t="s">
        <v>34</v>
      </c>
      <c r="B65" s="29" t="str">
        <f>'Blank Quote'!B12</f>
        <v>EC</v>
      </c>
      <c r="C65" s="25"/>
      <c r="D65" s="25"/>
      <c r="E65" s="25"/>
      <c r="G65" s="340" t="str">
        <f>IF('CA Multi Tenprint'!B58="", "", 'CA Multi Tenprint'!B58)</f>
        <v>MID-VALLEY PROFESSIONAL BUILDING</v>
      </c>
      <c r="H65" s="341"/>
      <c r="I65" s="341"/>
      <c r="J65" s="341"/>
      <c r="K65" s="341"/>
      <c r="L65" s="341"/>
      <c r="M65" s="342"/>
      <c r="O65" s="340" t="str">
        <f>IF('CA Multi Tenprint'!B62="", "", 'CA Multi Tenprint'!B62)</f>
        <v>MID-VALLEY PROFESSIONAL BUILDING</v>
      </c>
      <c r="P65" s="341"/>
      <c r="Q65" s="341"/>
      <c r="R65" s="341"/>
      <c r="S65" s="341"/>
      <c r="T65" s="341"/>
      <c r="U65" s="341"/>
      <c r="V65" s="342"/>
    </row>
    <row r="66" spans="1:28" ht="18" customHeight="1" outlineLevel="1" thickBot="1" x14ac:dyDescent="0.3">
      <c r="A66" s="13" t="s">
        <v>82</v>
      </c>
      <c r="B66" s="30" t="str">
        <f>'Blank Quote'!B13</f>
        <v>Ground</v>
      </c>
      <c r="C66" s="25"/>
      <c r="D66" s="25"/>
      <c r="E66" s="25"/>
      <c r="G66" s="295" t="str">
        <f>IF('CA Multi Tenprint'!B59="", "", 'CA Multi Tenprint'!B59)</f>
        <v>6819 Sepulveda Blvd, Van Nuys, CA 91405</v>
      </c>
      <c r="H66" s="296"/>
      <c r="I66" s="296"/>
      <c r="J66" s="296"/>
      <c r="K66" s="296"/>
      <c r="L66" s="296"/>
      <c r="M66" s="297"/>
      <c r="O66" s="295" t="str">
        <f>IF('CA Multi Tenprint'!B63="", "", 'CA Multi Tenprint'!B63)</f>
        <v>6819 Sepulveda Blvd, Van Nuys, CA 91405</v>
      </c>
      <c r="P66" s="296"/>
      <c r="Q66" s="296"/>
      <c r="R66" s="296"/>
      <c r="S66" s="296"/>
      <c r="T66" s="296"/>
      <c r="U66" s="296"/>
      <c r="V66" s="297"/>
    </row>
    <row r="67" spans="1:28" ht="5.25" customHeight="1" outlineLevel="1" thickBot="1" x14ac:dyDescent="0.3">
      <c r="B67" s="31"/>
      <c r="C67" s="25"/>
      <c r="D67" s="25"/>
      <c r="E67" s="25"/>
    </row>
    <row r="68" spans="1:28" ht="16.5" outlineLevel="1" thickBot="1" x14ac:dyDescent="0.3">
      <c r="A68" s="32" t="s">
        <v>84</v>
      </c>
      <c r="B68" s="33" t="str">
        <f>VLOOKUP(B54,'Pricing Model'!A1:J21,10)</f>
        <v>Private</v>
      </c>
      <c r="C68" s="25"/>
      <c r="D68" s="25"/>
      <c r="E68" s="25"/>
      <c r="G68" s="293" t="s">
        <v>85</v>
      </c>
      <c r="H68" s="294"/>
      <c r="I68" s="293" t="s">
        <v>86</v>
      </c>
      <c r="J68" s="361"/>
      <c r="K68" s="294"/>
      <c r="L68" s="293" t="s">
        <v>87</v>
      </c>
      <c r="M68" s="361"/>
      <c r="N68" s="294"/>
      <c r="O68" s="293" t="s">
        <v>88</v>
      </c>
      <c r="P68" s="294"/>
      <c r="Q68" s="293" t="s">
        <v>89</v>
      </c>
      <c r="R68" s="294"/>
      <c r="S68" s="298" t="s">
        <v>90</v>
      </c>
      <c r="T68" s="299"/>
      <c r="U68" s="299"/>
      <c r="V68" s="300"/>
    </row>
    <row r="69" spans="1:28" ht="15.75" outlineLevel="1" thickBot="1" x14ac:dyDescent="0.3">
      <c r="A69" s="34" t="s">
        <v>91</v>
      </c>
      <c r="B69" s="33">
        <f>VLOOKUP(B54,'Pricing Model'!A1:H21,8)</f>
        <v>0</v>
      </c>
      <c r="C69" s="25"/>
      <c r="D69" s="25"/>
      <c r="E69" s="25"/>
      <c r="G69" s="362">
        <f ca="1">TODAY()</f>
        <v>45140</v>
      </c>
      <c r="H69" s="363"/>
      <c r="I69" s="364">
        <f ca="1">NOW()</f>
        <v>45140.445939351855</v>
      </c>
      <c r="J69" s="365"/>
      <c r="K69" s="366"/>
      <c r="L69" s="301" t="str">
        <f>'CA Multi Tenprint'!B65</f>
        <v>EC</v>
      </c>
      <c r="M69" s="302"/>
      <c r="N69" s="303"/>
      <c r="O69" s="301" t="str">
        <f>VLOOKUP(B54,'Pricing Model'!A1:I21,9)</f>
        <v>Due on Rcpt</v>
      </c>
      <c r="P69" s="303"/>
      <c r="Q69" s="301" t="str">
        <f>B66</f>
        <v>Ground</v>
      </c>
      <c r="R69" s="302"/>
      <c r="S69" s="301" t="str">
        <f>IF(B69&lt;&gt;0,B69,"")</f>
        <v/>
      </c>
      <c r="T69" s="302"/>
      <c r="U69" s="302"/>
      <c r="V69" s="303"/>
    </row>
    <row r="70" spans="1:28" ht="5.25" customHeight="1" outlineLevel="1" thickBot="1" x14ac:dyDescent="0.3">
      <c r="D70" s="35"/>
    </row>
    <row r="71" spans="1:28" ht="17.25" thickTop="1" thickBot="1" x14ac:dyDescent="0.3">
      <c r="A71" s="36" t="s">
        <v>92</v>
      </c>
      <c r="B71" s="37" t="s">
        <v>93</v>
      </c>
      <c r="C71" s="38" t="s">
        <v>94</v>
      </c>
      <c r="D71" s="38" t="s">
        <v>95</v>
      </c>
      <c r="E71" s="39" t="s">
        <v>96</v>
      </c>
      <c r="G71" s="347" t="s">
        <v>92</v>
      </c>
      <c r="H71" s="348"/>
      <c r="I71" s="349" t="s">
        <v>93</v>
      </c>
      <c r="J71" s="349"/>
      <c r="K71" s="349"/>
      <c r="L71" s="349"/>
      <c r="M71" s="349"/>
      <c r="N71" s="349"/>
      <c r="O71" s="349"/>
      <c r="P71" s="349"/>
      <c r="Q71" s="97" t="s">
        <v>94</v>
      </c>
      <c r="R71" s="349" t="s">
        <v>97</v>
      </c>
      <c r="S71" s="349"/>
      <c r="T71" s="349" t="s">
        <v>98</v>
      </c>
      <c r="U71" s="349"/>
      <c r="V71" s="40" t="s">
        <v>99</v>
      </c>
      <c r="X71" s="97" t="s">
        <v>100</v>
      </c>
      <c r="Y71" s="97" t="s">
        <v>101</v>
      </c>
      <c r="Z71" s="97" t="s">
        <v>102</v>
      </c>
      <c r="AA71" s="97" t="s">
        <v>103</v>
      </c>
      <c r="AB71" s="97" t="s">
        <v>104</v>
      </c>
    </row>
    <row r="72" spans="1:28" s="1" customFormat="1" ht="30" customHeight="1" x14ac:dyDescent="0.25">
      <c r="A72" s="41" t="str">
        <f>IF(B72&lt;&gt;"",VLOOKUP(B72,'Raw BOM'!$A$3:$B$495,2,FALSE),IF(E72&lt;&gt;"","Misc",""))</f>
        <v>HW-LT-Std-Home</v>
      </c>
      <c r="B72" s="42" t="str">
        <f>IF('Blank Quote'!B19&lt;&gt;"", 'Blank Quote'!B19, "")</f>
        <v>Hardware-Laptop-Standard with Windows Home Edition</v>
      </c>
      <c r="C72" s="43">
        <f>IF('Blank Quote'!C19&lt;&gt;"", 'Blank Quote'!C19, "")</f>
        <v>1</v>
      </c>
      <c r="D72" s="44"/>
      <c r="E72" s="45" t="str">
        <f>IF('Blank Quote'!E19&lt;&gt;"", 'Blank Quote'!E19, "")</f>
        <v>Standard with Windows 11</v>
      </c>
      <c r="F72"/>
      <c r="G72" s="374" t="str">
        <f t="shared" ref="G72:G92" si="17">A72</f>
        <v>HW-LT-Std-Home</v>
      </c>
      <c r="H72" s="375"/>
      <c r="I72" s="376" t="str">
        <f t="shared" ref="I72:I89" si="18">IF(B72&lt;&gt;"", B72, "")&amp;IF(E72&lt;&gt;"", "   *** "&amp;E72, "")</f>
        <v>Hardware-Laptop-Standard with Windows Home Edition   *** Standard with Windows 11</v>
      </c>
      <c r="J72" s="376"/>
      <c r="K72" s="376" t="str">
        <f t="shared" ref="K72:K89" si="19">E72</f>
        <v>Standard with Windows 11</v>
      </c>
      <c r="L72" s="376"/>
      <c r="M72" s="376" t="str">
        <f t="shared" ref="M72:M89" si="20">G72</f>
        <v>HW-LT-Std-Home</v>
      </c>
      <c r="N72" s="376"/>
      <c r="O72" s="376" t="str">
        <f t="shared" ref="O72:O89" si="21">I72</f>
        <v>Hardware-Laptop-Standard with Windows Home Edition   *** Standard with Windows 11</v>
      </c>
      <c r="P72" s="376"/>
      <c r="Q72" s="98">
        <f t="shared" ref="Q72:Q92" si="22">IF(C72="", "", C72)</f>
        <v>1</v>
      </c>
      <c r="R72" s="319">
        <f>IF(C72="", "",IF(D72&gt;0,D72,
IF($E$54="NY Contract", VLOOKUP(B72,'Raw BOM'!$A$3:$G$495,7,FALSE),
IF($E$54="FL Contract", VLOOKUP(B72,'Raw BOM'!$A$3:$I$495,8,FALSE),
IF($E$54="LA Contract", VLOOKUP(B72,'Raw BOM'!$A$3:$K$495,9,FALSE),
IF($E$54="WA Contract", VLOOKUP(B72,'Raw BOM'!$A$3:$M$495,10,FALSE),
VLOOKUP(B72,'Raw BOM'!$A$3:$D$495,4,FALSE)))))))</f>
        <v>750</v>
      </c>
      <c r="S72" s="319" t="str">
        <f t="shared" ref="S72:S92" si="23">M72</f>
        <v>HW-LT-Std-Home</v>
      </c>
      <c r="T72" s="319">
        <f t="shared" ref="T72:T92" si="24">IF(C72="", "", Q72*R72)</f>
        <v>750</v>
      </c>
      <c r="U72" s="319" t="str">
        <f t="shared" ref="U72:U92" si="25">O72</f>
        <v>Hardware-Laptop-Standard with Windows Home Edition   *** Standard with Windows 11</v>
      </c>
      <c r="V72" s="46" t="str">
        <f>IF(C72="","", VLOOKUP(B72,'Raw BOM'!$A$3:$F$495,6,FALSE))</f>
        <v>Yes</v>
      </c>
      <c r="X72" s="47">
        <f t="shared" ref="X72:X92" si="26">IF(AND(V72="Yes", Q72&lt;&gt;0), (T72-Y72)*$B$117, 0)</f>
        <v>0</v>
      </c>
      <c r="Y72" s="198">
        <f>ROUND(
IF(AND(C72&lt;&gt;"", D72="", V72="Yes"),
     IF($E$107="Discount Based",
         R72*IF(OR(LEFT(A72,2)="HW", LEFT(A72,12)="CMS-Hardware"),
              $E$108,
              IF(AND(LEFT(A72,3)="Sys", LEFT(A72,4)&lt;&gt;"Ship"),
                   ($E$108+$E$109)/2,
                    0)),
         IF($E$107="Cost Based",
              IF(OR(LEFT(A72,2)="HW", LEFT(A72,12)="CMS-Hardware"),
                   R72-(1+$E$110)*VLOOKUP(B72,'Raw BOM'!$A$3:$E$492,5,FALSE),
              IF(AND(LEFT(A72,3)="Sys", LEFT(A72,4)&lt;&gt;"Ship"),
                   R72-(1+($E$110+$E$111)/2)*VLOOKUP(B72,'Raw BOM'!$A$3:$E$492,5,FALSE),
                   0))))),2)</f>
        <v>150</v>
      </c>
      <c r="Z72" s="47">
        <f>ROUND(
IF(AND(C72&lt;&gt;"", D72="", V72="No"),
     IF($E$107="Discount Based",
         R72*IF(AND(LEFT(A72,2)&lt;&gt;"HW", LEFT(A72,12)&lt;&gt;"CMS-Hardware",LEFT(A72,3)&lt;&gt;"Sys", LEFT(A72,4)&lt;&gt;"Ship"),
                   $E$109,0),
     IF($E$107="Cost Based",
          IF(AND(LEFT(A72,2)&lt;&gt;"HW", LEFT(A72,12)&lt;&gt;"CMS-Hardware",LEFT(A72,3)&lt;&gt;"Sys", LEFT(A72,4)&lt;&gt;"Ship"),
               R72-(1+$E$110)*VLOOKUP(B72,'Raw BOM'!$A$3:$E$492,5,FALSE),0),0)),0),2)</f>
        <v>0</v>
      </c>
      <c r="AA72" s="48">
        <f>ROUND(IF(AND(Y72&gt;0, Y72&lt;&gt;"", D72=""),Q72*Y72,0), 2)</f>
        <v>150</v>
      </c>
      <c r="AB72" s="48">
        <f>ROUND(IF(AND(Z72&lt;&gt;"",Z72&gt;0, D72=""),Q72*Z72,0),2)</f>
        <v>0</v>
      </c>
    </row>
    <row r="73" spans="1:28" s="1" customFormat="1" ht="30" customHeight="1" x14ac:dyDescent="0.25">
      <c r="A73" s="41" t="str">
        <f>IF(B73&lt;&gt;"",VLOOKUP(B73,'Raw BOM'!$A$3:$B$495,2,FALSE),IF(E73&lt;&gt;"","Misc",""))</f>
        <v>LS4G-Applicant-CA</v>
      </c>
      <c r="B73" s="42" t="str">
        <f>IF('Blank Quote'!B20&lt;&gt;"", 'Blank Quote'!B20, "")</f>
        <v>LiveScan 4th Gen Software-Applicant CA TOT Module</v>
      </c>
      <c r="C73" s="43">
        <f>IF('Blank Quote'!C20&lt;&gt;"", 'Blank Quote'!C20, "")</f>
        <v>1</v>
      </c>
      <c r="D73" s="44"/>
      <c r="E73" s="45" t="str">
        <f>IF('Blank Quote'!E20&lt;&gt;"", 'Blank Quote'!E20, "")</f>
        <v/>
      </c>
      <c r="F73"/>
      <c r="G73" s="315" t="str">
        <f t="shared" si="17"/>
        <v>LS4G-Applicant-CA</v>
      </c>
      <c r="H73" s="316"/>
      <c r="I73" s="317" t="str">
        <f t="shared" si="18"/>
        <v>LiveScan 4th Gen Software-Applicant CA TOT Module</v>
      </c>
      <c r="J73" s="317"/>
      <c r="K73" s="317" t="str">
        <f t="shared" si="19"/>
        <v/>
      </c>
      <c r="L73" s="317"/>
      <c r="M73" s="317" t="str">
        <f t="shared" si="20"/>
        <v>LS4G-Applicant-CA</v>
      </c>
      <c r="N73" s="317"/>
      <c r="O73" s="317" t="str">
        <f t="shared" si="21"/>
        <v>LiveScan 4th Gen Software-Applicant CA TOT Module</v>
      </c>
      <c r="P73" s="317"/>
      <c r="Q73" s="99">
        <f t="shared" si="22"/>
        <v>1</v>
      </c>
      <c r="R73" s="318">
        <f>IF(C73="", "",IF(D73&gt;0,D73,
IF($E$54="NY Contract", VLOOKUP(B73,'Raw BOM'!$A$3:$G$495,7,FALSE),
IF($E$54="FL Contract", VLOOKUP(B73,'Raw BOM'!$A$3:$I$495,8,FALSE),
IF($E$54="LA Contract", VLOOKUP(B73,'Raw BOM'!$A$3:$K$495,9,FALSE),
IF($E$54="WA Contract", VLOOKUP(B73,'Raw BOM'!$A$3:$M$495,10,FALSE),
VLOOKUP(B73,'Raw BOM'!$A$3:$D$495,4,FALSE)))))))</f>
        <v>1340</v>
      </c>
      <c r="S73" s="318" t="str">
        <f t="shared" si="23"/>
        <v>LS4G-Applicant-CA</v>
      </c>
      <c r="T73" s="318">
        <f t="shared" si="24"/>
        <v>1340</v>
      </c>
      <c r="U73" s="318" t="str">
        <f t="shared" si="25"/>
        <v>LiveScan 4th Gen Software-Applicant CA TOT Module</v>
      </c>
      <c r="V73" s="49" t="str">
        <f>IF(C73="","", VLOOKUP(B73,'Raw BOM'!$A$3:$F$495,6,FALSE))</f>
        <v>No</v>
      </c>
      <c r="X73" s="47">
        <f t="shared" si="26"/>
        <v>0</v>
      </c>
      <c r="Y73" s="198">
        <f>ROUND(
IF(AND(C73&lt;&gt;"", D73="", V73="Yes"),
     IF($E$107="Discount Based",
         R73*IF(OR(LEFT(A73,2)="HW", LEFT(A73,12)="CMS-Hardware"),
              $E$108,
              IF(AND(LEFT(A73,3)="Sys", LEFT(A73,4)&lt;&gt;"Ship"),
                   ($E$108+$E$109)/2,
                    0)),
         IF($E$107="Cost Based",
              IF(OR(LEFT(A73,2)="HW", LEFT(A73,12)="CMS-Hardware"),
                   R73-(1+$E$110)*VLOOKUP(B73,'Raw BOM'!$A$3:$E$492,5,FALSE),
              IF(AND(LEFT(A73,3)="Sys", LEFT(A73,4)&lt;&gt;"Ship"),
                   R73-(1+($E$110+$E$111)/2)*VLOOKUP(B73,'Raw BOM'!$A$3:$E$492,5,FALSE),
                   0))))),2)</f>
        <v>0</v>
      </c>
      <c r="Z73" s="47">
        <f>ROUND(
IF(AND(C73&lt;&gt;"", D73="", V73="No"),
     IF($E$107="Discount Based",
         R73*IF(AND(LEFT(A73,2)&lt;&gt;"HW", LEFT(A73,12)&lt;&gt;"CMS-Hardware",LEFT(A73,3)&lt;&gt;"Sys", LEFT(A73,4)&lt;&gt;"Ship"),
                   $E$109,0),
     IF($E$107="Cost Based",
          IF(AND(LEFT(A73,2)&lt;&gt;"HW", LEFT(A73,12)&lt;&gt;"CMS-Hardware",LEFT(A73,3)&lt;&gt;"Sys", LEFT(A73,4)&lt;&gt;"Ship"),
               R73-(1+$E$110)*VLOOKUP(B73,'Raw BOM'!$A$3:$E$492,5,FALSE),0),0)),0),2)</f>
        <v>589.6</v>
      </c>
      <c r="AA73" s="48">
        <f t="shared" ref="AA73:AA88" si="27">ROUND(IF(AND(Y73&gt;0, Y73&lt;&gt;"", D73=""),Q73*Y73,0), 2)</f>
        <v>0</v>
      </c>
      <c r="AB73" s="48">
        <f t="shared" ref="AB73:AB88" si="28">ROUND(IF(AND(Z73&lt;&gt;"",Z73&gt;0, D73=""),Q73*Z73,0),2)</f>
        <v>589.6</v>
      </c>
    </row>
    <row r="74" spans="1:28" s="1" customFormat="1" ht="30" customHeight="1" x14ac:dyDescent="0.25">
      <c r="A74" s="184" t="str">
        <f>IF(B74&lt;&gt;"",VLOOKUP(B74,'Raw BOM'!$A$3:$B$495,2,FALSE),IF(E74&lt;&gt;"","Misc",""))</f>
        <v>HW-Scan-200</v>
      </c>
      <c r="B74" s="185" t="s">
        <v>140</v>
      </c>
      <c r="C74" s="186">
        <f>C127</f>
        <v>1</v>
      </c>
      <c r="D74" s="187"/>
      <c r="E74" s="188"/>
      <c r="F74" s="189"/>
      <c r="G74" s="421" t="str">
        <f t="shared" si="17"/>
        <v>HW-Scan-200</v>
      </c>
      <c r="H74" s="422"/>
      <c r="I74" s="423" t="str">
        <f t="shared" si="18"/>
        <v>Hardware-Scanner-Crossmatch Guardian 200</v>
      </c>
      <c r="J74" s="423"/>
      <c r="K74" s="423">
        <f t="shared" si="19"/>
        <v>0</v>
      </c>
      <c r="L74" s="423"/>
      <c r="M74" s="423" t="str">
        <f t="shared" si="20"/>
        <v>HW-Scan-200</v>
      </c>
      <c r="N74" s="423"/>
      <c r="O74" s="423" t="str">
        <f t="shared" si="21"/>
        <v>Hardware-Scanner-Crossmatch Guardian 200</v>
      </c>
      <c r="P74" s="423"/>
      <c r="Q74" s="190">
        <f t="shared" si="22"/>
        <v>1</v>
      </c>
      <c r="R74" s="424">
        <f>IF(C74="", "",IF(D74&gt;0,D74,
IF($E$54="NY Contract", VLOOKUP(B74,'Raw BOM'!$A$3:$G$495,7,FALSE),
IF($E$54="FL Contract", VLOOKUP(B74,'Raw BOM'!$A$3:$I$495,8,FALSE),
IF($E$54="LA Contract", VLOOKUP(B74,'Raw BOM'!$A$3:$K$495,9,FALSE),
IF($E$54="WA Contract", VLOOKUP(B74,'Raw BOM'!$A$3:$M$495,10,FALSE),
VLOOKUP(B74,'Raw BOM'!$A$3:$D$495,4,FALSE)))))))</f>
        <v>3750</v>
      </c>
      <c r="S74" s="424" t="str">
        <f t="shared" si="23"/>
        <v>HW-Scan-200</v>
      </c>
      <c r="T74" s="424">
        <f t="shared" si="24"/>
        <v>3750</v>
      </c>
      <c r="U74" s="424" t="str">
        <f t="shared" si="25"/>
        <v>Hardware-Scanner-Crossmatch Guardian 200</v>
      </c>
      <c r="V74" s="191" t="str">
        <f>IF(C74="","", VLOOKUP(B74,'Raw BOM'!$A$3:$F$495,6,FALSE))</f>
        <v>Yes</v>
      </c>
      <c r="X74" s="47">
        <f t="shared" si="26"/>
        <v>0</v>
      </c>
      <c r="Y74" s="198">
        <f>ROUND(
IF(AND(C74&lt;&gt;"", D74="", V74="Yes"),
     IF($E$107="Discount Based",
         R74*IF(OR(LEFT(A74,2)="HW", LEFT(A74,12)="CMS-Hardware"),
              $E$108,
              IF(AND(LEFT(A74,3)="Sys", LEFT(A74,4)&lt;&gt;"Ship"),
                   ($E$108+$E$109)/2,
                    0)),
         IF($E$107="Cost Based",
              IF(OR(LEFT(A74,2)="HW", LEFT(A74,12)="CMS-Hardware"),
                   R74-(1+$E$110)*VLOOKUP(B74,'Raw BOM'!$A$3:$E$492,5,FALSE),
              IF(AND(LEFT(A74,3)="Sys", LEFT(A74,4)&lt;&gt;"Ship"),
                   R74-(1+($E$110+$E$111)/2)*VLOOKUP(B74,'Raw BOM'!$A$3:$E$492,5,FALSE),
                   0))))),2)</f>
        <v>750</v>
      </c>
      <c r="Z74" s="47">
        <f>ROUND(
IF(AND(C74&lt;&gt;"", D74="", V74="No"),
     IF($E$107="Discount Based",
         R74*IF(AND(LEFT(A74,2)&lt;&gt;"HW", LEFT(A74,12)&lt;&gt;"CMS-Hardware",LEFT(A74,3)&lt;&gt;"Sys", LEFT(A74,4)&lt;&gt;"Ship"),
                   $E$109,0),
     IF($E$107="Cost Based",
          IF(AND(LEFT(A74,2)&lt;&gt;"HW", LEFT(A74,12)&lt;&gt;"CMS-Hardware",LEFT(A74,3)&lt;&gt;"Sys", LEFT(A74,4)&lt;&gt;"Ship"),
               R74-(1+$E$110)*VLOOKUP(B74,'Raw BOM'!$A$3:$E$492,5,FALSE),0),0)),0),2)</f>
        <v>0</v>
      </c>
      <c r="AA74" s="48">
        <f t="shared" si="27"/>
        <v>750</v>
      </c>
      <c r="AB74" s="48">
        <f t="shared" si="28"/>
        <v>0</v>
      </c>
    </row>
    <row r="75" spans="1:28" s="1" customFormat="1" ht="30" customHeight="1" x14ac:dyDescent="0.25">
      <c r="A75" s="41" t="str">
        <f>IF(B75&lt;&gt;"",VLOOKUP(B75,'Raw BOM'!$A$3:$B$495,2,FALSE),IF(E75&lt;&gt;"","Misc",""))</f>
        <v/>
      </c>
      <c r="B75" s="42" t="str">
        <f>IF('Blank Quote'!B22&lt;&gt;"", 'Blank Quote'!B22, "")</f>
        <v/>
      </c>
      <c r="C75" s="43" t="str">
        <f>IF('Blank Quote'!C22&lt;&gt;"", 'Blank Quote'!C22, "")</f>
        <v/>
      </c>
      <c r="D75" s="44"/>
      <c r="E75" s="45" t="str">
        <f>IF('Blank Quote'!E22&lt;&gt;"", 'Blank Quote'!E22, "")</f>
        <v/>
      </c>
      <c r="F75"/>
      <c r="G75" s="315" t="str">
        <f t="shared" si="17"/>
        <v/>
      </c>
      <c r="H75" s="316"/>
      <c r="I75" s="317" t="str">
        <f t="shared" si="18"/>
        <v/>
      </c>
      <c r="J75" s="317"/>
      <c r="K75" s="317" t="str">
        <f t="shared" si="19"/>
        <v/>
      </c>
      <c r="L75" s="317"/>
      <c r="M75" s="317" t="str">
        <f t="shared" si="20"/>
        <v/>
      </c>
      <c r="N75" s="317"/>
      <c r="O75" s="317" t="str">
        <f t="shared" si="21"/>
        <v/>
      </c>
      <c r="P75" s="317"/>
      <c r="Q75" s="99" t="str">
        <f t="shared" si="22"/>
        <v/>
      </c>
      <c r="R75" s="318" t="str">
        <f>IF(C75="", "",IF(D75&gt;0,D75,
IF($E$54="NY Contract", VLOOKUP(B75,'Raw BOM'!$A$3:$G$495,7,FALSE),
IF($E$54="FL Contract", VLOOKUP(B75,'Raw BOM'!$A$3:$I$495,8,FALSE),
IF($E$54="LA Contract", VLOOKUP(B75,'Raw BOM'!$A$3:$K$495,9,FALSE),
IF($E$54="WA Contract", VLOOKUP(B75,'Raw BOM'!$A$3:$M$495,10,FALSE),
VLOOKUP(B75,'Raw BOM'!$A$3:$D$495,4,FALSE)))))))</f>
        <v/>
      </c>
      <c r="S75" s="318" t="str">
        <f t="shared" si="23"/>
        <v/>
      </c>
      <c r="T75" s="318" t="str">
        <f t="shared" si="24"/>
        <v/>
      </c>
      <c r="U75" s="318" t="str">
        <f t="shared" si="25"/>
        <v/>
      </c>
      <c r="V75" s="49" t="str">
        <f>IF(C75="","", VLOOKUP(B75,'Raw BOM'!$A$3:$F$495,6,FALSE))</f>
        <v/>
      </c>
      <c r="X75" s="47">
        <f t="shared" si="26"/>
        <v>0</v>
      </c>
      <c r="Y75" s="198">
        <f>ROUND(
IF(AND(C75&lt;&gt;"", D75="", V75="Yes"),
     IF($E$107="Discount Based",
         R75*IF(OR(LEFT(A75,2)="HW", LEFT(A75,12)="CMS-Hardware"),
              $E$108,
              IF(AND(LEFT(A75,3)="Sys", LEFT(A75,4)&lt;&gt;"Ship"),
                   ($E$108+$E$109)/2,
                    0)),
         IF($E$107="Cost Based",
              IF(OR(LEFT(A75,2)="HW", LEFT(A75,12)="CMS-Hardware"),
                   R75-(1+$E$110)*VLOOKUP(B75,'Raw BOM'!$A$3:$E$492,5,FALSE),
              IF(AND(LEFT(A75,3)="Sys", LEFT(A75,4)&lt;&gt;"Ship"),
                   R75-(1+($E$110+$E$111)/2)*VLOOKUP(B75,'Raw BOM'!$A$3:$E$492,5,FALSE),
                   0))))),2)</f>
        <v>0</v>
      </c>
      <c r="Z75" s="47">
        <f>ROUND(
IF(AND(C75&lt;&gt;"", D75="", V75="No"),
     IF($E$107="Discount Based",
         R75*IF(AND(LEFT(A75,2)&lt;&gt;"HW", LEFT(A75,12)&lt;&gt;"CMS-Hardware",LEFT(A75,3)&lt;&gt;"Sys", LEFT(A75,4)&lt;&gt;"Ship"),
                   $E$109,0),
     IF($E$107="Cost Based",
          IF(AND(LEFT(A75,2)&lt;&gt;"HW", LEFT(A75,12)&lt;&gt;"CMS-Hardware",LEFT(A75,3)&lt;&gt;"Sys", LEFT(A75,4)&lt;&gt;"Ship"),
               R75-(1+$E$110)*VLOOKUP(B75,'Raw BOM'!$A$3:$E$492,5,FALSE),0),0)),0),2)</f>
        <v>0</v>
      </c>
      <c r="AA75" s="48">
        <f t="shared" si="27"/>
        <v>0</v>
      </c>
      <c r="AB75" s="48">
        <f t="shared" si="28"/>
        <v>0</v>
      </c>
    </row>
    <row r="76" spans="1:28" s="1" customFormat="1" ht="30" customHeight="1" x14ac:dyDescent="0.25">
      <c r="A76" s="41" t="str">
        <f>IF(B76&lt;&gt;"",VLOOKUP(B76,'Raw BOM'!$A$3:$B$495,2,FALSE),IF(E76&lt;&gt;"","Misc",""))</f>
        <v>HW-Magtrip</v>
      </c>
      <c r="B76" s="42" t="str">
        <f>IF('Blank Quote'!B23&lt;&gt;"", 'Blank Quote'!B23, "")</f>
        <v>Hardware-Magnetic Strip Reader</v>
      </c>
      <c r="C76" s="43">
        <f>IF('Blank Quote'!C23&lt;&gt;"", 'Blank Quote'!C23, "")</f>
        <v>1</v>
      </c>
      <c r="D76" s="44"/>
      <c r="E76" s="45" t="str">
        <f>IF('Blank Quote'!E23&lt;&gt;"", 'Blank Quote'!E23, "")</f>
        <v>Auto populate personal information with a swipe of a driver's license from anywhere on the screen</v>
      </c>
      <c r="F76"/>
      <c r="G76" s="315" t="str">
        <f t="shared" si="17"/>
        <v>HW-Magtrip</v>
      </c>
      <c r="H76" s="316"/>
      <c r="I76" s="317" t="str">
        <f t="shared" si="18"/>
        <v>Hardware-Magnetic Strip Reader   *** Auto populate personal information with a swipe of a driver's license from anywhere on the screen</v>
      </c>
      <c r="J76" s="317"/>
      <c r="K76" s="317" t="str">
        <f t="shared" si="19"/>
        <v>Auto populate personal information with a swipe of a driver's license from anywhere on the screen</v>
      </c>
      <c r="L76" s="317"/>
      <c r="M76" s="317" t="str">
        <f t="shared" si="20"/>
        <v>HW-Magtrip</v>
      </c>
      <c r="N76" s="317"/>
      <c r="O76" s="317" t="str">
        <f t="shared" si="21"/>
        <v>Hardware-Magnetic Strip Reader   *** Auto populate personal information with a swipe of a driver's license from anywhere on the screen</v>
      </c>
      <c r="P76" s="317"/>
      <c r="Q76" s="99">
        <f t="shared" si="22"/>
        <v>1</v>
      </c>
      <c r="R76" s="318">
        <f>IF(C76="", "",IF(D76&gt;0,D76,
IF($E$54="NY Contract", VLOOKUP(B76,'Raw BOM'!$A$3:$G$495,7,FALSE),
IF($E$54="FL Contract", VLOOKUP(B76,'Raw BOM'!$A$3:$I$495,8,FALSE),
IF($E$54="LA Contract", VLOOKUP(B76,'Raw BOM'!$A$3:$K$495,9,FALSE),
IF($E$54="WA Contract", VLOOKUP(B76,'Raw BOM'!$A$3:$M$495,10,FALSE),
VLOOKUP(B76,'Raw BOM'!$A$3:$D$495,4,FALSE)))))))</f>
        <v>130</v>
      </c>
      <c r="S76" s="318" t="str">
        <f t="shared" si="23"/>
        <v>HW-Magtrip</v>
      </c>
      <c r="T76" s="318">
        <f t="shared" si="24"/>
        <v>130</v>
      </c>
      <c r="U76" s="318" t="str">
        <f t="shared" si="25"/>
        <v>Hardware-Magnetic Strip Reader   *** Auto populate personal information with a swipe of a driver's license from anywhere on the screen</v>
      </c>
      <c r="V76" s="49" t="str">
        <f>IF(C76="","", VLOOKUP(B76,'Raw BOM'!$A$3:$F$495,6,FALSE))</f>
        <v>Yes</v>
      </c>
      <c r="X76" s="47">
        <f t="shared" si="26"/>
        <v>0</v>
      </c>
      <c r="Y76" s="198">
        <f>ROUND(
IF(AND(C76&lt;&gt;"", D76="", V76="Yes"),
     IF($E$107="Discount Based",
         R76*IF(OR(LEFT(A76,2)="HW", LEFT(A76,12)="CMS-Hardware"),
              $E$108,
              IF(AND(LEFT(A76,3)="Sys", LEFT(A76,4)&lt;&gt;"Ship"),
                   ($E$108+$E$109)/2,
                    0)),
         IF($E$107="Cost Based",
              IF(OR(LEFT(A76,2)="HW", LEFT(A76,12)="CMS-Hardware"),
                   R76-(1+$E$110)*VLOOKUP(B76,'Raw BOM'!$A$3:$E$492,5,FALSE),
              IF(AND(LEFT(A76,3)="Sys", LEFT(A76,4)&lt;&gt;"Ship"),
                   R76-(1+($E$110+$E$111)/2)*VLOOKUP(B76,'Raw BOM'!$A$3:$E$492,5,FALSE),
                   0))))),2)</f>
        <v>26</v>
      </c>
      <c r="Z76" s="47">
        <f>ROUND(
IF(AND(C76&lt;&gt;"", D76="", V76="No"),
     IF($E$107="Discount Based",
         R76*IF(AND(LEFT(A76,2)&lt;&gt;"HW", LEFT(A76,12)&lt;&gt;"CMS-Hardware",LEFT(A76,3)&lt;&gt;"Sys", LEFT(A76,4)&lt;&gt;"Ship"),
                   $E$109,0),
     IF($E$107="Cost Based",
          IF(AND(LEFT(A76,2)&lt;&gt;"HW", LEFT(A76,12)&lt;&gt;"CMS-Hardware",LEFT(A76,3)&lt;&gt;"Sys", LEFT(A76,4)&lt;&gt;"Ship"),
               R76-(1+$E$110)*VLOOKUP(B76,'Raw BOM'!$A$3:$E$492,5,FALSE),0),0)),0),2)</f>
        <v>0</v>
      </c>
      <c r="AA76" s="48">
        <f t="shared" si="27"/>
        <v>26</v>
      </c>
      <c r="AB76" s="48">
        <f t="shared" si="28"/>
        <v>0</v>
      </c>
    </row>
    <row r="77" spans="1:28" s="1" customFormat="1" ht="30" customHeight="1" x14ac:dyDescent="0.25">
      <c r="A77" s="41" t="str">
        <f>IF(B77&lt;&gt;"",VLOOKUP(B77,'Raw BOM'!$A$3:$B$495,2,FALSE),IF(E77&lt;&gt;"","Misc",""))</f>
        <v>LS4G-IDCard</v>
      </c>
      <c r="B77" s="42" t="str">
        <f>IF('Blank Quote'!B24&lt;&gt;"", 'Blank Quote'!B24, "")</f>
        <v>LiveScan 4th Gen Software-Driver License and ID Reading software</v>
      </c>
      <c r="C77" s="43">
        <f>IF('Blank Quote'!C24&lt;&gt;"", 'Blank Quote'!C24, "")</f>
        <v>1</v>
      </c>
      <c r="D77" s="44"/>
      <c r="E77" s="45" t="str">
        <f>IF('Blank Quote'!E24&lt;&gt;"", 'Blank Quote'!E24, "")</f>
        <v/>
      </c>
      <c r="F77"/>
      <c r="G77" s="315" t="str">
        <f t="shared" si="17"/>
        <v>LS4G-IDCard</v>
      </c>
      <c r="H77" s="316"/>
      <c r="I77" s="317" t="str">
        <f t="shared" si="18"/>
        <v>LiveScan 4th Gen Software-Driver License and ID Reading software</v>
      </c>
      <c r="J77" s="317"/>
      <c r="K77" s="317" t="str">
        <f t="shared" si="19"/>
        <v/>
      </c>
      <c r="L77" s="317"/>
      <c r="M77" s="317" t="str">
        <f t="shared" si="20"/>
        <v>LS4G-IDCard</v>
      </c>
      <c r="N77" s="317"/>
      <c r="O77" s="317" t="str">
        <f t="shared" si="21"/>
        <v>LiveScan 4th Gen Software-Driver License and ID Reading software</v>
      </c>
      <c r="P77" s="317"/>
      <c r="Q77" s="99">
        <f t="shared" si="22"/>
        <v>1</v>
      </c>
      <c r="R77" s="318">
        <f>IF(C77="", "",IF(D77&gt;0,D77,
IF($E$54="NY Contract", VLOOKUP(B77,'Raw BOM'!$A$3:$G$495,7,FALSE),
IF($E$54="FL Contract", VLOOKUP(B77,'Raw BOM'!$A$3:$I$495,8,FALSE),
IF($E$54="LA Contract", VLOOKUP(B77,'Raw BOM'!$A$3:$K$495,9,FALSE),
IF($E$54="WA Contract", VLOOKUP(B77,'Raw BOM'!$A$3:$M$495,10,FALSE),
VLOOKUP(B77,'Raw BOM'!$A$3:$D$495,4,FALSE)))))))</f>
        <v>340</v>
      </c>
      <c r="S77" s="318" t="str">
        <f t="shared" si="23"/>
        <v>LS4G-IDCard</v>
      </c>
      <c r="T77" s="318">
        <f t="shared" si="24"/>
        <v>340</v>
      </c>
      <c r="U77" s="318" t="str">
        <f t="shared" si="25"/>
        <v>LiveScan 4th Gen Software-Driver License and ID Reading software</v>
      </c>
      <c r="V77" s="49" t="str">
        <f>IF(C77="","", VLOOKUP(B77,'Raw BOM'!$A$3:$F$495,6,FALSE))</f>
        <v>No</v>
      </c>
      <c r="X77" s="47">
        <f t="shared" si="26"/>
        <v>0</v>
      </c>
      <c r="Y77" s="198">
        <f>ROUND(
IF(AND(C77&lt;&gt;"", D77="", V77="Yes"),
     IF($E$107="Discount Based",
         R77*IF(OR(LEFT(A77,2)="HW", LEFT(A77,12)="CMS-Hardware"),
              $E$108,
              IF(AND(LEFT(A77,3)="Sys", LEFT(A77,4)&lt;&gt;"Ship"),
                   ($E$108+$E$109)/2,
                    0)),
         IF($E$107="Cost Based",
              IF(OR(LEFT(A77,2)="HW", LEFT(A77,12)="CMS-Hardware"),
                   R77-(1+$E$110)*VLOOKUP(B77,'Raw BOM'!$A$3:$E$492,5,FALSE),
              IF(AND(LEFT(A77,3)="Sys", LEFT(A77,4)&lt;&gt;"Ship"),
                   R77-(1+($E$110+$E$111)/2)*VLOOKUP(B77,'Raw BOM'!$A$3:$E$492,5,FALSE),
                   0))))),2)</f>
        <v>0</v>
      </c>
      <c r="Z77" s="47">
        <f>ROUND(
IF(AND(C77&lt;&gt;"", D77="", V77="No"),
     IF($E$107="Discount Based",
         R77*IF(AND(LEFT(A77,2)&lt;&gt;"HW", LEFT(A77,12)&lt;&gt;"CMS-Hardware",LEFT(A77,3)&lt;&gt;"Sys", LEFT(A77,4)&lt;&gt;"Ship"),
                   $E$109,0),
     IF($E$107="Cost Based",
          IF(AND(LEFT(A77,2)&lt;&gt;"HW", LEFT(A77,12)&lt;&gt;"CMS-Hardware",LEFT(A77,3)&lt;&gt;"Sys", LEFT(A77,4)&lt;&gt;"Ship"),
               R77-(1+$E$110)*VLOOKUP(B77,'Raw BOM'!$A$3:$E$492,5,FALSE),0),0)),0),2)</f>
        <v>149.6</v>
      </c>
      <c r="AA77" s="48">
        <f t="shared" si="27"/>
        <v>0</v>
      </c>
      <c r="AB77" s="48">
        <f t="shared" si="28"/>
        <v>149.6</v>
      </c>
    </row>
    <row r="78" spans="1:28" s="1" customFormat="1" ht="30" customHeight="1" x14ac:dyDescent="0.25">
      <c r="A78" s="41" t="str">
        <f>IF(B78&lt;&gt;"",VLOOKUP(B78,'Raw BOM'!$A$3:$B$495,2,FALSE),IF(E78&lt;&gt;"","Misc",""))</f>
        <v/>
      </c>
      <c r="B78" s="42" t="str">
        <f>IF('Blank Quote'!B25&lt;&gt;"", 'Blank Quote'!B25, "")</f>
        <v/>
      </c>
      <c r="C78" s="43" t="str">
        <f>IF('Blank Quote'!C25&lt;&gt;"", 'Blank Quote'!C25, "")</f>
        <v/>
      </c>
      <c r="D78" s="44"/>
      <c r="E78" s="45" t="str">
        <f>IF('Blank Quote'!E25&lt;&gt;"", 'Blank Quote'!E25, "")</f>
        <v/>
      </c>
      <c r="F78"/>
      <c r="G78" s="315" t="str">
        <f t="shared" si="17"/>
        <v/>
      </c>
      <c r="H78" s="316"/>
      <c r="I78" s="317" t="str">
        <f t="shared" si="18"/>
        <v/>
      </c>
      <c r="J78" s="317"/>
      <c r="K78" s="317" t="str">
        <f t="shared" si="19"/>
        <v/>
      </c>
      <c r="L78" s="317"/>
      <c r="M78" s="317" t="str">
        <f t="shared" si="20"/>
        <v/>
      </c>
      <c r="N78" s="317"/>
      <c r="O78" s="317" t="str">
        <f t="shared" si="21"/>
        <v/>
      </c>
      <c r="P78" s="317"/>
      <c r="Q78" s="99" t="str">
        <f t="shared" si="22"/>
        <v/>
      </c>
      <c r="R78" s="318" t="str">
        <f>IF(C78="", "",IF(D78&gt;0,D78,
IF($E$54="NY Contract", VLOOKUP(B78,'Raw BOM'!$A$3:$G$495,7,FALSE),
IF($E$54="FL Contract", VLOOKUP(B78,'Raw BOM'!$A$3:$I$495,8,FALSE),
IF($E$54="LA Contract", VLOOKUP(B78,'Raw BOM'!$A$3:$K$495,9,FALSE),
IF($E$54="WA Contract", VLOOKUP(B78,'Raw BOM'!$A$3:$M$495,10,FALSE),
VLOOKUP(B78,'Raw BOM'!$A$3:$D$495,4,FALSE)))))))</f>
        <v/>
      </c>
      <c r="S78" s="318" t="str">
        <f t="shared" si="23"/>
        <v/>
      </c>
      <c r="T78" s="318" t="str">
        <f t="shared" si="24"/>
        <v/>
      </c>
      <c r="U78" s="318" t="str">
        <f t="shared" si="25"/>
        <v/>
      </c>
      <c r="V78" s="49" t="str">
        <f>IF(C78="","", VLOOKUP(B78,'Raw BOM'!$A$3:$F$495,6,FALSE))</f>
        <v/>
      </c>
      <c r="X78" s="47">
        <f t="shared" si="26"/>
        <v>0</v>
      </c>
      <c r="Y78" s="198">
        <f>ROUND(
IF(AND(C78&lt;&gt;"", D78="", V78="Yes"),
     IF($E$107="Discount Based",
         R78*IF(OR(LEFT(A78,2)="HW", LEFT(A78,12)="CMS-Hardware"),
              $E$108,
              IF(AND(LEFT(A78,3)="Sys", LEFT(A78,4)&lt;&gt;"Ship"),
                   ($E$108+$E$109)/2,
                    0)),
         IF($E$107="Cost Based",
              IF(OR(LEFT(A78,2)="HW", LEFT(A78,12)="CMS-Hardware"),
                   R78-(1+$E$110)*VLOOKUP(B78,'Raw BOM'!$A$3:$E$492,5,FALSE),
              IF(AND(LEFT(A78,3)="Sys", LEFT(A78,4)&lt;&gt;"Ship"),
                   R78-(1+($E$110+$E$111)/2)*VLOOKUP(B78,'Raw BOM'!$A$3:$E$492,5,FALSE),
                   0))))),2)</f>
        <v>0</v>
      </c>
      <c r="Z78" s="47">
        <f>ROUND(
IF(AND(C78&lt;&gt;"", D78="", V78="No"),
     IF($E$107="Discount Based",
         R78*IF(AND(LEFT(A78,2)&lt;&gt;"HW", LEFT(A78,12)&lt;&gt;"CMS-Hardware",LEFT(A78,3)&lt;&gt;"Sys", LEFT(A78,4)&lt;&gt;"Ship"),
                   $E$109,0),
     IF($E$107="Cost Based",
          IF(AND(LEFT(A78,2)&lt;&gt;"HW", LEFT(A78,12)&lt;&gt;"CMS-Hardware",LEFT(A78,3)&lt;&gt;"Sys", LEFT(A78,4)&lt;&gt;"Ship"),
               R78-(1+$E$110)*VLOOKUP(B78,'Raw BOM'!$A$3:$E$492,5,FALSE),0),0)),0),2)</f>
        <v>0</v>
      </c>
      <c r="AA78" s="48">
        <f t="shared" si="27"/>
        <v>0</v>
      </c>
      <c r="AB78" s="48">
        <f t="shared" si="28"/>
        <v>0</v>
      </c>
    </row>
    <row r="79" spans="1:28" s="1" customFormat="1" ht="30" customHeight="1" x14ac:dyDescent="0.25">
      <c r="A79" s="41" t="str">
        <f>IF(B79&lt;&gt;"",VLOOKUP(B79,'Raw BOM'!$A$3:$B$495,2,FALSE),IF(E79&lt;&gt;"","Misc",""))</f>
        <v>Svcs-Cfg-CAPSP</v>
      </c>
      <c r="B79" s="42" t="str">
        <f>IF('Blank Quote'!B26&lt;&gt;"", 'Blank Quote'!B26, "")</f>
        <v>Services-Configuration-CA PSP Setup</v>
      </c>
      <c r="C79" s="43">
        <f>IF('Blank Quote'!C26&lt;&gt;"", 'Blank Quote'!C26, "")</f>
        <v>1</v>
      </c>
      <c r="D79" s="44"/>
      <c r="E79" s="45" t="str">
        <f>IF('Blank Quote'!E26&lt;&gt;"", 'Blank Quote'!E26, "")</f>
        <v>Pick ONE of the following capture methods at the time of capture (TWO DIFFERENT BUTTONS on the screen):</v>
      </c>
      <c r="F79"/>
      <c r="G79" s="315" t="str">
        <f t="shared" si="17"/>
        <v>Svcs-Cfg-CAPSP</v>
      </c>
      <c r="H79" s="316"/>
      <c r="I79" s="317" t="str">
        <f t="shared" si="18"/>
        <v>Services-Configuration-CA PSP Setup   *** Pick ONE of the following capture methods at the time of capture (TWO DIFFERENT BUTTONS on the screen):</v>
      </c>
      <c r="J79" s="317"/>
      <c r="K79" s="317" t="str">
        <f t="shared" si="19"/>
        <v>Pick ONE of the following capture methods at the time of capture (TWO DIFFERENT BUTTONS on the screen):</v>
      </c>
      <c r="L79" s="317"/>
      <c r="M79" s="317" t="str">
        <f t="shared" si="20"/>
        <v>Svcs-Cfg-CAPSP</v>
      </c>
      <c r="N79" s="317"/>
      <c r="O79" s="317" t="str">
        <f t="shared" si="21"/>
        <v>Services-Configuration-CA PSP Setup   *** Pick ONE of the following capture methods at the time of capture (TWO DIFFERENT BUTTONS on the screen):</v>
      </c>
      <c r="P79" s="317"/>
      <c r="Q79" s="99">
        <f t="shared" si="22"/>
        <v>1</v>
      </c>
      <c r="R79" s="318">
        <f>IF(C79="", "",IF(D79&gt;0,D79,
IF($E$54="NY Contract", VLOOKUP(B79,'Raw BOM'!$A$3:$G$495,7,FALSE),
IF($E$54="FL Contract", VLOOKUP(B79,'Raw BOM'!$A$3:$I$495,8,FALSE),
IF($E$54="LA Contract", VLOOKUP(B79,'Raw BOM'!$A$3:$K$495,9,FALSE),
IF($E$54="WA Contract", VLOOKUP(B79,'Raw BOM'!$A$3:$M$495,10,FALSE),
VLOOKUP(B79,'Raw BOM'!$A$3:$D$495,4,FALSE)))))))</f>
        <v>500</v>
      </c>
      <c r="S79" s="318" t="str">
        <f t="shared" si="23"/>
        <v>Svcs-Cfg-CAPSP</v>
      </c>
      <c r="T79" s="318">
        <f t="shared" si="24"/>
        <v>500</v>
      </c>
      <c r="U79" s="318" t="str">
        <f t="shared" si="25"/>
        <v>Services-Configuration-CA PSP Setup   *** Pick ONE of the following capture methods at the time of capture (TWO DIFFERENT BUTTONS on the screen):</v>
      </c>
      <c r="V79" s="49" t="str">
        <f>IF(C79="","", VLOOKUP(B79,'Raw BOM'!$A$3:$F$495,6,FALSE))</f>
        <v>No</v>
      </c>
      <c r="X79" s="47">
        <f t="shared" si="26"/>
        <v>0</v>
      </c>
      <c r="Y79" s="198">
        <f>ROUND(
IF(AND(C79&lt;&gt;"", D79="", V79="Yes"),
     IF($E$107="Discount Based",
         R79*IF(OR(LEFT(A79,2)="HW", LEFT(A79,12)="CMS-Hardware"),
              $E$108,
              IF(AND(LEFT(A79,3)="Sys", LEFT(A79,4)&lt;&gt;"Ship"),
                   ($E$108+$E$109)/2,
                    0)),
         IF($E$107="Cost Based",
              IF(OR(LEFT(A79,2)="HW", LEFT(A79,12)="CMS-Hardware"),
                   R79-(1+$E$110)*VLOOKUP(B79,'Raw BOM'!$A$3:$E$492,5,FALSE),
              IF(AND(LEFT(A79,3)="Sys", LEFT(A79,4)&lt;&gt;"Ship"),
                   R79-(1+($E$110+$E$111)/2)*VLOOKUP(B79,'Raw BOM'!$A$3:$E$492,5,FALSE),
                   0))))),2)</f>
        <v>0</v>
      </c>
      <c r="Z79" s="47">
        <f>ROUND(
IF(AND(C79&lt;&gt;"", D79="", V79="No"),
     IF($E$107="Discount Based",
         R79*IF(AND(LEFT(A79,2)&lt;&gt;"HW", LEFT(A79,12)&lt;&gt;"CMS-Hardware",LEFT(A79,3)&lt;&gt;"Sys", LEFT(A79,4)&lt;&gt;"Ship"),
                   $E$109,0),
     IF($E$107="Cost Based",
          IF(AND(LEFT(A79,2)&lt;&gt;"HW", LEFT(A79,12)&lt;&gt;"CMS-Hardware",LEFT(A79,3)&lt;&gt;"Sys", LEFT(A79,4)&lt;&gt;"Ship"),
               R79-(1+$E$110)*VLOOKUP(B79,'Raw BOM'!$A$3:$E$492,5,FALSE),0),0)),0),2)</f>
        <v>220</v>
      </c>
      <c r="AA79" s="48">
        <f t="shared" si="27"/>
        <v>0</v>
      </c>
      <c r="AB79" s="48">
        <f t="shared" si="28"/>
        <v>220</v>
      </c>
    </row>
    <row r="80" spans="1:28" s="1" customFormat="1" ht="30" customHeight="1" x14ac:dyDescent="0.25">
      <c r="A80" s="41" t="str">
        <f>IF(B80&lt;&gt;"",VLOOKUP(B80,'Raw BOM'!$A$3:$B$495,2,FALSE),IF(E80&lt;&gt;"","Misc",""))</f>
        <v>Misc</v>
      </c>
      <c r="B80" s="42" t="str">
        <f>IF('Blank Quote'!B27&lt;&gt;"", 'Blank Quote'!B27, "")</f>
        <v/>
      </c>
      <c r="C80" s="43" t="str">
        <f>IF('Blank Quote'!C27&lt;&gt;"", 'Blank Quote'!C27, "")</f>
        <v/>
      </c>
      <c r="D80" s="44"/>
      <c r="E80" s="45" t="str">
        <f>IF('Blank Quote'!E27&lt;&gt;"", 'Blank Quote'!E27, "")</f>
        <v>Transaction Fee - Traditional FLATS and ROLLS Method (1 to 10 minutes method): $0.75 per transaction with $150 per monthly cap</v>
      </c>
      <c r="F80"/>
      <c r="G80" s="315" t="str">
        <f t="shared" si="17"/>
        <v>Misc</v>
      </c>
      <c r="H80" s="316"/>
      <c r="I80" s="317" t="str">
        <f t="shared" si="18"/>
        <v xml:space="preserve">   *** Transaction Fee - Traditional FLATS and ROLLS Method (1 to 10 minutes method): $0.75 per transaction with $150 per monthly cap</v>
      </c>
      <c r="J80" s="317"/>
      <c r="K80" s="317" t="str">
        <f t="shared" si="19"/>
        <v>Transaction Fee - Traditional FLATS and ROLLS Method (1 to 10 minutes method): $0.75 per transaction with $150 per monthly cap</v>
      </c>
      <c r="L80" s="317"/>
      <c r="M80" s="317" t="str">
        <f t="shared" si="20"/>
        <v>Misc</v>
      </c>
      <c r="N80" s="317"/>
      <c r="O80" s="317" t="str">
        <f t="shared" si="21"/>
        <v xml:space="preserve">   *** Transaction Fee - Traditional FLATS and ROLLS Method (1 to 10 minutes method): $0.75 per transaction with $150 per monthly cap</v>
      </c>
      <c r="P80" s="317"/>
      <c r="Q80" s="99" t="str">
        <f t="shared" si="22"/>
        <v/>
      </c>
      <c r="R80" s="318" t="str">
        <f>IF(C80="", "",IF(D80&gt;0,D80,
IF($E$54="NY Contract", VLOOKUP(B80,'Raw BOM'!$A$3:$G$495,7,FALSE),
IF($E$54="FL Contract", VLOOKUP(B80,'Raw BOM'!$A$3:$I$495,8,FALSE),
IF($E$54="LA Contract", VLOOKUP(B80,'Raw BOM'!$A$3:$K$495,9,FALSE),
IF($E$54="WA Contract", VLOOKUP(B80,'Raw BOM'!$A$3:$M$495,10,FALSE),
VLOOKUP(B80,'Raw BOM'!$A$3:$D$495,4,FALSE)))))))</f>
        <v/>
      </c>
      <c r="S80" s="318" t="str">
        <f t="shared" si="23"/>
        <v>Misc</v>
      </c>
      <c r="T80" s="318" t="str">
        <f t="shared" si="24"/>
        <v/>
      </c>
      <c r="U80" s="318" t="str">
        <f t="shared" si="25"/>
        <v xml:space="preserve">   *** Transaction Fee - Traditional FLATS and ROLLS Method (1 to 10 minutes method): $0.75 per transaction with $150 per monthly cap</v>
      </c>
      <c r="V80" s="49" t="str">
        <f>IF(C80="","", VLOOKUP(B80,'Raw BOM'!$A$3:$F$495,6,FALSE))</f>
        <v/>
      </c>
      <c r="X80" s="47">
        <f t="shared" si="26"/>
        <v>0</v>
      </c>
      <c r="Y80" s="198">
        <f>ROUND(
IF(AND(C80&lt;&gt;"", D80="", V80="Yes"),
     IF($E$107="Discount Based",
         R80*IF(OR(LEFT(A80,2)="HW", LEFT(A80,12)="CMS-Hardware"),
              $E$108,
              IF(AND(LEFT(A80,3)="Sys", LEFT(A80,4)&lt;&gt;"Ship"),
                   ($E$108+$E$109)/2,
                    0)),
         IF($E$107="Cost Based",
              IF(OR(LEFT(A80,2)="HW", LEFT(A80,12)="CMS-Hardware"),
                   R80-(1+$E$110)*VLOOKUP(B80,'Raw BOM'!$A$3:$E$492,5,FALSE),
              IF(AND(LEFT(A80,3)="Sys", LEFT(A80,4)&lt;&gt;"Ship"),
                   R80-(1+($E$110+$E$111)/2)*VLOOKUP(B80,'Raw BOM'!$A$3:$E$492,5,FALSE),
                   0))))),2)</f>
        <v>0</v>
      </c>
      <c r="Z80" s="47">
        <f>ROUND(
IF(AND(C80&lt;&gt;"", D80="", V80="No"),
     IF($E$107="Discount Based",
         R80*IF(AND(LEFT(A80,2)&lt;&gt;"HW", LEFT(A80,12)&lt;&gt;"CMS-Hardware",LEFT(A80,3)&lt;&gt;"Sys", LEFT(A80,4)&lt;&gt;"Ship"),
                   $E$109,0),
     IF($E$107="Cost Based",
          IF(AND(LEFT(A80,2)&lt;&gt;"HW", LEFT(A80,12)&lt;&gt;"CMS-Hardware",LEFT(A80,3)&lt;&gt;"Sys", LEFT(A80,4)&lt;&gt;"Ship"),
               R80-(1+$E$110)*VLOOKUP(B80,'Raw BOM'!$A$3:$E$492,5,FALSE),0),0)),0),2)</f>
        <v>0</v>
      </c>
      <c r="AA80" s="48">
        <f t="shared" si="27"/>
        <v>0</v>
      </c>
      <c r="AB80" s="48">
        <f t="shared" si="28"/>
        <v>0</v>
      </c>
    </row>
    <row r="81" spans="1:28" s="1" customFormat="1" ht="30" customHeight="1" x14ac:dyDescent="0.25">
      <c r="A81" s="41" t="str">
        <f>IF(B81&lt;&gt;"",VLOOKUP(B81,'Raw BOM'!$A$3:$B$495,2,FALSE),IF(E81&lt;&gt;"","Misc",""))</f>
        <v>Misc</v>
      </c>
      <c r="B81" s="42" t="str">
        <f>IF('Blank Quote'!B28&lt;&gt;"", 'Blank Quote'!B28, "")</f>
        <v/>
      </c>
      <c r="C81" s="43" t="str">
        <f>IF('Blank Quote'!C28&lt;&gt;"", 'Blank Quote'!C28, "")</f>
        <v/>
      </c>
      <c r="D81" s="44"/>
      <c r="E81" s="45" t="str">
        <f>IF('Blank Quote'!E28&lt;&gt;"", 'Blank Quote'!E28, "")</f>
        <v>Transaction Fee - NEW FLATS ONLY Method (10 to 15 second fingerprinting): $4.00 per transaction with no cap ($2.80 per trans for 501(c)(3) organizations)</v>
      </c>
      <c r="F81"/>
      <c r="G81" s="315" t="str">
        <f t="shared" si="17"/>
        <v>Misc</v>
      </c>
      <c r="H81" s="316"/>
      <c r="I81" s="317" t="str">
        <f t="shared" si="18"/>
        <v xml:space="preserve">   *** Transaction Fee - NEW FLATS ONLY Method (10 to 15 second fingerprinting): $4.00 per transaction with no cap ($2.80 per trans for 501(c)(3) organizations)</v>
      </c>
      <c r="J81" s="317"/>
      <c r="K81" s="317" t="str">
        <f t="shared" si="19"/>
        <v>Transaction Fee - NEW FLATS ONLY Method (10 to 15 second fingerprinting): $4.00 per transaction with no cap ($2.80 per trans for 501(c)(3) organizations)</v>
      </c>
      <c r="L81" s="317"/>
      <c r="M81" s="317" t="str">
        <f t="shared" si="20"/>
        <v>Misc</v>
      </c>
      <c r="N81" s="317"/>
      <c r="O81" s="317" t="str">
        <f t="shared" si="21"/>
        <v xml:space="preserve">   *** Transaction Fee - NEW FLATS ONLY Method (10 to 15 second fingerprinting): $4.00 per transaction with no cap ($2.80 per trans for 501(c)(3) organizations)</v>
      </c>
      <c r="P81" s="317"/>
      <c r="Q81" s="99" t="str">
        <f t="shared" si="22"/>
        <v/>
      </c>
      <c r="R81" s="318" t="str">
        <f>IF(C81="", "",IF(D81&gt;0,D81,
IF($E$54="NY Contract", VLOOKUP(B81,'Raw BOM'!$A$3:$G$495,7,FALSE),
IF($E$54="FL Contract", VLOOKUP(B81,'Raw BOM'!$A$3:$I$495,8,FALSE),
IF($E$54="LA Contract", VLOOKUP(B81,'Raw BOM'!$A$3:$K$495,9,FALSE),
IF($E$54="WA Contract", VLOOKUP(B81,'Raw BOM'!$A$3:$M$495,10,FALSE),
VLOOKUP(B81,'Raw BOM'!$A$3:$D$495,4,FALSE)))))))</f>
        <v/>
      </c>
      <c r="S81" s="318" t="str">
        <f t="shared" si="23"/>
        <v>Misc</v>
      </c>
      <c r="T81" s="318" t="str">
        <f t="shared" si="24"/>
        <v/>
      </c>
      <c r="U81" s="318" t="str">
        <f t="shared" si="25"/>
        <v xml:space="preserve">   *** Transaction Fee - NEW FLATS ONLY Method (10 to 15 second fingerprinting): $4.00 per transaction with no cap ($2.80 per trans for 501(c)(3) organizations)</v>
      </c>
      <c r="V81" s="49" t="str">
        <f>IF(C81="","", VLOOKUP(B81,'Raw BOM'!$A$3:$F$495,6,FALSE))</f>
        <v/>
      </c>
      <c r="X81" s="47">
        <f t="shared" si="26"/>
        <v>0</v>
      </c>
      <c r="Y81" s="198">
        <f>ROUND(
IF(AND(C81&lt;&gt;"", D81="", V81="Yes"),
     IF($E$107="Discount Based",
         R81*IF(OR(LEFT(A81,2)="HW", LEFT(A81,12)="CMS-Hardware"),
              $E$108,
              IF(AND(LEFT(A81,3)="Sys", LEFT(A81,4)&lt;&gt;"Ship"),
                   ($E$108+$E$109)/2,
                    0)),
         IF($E$107="Cost Based",
              IF(OR(LEFT(A81,2)="HW", LEFT(A81,12)="CMS-Hardware"),
                   R81-(1+$E$110)*VLOOKUP(B81,'Raw BOM'!$A$3:$E$492,5,FALSE),
              IF(AND(LEFT(A81,3)="Sys", LEFT(A81,4)&lt;&gt;"Ship"),
                   R81-(1+($E$110+$E$111)/2)*VLOOKUP(B81,'Raw BOM'!$A$3:$E$492,5,FALSE),
                   0))))),2)</f>
        <v>0</v>
      </c>
      <c r="Z81" s="47">
        <f>ROUND(
IF(AND(C81&lt;&gt;"", D81="", V81="No"),
     IF($E$107="Discount Based",
         R81*IF(AND(LEFT(A81,2)&lt;&gt;"HW", LEFT(A81,12)&lt;&gt;"CMS-Hardware",LEFT(A81,3)&lt;&gt;"Sys", LEFT(A81,4)&lt;&gt;"Ship"),
                   $E$109,0),
     IF($E$107="Cost Based",
          IF(AND(LEFT(A81,2)&lt;&gt;"HW", LEFT(A81,12)&lt;&gt;"CMS-Hardware",LEFT(A81,3)&lt;&gt;"Sys", LEFT(A81,4)&lt;&gt;"Ship"),
               R81-(1+$E$110)*VLOOKUP(B81,'Raw BOM'!$A$3:$E$492,5,FALSE),0),0)),0),2)</f>
        <v>0</v>
      </c>
      <c r="AA81" s="48">
        <f t="shared" si="27"/>
        <v>0</v>
      </c>
      <c r="AB81" s="48">
        <f t="shared" si="28"/>
        <v>0</v>
      </c>
    </row>
    <row r="82" spans="1:28" s="1" customFormat="1" ht="30" customHeight="1" x14ac:dyDescent="0.25">
      <c r="A82" s="41" t="str">
        <f>IF(B82&lt;&gt;"",VLOOKUP(B82,'Raw BOM'!$A$3:$B$495,2,FALSE),IF(E82&lt;&gt;"","Misc",""))</f>
        <v/>
      </c>
      <c r="B82" s="42" t="str">
        <f>IF('Blank Quote'!B29&lt;&gt;"", 'Blank Quote'!B29, "")</f>
        <v/>
      </c>
      <c r="C82" s="43" t="str">
        <f>IF('Blank Quote'!C29&lt;&gt;"", 'Blank Quote'!C29, "")</f>
        <v/>
      </c>
      <c r="D82" s="44"/>
      <c r="E82" s="45" t="str">
        <f>IF('Blank Quote'!E29&lt;&gt;"", 'Blank Quote'!E29, "")</f>
        <v/>
      </c>
      <c r="F82"/>
      <c r="G82" s="315" t="str">
        <f t="shared" si="17"/>
        <v/>
      </c>
      <c r="H82" s="316"/>
      <c r="I82" s="317" t="str">
        <f t="shared" si="18"/>
        <v/>
      </c>
      <c r="J82" s="317"/>
      <c r="K82" s="317" t="str">
        <f t="shared" si="19"/>
        <v/>
      </c>
      <c r="L82" s="317"/>
      <c r="M82" s="317" t="str">
        <f t="shared" si="20"/>
        <v/>
      </c>
      <c r="N82" s="317"/>
      <c r="O82" s="317" t="str">
        <f t="shared" si="21"/>
        <v/>
      </c>
      <c r="P82" s="317"/>
      <c r="Q82" s="99" t="str">
        <f t="shared" si="22"/>
        <v/>
      </c>
      <c r="R82" s="318" t="str">
        <f>IF(C82="", "",IF(D82&gt;0,D82,
IF($E$54="NY Contract", VLOOKUP(B82,'Raw BOM'!$A$3:$G$495,7,FALSE),
IF($E$54="FL Contract", VLOOKUP(B82,'Raw BOM'!$A$3:$I$495,8,FALSE),
IF($E$54="LA Contract", VLOOKUP(B82,'Raw BOM'!$A$3:$K$495,9,FALSE),
IF($E$54="WA Contract", VLOOKUP(B82,'Raw BOM'!$A$3:$M$495,10,FALSE),
VLOOKUP(B82,'Raw BOM'!$A$3:$D$495,4,FALSE)))))))</f>
        <v/>
      </c>
      <c r="S82" s="318" t="str">
        <f t="shared" si="23"/>
        <v/>
      </c>
      <c r="T82" s="318" t="str">
        <f t="shared" si="24"/>
        <v/>
      </c>
      <c r="U82" s="318" t="str">
        <f t="shared" si="25"/>
        <v/>
      </c>
      <c r="V82" s="49" t="str">
        <f>IF(C82="","", VLOOKUP(B82,'Raw BOM'!$A$3:$F$495,6,FALSE))</f>
        <v/>
      </c>
      <c r="X82" s="47">
        <f t="shared" si="26"/>
        <v>0</v>
      </c>
      <c r="Y82" s="198">
        <f>ROUND(
IF(AND(C82&lt;&gt;"", D82="", V82="Yes"),
     IF($E$107="Discount Based",
         R82*IF(OR(LEFT(A82,2)="HW", LEFT(A82,12)="CMS-Hardware"),
              $E$108,
              IF(AND(LEFT(A82,3)="Sys", LEFT(A82,4)&lt;&gt;"Ship"),
                   ($E$108+$E$109)/2,
                    0)),
         IF($E$107="Cost Based",
              IF(OR(LEFT(A82,2)="HW", LEFT(A82,12)="CMS-Hardware"),
                   R82-(1+$E$110)*VLOOKUP(B82,'Raw BOM'!$A$3:$E$492,5,FALSE),
              IF(AND(LEFT(A82,3)="Sys", LEFT(A82,4)&lt;&gt;"Ship"),
                   R82-(1+($E$110+$E$111)/2)*VLOOKUP(B82,'Raw BOM'!$A$3:$E$492,5,FALSE),
                   0))))),2)</f>
        <v>0</v>
      </c>
      <c r="Z82" s="47">
        <f>ROUND(
IF(AND(C82&lt;&gt;"", D82="", V82="No"),
     IF($E$107="Discount Based",
         R82*IF(AND(LEFT(A82,2)&lt;&gt;"HW", LEFT(A82,12)&lt;&gt;"CMS-Hardware",LEFT(A82,3)&lt;&gt;"Sys", LEFT(A82,4)&lt;&gt;"Ship"),
                   $E$109,0),
     IF($E$107="Cost Based",
          IF(AND(LEFT(A82,2)&lt;&gt;"HW", LEFT(A82,12)&lt;&gt;"CMS-Hardware",LEFT(A82,3)&lt;&gt;"Sys", LEFT(A82,4)&lt;&gt;"Ship"),
               R82-(1+$E$110)*VLOOKUP(B82,'Raw BOM'!$A$3:$E$492,5,FALSE),0),0)),0),2)</f>
        <v>0</v>
      </c>
      <c r="AA82" s="48">
        <f t="shared" si="27"/>
        <v>0</v>
      </c>
      <c r="AB82" s="48">
        <f t="shared" si="28"/>
        <v>0</v>
      </c>
    </row>
    <row r="83" spans="1:28" s="1" customFormat="1" ht="30" customHeight="1" x14ac:dyDescent="0.25">
      <c r="A83" s="41" t="str">
        <f>IF(B83&lt;&gt;"",VLOOKUP(B83,'Raw BOM'!$A$3:$B$495,2,FALSE),IF(E83&lt;&gt;"","Misc",""))</f>
        <v>Svcs-InstallTrain</v>
      </c>
      <c r="B83" s="42" t="str">
        <f>IF('Blank Quote'!B30&lt;&gt;"", 'Blank Quote'!B30, "")</f>
        <v>Services-Installation and Training Session 4hrs (see Service Method for price)</v>
      </c>
      <c r="C83" s="43">
        <f>IF('Blank Quote'!C30&lt;&gt;"", 'Blank Quote'!C30, "")</f>
        <v>1</v>
      </c>
      <c r="D83" s="44"/>
      <c r="E83" s="45" t="str">
        <f>IF('Blank Quote'!E30&lt;&gt;"", 'Blank Quote'!E30, "")</f>
        <v/>
      </c>
      <c r="F83"/>
      <c r="G83" s="315" t="str">
        <f t="shared" si="17"/>
        <v>Svcs-InstallTrain</v>
      </c>
      <c r="H83" s="316"/>
      <c r="I83" s="317" t="str">
        <f t="shared" si="18"/>
        <v>Services-Installation and Training Session 4hrs (see Service Method for price)</v>
      </c>
      <c r="J83" s="317"/>
      <c r="K83" s="317" t="str">
        <f t="shared" si="19"/>
        <v/>
      </c>
      <c r="L83" s="317"/>
      <c r="M83" s="317" t="str">
        <f t="shared" si="20"/>
        <v>Svcs-InstallTrain</v>
      </c>
      <c r="N83" s="317"/>
      <c r="O83" s="317" t="str">
        <f t="shared" si="21"/>
        <v>Services-Installation and Training Session 4hrs (see Service Method for price)</v>
      </c>
      <c r="P83" s="317"/>
      <c r="Q83" s="99">
        <f t="shared" si="22"/>
        <v>1</v>
      </c>
      <c r="R83" s="318">
        <f>IF(C83="", "",IF(D83&gt;0,D83,
IF($E$54="NY Contract", VLOOKUP(B83,'Raw BOM'!$A$3:$G$495,7,FALSE),
IF($E$54="FL Contract", VLOOKUP(B83,'Raw BOM'!$A$3:$I$495,8,FALSE),
IF($E$54="LA Contract", VLOOKUP(B83,'Raw BOM'!$A$3:$K$495,9,FALSE),
IF($E$54="WA Contract", VLOOKUP(B83,'Raw BOM'!$A$3:$M$495,10,FALSE),
VLOOKUP(B83,'Raw BOM'!$A$3:$D$495,4,FALSE)))))))</f>
        <v>0</v>
      </c>
      <c r="S83" s="318" t="str">
        <f t="shared" si="23"/>
        <v>Svcs-InstallTrain</v>
      </c>
      <c r="T83" s="318">
        <f t="shared" si="24"/>
        <v>0</v>
      </c>
      <c r="U83" s="318" t="str">
        <f t="shared" si="25"/>
        <v>Services-Installation and Training Session 4hrs (see Service Method for price)</v>
      </c>
      <c r="V83" s="49" t="str">
        <f>IF(C83="","", VLOOKUP(B83,'Raw BOM'!$A$3:$F$495,6,FALSE))</f>
        <v>No</v>
      </c>
      <c r="X83" s="47">
        <f t="shared" si="26"/>
        <v>0</v>
      </c>
      <c r="Y83" s="198">
        <f>ROUND(
IF(AND(C83&lt;&gt;"", D83="", V83="Yes"),
     IF($E$107="Discount Based",
         R83*IF(OR(LEFT(A83,2)="HW", LEFT(A83,12)="CMS-Hardware"),
              $E$108,
              IF(AND(LEFT(A83,3)="Sys", LEFT(A83,4)&lt;&gt;"Ship"),
                   ($E$108+$E$109)/2,
                    0)),
         IF($E$107="Cost Based",
              IF(OR(LEFT(A83,2)="HW", LEFT(A83,12)="CMS-Hardware"),
                   R83-(1+$E$110)*VLOOKUP(B83,'Raw BOM'!$A$3:$E$492,5,FALSE),
              IF(AND(LEFT(A83,3)="Sys", LEFT(A83,4)&lt;&gt;"Ship"),
                   R83-(1+($E$110+$E$111)/2)*VLOOKUP(B83,'Raw BOM'!$A$3:$E$492,5,FALSE),
                   0))))),2)</f>
        <v>0</v>
      </c>
      <c r="Z83" s="47">
        <f>ROUND(
IF(AND(C83&lt;&gt;"", D83="", V83="No"),
     IF($E$107="Discount Based",
         R83*IF(AND(LEFT(A83,2)&lt;&gt;"HW", LEFT(A83,12)&lt;&gt;"CMS-Hardware",LEFT(A83,3)&lt;&gt;"Sys", LEFT(A83,4)&lt;&gt;"Ship"),
                   $E$109,0),
     IF($E$107="Cost Based",
          IF(AND(LEFT(A83,2)&lt;&gt;"HW", LEFT(A83,12)&lt;&gt;"CMS-Hardware",LEFT(A83,3)&lt;&gt;"Sys", LEFT(A83,4)&lt;&gt;"Ship"),
               R83-(1+$E$110)*VLOOKUP(B83,'Raw BOM'!$A$3:$E$492,5,FALSE),0),0)),0),2)</f>
        <v>0</v>
      </c>
      <c r="AA83" s="48">
        <f t="shared" si="27"/>
        <v>0</v>
      </c>
      <c r="AB83" s="48">
        <f t="shared" si="28"/>
        <v>0</v>
      </c>
    </row>
    <row r="84" spans="1:28" s="1" customFormat="1" ht="30" customHeight="1" x14ac:dyDescent="0.25">
      <c r="A84" s="41" t="str">
        <f>IF(B84&lt;&gt;"",VLOOKUP(B84,'Raw BOM'!$A$3:$B$495,2,FALSE),IF(E84&lt;&gt;"","Misc",""))</f>
        <v>Svcs-Phone</v>
      </c>
      <c r="B84" s="42" t="str">
        <f>IF('Blank Quote'!B31&lt;&gt;"", 'Blank Quote'!B31, "")</f>
        <v>Services Method-Remote (Phone)</v>
      </c>
      <c r="C84" s="43">
        <f>IF('Blank Quote'!C31&lt;&gt;"", 'Blank Quote'!C31, "")</f>
        <v>1</v>
      </c>
      <c r="D84" s="44"/>
      <c r="E84" s="45" t="str">
        <f>IF('Blank Quote'!E31&lt;&gt;"", 'Blank Quote'!E31, "")</f>
        <v xml:space="preserve">To perform services shown in the line above. </v>
      </c>
      <c r="F84"/>
      <c r="G84" s="315" t="str">
        <f t="shared" si="17"/>
        <v>Svcs-Phone</v>
      </c>
      <c r="H84" s="316"/>
      <c r="I84" s="317" t="str">
        <f t="shared" si="18"/>
        <v xml:space="preserve">Services Method-Remote (Phone)   *** To perform services shown in the line above. </v>
      </c>
      <c r="J84" s="317"/>
      <c r="K84" s="317" t="str">
        <f t="shared" si="19"/>
        <v xml:space="preserve">To perform services shown in the line above. </v>
      </c>
      <c r="L84" s="317"/>
      <c r="M84" s="317" t="str">
        <f t="shared" si="20"/>
        <v>Svcs-Phone</v>
      </c>
      <c r="N84" s="317"/>
      <c r="O84" s="317" t="str">
        <f t="shared" si="21"/>
        <v xml:space="preserve">Services Method-Remote (Phone)   *** To perform services shown in the line above. </v>
      </c>
      <c r="P84" s="317"/>
      <c r="Q84" s="99">
        <f t="shared" si="22"/>
        <v>1</v>
      </c>
      <c r="R84" s="318">
        <f>IF(C84="", "",IF(D84&gt;0,D84,
IF($E$54="NY Contract", VLOOKUP(B84,'Raw BOM'!$A$3:$G$495,7,FALSE),
IF($E$54="FL Contract", VLOOKUP(B84,'Raw BOM'!$A$3:$I$495,8,FALSE),
IF($E$54="LA Contract", VLOOKUP(B84,'Raw BOM'!$A$3:$K$495,9,FALSE),
IF($E$54="WA Contract", VLOOKUP(B84,'Raw BOM'!$A$3:$M$495,10,FALSE),
VLOOKUP(B84,'Raw BOM'!$A$3:$D$495,4,FALSE)))))))</f>
        <v>750</v>
      </c>
      <c r="S84" s="318" t="str">
        <f t="shared" si="23"/>
        <v>Svcs-Phone</v>
      </c>
      <c r="T84" s="318">
        <f t="shared" si="24"/>
        <v>750</v>
      </c>
      <c r="U84" s="318" t="str">
        <f t="shared" si="25"/>
        <v xml:space="preserve">Services Method-Remote (Phone)   *** To perform services shown in the line above. </v>
      </c>
      <c r="V84" s="49" t="str">
        <f>IF(C84="","", VLOOKUP(B84,'Raw BOM'!$A$3:$F$495,6,FALSE))</f>
        <v>No</v>
      </c>
      <c r="X84" s="47">
        <f t="shared" si="26"/>
        <v>0</v>
      </c>
      <c r="Y84" s="198">
        <f>ROUND(
IF(AND(C84&lt;&gt;"", D84="", V84="Yes"),
     IF($E$107="Discount Based",
         R84*IF(OR(LEFT(A84,2)="HW", LEFT(A84,12)="CMS-Hardware"),
              $E$108,
              IF(AND(LEFT(A84,3)="Sys", LEFT(A84,4)&lt;&gt;"Ship"),
                   ($E$108+$E$109)/2,
                    0)),
         IF($E$107="Cost Based",
              IF(OR(LEFT(A84,2)="HW", LEFT(A84,12)="CMS-Hardware"),
                   R84-(1+$E$110)*VLOOKUP(B84,'Raw BOM'!$A$3:$E$492,5,FALSE),
              IF(AND(LEFT(A84,3)="Sys", LEFT(A84,4)&lt;&gt;"Ship"),
                   R84-(1+($E$110+$E$111)/2)*VLOOKUP(B84,'Raw BOM'!$A$3:$E$492,5,FALSE),
                   0))))),2)</f>
        <v>0</v>
      </c>
      <c r="Z84" s="47">
        <f>ROUND(
IF(AND(C84&lt;&gt;"", D84="", V84="No"),
     IF($E$107="Discount Based",
         R84*IF(AND(LEFT(A84,2)&lt;&gt;"HW", LEFT(A84,12)&lt;&gt;"CMS-Hardware",LEFT(A84,3)&lt;&gt;"Sys", LEFT(A84,4)&lt;&gt;"Ship"),
                   $E$109,0),
     IF($E$107="Cost Based",
          IF(AND(LEFT(A84,2)&lt;&gt;"HW", LEFT(A84,12)&lt;&gt;"CMS-Hardware",LEFT(A84,3)&lt;&gt;"Sys", LEFT(A84,4)&lt;&gt;"Ship"),
               R84-(1+$E$110)*VLOOKUP(B84,'Raw BOM'!$A$3:$E$492,5,FALSE),0),0)),0),2)</f>
        <v>330</v>
      </c>
      <c r="AA84" s="48">
        <f t="shared" si="27"/>
        <v>0</v>
      </c>
      <c r="AB84" s="48">
        <f t="shared" si="28"/>
        <v>330</v>
      </c>
    </row>
    <row r="85" spans="1:28" s="1" customFormat="1" ht="30" customHeight="1" x14ac:dyDescent="0.25">
      <c r="A85" s="41" t="str">
        <f>IF(B85&lt;&gt;"",VLOOKUP(B85,'Raw BOM'!$A$3:$B$495,2,FALSE),IF(E85&lt;&gt;"","Misc",""))</f>
        <v/>
      </c>
      <c r="B85" s="42" t="str">
        <f>IF('Blank Quote'!B32&lt;&gt;"", 'Blank Quote'!B32, "")</f>
        <v/>
      </c>
      <c r="C85" s="43" t="str">
        <f>IF('Blank Quote'!C32&lt;&gt;"", 'Blank Quote'!C32, "")</f>
        <v/>
      </c>
      <c r="D85" s="44"/>
      <c r="E85" s="45" t="str">
        <f>IF('Blank Quote'!E32&lt;&gt;"", 'Blank Quote'!E32, "")</f>
        <v/>
      </c>
      <c r="F85"/>
      <c r="G85" s="315" t="str">
        <f t="shared" si="17"/>
        <v/>
      </c>
      <c r="H85" s="316"/>
      <c r="I85" s="317" t="str">
        <f t="shared" si="18"/>
        <v/>
      </c>
      <c r="J85" s="317"/>
      <c r="K85" s="317" t="str">
        <f t="shared" si="19"/>
        <v/>
      </c>
      <c r="L85" s="317"/>
      <c r="M85" s="317" t="str">
        <f t="shared" si="20"/>
        <v/>
      </c>
      <c r="N85" s="317"/>
      <c r="O85" s="317" t="str">
        <f t="shared" si="21"/>
        <v/>
      </c>
      <c r="P85" s="317"/>
      <c r="Q85" s="99" t="str">
        <f t="shared" si="22"/>
        <v/>
      </c>
      <c r="R85" s="318" t="str">
        <f>IF(C85="", "",IF(D85&gt;0,D85,
IF($E$54="NY Contract", VLOOKUP(B85,'Raw BOM'!$A$3:$G$495,7,FALSE),
IF($E$54="FL Contract", VLOOKUP(B85,'Raw BOM'!$A$3:$I$495,8,FALSE),
IF($E$54="LA Contract", VLOOKUP(B85,'Raw BOM'!$A$3:$K$495,9,FALSE),
IF($E$54="WA Contract", VLOOKUP(B85,'Raw BOM'!$A$3:$M$495,10,FALSE),
VLOOKUP(B85,'Raw BOM'!$A$3:$D$495,4,FALSE)))))))</f>
        <v/>
      </c>
      <c r="S85" s="318" t="str">
        <f t="shared" si="23"/>
        <v/>
      </c>
      <c r="T85" s="318" t="str">
        <f t="shared" si="24"/>
        <v/>
      </c>
      <c r="U85" s="318" t="str">
        <f t="shared" si="25"/>
        <v/>
      </c>
      <c r="V85" s="49" t="str">
        <f>IF(C85="","", VLOOKUP(B85,'Raw BOM'!$A$3:$F$495,6,FALSE))</f>
        <v/>
      </c>
      <c r="X85" s="47">
        <f t="shared" si="26"/>
        <v>0</v>
      </c>
      <c r="Y85" s="198">
        <f>ROUND(
IF(AND(C85&lt;&gt;"", D85="", V85="Yes"),
     IF($E$107="Discount Based",
         R85*IF(OR(LEFT(A85,2)="HW", LEFT(A85,12)="CMS-Hardware"),
              $E$108,
              IF(AND(LEFT(A85,3)="Sys", LEFT(A85,4)&lt;&gt;"Ship"),
                   ($E$108+$E$109)/2,
                    0)),
         IF($E$107="Cost Based",
              IF(OR(LEFT(A85,2)="HW", LEFT(A85,12)="CMS-Hardware"),
                   R85-(1+$E$110)*VLOOKUP(B85,'Raw BOM'!$A$3:$E$492,5,FALSE),
              IF(AND(LEFT(A85,3)="Sys", LEFT(A85,4)&lt;&gt;"Ship"),
                   R85-(1+($E$110+$E$111)/2)*VLOOKUP(B85,'Raw BOM'!$A$3:$E$492,5,FALSE),
                   0))))),2)</f>
        <v>0</v>
      </c>
      <c r="Z85" s="47">
        <f>ROUND(
IF(AND(C85&lt;&gt;"", D85="", V85="No"),
     IF($E$107="Discount Based",
         R85*IF(AND(LEFT(A85,2)&lt;&gt;"HW", LEFT(A85,12)&lt;&gt;"CMS-Hardware",LEFT(A85,3)&lt;&gt;"Sys", LEFT(A85,4)&lt;&gt;"Ship"),
                   $E$109,0),
     IF($E$107="Cost Based",
          IF(AND(LEFT(A85,2)&lt;&gt;"HW", LEFT(A85,12)&lt;&gt;"CMS-Hardware",LEFT(A85,3)&lt;&gt;"Sys", LEFT(A85,4)&lt;&gt;"Ship"),
               R85-(1+$E$110)*VLOOKUP(B85,'Raw BOM'!$A$3:$E$492,5,FALSE),0),0)),0),2)</f>
        <v>0</v>
      </c>
      <c r="AA85" s="48">
        <f t="shared" si="27"/>
        <v>0</v>
      </c>
      <c r="AB85" s="48">
        <f t="shared" si="28"/>
        <v>0</v>
      </c>
    </row>
    <row r="86" spans="1:28" s="1" customFormat="1" ht="30" customHeight="1" x14ac:dyDescent="0.25">
      <c r="A86" s="41" t="str">
        <f>IF(B86&lt;&gt;"",VLOOKUP(B86,'Raw BOM'!$A$3:$B$495,2,FALSE),IF(E86&lt;&gt;"","Misc",""))</f>
        <v>Ship-L</v>
      </c>
      <c r="B86" s="42" t="str">
        <f>IF('Blank Quote'!B33&lt;&gt;"", 'Blank Quote'!B33, "")</f>
        <v>Shipping-Ground for Large Package</v>
      </c>
      <c r="C86" s="43">
        <f>IF('Blank Quote'!C33&lt;&gt;"", 'Blank Quote'!C33, "")</f>
        <v>1</v>
      </c>
      <c r="D86" s="44"/>
      <c r="E86" s="45" t="str">
        <f>IF('Blank Quote'!E33&lt;&gt;"", 'Blank Quote'!E33, "")</f>
        <v/>
      </c>
      <c r="F86"/>
      <c r="G86" s="315" t="str">
        <f t="shared" si="17"/>
        <v>Ship-L</v>
      </c>
      <c r="H86" s="316"/>
      <c r="I86" s="317" t="str">
        <f t="shared" si="18"/>
        <v>Shipping-Ground for Large Package</v>
      </c>
      <c r="J86" s="317"/>
      <c r="K86" s="317" t="str">
        <f t="shared" si="19"/>
        <v/>
      </c>
      <c r="L86" s="317"/>
      <c r="M86" s="317" t="str">
        <f t="shared" si="20"/>
        <v>Ship-L</v>
      </c>
      <c r="N86" s="317"/>
      <c r="O86" s="317" t="str">
        <f t="shared" si="21"/>
        <v>Shipping-Ground for Large Package</v>
      </c>
      <c r="P86" s="317"/>
      <c r="Q86" s="99">
        <f t="shared" si="22"/>
        <v>1</v>
      </c>
      <c r="R86" s="318">
        <f>IF(C86="", "",IF(D86&gt;0,D86,
IF($E$54="NY Contract", VLOOKUP(B86,'Raw BOM'!$A$3:$G$495,7,FALSE),
IF($E$54="FL Contract", VLOOKUP(B86,'Raw BOM'!$A$3:$I$495,8,FALSE),
IF($E$54="LA Contract", VLOOKUP(B86,'Raw BOM'!$A$3:$K$495,9,FALSE),
IF($E$54="WA Contract", VLOOKUP(B86,'Raw BOM'!$A$3:$M$495,10,FALSE),
VLOOKUP(B86,'Raw BOM'!$A$3:$D$495,4,FALSE)))))))</f>
        <v>60</v>
      </c>
      <c r="S86" s="318" t="str">
        <f t="shared" si="23"/>
        <v>Ship-L</v>
      </c>
      <c r="T86" s="318">
        <f t="shared" si="24"/>
        <v>60</v>
      </c>
      <c r="U86" s="318" t="str">
        <f t="shared" si="25"/>
        <v>Shipping-Ground for Large Package</v>
      </c>
      <c r="V86" s="49" t="str">
        <f>IF(C86="","", VLOOKUP(B86,'Raw BOM'!$A$3:$F$495,6,FALSE))</f>
        <v>No</v>
      </c>
      <c r="X86" s="47">
        <f t="shared" si="26"/>
        <v>0</v>
      </c>
      <c r="Y86" s="198">
        <f>ROUND(
IF(AND(C86&lt;&gt;"", D86="", V86="Yes"),
     IF($E$107="Discount Based",
         R86*IF(OR(LEFT(A86,2)="HW", LEFT(A86,12)="CMS-Hardware"),
              $E$108,
              IF(AND(LEFT(A86,3)="Sys", LEFT(A86,4)&lt;&gt;"Ship"),
                   ($E$108+$E$109)/2,
                    0)),
         IF($E$107="Cost Based",
              IF(OR(LEFT(A86,2)="HW", LEFT(A86,12)="CMS-Hardware"),
                   R86-(1+$E$110)*VLOOKUP(B86,'Raw BOM'!$A$3:$E$492,5,FALSE),
              IF(AND(LEFT(A86,3)="Sys", LEFT(A86,4)&lt;&gt;"Ship"),
                   R86-(1+($E$110+$E$111)/2)*VLOOKUP(B86,'Raw BOM'!$A$3:$E$492,5,FALSE),
                   0))))),2)</f>
        <v>0</v>
      </c>
      <c r="Z86" s="47">
        <f>ROUND(
IF(AND(C86&lt;&gt;"", D86="", V86="No"),
     IF($E$107="Discount Based",
         R86*IF(AND(LEFT(A86,2)&lt;&gt;"HW", LEFT(A86,12)&lt;&gt;"CMS-Hardware",LEFT(A86,3)&lt;&gt;"Sys", LEFT(A86,4)&lt;&gt;"Ship"),
                   $E$109,0),
     IF($E$107="Cost Based",
          IF(AND(LEFT(A86,2)&lt;&gt;"HW", LEFT(A86,12)&lt;&gt;"CMS-Hardware",LEFT(A86,3)&lt;&gt;"Sys", LEFT(A86,4)&lt;&gt;"Ship"),
               R86-(1+$E$110)*VLOOKUP(B86,'Raw BOM'!$A$3:$E$492,5,FALSE),0),0)),0),2)</f>
        <v>0</v>
      </c>
      <c r="AA86" s="48">
        <f t="shared" si="27"/>
        <v>0</v>
      </c>
      <c r="AB86" s="48">
        <f t="shared" si="28"/>
        <v>0</v>
      </c>
    </row>
    <row r="87" spans="1:28" s="1" customFormat="1" ht="30" customHeight="1" x14ac:dyDescent="0.25">
      <c r="A87" s="41" t="str">
        <f>IF(B87&lt;&gt;"",VLOOKUP(B87,'Raw BOM'!$A$3:$B$495,2,FALSE),IF(E87&lt;&gt;"","Misc",""))</f>
        <v>Maint-Warr</v>
      </c>
      <c r="B87" s="42" t="str">
        <f>IF('Blank Quote'!B34&lt;&gt;"", 'Blank Quote'!B34, "")</f>
        <v>Maintenance-Initial Year Warranty</v>
      </c>
      <c r="C87" s="43">
        <f>IF('Blank Quote'!C34&lt;&gt;"", 'Blank Quote'!C34, "")</f>
        <v>1</v>
      </c>
      <c r="D87" s="44"/>
      <c r="E87" s="45" t="str">
        <f>IF('Blank Quote'!E34&lt;&gt;"", 'Blank Quote'!E34, "")</f>
        <v>Cross Ship</v>
      </c>
      <c r="F87"/>
      <c r="G87" s="315" t="str">
        <f t="shared" si="17"/>
        <v>Maint-Warr</v>
      </c>
      <c r="H87" s="316"/>
      <c r="I87" s="317" t="str">
        <f t="shared" si="18"/>
        <v>Maintenance-Initial Year Warranty   *** Cross Ship</v>
      </c>
      <c r="J87" s="317"/>
      <c r="K87" s="317" t="str">
        <f t="shared" si="19"/>
        <v>Cross Ship</v>
      </c>
      <c r="L87" s="317"/>
      <c r="M87" s="317" t="str">
        <f t="shared" si="20"/>
        <v>Maint-Warr</v>
      </c>
      <c r="N87" s="317"/>
      <c r="O87" s="317" t="str">
        <f t="shared" si="21"/>
        <v>Maintenance-Initial Year Warranty   *** Cross Ship</v>
      </c>
      <c r="P87" s="317"/>
      <c r="Q87" s="99">
        <f t="shared" si="22"/>
        <v>1</v>
      </c>
      <c r="R87" s="318">
        <f>IF(C87="", "",IF(D87&gt;0,D87,
IF($E$54="NY Contract", VLOOKUP(B87,'Raw BOM'!$A$3:$G$495,7,FALSE),
IF($E$54="FL Contract", VLOOKUP(B87,'Raw BOM'!$A$3:$I$495,8,FALSE),
IF($E$54="LA Contract", VLOOKUP(B87,'Raw BOM'!$A$3:$K$495,9,FALSE),
IF($E$54="WA Contract", VLOOKUP(B87,'Raw BOM'!$A$3:$M$495,10,FALSE),
VLOOKUP(B87,'Raw BOM'!$A$3:$D$495,4,FALSE)))))))</f>
        <v>0</v>
      </c>
      <c r="S87" s="318" t="str">
        <f t="shared" si="23"/>
        <v>Maint-Warr</v>
      </c>
      <c r="T87" s="318">
        <f t="shared" si="24"/>
        <v>0</v>
      </c>
      <c r="U87" s="318" t="str">
        <f t="shared" si="25"/>
        <v>Maintenance-Initial Year Warranty   *** Cross Ship</v>
      </c>
      <c r="V87" s="49" t="str">
        <f>IF(C87="","", VLOOKUP(B87,'Raw BOM'!$A$3:$F$495,6,FALSE))</f>
        <v>No</v>
      </c>
      <c r="X87" s="47">
        <f t="shared" si="26"/>
        <v>0</v>
      </c>
      <c r="Y87" s="198">
        <f>ROUND(
IF(AND(C87&lt;&gt;"", D87="", V87="Yes"),
     IF($E$107="Discount Based",
         R87*IF(OR(LEFT(A87,2)="HW", LEFT(A87,12)="CMS-Hardware"),
              $E$108,
              IF(AND(LEFT(A87,3)="Sys", LEFT(A87,4)&lt;&gt;"Ship"),
                   ($E$108+$E$109)/2,
                    0)),
         IF($E$107="Cost Based",
              IF(OR(LEFT(A87,2)="HW", LEFT(A87,12)="CMS-Hardware"),
                   R87-(1+$E$110)*VLOOKUP(B87,'Raw BOM'!$A$3:$E$492,5,FALSE),
              IF(AND(LEFT(A87,3)="Sys", LEFT(A87,4)&lt;&gt;"Ship"),
                   R87-(1+($E$110+$E$111)/2)*VLOOKUP(B87,'Raw BOM'!$A$3:$E$492,5,FALSE),
                   0))))),2)</f>
        <v>0</v>
      </c>
      <c r="Z87" s="47">
        <f>ROUND(
IF(AND(C87&lt;&gt;"", D87="", V87="No"),
     IF($E$107="Discount Based",
         R87*IF(AND(LEFT(A87,2)&lt;&gt;"HW", LEFT(A87,12)&lt;&gt;"CMS-Hardware",LEFT(A87,3)&lt;&gt;"Sys", LEFT(A87,4)&lt;&gt;"Ship"),
                   $E$109,0),
     IF($E$107="Cost Based",
          IF(AND(LEFT(A87,2)&lt;&gt;"HW", LEFT(A87,12)&lt;&gt;"CMS-Hardware",LEFT(A87,3)&lt;&gt;"Sys", LEFT(A87,4)&lt;&gt;"Ship"),
               R87-(1+$E$110)*VLOOKUP(B87,'Raw BOM'!$A$3:$E$492,5,FALSE),0),0)),0),2)</f>
        <v>0</v>
      </c>
      <c r="AA87" s="48">
        <f t="shared" si="27"/>
        <v>0</v>
      </c>
      <c r="AB87" s="48">
        <f t="shared" si="28"/>
        <v>0</v>
      </c>
    </row>
    <row r="88" spans="1:28" s="1" customFormat="1" ht="30" customHeight="1" x14ac:dyDescent="0.25">
      <c r="A88" s="41" t="str">
        <f>IF(B88&lt;&gt;"",VLOOKUP(B88,'Raw BOM'!$A$3:$B$495,2,FALSE),IF(E88&lt;&gt;"","Misc",""))</f>
        <v>Misc</v>
      </c>
      <c r="B88" s="42" t="str">
        <f>IF('Blank Quote'!B35&lt;&gt;"", 'Blank Quote'!B35, "")</f>
        <v/>
      </c>
      <c r="C88" s="43" t="str">
        <f>IF('Blank Quote'!C35&lt;&gt;"", 'Blank Quote'!C35, "")</f>
        <v/>
      </c>
      <c r="D88" s="44"/>
      <c r="E88" s="45" t="str">
        <f>IF('Blank Quote'!E35&lt;&gt;"", 'Blank Quote'!E35, "")</f>
        <v>Pick one of the following 2 Maintenance options in the 12th month.  We recommend picking 2nd line if processing more than 1,200 transactions per year.</v>
      </c>
      <c r="F88"/>
      <c r="G88" s="315" t="str">
        <f t="shared" si="17"/>
        <v>Misc</v>
      </c>
      <c r="H88" s="316"/>
      <c r="I88" s="317" t="str">
        <f t="shared" si="18"/>
        <v xml:space="preserve">   *** Pick one of the following 2 Maintenance options in the 12th month.  We recommend picking 2nd line if processing more than 1,200 transactions per year.</v>
      </c>
      <c r="J88" s="317"/>
      <c r="K88" s="317" t="str">
        <f t="shared" si="19"/>
        <v>Pick one of the following 2 Maintenance options in the 12th month.  We recommend picking 2nd line if processing more than 1,200 transactions per year.</v>
      </c>
      <c r="L88" s="317"/>
      <c r="M88" s="317" t="str">
        <f t="shared" si="20"/>
        <v>Misc</v>
      </c>
      <c r="N88" s="317"/>
      <c r="O88" s="317" t="str">
        <f t="shared" si="21"/>
        <v xml:space="preserve">   *** Pick one of the following 2 Maintenance options in the 12th month.  We recommend picking 2nd line if processing more than 1,200 transactions per year.</v>
      </c>
      <c r="P88" s="317"/>
      <c r="Q88" s="99" t="str">
        <f t="shared" si="22"/>
        <v/>
      </c>
      <c r="R88" s="318" t="str">
        <f>IF(C88="", "",IF(D88&gt;0,D88,
IF($E$54="NY Contract", VLOOKUP(B88,'Raw BOM'!$A$3:$G$495,7,FALSE),
IF($E$54="FL Contract", VLOOKUP(B88,'Raw BOM'!$A$3:$I$495,8,FALSE),
IF($E$54="LA Contract", VLOOKUP(B88,'Raw BOM'!$A$3:$K$495,9,FALSE),
IF($E$54="WA Contract", VLOOKUP(B88,'Raw BOM'!$A$3:$M$495,10,FALSE),
VLOOKUP(B88,'Raw BOM'!$A$3:$D$495,4,FALSE)))))))</f>
        <v/>
      </c>
      <c r="S88" s="318" t="str">
        <f t="shared" si="23"/>
        <v>Misc</v>
      </c>
      <c r="T88" s="318" t="str">
        <f t="shared" si="24"/>
        <v/>
      </c>
      <c r="U88" s="318" t="str">
        <f t="shared" si="25"/>
        <v xml:space="preserve">   *** Pick one of the following 2 Maintenance options in the 12th month.  We recommend picking 2nd line if processing more than 1,200 transactions per year.</v>
      </c>
      <c r="V88" s="49" t="str">
        <f>IF(C88="","", VLOOKUP(B88,'Raw BOM'!$A$3:$F$495,6,FALSE))</f>
        <v/>
      </c>
      <c r="X88" s="47">
        <f t="shared" si="26"/>
        <v>0</v>
      </c>
      <c r="Y88" s="198">
        <f>ROUND(
IF(AND(C88&lt;&gt;"", D88="", V88="Yes"),
     IF($E$107="Discount Based",
         R88*IF(OR(LEFT(A88,2)="HW", LEFT(A88,12)="CMS-Hardware"),
              $E$108,
              IF(AND(LEFT(A88,3)="Sys", LEFT(A88,4)&lt;&gt;"Ship"),
                   ($E$108+$E$109)/2,
                    0)),
         IF($E$107="Cost Based",
              IF(OR(LEFT(A88,2)="HW", LEFT(A88,12)="CMS-Hardware"),
                   R88-(1+$E$110)*VLOOKUP(B88,'Raw BOM'!$A$3:$E$492,5,FALSE),
              IF(AND(LEFT(A88,3)="Sys", LEFT(A88,4)&lt;&gt;"Ship"),
                   R88-(1+($E$110+$E$111)/2)*VLOOKUP(B88,'Raw BOM'!$A$3:$E$492,5,FALSE),
                   0))))),2)</f>
        <v>0</v>
      </c>
      <c r="Z88" s="47">
        <f>ROUND(
IF(AND(C88&lt;&gt;"", D88="", V88="No"),
     IF($E$107="Discount Based",
         R88*IF(AND(LEFT(A88,2)&lt;&gt;"HW", LEFT(A88,12)&lt;&gt;"CMS-Hardware",LEFT(A88,3)&lt;&gt;"Sys", LEFT(A88,4)&lt;&gt;"Ship"),
                   $E$109,0),
     IF($E$107="Cost Based",
          IF(AND(LEFT(A88,2)&lt;&gt;"HW", LEFT(A88,12)&lt;&gt;"CMS-Hardware",LEFT(A88,3)&lt;&gt;"Sys", LEFT(A88,4)&lt;&gt;"Ship"),
               R88-(1+$E$110)*VLOOKUP(B88,'Raw BOM'!$A$3:$E$492,5,FALSE),0),0)),0),2)</f>
        <v>0</v>
      </c>
      <c r="AA88" s="48">
        <f t="shared" si="27"/>
        <v>0</v>
      </c>
      <c r="AB88" s="48">
        <f t="shared" si="28"/>
        <v>0</v>
      </c>
    </row>
    <row r="89" spans="1:28" s="1" customFormat="1" ht="30" customHeight="1" x14ac:dyDescent="0.25">
      <c r="A89" s="41" t="str">
        <f>IF(B89&lt;&gt;"",VLOOKUP(B89,'Raw BOM'!$A$3:$B$495,2,FALSE),IF(E89&lt;&gt;"","Misc",""))</f>
        <v>Maint-9X5-SW-App</v>
      </c>
      <c r="B89" s="42" t="s">
        <v>125</v>
      </c>
      <c r="C89" s="43">
        <f>IF('Blank Quote'!C36&lt;&gt;"", 'Blank Quote'!C36, "")</f>
        <v>0</v>
      </c>
      <c r="D89" s="44">
        <v>495</v>
      </c>
      <c r="E89" s="50" t="str">
        <f>IF('Blank Quote'!E36&lt;&gt;"", 'Blank Quote'!E36, "")</f>
        <v>Software Only coverage, per system</v>
      </c>
      <c r="F89" s="251">
        <f>ROUND(S94*0.08,-1)</f>
        <v>610</v>
      </c>
      <c r="G89" s="315" t="str">
        <f t="shared" si="17"/>
        <v>Maint-9X5-SW-App</v>
      </c>
      <c r="H89" s="316"/>
      <c r="I89" s="317" t="str">
        <f t="shared" si="18"/>
        <v>Maintenance-9X5 Software Only Support Applicant   *** Software Only coverage, per system</v>
      </c>
      <c r="J89" s="317"/>
      <c r="K89" s="317" t="str">
        <f t="shared" si="19"/>
        <v>Software Only coverage, per system</v>
      </c>
      <c r="L89" s="317"/>
      <c r="M89" s="317" t="str">
        <f t="shared" si="20"/>
        <v>Maint-9X5-SW-App</v>
      </c>
      <c r="N89" s="317"/>
      <c r="O89" s="317" t="str">
        <f t="shared" si="21"/>
        <v>Maintenance-9X5 Software Only Support Applicant   *** Software Only coverage, per system</v>
      </c>
      <c r="P89" s="317"/>
      <c r="Q89" s="99">
        <f t="shared" si="22"/>
        <v>0</v>
      </c>
      <c r="R89" s="414">
        <f>D89</f>
        <v>495</v>
      </c>
      <c r="S89" s="318" t="str">
        <f t="shared" si="23"/>
        <v>Maint-9X5-SW-App</v>
      </c>
      <c r="T89" s="318">
        <f t="shared" si="24"/>
        <v>0</v>
      </c>
      <c r="U89" s="318" t="str">
        <f t="shared" si="25"/>
        <v>Maintenance-9X5 Software Only Support Applicant   *** Software Only coverage, per system</v>
      </c>
      <c r="V89" s="49" t="str">
        <f>IF(C89="","", VLOOKUP(B89,'Raw BOM'!$A$3:$F$495,6,FALSE))</f>
        <v>No</v>
      </c>
      <c r="X89" s="47">
        <f t="shared" si="26"/>
        <v>0</v>
      </c>
      <c r="Y89" s="179"/>
      <c r="Z89" s="47"/>
      <c r="AA89" s="48"/>
      <c r="AB89" s="48"/>
    </row>
    <row r="90" spans="1:28" s="1" customFormat="1" ht="30" customHeight="1" x14ac:dyDescent="0.25">
      <c r="A90" s="41" t="str">
        <f>IF(B90&lt;&gt;"",VLOOKUP(B90,'Raw BOM'!$A$3:$B$495,2,FALSE),IF(E90&lt;&gt;"","Misc",""))</f>
        <v>Maint-9X5-Remote</v>
      </c>
      <c r="B90" s="42" t="s">
        <v>127</v>
      </c>
      <c r="C90" s="43">
        <f>IF('Blank Quote'!C37&lt;&gt;"", 'Blank Quote'!C37, "")</f>
        <v>0</v>
      </c>
      <c r="D90" s="44">
        <v>960</v>
      </c>
      <c r="E90" s="50" t="str">
        <f>IF('Blank Quote'!E37&lt;&gt;"", 'Blank Quote'!E37, "")</f>
        <v>Software and Hardware Coverage, per system</v>
      </c>
      <c r="F90" s="251">
        <f>ROUND(S94*0.12,-1)</f>
        <v>910</v>
      </c>
      <c r="G90" s="315" t="str">
        <f t="shared" si="17"/>
        <v>Maint-9X5-Remote</v>
      </c>
      <c r="H90" s="316"/>
      <c r="I90" s="317" t="str">
        <f t="shared" ref="I90:I92" si="29">IF(B90&lt;&gt;"", B90, "")&amp;IF(E90&lt;&gt;"", "   *** "&amp;E90, "")</f>
        <v>Maintenance-9 X 5 (8am - 5pm, M-F) Remote with Cross Ship   *** Software and Hardware Coverage, per system</v>
      </c>
      <c r="J90" s="317"/>
      <c r="K90" s="317" t="str">
        <f t="shared" ref="K90:K92" si="30">E90</f>
        <v>Software and Hardware Coverage, per system</v>
      </c>
      <c r="L90" s="317"/>
      <c r="M90" s="317" t="str">
        <f t="shared" ref="M90:M92" si="31">G90</f>
        <v>Maint-9X5-Remote</v>
      </c>
      <c r="N90" s="317"/>
      <c r="O90" s="317" t="str">
        <f t="shared" ref="O90:O92" si="32">I90</f>
        <v>Maintenance-9 X 5 (8am - 5pm, M-F) Remote with Cross Ship   *** Software and Hardware Coverage, per system</v>
      </c>
      <c r="P90" s="317"/>
      <c r="Q90" s="99">
        <f t="shared" si="22"/>
        <v>0</v>
      </c>
      <c r="R90" s="318">
        <f t="shared" ref="R90:R92" si="33">D90</f>
        <v>960</v>
      </c>
      <c r="S90" s="318" t="str">
        <f t="shared" si="23"/>
        <v>Maint-9X5-Remote</v>
      </c>
      <c r="T90" s="318">
        <f t="shared" si="24"/>
        <v>0</v>
      </c>
      <c r="U90" s="318" t="str">
        <f t="shared" si="25"/>
        <v>Maintenance-9 X 5 (8am - 5pm, M-F) Remote with Cross Ship   *** Software and Hardware Coverage, per system</v>
      </c>
      <c r="V90" s="49" t="str">
        <f>IF(C90="","", VLOOKUP(B90,'Raw BOM'!$A$3:$F$495,6,FALSE))</f>
        <v>No</v>
      </c>
      <c r="X90" s="47">
        <f t="shared" si="26"/>
        <v>0</v>
      </c>
      <c r="Y90" s="179"/>
      <c r="Z90" s="47"/>
      <c r="AA90" s="48"/>
      <c r="AB90" s="48"/>
    </row>
    <row r="91" spans="1:28" s="1" customFormat="1" ht="30" customHeight="1" x14ac:dyDescent="0.25">
      <c r="A91" s="41" t="str">
        <f>IF(B91&lt;&gt;"",VLOOKUP(B91,'Raw BOM'!$A$3:$B$495,2,FALSE),IF(E91&lt;&gt;"","Misc",""))</f>
        <v/>
      </c>
      <c r="B91" s="42" t="str">
        <f>IF('Blank Quote'!B91&lt;&gt;"", 'Blank Quote'!B91, "")</f>
        <v/>
      </c>
      <c r="C91" s="43" t="str">
        <f>IF('Blank Quote'!C91&lt;&gt;"", 'Blank Quote'!C91, "")</f>
        <v/>
      </c>
      <c r="D91" s="44" t="str">
        <f>IF(B91&lt;&gt;"", F91, "")</f>
        <v/>
      </c>
      <c r="E91" s="50" t="str">
        <f>IF('Blank Quote'!E91&lt;&gt;"", 'Blank Quote'!E91, "")</f>
        <v/>
      </c>
      <c r="F91" s="251">
        <f>ROUND(S94*0.18,-1)</f>
        <v>1370</v>
      </c>
      <c r="G91" s="315" t="str">
        <f t="shared" si="17"/>
        <v/>
      </c>
      <c r="H91" s="316"/>
      <c r="I91" s="317" t="str">
        <f t="shared" si="29"/>
        <v/>
      </c>
      <c r="J91" s="317"/>
      <c r="K91" s="317" t="str">
        <f t="shared" si="30"/>
        <v/>
      </c>
      <c r="L91" s="317"/>
      <c r="M91" s="317" t="str">
        <f t="shared" si="31"/>
        <v/>
      </c>
      <c r="N91" s="317"/>
      <c r="O91" s="317" t="str">
        <f t="shared" si="32"/>
        <v/>
      </c>
      <c r="P91" s="317"/>
      <c r="Q91" s="99" t="str">
        <f t="shared" si="22"/>
        <v/>
      </c>
      <c r="R91" s="318" t="str">
        <f t="shared" si="33"/>
        <v/>
      </c>
      <c r="S91" s="318" t="str">
        <f t="shared" si="23"/>
        <v/>
      </c>
      <c r="T91" s="318" t="str">
        <f t="shared" si="24"/>
        <v/>
      </c>
      <c r="U91" s="318" t="str">
        <f t="shared" si="25"/>
        <v/>
      </c>
      <c r="V91" s="49" t="str">
        <f>IF(C91="","", VLOOKUP(B91,'Raw BOM'!$A$3:$F$495,6,FALSE))</f>
        <v/>
      </c>
      <c r="X91" s="47">
        <f t="shared" si="26"/>
        <v>0</v>
      </c>
      <c r="Y91" s="179"/>
      <c r="Z91" s="47"/>
      <c r="AA91" s="48"/>
      <c r="AB91" s="48"/>
    </row>
    <row r="92" spans="1:28" s="1" customFormat="1" ht="30" customHeight="1" thickBot="1" x14ac:dyDescent="0.3">
      <c r="A92" s="41" t="str">
        <f>IF(B92&lt;&gt;"",VLOOKUP(B92,'Raw BOM'!$A$3:$B$495,2,FALSE),IF(E92&lt;&gt;"","Misc",""))</f>
        <v/>
      </c>
      <c r="B92" s="51" t="str">
        <f>IF('Blank Quote'!B92&lt;&gt;"", 'Blank Quote'!B92, "")</f>
        <v/>
      </c>
      <c r="C92" s="52" t="str">
        <f>IF('Blank Quote'!C92&lt;&gt;"", 'Blank Quote'!C92, "")</f>
        <v/>
      </c>
      <c r="D92" s="53" t="str">
        <f>IF(B92&lt;&gt;"", F92, "")</f>
        <v/>
      </c>
      <c r="E92" s="54" t="str">
        <f>IF('Blank Quote'!E92&lt;&gt;"", 'Blank Quote'!E92, "")</f>
        <v/>
      </c>
      <c r="F92" s="251">
        <f>ROUND(S94*0.24,-1)</f>
        <v>1830</v>
      </c>
      <c r="G92" s="369" t="str">
        <f t="shared" si="17"/>
        <v/>
      </c>
      <c r="H92" s="370"/>
      <c r="I92" s="371" t="str">
        <f t="shared" si="29"/>
        <v/>
      </c>
      <c r="J92" s="371"/>
      <c r="K92" s="371" t="str">
        <f t="shared" si="30"/>
        <v/>
      </c>
      <c r="L92" s="371"/>
      <c r="M92" s="371" t="str">
        <f t="shared" si="31"/>
        <v/>
      </c>
      <c r="N92" s="371"/>
      <c r="O92" s="371" t="str">
        <f t="shared" si="32"/>
        <v/>
      </c>
      <c r="P92" s="371"/>
      <c r="Q92" s="96" t="str">
        <f t="shared" si="22"/>
        <v/>
      </c>
      <c r="R92" s="373" t="str">
        <f t="shared" si="33"/>
        <v/>
      </c>
      <c r="S92" s="373" t="str">
        <f t="shared" si="23"/>
        <v/>
      </c>
      <c r="T92" s="373" t="str">
        <f t="shared" si="24"/>
        <v/>
      </c>
      <c r="U92" s="373" t="str">
        <f t="shared" si="25"/>
        <v/>
      </c>
      <c r="V92" s="55" t="str">
        <f>IF(C92="","", VLOOKUP(B92,'Raw BOM'!$A$3:$F$495,6,FALSE))</f>
        <v/>
      </c>
      <c r="X92" s="47">
        <f t="shared" si="26"/>
        <v>0</v>
      </c>
      <c r="Y92" s="179"/>
      <c r="Z92" s="47"/>
      <c r="AA92" s="48"/>
      <c r="AB92" s="48"/>
    </row>
    <row r="93" spans="1:28" ht="5.25" customHeight="1" thickTop="1" thickBot="1" x14ac:dyDescent="0.3">
      <c r="D93" s="35"/>
    </row>
    <row r="94" spans="1:28" ht="15" customHeight="1" outlineLevel="1" thickBot="1" x14ac:dyDescent="0.3">
      <c r="A94" s="249"/>
      <c r="B94" s="249"/>
      <c r="C94" s="249"/>
      <c r="D94" s="249"/>
      <c r="E94" s="249"/>
      <c r="G94" s="329" t="s">
        <v>129</v>
      </c>
      <c r="H94" s="330"/>
      <c r="I94" s="330"/>
      <c r="J94" s="330"/>
      <c r="K94" s="330"/>
      <c r="L94" s="330"/>
      <c r="M94" s="331"/>
      <c r="N94" s="338" t="str">
        <f>'Blank Quote'!$N$41:$O$41</f>
        <v>QS: 20191222</v>
      </c>
      <c r="O94" s="339"/>
      <c r="P94" s="57"/>
      <c r="Q94" s="57"/>
      <c r="R94" s="58" t="s">
        <v>131</v>
      </c>
      <c r="S94" s="323">
        <f>SUMIF(T72:U88,"&gt;0")</f>
        <v>7620</v>
      </c>
      <c r="T94" s="324"/>
      <c r="U94" s="325"/>
      <c r="V94" s="59"/>
    </row>
    <row r="95" spans="1:28" ht="15" customHeight="1" outlineLevel="1" thickBot="1" x14ac:dyDescent="0.3">
      <c r="A95" s="249"/>
      <c r="B95" s="249"/>
      <c r="C95" s="249"/>
      <c r="D95" s="249"/>
      <c r="E95" s="249"/>
      <c r="G95" s="332"/>
      <c r="H95" s="333"/>
      <c r="I95" s="333"/>
      <c r="J95" s="333"/>
      <c r="K95" s="333"/>
      <c r="L95" s="333"/>
      <c r="M95" s="334"/>
      <c r="N95" s="338" t="str">
        <f>'Blank Quote'!$N$42:$O$42</f>
        <v>PT: Apte</v>
      </c>
      <c r="O95" s="339"/>
      <c r="P95" s="57"/>
      <c r="Q95" s="57"/>
      <c r="R95" s="58" t="str">
        <f>IF(X95&gt;0,"Discount on Taxable Items:", "")</f>
        <v>Discount on Taxable Items:</v>
      </c>
      <c r="S95" s="326">
        <f>IF(X95&gt;0, -X95, 0)</f>
        <v>-926</v>
      </c>
      <c r="T95" s="327"/>
      <c r="U95" s="328"/>
      <c r="V95" s="258">
        <f>S95/S94</f>
        <v>-0.12152230971128609</v>
      </c>
      <c r="X95" s="61">
        <f>SUM(AA72:AA92)</f>
        <v>926</v>
      </c>
    </row>
    <row r="96" spans="1:28" ht="15" customHeight="1" outlineLevel="1" thickBot="1" x14ac:dyDescent="0.3">
      <c r="A96" s="249"/>
      <c r="B96" s="249"/>
      <c r="C96" s="249"/>
      <c r="D96" s="249"/>
      <c r="E96" s="249"/>
      <c r="G96" s="332"/>
      <c r="H96" s="333"/>
      <c r="I96" s="333"/>
      <c r="J96" s="333"/>
      <c r="K96" s="333"/>
      <c r="L96" s="333"/>
      <c r="M96" s="334"/>
      <c r="N96" s="56"/>
      <c r="P96" s="57"/>
      <c r="R96" s="58" t="str">
        <f>IF(X96&gt;0,"Discount on Non-Taxable Items:", "")</f>
        <v>Discount on Non-Taxable Items:</v>
      </c>
      <c r="S96" s="323">
        <f>IF(X96&gt;0, -X96, 0)+SUMIF(T72:U88,"&lt;0")</f>
        <v>-1289.2</v>
      </c>
      <c r="T96" s="324"/>
      <c r="U96" s="325"/>
      <c r="V96" s="256">
        <f>S96/S94</f>
        <v>-0.16918635170603674</v>
      </c>
      <c r="X96" s="61">
        <f>SUM(AB72:AB92)</f>
        <v>1289.2</v>
      </c>
    </row>
    <row r="97" spans="1:24" ht="15" customHeight="1" outlineLevel="1" thickBot="1" x14ac:dyDescent="0.3">
      <c r="A97" s="249"/>
      <c r="B97" s="249"/>
      <c r="C97" s="249"/>
      <c r="D97" s="249"/>
      <c r="E97" s="249"/>
      <c r="G97" s="332"/>
      <c r="H97" s="333"/>
      <c r="I97" s="333"/>
      <c r="J97" s="333"/>
      <c r="K97" s="333"/>
      <c r="L97" s="333"/>
      <c r="M97" s="334"/>
      <c r="N97" s="56"/>
      <c r="P97" s="57"/>
      <c r="R97" s="58" t="s">
        <v>132</v>
      </c>
      <c r="S97" s="323">
        <f>SUM(T89:U92)</f>
        <v>0</v>
      </c>
      <c r="T97" s="324"/>
      <c r="U97" s="325"/>
      <c r="V97" s="201"/>
      <c r="X97" s="61"/>
    </row>
    <row r="98" spans="1:24" ht="15" customHeight="1" outlineLevel="1" thickBot="1" x14ac:dyDescent="0.3">
      <c r="A98" s="249"/>
      <c r="B98" s="249"/>
      <c r="C98" s="249"/>
      <c r="D98" s="249"/>
      <c r="E98" s="249"/>
      <c r="G98" s="332"/>
      <c r="H98" s="333"/>
      <c r="I98" s="333"/>
      <c r="J98" s="333"/>
      <c r="K98" s="333"/>
      <c r="L98" s="333"/>
      <c r="M98" s="334"/>
      <c r="N98" s="56"/>
      <c r="P98" s="57"/>
      <c r="Q98" s="57"/>
      <c r="R98" s="58" t="s">
        <v>133</v>
      </c>
      <c r="S98" s="326" t="str">
        <f>IF(B64=0, "Tax Exempt", X98)</f>
        <v>Tax Exempt</v>
      </c>
      <c r="T98" s="327"/>
      <c r="U98" s="327"/>
      <c r="V98" s="257">
        <f>B64</f>
        <v>0</v>
      </c>
      <c r="X98" s="61">
        <f>SUM(X72:X92)</f>
        <v>0</v>
      </c>
    </row>
    <row r="99" spans="1:24" ht="15" customHeight="1" outlineLevel="1" thickBot="1" x14ac:dyDescent="0.3">
      <c r="A99" s="249"/>
      <c r="B99" s="249"/>
      <c r="C99" s="249"/>
      <c r="D99" s="249"/>
      <c r="E99" s="249"/>
      <c r="G99" s="335"/>
      <c r="H99" s="336"/>
      <c r="I99" s="336"/>
      <c r="J99" s="336"/>
      <c r="K99" s="336"/>
      <c r="L99" s="336"/>
      <c r="M99" s="337"/>
      <c r="N99" s="56"/>
      <c r="P99" s="57"/>
      <c r="Q99" s="57"/>
      <c r="R99" s="58" t="s">
        <v>134</v>
      </c>
      <c r="S99" s="320">
        <f>SUM(S94:U98)</f>
        <v>5404.8</v>
      </c>
      <c r="T99" s="321"/>
      <c r="U99" s="322"/>
      <c r="V99" s="62"/>
    </row>
    <row r="100" spans="1:24" ht="5.25" customHeight="1" thickBot="1" x14ac:dyDescent="0.3">
      <c r="A100" s="249"/>
      <c r="B100" s="249"/>
      <c r="C100" s="249"/>
      <c r="D100" s="249"/>
      <c r="E100" s="249"/>
    </row>
    <row r="101" spans="1:24" ht="6.75" customHeight="1" outlineLevel="1" x14ac:dyDescent="0.25">
      <c r="A101" s="249"/>
      <c r="B101" s="249"/>
      <c r="C101" s="249"/>
      <c r="D101" s="249"/>
      <c r="E101" s="249"/>
      <c r="G101" s="415" t="str">
        <f>"TERMS &amp; CONDITIONS: "&amp;VLOOKUP(B68,'T&amp;C'!A1:B3,2,FALSE)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1" s="416"/>
      <c r="I101" s="416"/>
      <c r="J101" s="416"/>
      <c r="K101" s="416"/>
      <c r="L101" s="416"/>
      <c r="M101" s="416"/>
      <c r="N101" s="416"/>
      <c r="O101" s="416"/>
      <c r="P101" s="416"/>
      <c r="Q101" s="416"/>
      <c r="R101" s="416"/>
      <c r="S101" s="416"/>
      <c r="T101" s="416"/>
      <c r="U101" s="416"/>
      <c r="V101" s="417"/>
    </row>
    <row r="102" spans="1:24" ht="9.75" customHeight="1" outlineLevel="1" x14ac:dyDescent="0.25">
      <c r="A102" s="249"/>
      <c r="B102" s="249"/>
      <c r="C102" s="249"/>
      <c r="D102" s="249"/>
      <c r="E102" s="249"/>
      <c r="G102" s="418"/>
      <c r="H102" s="419"/>
      <c r="I102" s="419"/>
      <c r="J102" s="419"/>
      <c r="K102" s="419"/>
      <c r="L102" s="419"/>
      <c r="M102" s="419"/>
      <c r="N102" s="419"/>
      <c r="O102" s="419"/>
      <c r="P102" s="419"/>
      <c r="Q102" s="419"/>
      <c r="R102" s="419"/>
      <c r="S102" s="419"/>
      <c r="T102" s="419"/>
      <c r="U102" s="419"/>
      <c r="V102" s="420"/>
    </row>
    <row r="103" spans="1:24" ht="13.5" customHeight="1" outlineLevel="1" x14ac:dyDescent="0.25">
      <c r="A103" s="249"/>
      <c r="B103" s="249"/>
      <c r="C103" s="249"/>
      <c r="D103" s="249"/>
      <c r="E103" s="249"/>
      <c r="G103" s="418"/>
      <c r="H103" s="419"/>
      <c r="I103" s="419"/>
      <c r="J103" s="419"/>
      <c r="K103" s="419"/>
      <c r="L103" s="419"/>
      <c r="M103" s="419"/>
      <c r="N103" s="419"/>
      <c r="O103" s="419"/>
      <c r="P103" s="419"/>
      <c r="Q103" s="419"/>
      <c r="R103" s="419"/>
      <c r="S103" s="419"/>
      <c r="T103" s="419"/>
      <c r="U103" s="419"/>
      <c r="V103" s="420"/>
    </row>
    <row r="104" spans="1:24" ht="13.5" customHeight="1" outlineLevel="1" x14ac:dyDescent="0.25">
      <c r="A104" s="249"/>
      <c r="B104" s="249"/>
      <c r="C104" s="249"/>
      <c r="D104" s="249"/>
      <c r="E104" s="249"/>
      <c r="G104" s="418"/>
      <c r="H104" s="419"/>
      <c r="I104" s="419"/>
      <c r="J104" s="419"/>
      <c r="K104" s="419"/>
      <c r="L104" s="419"/>
      <c r="M104" s="419"/>
      <c r="N104" s="419"/>
      <c r="O104" s="419"/>
      <c r="P104" s="419"/>
      <c r="Q104" s="419"/>
      <c r="R104" s="419"/>
      <c r="S104" s="419"/>
      <c r="T104" s="419"/>
      <c r="U104" s="419"/>
      <c r="V104" s="420"/>
    </row>
    <row r="105" spans="1:24" ht="13.5" customHeight="1" outlineLevel="1" x14ac:dyDescent="0.25">
      <c r="A105" s="249"/>
      <c r="B105" s="249"/>
      <c r="C105" s="249"/>
      <c r="D105" s="249"/>
      <c r="E105" s="249"/>
      <c r="G105" s="418"/>
      <c r="H105" s="419"/>
      <c r="I105" s="419"/>
      <c r="J105" s="419"/>
      <c r="K105" s="419"/>
      <c r="L105" s="419"/>
      <c r="M105" s="419"/>
      <c r="N105" s="419"/>
      <c r="O105" s="419"/>
      <c r="P105" s="419"/>
      <c r="Q105" s="419"/>
      <c r="R105" s="419"/>
      <c r="S105" s="419"/>
      <c r="T105" s="419"/>
      <c r="U105" s="419"/>
      <c r="V105" s="420"/>
    </row>
    <row r="106" spans="1:24" ht="6" customHeight="1" outlineLevel="1" thickBot="1" x14ac:dyDescent="0.3">
      <c r="A106" s="249"/>
      <c r="B106" s="249"/>
      <c r="C106" s="249"/>
      <c r="D106" s="249"/>
      <c r="E106" s="249"/>
      <c r="G106" s="425"/>
      <c r="H106" s="426"/>
      <c r="I106" s="426"/>
      <c r="J106" s="426"/>
      <c r="K106" s="426"/>
      <c r="L106" s="426"/>
      <c r="M106" s="426"/>
      <c r="N106" s="426"/>
      <c r="O106" s="426"/>
      <c r="P106" s="426"/>
      <c r="Q106" s="426"/>
      <c r="R106" s="426"/>
      <c r="S106" s="426"/>
      <c r="T106" s="426"/>
      <c r="U106" s="426"/>
      <c r="V106" s="427"/>
    </row>
    <row r="107" spans="1:24" ht="23.45" customHeight="1" outlineLevel="1" thickTop="1" thickBot="1" x14ac:dyDescent="0.3">
      <c r="A107" s="13" t="str">
        <f>'Blank Quote'!$A1</f>
        <v>Pricing Type</v>
      </c>
      <c r="B107" s="14" t="str">
        <f>'Blank Quote'!B1</f>
        <v>App CA Private</v>
      </c>
      <c r="C107" s="396" t="s">
        <v>57</v>
      </c>
      <c r="D107" s="392"/>
      <c r="E107" s="15" t="str">
        <f>VLOOKUP(B107,'Pricing Model'!A1:C21,3)</f>
        <v>Discount Based</v>
      </c>
    </row>
    <row r="108" spans="1:24" ht="18" customHeight="1" outlineLevel="1" thickBot="1" x14ac:dyDescent="0.3">
      <c r="A108" s="17" t="str">
        <f>'Blank Quote'!$A2</f>
        <v>Company / Agency</v>
      </c>
      <c r="B108" s="18" t="str">
        <f>'Blank Quote'!B2</f>
        <v>Command International Security Services</v>
      </c>
      <c r="C108" s="397" t="s">
        <v>59</v>
      </c>
      <c r="D108" s="394"/>
      <c r="E108" s="252">
        <f>IF(E107="Discount Based", VLOOKUP(B107,'Pricing Model'!A1:D21,4), "")</f>
        <v>0.2</v>
      </c>
      <c r="P108" s="398" t="s">
        <v>139</v>
      </c>
      <c r="Q108" s="398"/>
      <c r="R108" s="398"/>
      <c r="S108" s="398"/>
      <c r="T108" s="398"/>
      <c r="U108" s="398"/>
    </row>
    <row r="109" spans="1:24" ht="18" customHeight="1" outlineLevel="1" x14ac:dyDescent="0.25">
      <c r="A109" s="17" t="str">
        <f>'Blank Quote'!$A3</f>
        <v>Billing Contact</v>
      </c>
      <c r="B109" s="18" t="str">
        <f>'Blank Quote'!B3</f>
        <v>Amira Hossain</v>
      </c>
      <c r="C109" s="397" t="s">
        <v>62</v>
      </c>
      <c r="D109" s="394"/>
      <c r="E109" s="252">
        <f>IF(E107="Discount Based", VLOOKUP(B107,'Pricing Model'!A1:E21,5), "")</f>
        <v>0.44</v>
      </c>
      <c r="N109" s="265" t="str">
        <f>IF('Blank Quote'!$E$7&lt;&gt;"", "REPLACING", "")</f>
        <v/>
      </c>
    </row>
    <row r="110" spans="1:24" ht="18" customHeight="1" outlineLevel="1" x14ac:dyDescent="0.25">
      <c r="A110" s="20" t="str">
        <f>'Blank Quote'!$A4</f>
        <v>Contact Email | Phone</v>
      </c>
      <c r="B110" s="21" t="str">
        <f>'Blank Quote'!B4</f>
        <v>(747) 366-0211 | manny@commandinternationalsecurity.com</v>
      </c>
      <c r="C110" s="397" t="s">
        <v>64</v>
      </c>
      <c r="D110" s="394"/>
      <c r="E110" s="19" t="str">
        <f>IF(E107="Cost Based", VLOOKUP(B107,'Pricing Model'!A1:F21,6), "")</f>
        <v/>
      </c>
      <c r="G110" s="368" t="s">
        <v>65</v>
      </c>
      <c r="H110" s="368"/>
      <c r="I110" s="368"/>
      <c r="J110" s="368"/>
      <c r="K110" s="368"/>
      <c r="L110" s="368"/>
      <c r="M110" s="22"/>
      <c r="N110" s="264" t="str">
        <f>IF('Blank Quote'!$E$7&lt;&gt;"","LSID: "&amp;'Blank Quote'!$E$7, "")</f>
        <v/>
      </c>
      <c r="P110" s="367" t="s">
        <v>66</v>
      </c>
      <c r="Q110" s="367"/>
      <c r="R110" s="367"/>
      <c r="S110" s="367"/>
      <c r="T110" s="367"/>
      <c r="U110" s="367"/>
    </row>
    <row r="111" spans="1:24" ht="18" customHeight="1" outlineLevel="1" thickBot="1" x14ac:dyDescent="0.3">
      <c r="A111" s="20" t="str">
        <f>'Blank Quote'!$A5</f>
        <v>Bill To Address</v>
      </c>
      <c r="B111" s="21" t="str">
        <f>'Blank Quote'!B5</f>
        <v>MID-VALLEY PROFESSIONAL BUILDING</v>
      </c>
      <c r="C111" s="399" t="s">
        <v>68</v>
      </c>
      <c r="D111" s="391"/>
      <c r="E111" s="23" t="str">
        <f>IF(E107="Cost Based", VLOOKUP(B107,'Pricing Model'!A1:G21,7), "")</f>
        <v/>
      </c>
      <c r="G111" s="368" t="s">
        <v>69</v>
      </c>
      <c r="H111" s="368"/>
      <c r="I111" s="368"/>
      <c r="J111" s="368"/>
      <c r="K111" s="368"/>
      <c r="L111" s="368"/>
      <c r="M111" s="22"/>
    </row>
    <row r="112" spans="1:24" ht="18" customHeight="1" outlineLevel="1" thickBot="1" x14ac:dyDescent="0.3">
      <c r="A112" s="20" t="str">
        <f>'Blank Quote'!$A6</f>
        <v>City, State Zip</v>
      </c>
      <c r="B112" s="24" t="str">
        <f>'Blank Quote'!B6</f>
        <v>6819 Sepulveda Blvd, Van Nuys, CA 91405</v>
      </c>
      <c r="C112" s="25"/>
      <c r="D112" s="25"/>
      <c r="E112" s="25"/>
      <c r="G112" s="368" t="s">
        <v>70</v>
      </c>
      <c r="H112" s="368"/>
      <c r="I112" s="368"/>
      <c r="J112" s="368"/>
      <c r="K112" s="368"/>
      <c r="L112" s="368"/>
      <c r="M112" s="22"/>
      <c r="P112" s="367" t="s">
        <v>71</v>
      </c>
      <c r="Q112" s="367"/>
      <c r="R112" s="367"/>
      <c r="S112" s="367"/>
      <c r="T112" s="367"/>
      <c r="U112" s="367"/>
    </row>
    <row r="113" spans="1:28" ht="18" customHeight="1" outlineLevel="1" thickBot="1" x14ac:dyDescent="0.4">
      <c r="A113" s="17" t="str">
        <f>'Blank Quote'!$A7</f>
        <v>Shipping Contact</v>
      </c>
      <c r="B113" s="18" t="str">
        <f>'Blank Quote'!B7</f>
        <v>Amira Hossain</v>
      </c>
      <c r="C113" s="25"/>
      <c r="D113" s="25"/>
      <c r="E113" s="25"/>
      <c r="G113" s="26"/>
    </row>
    <row r="114" spans="1:28" ht="18" customHeight="1" outlineLevel="1" thickBot="1" x14ac:dyDescent="0.35">
      <c r="A114" s="20" t="str">
        <f>'Blank Quote'!$A8</f>
        <v>Ship Email | Phone</v>
      </c>
      <c r="B114" s="21" t="str">
        <f>'Blank Quote'!B8</f>
        <v>(747) 366-0211 | manny@commandinternationalsecurity.com</v>
      </c>
      <c r="C114" s="25"/>
      <c r="D114" s="25"/>
      <c r="E114" s="25"/>
      <c r="G114" s="350" t="s">
        <v>75</v>
      </c>
      <c r="H114" s="351"/>
      <c r="I114" s="351"/>
      <c r="J114" s="351"/>
      <c r="K114" s="351"/>
      <c r="L114" s="351"/>
      <c r="M114" s="352"/>
      <c r="O114" s="350" t="s">
        <v>76</v>
      </c>
      <c r="P114" s="351"/>
      <c r="Q114" s="351"/>
      <c r="R114" s="351"/>
      <c r="S114" s="351"/>
      <c r="T114" s="351"/>
      <c r="U114" s="351"/>
      <c r="V114" s="352"/>
    </row>
    <row r="115" spans="1:28" ht="18" customHeight="1" outlineLevel="1" x14ac:dyDescent="0.25">
      <c r="A115" s="20" t="str">
        <f>'Blank Quote'!$A9</f>
        <v>Ship To Address</v>
      </c>
      <c r="B115" s="21" t="str">
        <f>'Blank Quote'!B9</f>
        <v>MID-VALLEY PROFESSIONAL BUILDING</v>
      </c>
      <c r="C115" s="25"/>
      <c r="D115" s="25"/>
      <c r="E115" s="25"/>
      <c r="G115" s="353" t="str">
        <f>IF('Blank Quote'!B2="", "", 'Blank Quote'!B2)</f>
        <v>Command International Security Services</v>
      </c>
      <c r="H115" s="354"/>
      <c r="I115" s="354"/>
      <c r="J115" s="354"/>
      <c r="K115" s="354"/>
      <c r="L115" s="354"/>
      <c r="M115" s="355"/>
      <c r="O115" s="340" t="str">
        <f>IF('Blank Quote'!B2="", "", 'Blank Quote'!B2)</f>
        <v>Command International Security Services</v>
      </c>
      <c r="P115" s="341"/>
      <c r="Q115" s="341"/>
      <c r="R115" s="341"/>
      <c r="S115" s="341"/>
      <c r="T115" s="341"/>
      <c r="U115" s="341"/>
      <c r="V115" s="342"/>
    </row>
    <row r="116" spans="1:28" ht="18" customHeight="1" outlineLevel="1" thickBot="1" x14ac:dyDescent="0.3">
      <c r="A116" s="27" t="str">
        <f>'Blank Quote'!$A10</f>
        <v>City, State Zip</v>
      </c>
      <c r="B116" s="24" t="str">
        <f>'Blank Quote'!B10</f>
        <v>6819 Sepulveda Blvd, Van Nuys, CA 91405</v>
      </c>
      <c r="C116" s="25"/>
      <c r="D116" s="25"/>
      <c r="E116" s="25"/>
      <c r="G116" s="340" t="str">
        <f>IF('Blank Quote'!B3="", "", 'Blank Quote'!B3)</f>
        <v>Amira Hossain</v>
      </c>
      <c r="H116" s="341"/>
      <c r="I116" s="341"/>
      <c r="J116" s="341"/>
      <c r="K116" s="341"/>
      <c r="L116" s="341"/>
      <c r="M116" s="342"/>
      <c r="O116" s="340" t="str">
        <f>IF('Blank Quote'!B7="", "", 'Blank Quote'!B7)</f>
        <v>Amira Hossain</v>
      </c>
      <c r="P116" s="341"/>
      <c r="Q116" s="341"/>
      <c r="R116" s="341"/>
      <c r="S116" s="341"/>
      <c r="T116" s="341"/>
      <c r="U116" s="341"/>
      <c r="V116" s="342"/>
    </row>
    <row r="117" spans="1:28" ht="18" customHeight="1" outlineLevel="1" thickBot="1" x14ac:dyDescent="0.3">
      <c r="A117" s="27" t="str">
        <f>'Blank Quote'!$A11</f>
        <v>Sales Tax Rate</v>
      </c>
      <c r="B117" s="28">
        <f>'Blank Quote'!B11</f>
        <v>0</v>
      </c>
      <c r="C117" s="25"/>
      <c r="D117" s="25"/>
      <c r="E117" s="25"/>
      <c r="G117" s="340" t="str">
        <f>IF('Blank Quote'!B4="", "", 'Blank Quote'!B4)</f>
        <v>(747) 366-0211 | manny@commandinternationalsecurity.com</v>
      </c>
      <c r="H117" s="341"/>
      <c r="I117" s="341"/>
      <c r="J117" s="341"/>
      <c r="K117" s="341"/>
      <c r="L117" s="341"/>
      <c r="M117" s="342"/>
      <c r="O117" s="340" t="str">
        <f>IF('Blank Quote'!B8="", "", 'Blank Quote'!B8)</f>
        <v>(747) 366-0211 | manny@commandinternationalsecurity.com</v>
      </c>
      <c r="P117" s="341"/>
      <c r="Q117" s="341"/>
      <c r="R117" s="341"/>
      <c r="S117" s="341"/>
      <c r="T117" s="341"/>
      <c r="U117" s="341"/>
      <c r="V117" s="342"/>
    </row>
    <row r="118" spans="1:28" ht="18" customHeight="1" outlineLevel="1" thickBot="1" x14ac:dyDescent="0.3">
      <c r="A118" s="13" t="str">
        <f>'Blank Quote'!$A12</f>
        <v>Sales Rep</v>
      </c>
      <c r="B118" s="29" t="str">
        <f>'Blank Quote'!B12</f>
        <v>EC</v>
      </c>
      <c r="C118" s="25"/>
      <c r="D118" s="25"/>
      <c r="E118" s="25"/>
      <c r="G118" s="340" t="str">
        <f>IF('Blank Quote'!B5="", "", 'Blank Quote'!B5)</f>
        <v>MID-VALLEY PROFESSIONAL BUILDING</v>
      </c>
      <c r="H118" s="341"/>
      <c r="I118" s="341"/>
      <c r="J118" s="341"/>
      <c r="K118" s="341"/>
      <c r="L118" s="341"/>
      <c r="M118" s="342"/>
      <c r="O118" s="340" t="str">
        <f>IF('Blank Quote'!B9="", "", 'Blank Quote'!B9)</f>
        <v>MID-VALLEY PROFESSIONAL BUILDING</v>
      </c>
      <c r="P118" s="341"/>
      <c r="Q118" s="341"/>
      <c r="R118" s="341"/>
      <c r="S118" s="341"/>
      <c r="T118" s="341"/>
      <c r="U118" s="341"/>
      <c r="V118" s="342"/>
    </row>
    <row r="119" spans="1:28" ht="18" customHeight="1" outlineLevel="1" thickBot="1" x14ac:dyDescent="0.3">
      <c r="A119" s="13" t="str">
        <f>'Blank Quote'!$A13</f>
        <v>Shipping Method</v>
      </c>
      <c r="B119" s="30" t="str">
        <f>'Blank Quote'!B13</f>
        <v>Ground</v>
      </c>
      <c r="C119" s="25"/>
      <c r="D119" s="25"/>
      <c r="E119" s="25"/>
      <c r="G119" s="295" t="str">
        <f>IF('Blank Quote'!B6="", "", 'Blank Quote'!B6)</f>
        <v>6819 Sepulveda Blvd, Van Nuys, CA 91405</v>
      </c>
      <c r="H119" s="296"/>
      <c r="I119" s="296"/>
      <c r="J119" s="296"/>
      <c r="K119" s="296"/>
      <c r="L119" s="296"/>
      <c r="M119" s="297"/>
      <c r="O119" s="295" t="str">
        <f>IF('Blank Quote'!B10="", "", 'Blank Quote'!B10)</f>
        <v>6819 Sepulveda Blvd, Van Nuys, CA 91405</v>
      </c>
      <c r="P119" s="296"/>
      <c r="Q119" s="296"/>
      <c r="R119" s="296"/>
      <c r="S119" s="296"/>
      <c r="T119" s="296"/>
      <c r="U119" s="296"/>
      <c r="V119" s="297"/>
    </row>
    <row r="120" spans="1:28" ht="5.25" customHeight="1" outlineLevel="1" thickBot="1" x14ac:dyDescent="0.3">
      <c r="A120">
        <f>'Blank Quote'!$A14</f>
        <v>0</v>
      </c>
      <c r="B120" s="31"/>
      <c r="C120" s="25"/>
      <c r="D120" s="25"/>
      <c r="E120" s="25"/>
    </row>
    <row r="121" spans="1:28" ht="16.5" outlineLevel="1" thickBot="1" x14ac:dyDescent="0.3">
      <c r="A121" s="32" t="str">
        <f>'Blank Quote'!$A15</f>
        <v>T&amp;C</v>
      </c>
      <c r="B121" s="33" t="str">
        <f>VLOOKUP(B107,'Pricing Model'!A1:J21,10)</f>
        <v>Private</v>
      </c>
      <c r="C121" s="25"/>
      <c r="D121" s="25"/>
      <c r="E121" s="25"/>
      <c r="G121" s="293" t="s">
        <v>85</v>
      </c>
      <c r="H121" s="294"/>
      <c r="I121" s="293" t="s">
        <v>86</v>
      </c>
      <c r="J121" s="361"/>
      <c r="K121" s="294"/>
      <c r="L121" s="293" t="s">
        <v>87</v>
      </c>
      <c r="M121" s="361"/>
      <c r="N121" s="294"/>
      <c r="O121" s="293" t="s">
        <v>88</v>
      </c>
      <c r="P121" s="294"/>
      <c r="Q121" s="293" t="s">
        <v>89</v>
      </c>
      <c r="R121" s="294"/>
      <c r="S121" s="298" t="s">
        <v>90</v>
      </c>
      <c r="T121" s="299"/>
      <c r="U121" s="299"/>
      <c r="V121" s="300"/>
    </row>
    <row r="122" spans="1:28" ht="15.75" outlineLevel="1" thickBot="1" x14ac:dyDescent="0.3">
      <c r="A122" s="34" t="str">
        <f>'Blank Quote'!$A16</f>
        <v>Contract Number</v>
      </c>
      <c r="B122" s="33">
        <f>VLOOKUP(B107,'Pricing Model'!A1:H21,8)</f>
        <v>0</v>
      </c>
      <c r="C122" s="25"/>
      <c r="D122" s="25"/>
      <c r="E122" s="25"/>
      <c r="G122" s="362">
        <f ca="1">TODAY()</f>
        <v>45140</v>
      </c>
      <c r="H122" s="363"/>
      <c r="I122" s="364">
        <f ca="1">NOW()</f>
        <v>45140.445939351855</v>
      </c>
      <c r="J122" s="365"/>
      <c r="K122" s="366"/>
      <c r="L122" s="301" t="str">
        <f>'CA Multi Tenprint'!B118</f>
        <v>EC</v>
      </c>
      <c r="M122" s="302"/>
      <c r="N122" s="303"/>
      <c r="O122" s="301" t="str">
        <f>VLOOKUP(B107,'Pricing Model'!A1:I21,9)</f>
        <v>Due on Rcpt</v>
      </c>
      <c r="P122" s="303"/>
      <c r="Q122" s="301" t="str">
        <f>B119</f>
        <v>Ground</v>
      </c>
      <c r="R122" s="302"/>
      <c r="S122" s="301" t="str">
        <f>IF(B122&lt;&gt;0,B122,"")</f>
        <v/>
      </c>
      <c r="T122" s="302"/>
      <c r="U122" s="302"/>
      <c r="V122" s="303"/>
    </row>
    <row r="123" spans="1:28" ht="5.25" customHeight="1" outlineLevel="1" thickBot="1" x14ac:dyDescent="0.3">
      <c r="D123" s="35"/>
    </row>
    <row r="124" spans="1:28" ht="17.25" thickTop="1" thickBot="1" x14ac:dyDescent="0.3">
      <c r="A124" s="36" t="s">
        <v>92</v>
      </c>
      <c r="B124" s="37" t="s">
        <v>93</v>
      </c>
      <c r="C124" s="38" t="s">
        <v>94</v>
      </c>
      <c r="D124" s="38" t="s">
        <v>95</v>
      </c>
      <c r="E124" s="39" t="s">
        <v>96</v>
      </c>
      <c r="G124" s="347" t="s">
        <v>92</v>
      </c>
      <c r="H124" s="348"/>
      <c r="I124" s="349" t="s">
        <v>93</v>
      </c>
      <c r="J124" s="349"/>
      <c r="K124" s="349"/>
      <c r="L124" s="349"/>
      <c r="M124" s="349"/>
      <c r="N124" s="349"/>
      <c r="O124" s="349"/>
      <c r="P124" s="349"/>
      <c r="Q124" s="97" t="s">
        <v>94</v>
      </c>
      <c r="R124" s="349" t="s">
        <v>97</v>
      </c>
      <c r="S124" s="349"/>
      <c r="T124" s="349" t="s">
        <v>98</v>
      </c>
      <c r="U124" s="349"/>
      <c r="V124" s="40" t="s">
        <v>99</v>
      </c>
      <c r="X124" s="97" t="s">
        <v>100</v>
      </c>
      <c r="Y124" s="97" t="s">
        <v>101</v>
      </c>
      <c r="Z124" s="97" t="s">
        <v>102</v>
      </c>
      <c r="AA124" s="97" t="s">
        <v>103</v>
      </c>
      <c r="AB124" s="97" t="s">
        <v>104</v>
      </c>
    </row>
    <row r="125" spans="1:28" s="1" customFormat="1" ht="30" customHeight="1" x14ac:dyDescent="0.25">
      <c r="A125" s="41" t="str">
        <f>IF(B125&lt;&gt;"",VLOOKUP(B125,'Raw BOM'!$A$3:$B$495,2,FALSE),IF(E125&lt;&gt;"","Misc",""))</f>
        <v>HW-LT-Std-Home</v>
      </c>
      <c r="B125" s="42" t="str">
        <f>IF('Blank Quote'!B19&lt;&gt;"", 'Blank Quote'!B19, "")</f>
        <v>Hardware-Laptop-Standard with Windows Home Edition</v>
      </c>
      <c r="C125" s="43">
        <f>IF('Blank Quote'!C19&lt;&gt;"", 'Blank Quote'!C19, "")</f>
        <v>1</v>
      </c>
      <c r="D125" s="44"/>
      <c r="E125" s="45" t="str">
        <f>IF('Blank Quote'!E19&lt;&gt;"", 'Blank Quote'!E19, "")</f>
        <v>Standard with Windows 11</v>
      </c>
      <c r="F125"/>
      <c r="G125" s="374" t="str">
        <f t="shared" ref="G125:G145" si="34">A125</f>
        <v>HW-LT-Std-Home</v>
      </c>
      <c r="H125" s="375"/>
      <c r="I125" s="376" t="str">
        <f t="shared" ref="I125:I139" si="35">IF(B125&lt;&gt;"", B125, "")&amp;IF(E125&lt;&gt;"", "   *** "&amp;E125, "")</f>
        <v>Hardware-Laptop-Standard with Windows Home Edition   *** Standard with Windows 11</v>
      </c>
      <c r="J125" s="376"/>
      <c r="K125" s="376" t="str">
        <f t="shared" ref="K125:K145" si="36">E125</f>
        <v>Standard with Windows 11</v>
      </c>
      <c r="L125" s="376"/>
      <c r="M125" s="376" t="str">
        <f t="shared" ref="M125:M145" si="37">G125</f>
        <v>HW-LT-Std-Home</v>
      </c>
      <c r="N125" s="376"/>
      <c r="O125" s="376" t="str">
        <f t="shared" ref="O125:O145" si="38">I125</f>
        <v>Hardware-Laptop-Standard with Windows Home Edition   *** Standard with Windows 11</v>
      </c>
      <c r="P125" s="376"/>
      <c r="Q125" s="98">
        <f t="shared" ref="Q125:Q145" si="39">IF(C125="", "", C125)</f>
        <v>1</v>
      </c>
      <c r="R125" s="319">
        <f>IF(C125="", "",IF(D125&gt;0,D125,
IF($E$107="NY Contract", VLOOKUP(B125,'Raw BOM'!$A$3:$G$495,7,FALSE),
IF($E$107="FL Contract", VLOOKUP(B125,'Raw BOM'!$A$3:$I$495,8,FALSE),
IF($E$107="LA Contract", VLOOKUP(B125,'Raw BOM'!$A$3:$K$495,9,FALSE),
IF($E$107="WA Contract", VLOOKUP(B125,'Raw BOM'!$A$3:$M$495,10,FALSE),
VLOOKUP(B125,'Raw BOM'!$A$3:$D$495,4,FALSE)))))))</f>
        <v>750</v>
      </c>
      <c r="S125" s="319" t="str">
        <f t="shared" ref="S125:S145" si="40">M125</f>
        <v>HW-LT-Std-Home</v>
      </c>
      <c r="T125" s="319">
        <f t="shared" ref="T125:T145" si="41">IF(C125="", "", Q125*R125)</f>
        <v>750</v>
      </c>
      <c r="U125" s="319" t="str">
        <f t="shared" ref="U125:U145" si="42">O125</f>
        <v>Hardware-Laptop-Standard with Windows Home Edition   *** Standard with Windows 11</v>
      </c>
      <c r="V125" s="46" t="str">
        <f>IF(C125="","", VLOOKUP(B125,'Raw BOM'!$A$3:$F$495,6,FALSE))</f>
        <v>Yes</v>
      </c>
      <c r="X125" s="47">
        <f t="shared" ref="X125:X145" si="43">IF(AND(V125="Yes", Q125&lt;&gt;0), (T125-Y125)*$B$117, 0)</f>
        <v>0</v>
      </c>
      <c r="Y125" s="198">
        <f>ROUND(
IF(AND(C125&lt;&gt;"", D125="", V125="Yes"),
     IF($E$107="Discount Based",
         R125*IF(OR(LEFT(A125,2)="HW", LEFT(A125,12)="CMS-Hardware"),
              $E$108,
              IF(AND(LEFT(A125,3)="Sys", LEFT(A125,4)&lt;&gt;"Ship"),
                   ($E$108+$E$109)/2,
                    0)),
         IF($E$107="Cost Based",
              IF(OR(LEFT(A125,2)="HW", LEFT(A125,12)="CMS-Hardware"),
                   R125-(1+$E$110)*VLOOKUP(B125,'Raw BOM'!$A$3:$E$492,5,FALSE),
              IF(AND(LEFT(A125,3)="Sys", LEFT(A125,4)&lt;&gt;"Ship"),
                   R125-(1+($E$110+$E$111)/2)*VLOOKUP(B125,'Raw BOM'!$A$3:$E$492,5,FALSE),
                   0))))),2)</f>
        <v>150</v>
      </c>
      <c r="Z125" s="47">
        <f>ROUND(
IF(AND(C125&lt;&gt;"", D125="", V125="No"),
     IF($E$107="Discount Based",
         R125*IF(AND(LEFT(A125,2)&lt;&gt;"HW", LEFT(A125,12)&lt;&gt;"CMS-Hardware",LEFT(A125,3)&lt;&gt;"Sys", LEFT(A125,4)&lt;&gt;"Ship"),
                   $E$109,0),
     IF($E$107="Cost Based",
          IF(AND(LEFT(A125,2)&lt;&gt;"HW", LEFT(A125,12)&lt;&gt;"CMS-Hardware",LEFT(A125,3)&lt;&gt;"Sys", LEFT(A125,4)&lt;&gt;"Ship"),
               R125-(1+$E$110)*VLOOKUP(B125,'Raw BOM'!$A$3:$E$492,5,FALSE),0),0)),0),2)</f>
        <v>0</v>
      </c>
      <c r="AA125" s="48">
        <f t="shared" ref="AA125:AA141" si="44">ROUND(IF(AND(Y125&gt;0, Y125&lt;&gt;"", D125=""),Q125*Y125,0), 2)</f>
        <v>150</v>
      </c>
      <c r="AB125" s="48">
        <f t="shared" ref="AB125:AB141" si="45">ROUND(IF(AND(Z125&lt;&gt;"",Z125&gt;0, D125=""),Q125*Z125,0),2)</f>
        <v>0</v>
      </c>
    </row>
    <row r="126" spans="1:28" s="1" customFormat="1" ht="30" customHeight="1" x14ac:dyDescent="0.25">
      <c r="A126" s="41" t="str">
        <f>IF(B126&lt;&gt;"",VLOOKUP(B126,'Raw BOM'!$A$3:$B$495,2,FALSE),IF(E126&lt;&gt;"","Misc",""))</f>
        <v>LS4G-Applicant-CA</v>
      </c>
      <c r="B126" s="42" t="str">
        <f>IF('Blank Quote'!B20&lt;&gt;"", 'Blank Quote'!B20, "")</f>
        <v>LiveScan 4th Gen Software-Applicant CA TOT Module</v>
      </c>
      <c r="C126" s="43">
        <f>IF('Blank Quote'!C20&lt;&gt;"", 'Blank Quote'!C20, "")</f>
        <v>1</v>
      </c>
      <c r="D126" s="44"/>
      <c r="E126" s="45" t="str">
        <f>IF('Blank Quote'!E20&lt;&gt;"", 'Blank Quote'!E20, "")</f>
        <v/>
      </c>
      <c r="F126"/>
      <c r="G126" s="315" t="str">
        <f t="shared" si="34"/>
        <v>LS4G-Applicant-CA</v>
      </c>
      <c r="H126" s="316"/>
      <c r="I126" s="317" t="str">
        <f t="shared" si="35"/>
        <v>LiveScan 4th Gen Software-Applicant CA TOT Module</v>
      </c>
      <c r="J126" s="317"/>
      <c r="K126" s="317" t="str">
        <f t="shared" si="36"/>
        <v/>
      </c>
      <c r="L126" s="317"/>
      <c r="M126" s="317" t="str">
        <f t="shared" si="37"/>
        <v>LS4G-Applicant-CA</v>
      </c>
      <c r="N126" s="317"/>
      <c r="O126" s="317" t="str">
        <f t="shared" si="38"/>
        <v>LiveScan 4th Gen Software-Applicant CA TOT Module</v>
      </c>
      <c r="P126" s="317"/>
      <c r="Q126" s="99">
        <f t="shared" si="39"/>
        <v>1</v>
      </c>
      <c r="R126" s="318">
        <f>IF(C126="", "",IF(D126&gt;0,D126,
IF($E$107="NY Contract", VLOOKUP(B126,'Raw BOM'!$A$3:$G$495,7,FALSE),
IF($E$107="FL Contract", VLOOKUP(B126,'Raw BOM'!$A$3:$I$495,8,FALSE),
IF($E$107="LA Contract", VLOOKUP(B126,'Raw BOM'!$A$3:$K$495,9,FALSE),
IF($E$107="WA Contract", VLOOKUP(B126,'Raw BOM'!$A$3:$M$495,10,FALSE),
VLOOKUP(B126,'Raw BOM'!$A$3:$D$495,4,FALSE)))))))</f>
        <v>1340</v>
      </c>
      <c r="S126" s="318" t="str">
        <f t="shared" si="40"/>
        <v>LS4G-Applicant-CA</v>
      </c>
      <c r="T126" s="318">
        <f t="shared" si="41"/>
        <v>1340</v>
      </c>
      <c r="U126" s="318" t="str">
        <f t="shared" si="42"/>
        <v>LiveScan 4th Gen Software-Applicant CA TOT Module</v>
      </c>
      <c r="V126" s="49" t="str">
        <f>IF(C126="","", VLOOKUP(B126,'Raw BOM'!$A$3:$F$495,6,FALSE))</f>
        <v>No</v>
      </c>
      <c r="X126" s="47">
        <f t="shared" si="43"/>
        <v>0</v>
      </c>
      <c r="Y126" s="198">
        <f>ROUND(
IF(AND(C126&lt;&gt;"", D126="", V126="Yes"),
     IF($E$107="Discount Based",
         R126*IF(OR(LEFT(A126,2)="HW", LEFT(A126,12)="CMS-Hardware"),
              $E$108,
              IF(AND(LEFT(A126,3)="Sys", LEFT(A126,4)&lt;&gt;"Ship"),
                   ($E$108+$E$109)/2,
                    0)),
         IF($E$107="Cost Based",
              IF(OR(LEFT(A126,2)="HW", LEFT(A126,12)="CMS-Hardware"),
                   R126-(1+$E$110)*VLOOKUP(B126,'Raw BOM'!$A$3:$E$492,5,FALSE),
              IF(AND(LEFT(A126,3)="Sys", LEFT(A126,4)&lt;&gt;"Ship"),
                   R126-(1+($E$110+$E$111)/2)*VLOOKUP(B126,'Raw BOM'!$A$3:$E$492,5,FALSE),
                   0))))),2)</f>
        <v>0</v>
      </c>
      <c r="Z126" s="47">
        <f>ROUND(
IF(AND(C126&lt;&gt;"", D126="", V126="No"),
     IF($E$107="Discount Based",
         R126*IF(AND(LEFT(A126,2)&lt;&gt;"HW", LEFT(A126,12)&lt;&gt;"CMS-Hardware",LEFT(A126,3)&lt;&gt;"Sys", LEFT(A126,4)&lt;&gt;"Ship"),
                   $E$109,0),
     IF($E$107="Cost Based",
          IF(AND(LEFT(A126,2)&lt;&gt;"HW", LEFT(A126,12)&lt;&gt;"CMS-Hardware",LEFT(A126,3)&lt;&gt;"Sys", LEFT(A126,4)&lt;&gt;"Ship"),
               R126-(1+$E$110)*VLOOKUP(B126,'Raw BOM'!$A$3:$E$492,5,FALSE),0),0)),0),2)</f>
        <v>589.6</v>
      </c>
      <c r="AA126" s="48">
        <f t="shared" si="44"/>
        <v>0</v>
      </c>
      <c r="AB126" s="48">
        <f t="shared" si="45"/>
        <v>589.6</v>
      </c>
    </row>
    <row r="127" spans="1:28" s="1" customFormat="1" ht="30" customHeight="1" x14ac:dyDescent="0.25">
      <c r="A127" s="184" t="str">
        <f>IF(B127&lt;&gt;"",VLOOKUP(B127,'Raw BOM'!$A$3:$B$495,2,FALSE),IF(E127&lt;&gt;"","Misc",""))</f>
        <v>HW-Scan-Kojak</v>
      </c>
      <c r="B127" s="185" t="s">
        <v>141</v>
      </c>
      <c r="C127" s="186">
        <f>IF('Blank Quote'!C21&lt;&gt;"", 'Blank Quote'!C21, "")</f>
        <v>1</v>
      </c>
      <c r="D127" s="187"/>
      <c r="E127" s="188" t="str">
        <f>IF('Blank Quote'!E21&lt;&gt;"", 'Blank Quote'!E21, "")</f>
        <v/>
      </c>
      <c r="F127" s="189"/>
      <c r="G127" s="407" t="str">
        <f t="shared" si="34"/>
        <v>HW-Scan-Kojak</v>
      </c>
      <c r="H127" s="408"/>
      <c r="I127" s="409" t="str">
        <f t="shared" si="35"/>
        <v>Hardware-Scanner-IBT Kojak</v>
      </c>
      <c r="J127" s="410"/>
      <c r="K127" s="410" t="str">
        <f t="shared" si="36"/>
        <v/>
      </c>
      <c r="L127" s="410"/>
      <c r="M127" s="410" t="str">
        <f t="shared" si="37"/>
        <v>HW-Scan-Kojak</v>
      </c>
      <c r="N127" s="410"/>
      <c r="O127" s="410" t="str">
        <f t="shared" si="38"/>
        <v>Hardware-Scanner-IBT Kojak</v>
      </c>
      <c r="P127" s="411"/>
      <c r="Q127" s="190">
        <f t="shared" si="39"/>
        <v>1</v>
      </c>
      <c r="R127" s="412">
        <f>IF(C127="", "",IF(D127&gt;0,D127,
IF($E$107="NY Contract", VLOOKUP(B127,'Raw BOM'!$A$3:$G$495,7,FALSE),
IF($E$107="FL Contract", VLOOKUP(B127,'Raw BOM'!$A$3:$I$495,8,FALSE),
IF($E$107="LA Contract", VLOOKUP(B127,'Raw BOM'!$A$3:$K$495,9,FALSE),
IF($E$107="WA Contract", VLOOKUP(B127,'Raw BOM'!$A$3:$M$495,10,FALSE),
VLOOKUP(B127,'Raw BOM'!$A$3:$D$495,4,FALSE)))))))</f>
        <v>1220</v>
      </c>
      <c r="S127" s="413" t="str">
        <f t="shared" si="40"/>
        <v>HW-Scan-Kojak</v>
      </c>
      <c r="T127" s="412">
        <f t="shared" si="41"/>
        <v>1220</v>
      </c>
      <c r="U127" s="413" t="str">
        <f t="shared" si="42"/>
        <v>Hardware-Scanner-IBT Kojak</v>
      </c>
      <c r="V127" s="191" t="str">
        <f>IF(C127="","", VLOOKUP(B127,'Raw BOM'!$A$3:$F$495,6,FALSE))</f>
        <v>Yes</v>
      </c>
      <c r="X127" s="47">
        <f t="shared" si="43"/>
        <v>0</v>
      </c>
      <c r="Y127" s="198">
        <f>ROUND(
IF(AND(C127&lt;&gt;"", D127="", V127="Yes"),
     IF($E$107="Discount Based",
         R127*IF(OR(LEFT(A127,2)="HW", LEFT(A127,12)="CMS-Hardware"),
              $E$108,
              IF(AND(LEFT(A127,3)="Sys", LEFT(A127,4)&lt;&gt;"Ship"),
                   ($E$108+$E$109)/2,
                    0)),
         IF($E$107="Cost Based",
              IF(OR(LEFT(A127,2)="HW", LEFT(A127,12)="CMS-Hardware"),
                   R127-(1+$E$110)*VLOOKUP(B127,'Raw BOM'!$A$3:$E$492,5,FALSE),
              IF(AND(LEFT(A127,3)="Sys", LEFT(A127,4)&lt;&gt;"Ship"),
                   R127-(1+($E$110+$E$111)/2)*VLOOKUP(B127,'Raw BOM'!$A$3:$E$492,5,FALSE),
                   0))))),2)</f>
        <v>244</v>
      </c>
      <c r="Z127" s="47">
        <f>ROUND(
IF(AND(C127&lt;&gt;"", D127="", V127="No"),
     IF($E$107="Discount Based",
         R127*IF(AND(LEFT(A127,2)&lt;&gt;"HW", LEFT(A127,12)&lt;&gt;"CMS-Hardware",LEFT(A127,3)&lt;&gt;"Sys", LEFT(A127,4)&lt;&gt;"Ship"),
                   $E$109,0),
     IF($E$107="Cost Based",
          IF(AND(LEFT(A127,2)&lt;&gt;"HW", LEFT(A127,12)&lt;&gt;"CMS-Hardware",LEFT(A127,3)&lt;&gt;"Sys", LEFT(A127,4)&lt;&gt;"Ship"),
               R127-(1+$E$110)*VLOOKUP(B127,'Raw BOM'!$A$3:$E$492,5,FALSE),0),0)),0),2)</f>
        <v>0</v>
      </c>
      <c r="AA127" s="48">
        <f t="shared" si="44"/>
        <v>244</v>
      </c>
      <c r="AB127" s="48">
        <f t="shared" si="45"/>
        <v>0</v>
      </c>
    </row>
    <row r="128" spans="1:28" s="1" customFormat="1" ht="30" customHeight="1" x14ac:dyDescent="0.25">
      <c r="A128" s="41" t="str">
        <f>IF(B128&lt;&gt;"",VLOOKUP(B128,'Raw BOM'!$A$3:$B$495,2,FALSE),IF(E128&lt;&gt;"","Misc",""))</f>
        <v/>
      </c>
      <c r="B128" s="42" t="str">
        <f>IF('Blank Quote'!B22&lt;&gt;"", 'Blank Quote'!B22, "")</f>
        <v/>
      </c>
      <c r="C128" s="43" t="str">
        <f>IF('Blank Quote'!C22&lt;&gt;"", 'Blank Quote'!C22, "")</f>
        <v/>
      </c>
      <c r="D128" s="44"/>
      <c r="E128" s="45" t="str">
        <f>IF('Blank Quote'!E22&lt;&gt;"", 'Blank Quote'!E22, "")</f>
        <v/>
      </c>
      <c r="F128"/>
      <c r="G128" s="400" t="str">
        <f t="shared" si="34"/>
        <v/>
      </c>
      <c r="H128" s="401"/>
      <c r="I128" s="402" t="str">
        <f t="shared" si="35"/>
        <v/>
      </c>
      <c r="J128" s="403"/>
      <c r="K128" s="403" t="str">
        <f t="shared" si="36"/>
        <v/>
      </c>
      <c r="L128" s="403"/>
      <c r="M128" s="403" t="str">
        <f t="shared" si="37"/>
        <v/>
      </c>
      <c r="N128" s="403"/>
      <c r="O128" s="403" t="str">
        <f t="shared" si="38"/>
        <v/>
      </c>
      <c r="P128" s="404"/>
      <c r="Q128" s="99" t="str">
        <f t="shared" si="39"/>
        <v/>
      </c>
      <c r="R128" s="405" t="str">
        <f>IF(C128="", "",IF(D128&gt;0,D128,
IF($E$107="NY Contract", VLOOKUP(B128,'Raw BOM'!$A$3:$G$495,7,FALSE),
IF($E$107="FL Contract", VLOOKUP(B128,'Raw BOM'!$A$3:$I$495,8,FALSE),
IF($E$107="LA Contract", VLOOKUP(B128,'Raw BOM'!$A$3:$K$495,9,FALSE),
IF($E$107="WA Contract", VLOOKUP(B128,'Raw BOM'!$A$3:$M$495,10,FALSE),
VLOOKUP(B128,'Raw BOM'!$A$3:$D$495,4,FALSE)))))))</f>
        <v/>
      </c>
      <c r="S128" s="406" t="str">
        <f t="shared" si="40"/>
        <v/>
      </c>
      <c r="T128" s="405" t="str">
        <f t="shared" si="41"/>
        <v/>
      </c>
      <c r="U128" s="406" t="str">
        <f t="shared" si="42"/>
        <v/>
      </c>
      <c r="V128" s="49" t="str">
        <f>IF(C128="","", VLOOKUP(B128,'Raw BOM'!$A$3:$F$495,6,FALSE))</f>
        <v/>
      </c>
      <c r="X128" s="47">
        <f t="shared" si="43"/>
        <v>0</v>
      </c>
      <c r="Y128" s="198">
        <f>ROUND(
IF(AND(C128&lt;&gt;"", D128="", V128="Yes"),
     IF($E$107="Discount Based",
         R128*IF(OR(LEFT(A128,2)="HW", LEFT(A128,12)="CMS-Hardware"),
              $E$108,
              IF(AND(LEFT(A128,3)="Sys", LEFT(A128,4)&lt;&gt;"Ship"),
                   ($E$108+$E$109)/2,
                    0)),
         IF($E$107="Cost Based",
              IF(OR(LEFT(A128,2)="HW", LEFT(A128,12)="CMS-Hardware"),
                   R128-(1+$E$110)*VLOOKUP(B128,'Raw BOM'!$A$3:$E$492,5,FALSE),
              IF(AND(LEFT(A128,3)="Sys", LEFT(A128,4)&lt;&gt;"Ship"),
                   R128-(1+($E$110+$E$111)/2)*VLOOKUP(B128,'Raw BOM'!$A$3:$E$492,5,FALSE),
                   0))))),2)</f>
        <v>0</v>
      </c>
      <c r="Z128" s="47">
        <f>ROUND(
IF(AND(C128&lt;&gt;"", D128="", V128="No"),
     IF($E$107="Discount Based",
         R128*IF(AND(LEFT(A128,2)&lt;&gt;"HW", LEFT(A128,12)&lt;&gt;"CMS-Hardware",LEFT(A128,3)&lt;&gt;"Sys", LEFT(A128,4)&lt;&gt;"Ship"),
                   $E$109,0),
     IF($E$107="Cost Based",
          IF(AND(LEFT(A128,2)&lt;&gt;"HW", LEFT(A128,12)&lt;&gt;"CMS-Hardware",LEFT(A128,3)&lt;&gt;"Sys", LEFT(A128,4)&lt;&gt;"Ship"),
               R128-(1+$E$110)*VLOOKUP(B128,'Raw BOM'!$A$3:$E$492,5,FALSE),0),0)),0),2)</f>
        <v>0</v>
      </c>
      <c r="AA128" s="48">
        <f t="shared" si="44"/>
        <v>0</v>
      </c>
      <c r="AB128" s="48">
        <f t="shared" si="45"/>
        <v>0</v>
      </c>
    </row>
    <row r="129" spans="1:28" s="1" customFormat="1" ht="30" customHeight="1" x14ac:dyDescent="0.25">
      <c r="A129" s="41" t="str">
        <f>IF(B129&lt;&gt;"",VLOOKUP(B129,'Raw BOM'!$A$3:$B$495,2,FALSE),IF(E129&lt;&gt;"","Misc",""))</f>
        <v>HW-Magtrip</v>
      </c>
      <c r="B129" s="42" t="str">
        <f>IF('Blank Quote'!B23&lt;&gt;"", 'Blank Quote'!B23, "")</f>
        <v>Hardware-Magnetic Strip Reader</v>
      </c>
      <c r="C129" s="43">
        <f>IF('Blank Quote'!C23&lt;&gt;"", 'Blank Quote'!C23, "")</f>
        <v>1</v>
      </c>
      <c r="D129" s="44"/>
      <c r="E129" s="45" t="str">
        <f>IF('Blank Quote'!E23&lt;&gt;"", 'Blank Quote'!E23, "")</f>
        <v>Auto populate personal information with a swipe of a driver's license from anywhere on the screen</v>
      </c>
      <c r="F129"/>
      <c r="G129" s="400" t="str">
        <f t="shared" si="34"/>
        <v>HW-Magtrip</v>
      </c>
      <c r="H129" s="401"/>
      <c r="I129" s="402" t="str">
        <f t="shared" si="35"/>
        <v>Hardware-Magnetic Strip Reader   *** Auto populate personal information with a swipe of a driver's license from anywhere on the screen</v>
      </c>
      <c r="J129" s="403"/>
      <c r="K129" s="403" t="str">
        <f t="shared" si="36"/>
        <v>Auto populate personal information with a swipe of a driver's license from anywhere on the screen</v>
      </c>
      <c r="L129" s="403"/>
      <c r="M129" s="403" t="str">
        <f t="shared" si="37"/>
        <v>HW-Magtrip</v>
      </c>
      <c r="N129" s="403"/>
      <c r="O129" s="403" t="str">
        <f t="shared" si="38"/>
        <v>Hardware-Magnetic Strip Reader   *** Auto populate personal information with a swipe of a driver's license from anywhere on the screen</v>
      </c>
      <c r="P129" s="404"/>
      <c r="Q129" s="99">
        <f t="shared" si="39"/>
        <v>1</v>
      </c>
      <c r="R129" s="405">
        <f>IF(C129="", "",IF(D129&gt;0,D129,
IF($E$107="NY Contract", VLOOKUP(B129,'Raw BOM'!$A$3:$G$495,7,FALSE),
IF($E$107="FL Contract", VLOOKUP(B129,'Raw BOM'!$A$3:$I$495,8,FALSE),
IF($E$107="LA Contract", VLOOKUP(B129,'Raw BOM'!$A$3:$K$495,9,FALSE),
IF($E$107="WA Contract", VLOOKUP(B129,'Raw BOM'!$A$3:$M$495,10,FALSE),
VLOOKUP(B129,'Raw BOM'!$A$3:$D$495,4,FALSE)))))))</f>
        <v>130</v>
      </c>
      <c r="S129" s="406" t="str">
        <f t="shared" si="40"/>
        <v>HW-Magtrip</v>
      </c>
      <c r="T129" s="405">
        <f t="shared" si="41"/>
        <v>130</v>
      </c>
      <c r="U129" s="406" t="str">
        <f t="shared" si="42"/>
        <v>Hardware-Magnetic Strip Reader   *** Auto populate personal information with a swipe of a driver's license from anywhere on the screen</v>
      </c>
      <c r="V129" s="49" t="str">
        <f>IF(C129="","", VLOOKUP(B129,'Raw BOM'!$A$3:$F$495,6,FALSE))</f>
        <v>Yes</v>
      </c>
      <c r="X129" s="47">
        <f t="shared" si="43"/>
        <v>0</v>
      </c>
      <c r="Y129" s="198">
        <f>ROUND(
IF(AND(C129&lt;&gt;"", D129="", V129="Yes"),
     IF($E$107="Discount Based",
         R129*IF(OR(LEFT(A129,2)="HW", LEFT(A129,12)="CMS-Hardware"),
              $E$108,
              IF(AND(LEFT(A129,3)="Sys", LEFT(A129,4)&lt;&gt;"Ship"),
                   ($E$108+$E$109)/2,
                    0)),
         IF($E$107="Cost Based",
              IF(OR(LEFT(A129,2)="HW", LEFT(A129,12)="CMS-Hardware"),
                   R129-(1+$E$110)*VLOOKUP(B129,'Raw BOM'!$A$3:$E$492,5,FALSE),
              IF(AND(LEFT(A129,3)="Sys", LEFT(A129,4)&lt;&gt;"Ship"),
                   R129-(1+($E$110+$E$111)/2)*VLOOKUP(B129,'Raw BOM'!$A$3:$E$492,5,FALSE),
                   0))))),2)</f>
        <v>26</v>
      </c>
      <c r="Z129" s="47">
        <f>ROUND(
IF(AND(C129&lt;&gt;"", D129="", V129="No"),
     IF($E$107="Discount Based",
         R129*IF(AND(LEFT(A129,2)&lt;&gt;"HW", LEFT(A129,12)&lt;&gt;"CMS-Hardware",LEFT(A129,3)&lt;&gt;"Sys", LEFT(A129,4)&lt;&gt;"Ship"),
                   $E$109,0),
     IF($E$107="Cost Based",
          IF(AND(LEFT(A129,2)&lt;&gt;"HW", LEFT(A129,12)&lt;&gt;"CMS-Hardware",LEFT(A129,3)&lt;&gt;"Sys", LEFT(A129,4)&lt;&gt;"Ship"),
               R129-(1+$E$110)*VLOOKUP(B129,'Raw BOM'!$A$3:$E$492,5,FALSE),0),0)),0),2)</f>
        <v>0</v>
      </c>
      <c r="AA129" s="48">
        <f t="shared" si="44"/>
        <v>26</v>
      </c>
      <c r="AB129" s="48">
        <f t="shared" si="45"/>
        <v>0</v>
      </c>
    </row>
    <row r="130" spans="1:28" s="1" customFormat="1" ht="30" customHeight="1" x14ac:dyDescent="0.25">
      <c r="A130" s="41" t="str">
        <f>IF(B130&lt;&gt;"",VLOOKUP(B130,'Raw BOM'!$A$3:$B$495,2,FALSE),IF(E130&lt;&gt;"","Misc",""))</f>
        <v>LS4G-IDCard</v>
      </c>
      <c r="B130" s="42" t="str">
        <f>IF('Blank Quote'!B24&lt;&gt;"", 'Blank Quote'!B24, "")</f>
        <v>LiveScan 4th Gen Software-Driver License and ID Reading software</v>
      </c>
      <c r="C130" s="43">
        <f>IF('Blank Quote'!C24&lt;&gt;"", 'Blank Quote'!C24, "")</f>
        <v>1</v>
      </c>
      <c r="D130" s="44"/>
      <c r="E130" s="45" t="str">
        <f>IF('Blank Quote'!E24&lt;&gt;"", 'Blank Quote'!E24, "")</f>
        <v/>
      </c>
      <c r="F130"/>
      <c r="G130" s="400" t="str">
        <f t="shared" si="34"/>
        <v>LS4G-IDCard</v>
      </c>
      <c r="H130" s="401"/>
      <c r="I130" s="402" t="str">
        <f t="shared" si="35"/>
        <v>LiveScan 4th Gen Software-Driver License and ID Reading software</v>
      </c>
      <c r="J130" s="403"/>
      <c r="K130" s="403" t="str">
        <f t="shared" si="36"/>
        <v/>
      </c>
      <c r="L130" s="403"/>
      <c r="M130" s="403" t="str">
        <f t="shared" si="37"/>
        <v>LS4G-IDCard</v>
      </c>
      <c r="N130" s="403"/>
      <c r="O130" s="403" t="str">
        <f t="shared" si="38"/>
        <v>LiveScan 4th Gen Software-Driver License and ID Reading software</v>
      </c>
      <c r="P130" s="404"/>
      <c r="Q130" s="99">
        <f t="shared" si="39"/>
        <v>1</v>
      </c>
      <c r="R130" s="405">
        <f>IF(C130="", "",IF(D130&gt;0,D130,
IF($E$107="NY Contract", VLOOKUP(B130,'Raw BOM'!$A$3:$G$495,7,FALSE),
IF($E$107="FL Contract", VLOOKUP(B130,'Raw BOM'!$A$3:$I$495,8,FALSE),
IF($E$107="LA Contract", VLOOKUP(B130,'Raw BOM'!$A$3:$K$495,9,FALSE),
IF($E$107="WA Contract", VLOOKUP(B130,'Raw BOM'!$A$3:$M$495,10,FALSE),
VLOOKUP(B130,'Raw BOM'!$A$3:$D$495,4,FALSE)))))))</f>
        <v>340</v>
      </c>
      <c r="S130" s="406" t="str">
        <f t="shared" si="40"/>
        <v>LS4G-IDCard</v>
      </c>
      <c r="T130" s="405">
        <f t="shared" si="41"/>
        <v>340</v>
      </c>
      <c r="U130" s="406" t="str">
        <f t="shared" si="42"/>
        <v>LiveScan 4th Gen Software-Driver License and ID Reading software</v>
      </c>
      <c r="V130" s="49" t="str">
        <f>IF(C130="","", VLOOKUP(B130,'Raw BOM'!$A$3:$F$495,6,FALSE))</f>
        <v>No</v>
      </c>
      <c r="X130" s="47">
        <f t="shared" si="43"/>
        <v>0</v>
      </c>
      <c r="Y130" s="198">
        <f>ROUND(
IF(AND(C130&lt;&gt;"", D130="", V130="Yes"),
     IF($E$107="Discount Based",
         R130*IF(OR(LEFT(A130,2)="HW", LEFT(A130,12)="CMS-Hardware"),
              $E$108,
              IF(AND(LEFT(A130,3)="Sys", LEFT(A130,4)&lt;&gt;"Ship"),
                   ($E$108+$E$109)/2,
                    0)),
         IF($E$107="Cost Based",
              IF(OR(LEFT(A130,2)="HW", LEFT(A130,12)="CMS-Hardware"),
                   R130-(1+$E$110)*VLOOKUP(B130,'Raw BOM'!$A$3:$E$492,5,FALSE),
              IF(AND(LEFT(A130,3)="Sys", LEFT(A130,4)&lt;&gt;"Ship"),
                   R130-(1+($E$110+$E$111)/2)*VLOOKUP(B130,'Raw BOM'!$A$3:$E$492,5,FALSE),
                   0))))),2)</f>
        <v>0</v>
      </c>
      <c r="Z130" s="47">
        <f>ROUND(
IF(AND(C130&lt;&gt;"", D130="", V130="No"),
     IF($E$107="Discount Based",
         R130*IF(AND(LEFT(A130,2)&lt;&gt;"HW", LEFT(A130,12)&lt;&gt;"CMS-Hardware",LEFT(A130,3)&lt;&gt;"Sys", LEFT(A130,4)&lt;&gt;"Ship"),
                   $E$109,0),
     IF($E$107="Cost Based",
          IF(AND(LEFT(A130,2)&lt;&gt;"HW", LEFT(A130,12)&lt;&gt;"CMS-Hardware",LEFT(A130,3)&lt;&gt;"Sys", LEFT(A130,4)&lt;&gt;"Ship"),
               R130-(1+$E$110)*VLOOKUP(B130,'Raw BOM'!$A$3:$E$492,5,FALSE),0),0)),0),2)</f>
        <v>149.6</v>
      </c>
      <c r="AA130" s="48">
        <f t="shared" si="44"/>
        <v>0</v>
      </c>
      <c r="AB130" s="48">
        <f t="shared" si="45"/>
        <v>149.6</v>
      </c>
    </row>
    <row r="131" spans="1:28" s="1" customFormat="1" ht="30" customHeight="1" x14ac:dyDescent="0.25">
      <c r="A131" s="41" t="str">
        <f>IF(B131&lt;&gt;"",VLOOKUP(B131,'Raw BOM'!$A$3:$B$495,2,FALSE),IF(E131&lt;&gt;"","Misc",""))</f>
        <v/>
      </c>
      <c r="B131" s="42" t="str">
        <f>IF('Blank Quote'!B25&lt;&gt;"", 'Blank Quote'!B25, "")</f>
        <v/>
      </c>
      <c r="C131" s="43" t="str">
        <f>IF('Blank Quote'!C25&lt;&gt;"", 'Blank Quote'!C25, "")</f>
        <v/>
      </c>
      <c r="D131" s="44"/>
      <c r="E131" s="45" t="str">
        <f>IF('Blank Quote'!E25&lt;&gt;"", 'Blank Quote'!E25, "")</f>
        <v/>
      </c>
      <c r="F131"/>
      <c r="G131" s="400" t="str">
        <f t="shared" si="34"/>
        <v/>
      </c>
      <c r="H131" s="401"/>
      <c r="I131" s="402" t="str">
        <f t="shared" si="35"/>
        <v/>
      </c>
      <c r="J131" s="403"/>
      <c r="K131" s="403" t="str">
        <f t="shared" si="36"/>
        <v/>
      </c>
      <c r="L131" s="403"/>
      <c r="M131" s="403" t="str">
        <f t="shared" si="37"/>
        <v/>
      </c>
      <c r="N131" s="403"/>
      <c r="O131" s="403" t="str">
        <f t="shared" si="38"/>
        <v/>
      </c>
      <c r="P131" s="404"/>
      <c r="Q131" s="99" t="str">
        <f t="shared" si="39"/>
        <v/>
      </c>
      <c r="R131" s="405" t="str">
        <f>IF(C131="", "",IF(D131&gt;0,D131,
IF($E$107="NY Contract", VLOOKUP(B131,'Raw BOM'!$A$3:$G$495,7,FALSE),
IF($E$107="FL Contract", VLOOKUP(B131,'Raw BOM'!$A$3:$I$495,8,FALSE),
IF($E$107="LA Contract", VLOOKUP(B131,'Raw BOM'!$A$3:$K$495,9,FALSE),
IF($E$107="WA Contract", VLOOKUP(B131,'Raw BOM'!$A$3:$M$495,10,FALSE),
VLOOKUP(B131,'Raw BOM'!$A$3:$D$495,4,FALSE)))))))</f>
        <v/>
      </c>
      <c r="S131" s="406" t="str">
        <f t="shared" si="40"/>
        <v/>
      </c>
      <c r="T131" s="405" t="str">
        <f t="shared" si="41"/>
        <v/>
      </c>
      <c r="U131" s="406" t="str">
        <f t="shared" si="42"/>
        <v/>
      </c>
      <c r="V131" s="49" t="str">
        <f>IF(C131="","", VLOOKUP(B131,'Raw BOM'!$A$3:$F$495,6,FALSE))</f>
        <v/>
      </c>
      <c r="X131" s="47">
        <f t="shared" si="43"/>
        <v>0</v>
      </c>
      <c r="Y131" s="198">
        <f>ROUND(
IF(AND(C131&lt;&gt;"", D131="", V131="Yes"),
     IF($E$107="Discount Based",
         R131*IF(OR(LEFT(A131,2)="HW", LEFT(A131,12)="CMS-Hardware"),
              $E$108,
              IF(AND(LEFT(A131,3)="Sys", LEFT(A131,4)&lt;&gt;"Ship"),
                   ($E$108+$E$109)/2,
                    0)),
         IF($E$107="Cost Based",
              IF(OR(LEFT(A131,2)="HW", LEFT(A131,12)="CMS-Hardware"),
                   R131-(1+$E$110)*VLOOKUP(B131,'Raw BOM'!$A$3:$E$492,5,FALSE),
              IF(AND(LEFT(A131,3)="Sys", LEFT(A131,4)&lt;&gt;"Ship"),
                   R131-(1+($E$110+$E$111)/2)*VLOOKUP(B131,'Raw BOM'!$A$3:$E$492,5,FALSE),
                   0))))),2)</f>
        <v>0</v>
      </c>
      <c r="Z131" s="47">
        <f>ROUND(
IF(AND(C131&lt;&gt;"", D131="", V131="No"),
     IF($E$107="Discount Based",
         R131*IF(AND(LEFT(A131,2)&lt;&gt;"HW", LEFT(A131,12)&lt;&gt;"CMS-Hardware",LEFT(A131,3)&lt;&gt;"Sys", LEFT(A131,4)&lt;&gt;"Ship"),
                   $E$109,0),
     IF($E$107="Cost Based",
          IF(AND(LEFT(A131,2)&lt;&gt;"HW", LEFT(A131,12)&lt;&gt;"CMS-Hardware",LEFT(A131,3)&lt;&gt;"Sys", LEFT(A131,4)&lt;&gt;"Ship"),
               R131-(1+$E$110)*VLOOKUP(B131,'Raw BOM'!$A$3:$E$492,5,FALSE),0),0)),0),2)</f>
        <v>0</v>
      </c>
      <c r="AA131" s="48">
        <f t="shared" si="44"/>
        <v>0</v>
      </c>
      <c r="AB131" s="48">
        <f t="shared" si="45"/>
        <v>0</v>
      </c>
    </row>
    <row r="132" spans="1:28" s="1" customFormat="1" ht="30" customHeight="1" x14ac:dyDescent="0.25">
      <c r="A132" s="41" t="str">
        <f>IF(B132&lt;&gt;"",VLOOKUP(B132,'Raw BOM'!$A$3:$B$495,2,FALSE),IF(E132&lt;&gt;"","Misc",""))</f>
        <v>Svcs-Cfg-CAPSP</v>
      </c>
      <c r="B132" s="42" t="str">
        <f>IF('Blank Quote'!B26&lt;&gt;"", 'Blank Quote'!B26, "")</f>
        <v>Services-Configuration-CA PSP Setup</v>
      </c>
      <c r="C132" s="43">
        <f>IF('Blank Quote'!C26&lt;&gt;"", 'Blank Quote'!C26, "")</f>
        <v>1</v>
      </c>
      <c r="D132" s="44"/>
      <c r="E132" s="45" t="str">
        <f>IF('Blank Quote'!E26&lt;&gt;"", 'Blank Quote'!E26, "")</f>
        <v>Pick ONE of the following capture methods at the time of capture (TWO DIFFERENT BUTTONS on the screen):</v>
      </c>
      <c r="F132"/>
      <c r="G132" s="400" t="str">
        <f t="shared" si="34"/>
        <v>Svcs-Cfg-CAPSP</v>
      </c>
      <c r="H132" s="401"/>
      <c r="I132" s="402" t="str">
        <f t="shared" si="35"/>
        <v>Services-Configuration-CA PSP Setup   *** Pick ONE of the following capture methods at the time of capture (TWO DIFFERENT BUTTONS on the screen):</v>
      </c>
      <c r="J132" s="403"/>
      <c r="K132" s="403" t="str">
        <f t="shared" si="36"/>
        <v>Pick ONE of the following capture methods at the time of capture (TWO DIFFERENT BUTTONS on the screen):</v>
      </c>
      <c r="L132" s="403"/>
      <c r="M132" s="403" t="str">
        <f t="shared" si="37"/>
        <v>Svcs-Cfg-CAPSP</v>
      </c>
      <c r="N132" s="403"/>
      <c r="O132" s="403" t="str">
        <f t="shared" si="38"/>
        <v>Services-Configuration-CA PSP Setup   *** Pick ONE of the following capture methods at the time of capture (TWO DIFFERENT BUTTONS on the screen):</v>
      </c>
      <c r="P132" s="404"/>
      <c r="Q132" s="99">
        <f t="shared" si="39"/>
        <v>1</v>
      </c>
      <c r="R132" s="405">
        <f>IF(C132="", "",IF(D132&gt;0,D132,
IF($E$107="NY Contract", VLOOKUP(B132,'Raw BOM'!$A$3:$G$495,7,FALSE),
IF($E$107="FL Contract", VLOOKUP(B132,'Raw BOM'!$A$3:$I$495,8,FALSE),
IF($E$107="LA Contract", VLOOKUP(B132,'Raw BOM'!$A$3:$K$495,9,FALSE),
IF($E$107="WA Contract", VLOOKUP(B132,'Raw BOM'!$A$3:$M$495,10,FALSE),
VLOOKUP(B132,'Raw BOM'!$A$3:$D$495,4,FALSE)))))))</f>
        <v>500</v>
      </c>
      <c r="S132" s="406" t="str">
        <f t="shared" si="40"/>
        <v>Svcs-Cfg-CAPSP</v>
      </c>
      <c r="T132" s="405">
        <f t="shared" si="41"/>
        <v>500</v>
      </c>
      <c r="U132" s="406" t="str">
        <f t="shared" si="42"/>
        <v>Services-Configuration-CA PSP Setup   *** Pick ONE of the following capture methods at the time of capture (TWO DIFFERENT BUTTONS on the screen):</v>
      </c>
      <c r="V132" s="49" t="str">
        <f>IF(C132="","", VLOOKUP(B132,'Raw BOM'!$A$3:$F$495,6,FALSE))</f>
        <v>No</v>
      </c>
      <c r="X132" s="47">
        <f t="shared" si="43"/>
        <v>0</v>
      </c>
      <c r="Y132" s="198">
        <f>ROUND(
IF(AND(C132&lt;&gt;"", D132="", V132="Yes"),
     IF($E$107="Discount Based",
         R132*IF(OR(LEFT(A132,2)="HW", LEFT(A132,12)="CMS-Hardware"),
              $E$108,
              IF(AND(LEFT(A132,3)="Sys", LEFT(A132,4)&lt;&gt;"Ship"),
                   ($E$108+$E$109)/2,
                    0)),
         IF($E$107="Cost Based",
              IF(OR(LEFT(A132,2)="HW", LEFT(A132,12)="CMS-Hardware"),
                   R132-(1+$E$110)*VLOOKUP(B132,'Raw BOM'!$A$3:$E$492,5,FALSE),
              IF(AND(LEFT(A132,3)="Sys", LEFT(A132,4)&lt;&gt;"Ship"),
                   R132-(1+($E$110+$E$111)/2)*VLOOKUP(B132,'Raw BOM'!$A$3:$E$492,5,FALSE),
                   0))))),2)</f>
        <v>0</v>
      </c>
      <c r="Z132" s="47">
        <f>ROUND(
IF(AND(C132&lt;&gt;"", D132="", V132="No"),
     IF($E$107="Discount Based",
         R132*IF(AND(LEFT(A132,2)&lt;&gt;"HW", LEFT(A132,12)&lt;&gt;"CMS-Hardware",LEFT(A132,3)&lt;&gt;"Sys", LEFT(A132,4)&lt;&gt;"Ship"),
                   $E$109,0),
     IF($E$107="Cost Based",
          IF(AND(LEFT(A132,2)&lt;&gt;"HW", LEFT(A132,12)&lt;&gt;"CMS-Hardware",LEFT(A132,3)&lt;&gt;"Sys", LEFT(A132,4)&lt;&gt;"Ship"),
               R132-(1+$E$110)*VLOOKUP(B132,'Raw BOM'!$A$3:$E$492,5,FALSE),0),0)),0),2)</f>
        <v>220</v>
      </c>
      <c r="AA132" s="48">
        <f t="shared" si="44"/>
        <v>0</v>
      </c>
      <c r="AB132" s="48">
        <f t="shared" si="45"/>
        <v>220</v>
      </c>
    </row>
    <row r="133" spans="1:28" s="1" customFormat="1" ht="30" customHeight="1" x14ac:dyDescent="0.25">
      <c r="A133" s="41" t="str">
        <f>IF(B133&lt;&gt;"",VLOOKUP(B133,'Raw BOM'!$A$3:$B$495,2,FALSE),IF(E133&lt;&gt;"","Misc",""))</f>
        <v>Misc</v>
      </c>
      <c r="B133" s="42" t="str">
        <f>IF('Blank Quote'!B27&lt;&gt;"", 'Blank Quote'!B27, "")</f>
        <v/>
      </c>
      <c r="C133" s="43" t="str">
        <f>IF('Blank Quote'!C27&lt;&gt;"", 'Blank Quote'!C27, "")</f>
        <v/>
      </c>
      <c r="D133" s="44"/>
      <c r="E133" s="45" t="str">
        <f>IF('Blank Quote'!E27&lt;&gt;"", 'Blank Quote'!E27, "")</f>
        <v>Transaction Fee - Traditional FLATS and ROLLS Method (1 to 10 minutes method): $0.75 per transaction with $150 per monthly cap</v>
      </c>
      <c r="F133"/>
      <c r="G133" s="400" t="str">
        <f t="shared" si="34"/>
        <v>Misc</v>
      </c>
      <c r="H133" s="401"/>
      <c r="I133" s="402" t="str">
        <f t="shared" si="35"/>
        <v xml:space="preserve">   *** Transaction Fee - Traditional FLATS and ROLLS Method (1 to 10 minutes method): $0.75 per transaction with $150 per monthly cap</v>
      </c>
      <c r="J133" s="403"/>
      <c r="K133" s="403" t="str">
        <f t="shared" si="36"/>
        <v>Transaction Fee - Traditional FLATS and ROLLS Method (1 to 10 minutes method): $0.75 per transaction with $150 per monthly cap</v>
      </c>
      <c r="L133" s="403"/>
      <c r="M133" s="403" t="str">
        <f t="shared" si="37"/>
        <v>Misc</v>
      </c>
      <c r="N133" s="403"/>
      <c r="O133" s="403" t="str">
        <f t="shared" si="38"/>
        <v xml:space="preserve">   *** Transaction Fee - Traditional FLATS and ROLLS Method (1 to 10 minutes method): $0.75 per transaction with $150 per monthly cap</v>
      </c>
      <c r="P133" s="404"/>
      <c r="Q133" s="99" t="str">
        <f t="shared" si="39"/>
        <v/>
      </c>
      <c r="R133" s="405" t="str">
        <f>IF(C133="", "",IF(D133&gt;0,D133,
IF($E$107="NY Contract", VLOOKUP(B133,'Raw BOM'!$A$3:$G$495,7,FALSE),
IF($E$107="FL Contract", VLOOKUP(B133,'Raw BOM'!$A$3:$I$495,8,FALSE),
IF($E$107="LA Contract", VLOOKUP(B133,'Raw BOM'!$A$3:$K$495,9,FALSE),
IF($E$107="WA Contract", VLOOKUP(B133,'Raw BOM'!$A$3:$M$495,10,FALSE),
VLOOKUP(B133,'Raw BOM'!$A$3:$D$495,4,FALSE)))))))</f>
        <v/>
      </c>
      <c r="S133" s="406" t="str">
        <f t="shared" si="40"/>
        <v>Misc</v>
      </c>
      <c r="T133" s="405" t="str">
        <f t="shared" si="41"/>
        <v/>
      </c>
      <c r="U133" s="406" t="str">
        <f t="shared" si="42"/>
        <v xml:space="preserve">   *** Transaction Fee - Traditional FLATS and ROLLS Method (1 to 10 minutes method): $0.75 per transaction with $150 per monthly cap</v>
      </c>
      <c r="V133" s="49" t="str">
        <f>IF(C133="","", VLOOKUP(B133,'Raw BOM'!$A$3:$F$495,6,FALSE))</f>
        <v/>
      </c>
      <c r="X133" s="47">
        <f t="shared" si="43"/>
        <v>0</v>
      </c>
      <c r="Y133" s="198">
        <f>ROUND(
IF(AND(C133&lt;&gt;"", D133="", V133="Yes"),
     IF($E$107="Discount Based",
         R133*IF(OR(LEFT(A133,2)="HW", LEFT(A133,12)="CMS-Hardware"),
              $E$108,
              IF(AND(LEFT(A133,3)="Sys", LEFT(A133,4)&lt;&gt;"Ship"),
                   ($E$108+$E$109)/2,
                    0)),
         IF($E$107="Cost Based",
              IF(OR(LEFT(A133,2)="HW", LEFT(A133,12)="CMS-Hardware"),
                   R133-(1+$E$110)*VLOOKUP(B133,'Raw BOM'!$A$3:$E$492,5,FALSE),
              IF(AND(LEFT(A133,3)="Sys", LEFT(A133,4)&lt;&gt;"Ship"),
                   R133-(1+($E$110+$E$111)/2)*VLOOKUP(B133,'Raw BOM'!$A$3:$E$492,5,FALSE),
                   0))))),2)</f>
        <v>0</v>
      </c>
      <c r="Z133" s="47">
        <f>ROUND(
IF(AND(C133&lt;&gt;"", D133="", V133="No"),
     IF($E$107="Discount Based",
         R133*IF(AND(LEFT(A133,2)&lt;&gt;"HW", LEFT(A133,12)&lt;&gt;"CMS-Hardware",LEFT(A133,3)&lt;&gt;"Sys", LEFT(A133,4)&lt;&gt;"Ship"),
                   $E$109,0),
     IF($E$107="Cost Based",
          IF(AND(LEFT(A133,2)&lt;&gt;"HW", LEFT(A133,12)&lt;&gt;"CMS-Hardware",LEFT(A133,3)&lt;&gt;"Sys", LEFT(A133,4)&lt;&gt;"Ship"),
               R133-(1+$E$110)*VLOOKUP(B133,'Raw BOM'!$A$3:$E$492,5,FALSE),0),0)),0),2)</f>
        <v>0</v>
      </c>
      <c r="AA133" s="48">
        <f t="shared" si="44"/>
        <v>0</v>
      </c>
      <c r="AB133" s="48">
        <f t="shared" si="45"/>
        <v>0</v>
      </c>
    </row>
    <row r="134" spans="1:28" s="1" customFormat="1" ht="30" customHeight="1" x14ac:dyDescent="0.25">
      <c r="A134" s="41" t="str">
        <f>IF(B134&lt;&gt;"",VLOOKUP(B134,'Raw BOM'!$A$3:$B$495,2,FALSE),IF(E134&lt;&gt;"","Misc",""))</f>
        <v>Misc</v>
      </c>
      <c r="B134" s="42" t="str">
        <f>IF('Blank Quote'!B28&lt;&gt;"", 'Blank Quote'!B28, "")</f>
        <v/>
      </c>
      <c r="C134" s="43" t="str">
        <f>IF('Blank Quote'!C28&lt;&gt;"", 'Blank Quote'!C28, "")</f>
        <v/>
      </c>
      <c r="D134" s="44"/>
      <c r="E134" s="45" t="str">
        <f>IF('Blank Quote'!E28&lt;&gt;"", 'Blank Quote'!E28, "")</f>
        <v>Transaction Fee - NEW FLATS ONLY Method (10 to 15 second fingerprinting): $4.00 per transaction with no cap ($2.80 per trans for 501(c)(3) organizations)</v>
      </c>
      <c r="F134"/>
      <c r="G134" s="400" t="str">
        <f t="shared" si="34"/>
        <v>Misc</v>
      </c>
      <c r="H134" s="401"/>
      <c r="I134" s="402" t="str">
        <f t="shared" si="35"/>
        <v xml:space="preserve">   *** Transaction Fee - NEW FLATS ONLY Method (10 to 15 second fingerprinting): $4.00 per transaction with no cap ($2.80 per trans for 501(c)(3) organizations)</v>
      </c>
      <c r="J134" s="403"/>
      <c r="K134" s="403" t="str">
        <f t="shared" si="36"/>
        <v>Transaction Fee - NEW FLATS ONLY Method (10 to 15 second fingerprinting): $4.00 per transaction with no cap ($2.80 per trans for 501(c)(3) organizations)</v>
      </c>
      <c r="L134" s="403"/>
      <c r="M134" s="403" t="str">
        <f t="shared" si="37"/>
        <v>Misc</v>
      </c>
      <c r="N134" s="403"/>
      <c r="O134" s="403" t="str">
        <f t="shared" si="38"/>
        <v xml:space="preserve">   *** Transaction Fee - NEW FLATS ONLY Method (10 to 15 second fingerprinting): $4.00 per transaction with no cap ($2.80 per trans for 501(c)(3) organizations)</v>
      </c>
      <c r="P134" s="404"/>
      <c r="Q134" s="99" t="str">
        <f t="shared" si="39"/>
        <v/>
      </c>
      <c r="R134" s="405" t="str">
        <f>IF(C134="", "",IF(D134&gt;0,D134,
IF($E$107="NY Contract", VLOOKUP(B134,'Raw BOM'!$A$3:$G$495,7,FALSE),
IF($E$107="FL Contract", VLOOKUP(B134,'Raw BOM'!$A$3:$I$495,8,FALSE),
IF($E$107="LA Contract", VLOOKUP(B134,'Raw BOM'!$A$3:$K$495,9,FALSE),
IF($E$107="WA Contract", VLOOKUP(B134,'Raw BOM'!$A$3:$M$495,10,FALSE),
VLOOKUP(B134,'Raw BOM'!$A$3:$D$495,4,FALSE)))))))</f>
        <v/>
      </c>
      <c r="S134" s="406" t="str">
        <f t="shared" si="40"/>
        <v>Misc</v>
      </c>
      <c r="T134" s="405" t="str">
        <f t="shared" si="41"/>
        <v/>
      </c>
      <c r="U134" s="406" t="str">
        <f t="shared" si="42"/>
        <v xml:space="preserve">   *** Transaction Fee - NEW FLATS ONLY Method (10 to 15 second fingerprinting): $4.00 per transaction with no cap ($2.80 per trans for 501(c)(3) organizations)</v>
      </c>
      <c r="V134" s="49" t="str">
        <f>IF(C134="","", VLOOKUP(B134,'Raw BOM'!$A$3:$F$495,6,FALSE))</f>
        <v/>
      </c>
      <c r="X134" s="47">
        <f t="shared" si="43"/>
        <v>0</v>
      </c>
      <c r="Y134" s="198">
        <f>ROUND(
IF(AND(C134&lt;&gt;"", D134="", V134="Yes"),
     IF($E$107="Discount Based",
         R134*IF(OR(LEFT(A134,2)="HW", LEFT(A134,12)="CMS-Hardware"),
              $E$108,
              IF(AND(LEFT(A134,3)="Sys", LEFT(A134,4)&lt;&gt;"Ship"),
                   ($E$108+$E$109)/2,
                    0)),
         IF($E$107="Cost Based",
              IF(OR(LEFT(A134,2)="HW", LEFT(A134,12)="CMS-Hardware"),
                   R134-(1+$E$110)*VLOOKUP(B134,'Raw BOM'!$A$3:$E$492,5,FALSE),
              IF(AND(LEFT(A134,3)="Sys", LEFT(A134,4)&lt;&gt;"Ship"),
                   R134-(1+($E$110+$E$111)/2)*VLOOKUP(B134,'Raw BOM'!$A$3:$E$492,5,FALSE),
                   0))))),2)</f>
        <v>0</v>
      </c>
      <c r="Z134" s="47">
        <f>ROUND(
IF(AND(C134&lt;&gt;"", D134="", V134="No"),
     IF($E$107="Discount Based",
         R134*IF(AND(LEFT(A134,2)&lt;&gt;"HW", LEFT(A134,12)&lt;&gt;"CMS-Hardware",LEFT(A134,3)&lt;&gt;"Sys", LEFT(A134,4)&lt;&gt;"Ship"),
                   $E$109,0),
     IF($E$107="Cost Based",
          IF(AND(LEFT(A134,2)&lt;&gt;"HW", LEFT(A134,12)&lt;&gt;"CMS-Hardware",LEFT(A134,3)&lt;&gt;"Sys", LEFT(A134,4)&lt;&gt;"Ship"),
               R134-(1+$E$110)*VLOOKUP(B134,'Raw BOM'!$A$3:$E$492,5,FALSE),0),0)),0),2)</f>
        <v>0</v>
      </c>
      <c r="AA134" s="48">
        <f t="shared" si="44"/>
        <v>0</v>
      </c>
      <c r="AB134" s="48">
        <f t="shared" si="45"/>
        <v>0</v>
      </c>
    </row>
    <row r="135" spans="1:28" s="1" customFormat="1" ht="30" customHeight="1" x14ac:dyDescent="0.25">
      <c r="A135" s="41" t="str">
        <f>IF(B135&lt;&gt;"",VLOOKUP(B135,'Raw BOM'!$A$3:$B$495,2,FALSE),IF(E135&lt;&gt;"","Misc",""))</f>
        <v/>
      </c>
      <c r="B135" s="42" t="str">
        <f>IF('Blank Quote'!B29&lt;&gt;"", 'Blank Quote'!B29, "")</f>
        <v/>
      </c>
      <c r="C135" s="43" t="str">
        <f>IF('Blank Quote'!C29&lt;&gt;"", 'Blank Quote'!C29, "")</f>
        <v/>
      </c>
      <c r="D135" s="44"/>
      <c r="E135" s="45" t="str">
        <f>IF('Blank Quote'!E29&lt;&gt;"", 'Blank Quote'!E29, "")</f>
        <v/>
      </c>
      <c r="F135"/>
      <c r="G135" s="400" t="str">
        <f t="shared" si="34"/>
        <v/>
      </c>
      <c r="H135" s="401"/>
      <c r="I135" s="402" t="str">
        <f t="shared" si="35"/>
        <v/>
      </c>
      <c r="J135" s="403"/>
      <c r="K135" s="403" t="str">
        <f t="shared" si="36"/>
        <v/>
      </c>
      <c r="L135" s="403"/>
      <c r="M135" s="403" t="str">
        <f t="shared" si="37"/>
        <v/>
      </c>
      <c r="N135" s="403"/>
      <c r="O135" s="403" t="str">
        <f t="shared" si="38"/>
        <v/>
      </c>
      <c r="P135" s="404"/>
      <c r="Q135" s="99" t="str">
        <f t="shared" si="39"/>
        <v/>
      </c>
      <c r="R135" s="405" t="str">
        <f>IF(C135="", "",IF(D135&gt;0,D135,
IF($E$107="NY Contract", VLOOKUP(B135,'Raw BOM'!$A$3:$G$495,7,FALSE),
IF($E$107="FL Contract", VLOOKUP(B135,'Raw BOM'!$A$3:$I$495,8,FALSE),
IF($E$107="LA Contract", VLOOKUP(B135,'Raw BOM'!$A$3:$K$495,9,FALSE),
IF($E$107="WA Contract", VLOOKUP(B135,'Raw BOM'!$A$3:$M$495,10,FALSE),
VLOOKUP(B135,'Raw BOM'!$A$3:$D$495,4,FALSE)))))))</f>
        <v/>
      </c>
      <c r="S135" s="406" t="str">
        <f t="shared" si="40"/>
        <v/>
      </c>
      <c r="T135" s="405" t="str">
        <f t="shared" si="41"/>
        <v/>
      </c>
      <c r="U135" s="406" t="str">
        <f t="shared" si="42"/>
        <v/>
      </c>
      <c r="V135" s="49" t="str">
        <f>IF(C135="","", VLOOKUP(B135,'Raw BOM'!$A$3:$F$495,6,FALSE))</f>
        <v/>
      </c>
      <c r="X135" s="47">
        <f t="shared" si="43"/>
        <v>0</v>
      </c>
      <c r="Y135" s="198">
        <f>ROUND(
IF(AND(C135&lt;&gt;"", D135="", V135="Yes"),
     IF($E$107="Discount Based",
         R135*IF(OR(LEFT(A135,2)="HW", LEFT(A135,12)="CMS-Hardware"),
              $E$108,
              IF(AND(LEFT(A135,3)="Sys", LEFT(A135,4)&lt;&gt;"Ship"),
                   ($E$108+$E$109)/2,
                    0)),
         IF($E$107="Cost Based",
              IF(OR(LEFT(A135,2)="HW", LEFT(A135,12)="CMS-Hardware"),
                   R135-(1+$E$110)*VLOOKUP(B135,'Raw BOM'!$A$3:$E$492,5,FALSE),
              IF(AND(LEFT(A135,3)="Sys", LEFT(A135,4)&lt;&gt;"Ship"),
                   R135-(1+($E$110+$E$111)/2)*VLOOKUP(B135,'Raw BOM'!$A$3:$E$492,5,FALSE),
                   0))))),2)</f>
        <v>0</v>
      </c>
      <c r="Z135" s="47">
        <f>ROUND(
IF(AND(C135&lt;&gt;"", D135="", V135="No"),
     IF($E$107="Discount Based",
         R135*IF(AND(LEFT(A135,2)&lt;&gt;"HW", LEFT(A135,12)&lt;&gt;"CMS-Hardware",LEFT(A135,3)&lt;&gt;"Sys", LEFT(A135,4)&lt;&gt;"Ship"),
                   $E$109,0),
     IF($E$107="Cost Based",
          IF(AND(LEFT(A135,2)&lt;&gt;"HW", LEFT(A135,12)&lt;&gt;"CMS-Hardware",LEFT(A135,3)&lt;&gt;"Sys", LEFT(A135,4)&lt;&gt;"Ship"),
               R135-(1+$E$110)*VLOOKUP(B135,'Raw BOM'!$A$3:$E$492,5,FALSE),0),0)),0),2)</f>
        <v>0</v>
      </c>
      <c r="AA135" s="48">
        <f t="shared" si="44"/>
        <v>0</v>
      </c>
      <c r="AB135" s="48">
        <f t="shared" si="45"/>
        <v>0</v>
      </c>
    </row>
    <row r="136" spans="1:28" s="1" customFormat="1" ht="30" customHeight="1" x14ac:dyDescent="0.25">
      <c r="A136" s="41" t="str">
        <f>IF(B136&lt;&gt;"",VLOOKUP(B136,'Raw BOM'!$A$3:$B$495,2,FALSE),IF(E136&lt;&gt;"","Misc",""))</f>
        <v>Svcs-InstallTrain</v>
      </c>
      <c r="B136" s="42" t="str">
        <f>IF('Blank Quote'!B30&lt;&gt;"", 'Blank Quote'!B30, "")</f>
        <v>Services-Installation and Training Session 4hrs (see Service Method for price)</v>
      </c>
      <c r="C136" s="43">
        <f>IF('Blank Quote'!C30&lt;&gt;"", 'Blank Quote'!C30, "")</f>
        <v>1</v>
      </c>
      <c r="D136" s="44"/>
      <c r="E136" s="45" t="str">
        <f>IF('Blank Quote'!E30&lt;&gt;"", 'Blank Quote'!E30, "")</f>
        <v/>
      </c>
      <c r="F136"/>
      <c r="G136" s="400" t="str">
        <f t="shared" si="34"/>
        <v>Svcs-InstallTrain</v>
      </c>
      <c r="H136" s="401"/>
      <c r="I136" s="402" t="str">
        <f t="shared" si="35"/>
        <v>Services-Installation and Training Session 4hrs (see Service Method for price)</v>
      </c>
      <c r="J136" s="403"/>
      <c r="K136" s="403" t="str">
        <f t="shared" si="36"/>
        <v/>
      </c>
      <c r="L136" s="403"/>
      <c r="M136" s="403" t="str">
        <f t="shared" si="37"/>
        <v>Svcs-InstallTrain</v>
      </c>
      <c r="N136" s="403"/>
      <c r="O136" s="403" t="str">
        <f t="shared" si="38"/>
        <v>Services-Installation and Training Session 4hrs (see Service Method for price)</v>
      </c>
      <c r="P136" s="404"/>
      <c r="Q136" s="99">
        <f t="shared" si="39"/>
        <v>1</v>
      </c>
      <c r="R136" s="405">
        <f>IF(C136="", "",IF(D136&gt;0,D136,
IF($E$107="NY Contract", VLOOKUP(B136,'Raw BOM'!$A$3:$G$495,7,FALSE),
IF($E$107="FL Contract", VLOOKUP(B136,'Raw BOM'!$A$3:$I$495,8,FALSE),
IF($E$107="LA Contract", VLOOKUP(B136,'Raw BOM'!$A$3:$K$495,9,FALSE),
IF($E$107="WA Contract", VLOOKUP(B136,'Raw BOM'!$A$3:$M$495,10,FALSE),
VLOOKUP(B136,'Raw BOM'!$A$3:$D$495,4,FALSE)))))))</f>
        <v>0</v>
      </c>
      <c r="S136" s="406" t="str">
        <f t="shared" si="40"/>
        <v>Svcs-InstallTrain</v>
      </c>
      <c r="T136" s="405">
        <f t="shared" si="41"/>
        <v>0</v>
      </c>
      <c r="U136" s="406" t="str">
        <f t="shared" si="42"/>
        <v>Services-Installation and Training Session 4hrs (see Service Method for price)</v>
      </c>
      <c r="V136" s="49" t="str">
        <f>IF(C136="","", VLOOKUP(B136,'Raw BOM'!$A$3:$F$495,6,FALSE))</f>
        <v>No</v>
      </c>
      <c r="X136" s="47">
        <f t="shared" si="43"/>
        <v>0</v>
      </c>
      <c r="Y136" s="198">
        <f>ROUND(
IF(AND(C136&lt;&gt;"", D136="", V136="Yes"),
     IF($E$107="Discount Based",
         R136*IF(OR(LEFT(A136,2)="HW", LEFT(A136,12)="CMS-Hardware"),
              $E$108,
              IF(AND(LEFT(A136,3)="Sys", LEFT(A136,4)&lt;&gt;"Ship"),
                   ($E$108+$E$109)/2,
                    0)),
         IF($E$107="Cost Based",
              IF(OR(LEFT(A136,2)="HW", LEFT(A136,12)="CMS-Hardware"),
                   R136-(1+$E$110)*VLOOKUP(B136,'Raw BOM'!$A$3:$E$492,5,FALSE),
              IF(AND(LEFT(A136,3)="Sys", LEFT(A136,4)&lt;&gt;"Ship"),
                   R136-(1+($E$110+$E$111)/2)*VLOOKUP(B136,'Raw BOM'!$A$3:$E$492,5,FALSE),
                   0))))),2)</f>
        <v>0</v>
      </c>
      <c r="Z136" s="47">
        <f>ROUND(
IF(AND(C136&lt;&gt;"", D136="", V136="No"),
     IF($E$107="Discount Based",
         R136*IF(AND(LEFT(A136,2)&lt;&gt;"HW", LEFT(A136,12)&lt;&gt;"CMS-Hardware",LEFT(A136,3)&lt;&gt;"Sys", LEFT(A136,4)&lt;&gt;"Ship"),
                   $E$109,0),
     IF($E$107="Cost Based",
          IF(AND(LEFT(A136,2)&lt;&gt;"HW", LEFT(A136,12)&lt;&gt;"CMS-Hardware",LEFT(A136,3)&lt;&gt;"Sys", LEFT(A136,4)&lt;&gt;"Ship"),
               R136-(1+$E$110)*VLOOKUP(B136,'Raw BOM'!$A$3:$E$492,5,FALSE),0),0)),0),2)</f>
        <v>0</v>
      </c>
      <c r="AA136" s="48">
        <f t="shared" si="44"/>
        <v>0</v>
      </c>
      <c r="AB136" s="48">
        <f t="shared" si="45"/>
        <v>0</v>
      </c>
    </row>
    <row r="137" spans="1:28" s="1" customFormat="1" ht="30" customHeight="1" x14ac:dyDescent="0.25">
      <c r="A137" s="41" t="str">
        <f>IF(B137&lt;&gt;"",VLOOKUP(B137,'Raw BOM'!$A$3:$B$495,2,FALSE),IF(E137&lt;&gt;"","Misc",""))</f>
        <v>Svcs-Phone</v>
      </c>
      <c r="B137" s="42" t="str">
        <f>IF('Blank Quote'!B31&lt;&gt;"", 'Blank Quote'!B31, "")</f>
        <v>Services Method-Remote (Phone)</v>
      </c>
      <c r="C137" s="43">
        <f>IF('Blank Quote'!C31&lt;&gt;"", 'Blank Quote'!C31, "")</f>
        <v>1</v>
      </c>
      <c r="D137" s="44"/>
      <c r="E137" s="45" t="str">
        <f>IF('Blank Quote'!E31&lt;&gt;"", 'Blank Quote'!E31, "")</f>
        <v xml:space="preserve">To perform services shown in the line above. </v>
      </c>
      <c r="F137"/>
      <c r="G137" s="400" t="str">
        <f t="shared" si="34"/>
        <v>Svcs-Phone</v>
      </c>
      <c r="H137" s="401"/>
      <c r="I137" s="402" t="str">
        <f t="shared" si="35"/>
        <v xml:space="preserve">Services Method-Remote (Phone)   *** To perform services shown in the line above. </v>
      </c>
      <c r="J137" s="403"/>
      <c r="K137" s="403" t="str">
        <f t="shared" si="36"/>
        <v xml:space="preserve">To perform services shown in the line above. </v>
      </c>
      <c r="L137" s="403"/>
      <c r="M137" s="403" t="str">
        <f t="shared" si="37"/>
        <v>Svcs-Phone</v>
      </c>
      <c r="N137" s="403"/>
      <c r="O137" s="403" t="str">
        <f t="shared" si="38"/>
        <v xml:space="preserve">Services Method-Remote (Phone)   *** To perform services shown in the line above. </v>
      </c>
      <c r="P137" s="404"/>
      <c r="Q137" s="99">
        <f t="shared" si="39"/>
        <v>1</v>
      </c>
      <c r="R137" s="405">
        <f>IF(C137="", "",IF(D137&gt;0,D137,
IF($E$107="NY Contract", VLOOKUP(B137,'Raw BOM'!$A$3:$G$495,7,FALSE),
IF($E$107="FL Contract", VLOOKUP(B137,'Raw BOM'!$A$3:$I$495,8,FALSE),
IF($E$107="LA Contract", VLOOKUP(B137,'Raw BOM'!$A$3:$K$495,9,FALSE),
IF($E$107="WA Contract", VLOOKUP(B137,'Raw BOM'!$A$3:$M$495,10,FALSE),
VLOOKUP(B137,'Raw BOM'!$A$3:$D$495,4,FALSE)))))))</f>
        <v>750</v>
      </c>
      <c r="S137" s="406" t="str">
        <f t="shared" si="40"/>
        <v>Svcs-Phone</v>
      </c>
      <c r="T137" s="405">
        <f t="shared" si="41"/>
        <v>750</v>
      </c>
      <c r="U137" s="406" t="str">
        <f t="shared" si="42"/>
        <v xml:space="preserve">Services Method-Remote (Phone)   *** To perform services shown in the line above. </v>
      </c>
      <c r="V137" s="49" t="str">
        <f>IF(C137="","", VLOOKUP(B137,'Raw BOM'!$A$3:$F$495,6,FALSE))</f>
        <v>No</v>
      </c>
      <c r="X137" s="47">
        <f t="shared" si="43"/>
        <v>0</v>
      </c>
      <c r="Y137" s="198">
        <f>ROUND(
IF(AND(C137&lt;&gt;"", D137="", V137="Yes"),
     IF($E$107="Discount Based",
         R137*IF(OR(LEFT(A137,2)="HW", LEFT(A137,12)="CMS-Hardware"),
              $E$108,
              IF(AND(LEFT(A137,3)="Sys", LEFT(A137,4)&lt;&gt;"Ship"),
                   ($E$108+$E$109)/2,
                    0)),
         IF($E$107="Cost Based",
              IF(OR(LEFT(A137,2)="HW", LEFT(A137,12)="CMS-Hardware"),
                   R137-(1+$E$110)*VLOOKUP(B137,'Raw BOM'!$A$3:$E$492,5,FALSE),
              IF(AND(LEFT(A137,3)="Sys", LEFT(A137,4)&lt;&gt;"Ship"),
                   R137-(1+($E$110+$E$111)/2)*VLOOKUP(B137,'Raw BOM'!$A$3:$E$492,5,FALSE),
                   0))))),2)</f>
        <v>0</v>
      </c>
      <c r="Z137" s="47">
        <f>ROUND(
IF(AND(C137&lt;&gt;"", D137="", V137="No"),
     IF($E$107="Discount Based",
         R137*IF(AND(LEFT(A137,2)&lt;&gt;"HW", LEFT(A137,12)&lt;&gt;"CMS-Hardware",LEFT(A137,3)&lt;&gt;"Sys", LEFT(A137,4)&lt;&gt;"Ship"),
                   $E$109,0),
     IF($E$107="Cost Based",
          IF(AND(LEFT(A137,2)&lt;&gt;"HW", LEFT(A137,12)&lt;&gt;"CMS-Hardware",LEFT(A137,3)&lt;&gt;"Sys", LEFT(A137,4)&lt;&gt;"Ship"),
               R137-(1+$E$110)*VLOOKUP(B137,'Raw BOM'!$A$3:$E$492,5,FALSE),0),0)),0),2)</f>
        <v>330</v>
      </c>
      <c r="AA137" s="48">
        <f t="shared" si="44"/>
        <v>0</v>
      </c>
      <c r="AB137" s="48">
        <f t="shared" si="45"/>
        <v>330</v>
      </c>
    </row>
    <row r="138" spans="1:28" s="1" customFormat="1" ht="30" customHeight="1" x14ac:dyDescent="0.25">
      <c r="A138" s="41" t="str">
        <f>IF(B138&lt;&gt;"",VLOOKUP(B138,'Raw BOM'!$A$3:$B$495,2,FALSE),IF(E138&lt;&gt;"","Misc",""))</f>
        <v/>
      </c>
      <c r="B138" s="42" t="str">
        <f>IF('Blank Quote'!B32&lt;&gt;"", 'Blank Quote'!B32, "")</f>
        <v/>
      </c>
      <c r="C138" s="43" t="str">
        <f>IF('Blank Quote'!C32&lt;&gt;"", 'Blank Quote'!C32, "")</f>
        <v/>
      </c>
      <c r="D138" s="44"/>
      <c r="E138" s="45" t="str">
        <f>IF('Blank Quote'!E32&lt;&gt;"", 'Blank Quote'!E32, "")</f>
        <v/>
      </c>
      <c r="F138"/>
      <c r="G138" s="400" t="str">
        <f t="shared" si="34"/>
        <v/>
      </c>
      <c r="H138" s="401"/>
      <c r="I138" s="402" t="str">
        <f t="shared" si="35"/>
        <v/>
      </c>
      <c r="J138" s="403"/>
      <c r="K138" s="403" t="str">
        <f t="shared" si="36"/>
        <v/>
      </c>
      <c r="L138" s="403"/>
      <c r="M138" s="403" t="str">
        <f t="shared" si="37"/>
        <v/>
      </c>
      <c r="N138" s="403"/>
      <c r="O138" s="403" t="str">
        <f t="shared" si="38"/>
        <v/>
      </c>
      <c r="P138" s="404"/>
      <c r="Q138" s="99" t="str">
        <f t="shared" si="39"/>
        <v/>
      </c>
      <c r="R138" s="405" t="str">
        <f>IF(C138="", "",IF(D138&gt;0,D138,
IF($E$107="NY Contract", VLOOKUP(B138,'Raw BOM'!$A$3:$G$495,7,FALSE),
IF($E$107="FL Contract", VLOOKUP(B138,'Raw BOM'!$A$3:$I$495,8,FALSE),
IF($E$107="LA Contract", VLOOKUP(B138,'Raw BOM'!$A$3:$K$495,9,FALSE),
IF($E$107="WA Contract", VLOOKUP(B138,'Raw BOM'!$A$3:$M$495,10,FALSE),
VLOOKUP(B138,'Raw BOM'!$A$3:$D$495,4,FALSE)))))))</f>
        <v/>
      </c>
      <c r="S138" s="406" t="str">
        <f t="shared" si="40"/>
        <v/>
      </c>
      <c r="T138" s="405" t="str">
        <f t="shared" si="41"/>
        <v/>
      </c>
      <c r="U138" s="406" t="str">
        <f t="shared" si="42"/>
        <v/>
      </c>
      <c r="V138" s="49" t="str">
        <f>IF(C138="","", VLOOKUP(B138,'Raw BOM'!$A$3:$F$495,6,FALSE))</f>
        <v/>
      </c>
      <c r="X138" s="47">
        <f t="shared" si="43"/>
        <v>0</v>
      </c>
      <c r="Y138" s="198">
        <f>ROUND(
IF(AND(C138&lt;&gt;"", D138="", V138="Yes"),
     IF($E$107="Discount Based",
         R138*IF(OR(LEFT(A138,2)="HW", LEFT(A138,12)="CMS-Hardware"),
              $E$108,
              IF(AND(LEFT(A138,3)="Sys", LEFT(A138,4)&lt;&gt;"Ship"),
                   ($E$108+$E$109)/2,
                    0)),
         IF($E$107="Cost Based",
              IF(OR(LEFT(A138,2)="HW", LEFT(A138,12)="CMS-Hardware"),
                   R138-(1+$E$110)*VLOOKUP(B138,'Raw BOM'!$A$3:$E$492,5,FALSE),
              IF(AND(LEFT(A138,3)="Sys", LEFT(A138,4)&lt;&gt;"Ship"),
                   R138-(1+($E$110+$E$111)/2)*VLOOKUP(B138,'Raw BOM'!$A$3:$E$492,5,FALSE),
                   0))))),2)</f>
        <v>0</v>
      </c>
      <c r="Z138" s="47">
        <f>ROUND(
IF(AND(C138&lt;&gt;"", D138="", V138="No"),
     IF($E$107="Discount Based",
         R138*IF(AND(LEFT(A138,2)&lt;&gt;"HW", LEFT(A138,12)&lt;&gt;"CMS-Hardware",LEFT(A138,3)&lt;&gt;"Sys", LEFT(A138,4)&lt;&gt;"Ship"),
                   $E$109,0),
     IF($E$107="Cost Based",
          IF(AND(LEFT(A138,2)&lt;&gt;"HW", LEFT(A138,12)&lt;&gt;"CMS-Hardware",LEFT(A138,3)&lt;&gt;"Sys", LEFT(A138,4)&lt;&gt;"Ship"),
               R138-(1+$E$110)*VLOOKUP(B138,'Raw BOM'!$A$3:$E$492,5,FALSE),0),0)),0),2)</f>
        <v>0</v>
      </c>
      <c r="AA138" s="48">
        <f t="shared" si="44"/>
        <v>0</v>
      </c>
      <c r="AB138" s="48">
        <f t="shared" si="45"/>
        <v>0</v>
      </c>
    </row>
    <row r="139" spans="1:28" s="1" customFormat="1" ht="30" customHeight="1" x14ac:dyDescent="0.25">
      <c r="A139" s="41" t="str">
        <f>IF(B139&lt;&gt;"",VLOOKUP(B139,'Raw BOM'!$A$3:$B$495,2,FALSE),IF(E139&lt;&gt;"","Misc",""))</f>
        <v>Ship-L</v>
      </c>
      <c r="B139" s="42" t="str">
        <f>IF('Blank Quote'!B33&lt;&gt;"", 'Blank Quote'!B33, "")</f>
        <v>Shipping-Ground for Large Package</v>
      </c>
      <c r="C139" s="43">
        <f>IF('Blank Quote'!C33&lt;&gt;"", 'Blank Quote'!C33, "")</f>
        <v>1</v>
      </c>
      <c r="D139" s="44"/>
      <c r="E139" s="45" t="str">
        <f>IF('Blank Quote'!E33&lt;&gt;"", 'Blank Quote'!E33, "")</f>
        <v/>
      </c>
      <c r="F139"/>
      <c r="G139" s="400" t="str">
        <f t="shared" si="34"/>
        <v>Ship-L</v>
      </c>
      <c r="H139" s="401"/>
      <c r="I139" s="402" t="str">
        <f t="shared" si="35"/>
        <v>Shipping-Ground for Large Package</v>
      </c>
      <c r="J139" s="403"/>
      <c r="K139" s="403" t="str">
        <f t="shared" si="36"/>
        <v/>
      </c>
      <c r="L139" s="403"/>
      <c r="M139" s="403" t="str">
        <f t="shared" si="37"/>
        <v>Ship-L</v>
      </c>
      <c r="N139" s="403"/>
      <c r="O139" s="403" t="str">
        <f t="shared" si="38"/>
        <v>Shipping-Ground for Large Package</v>
      </c>
      <c r="P139" s="404"/>
      <c r="Q139" s="99">
        <f t="shared" si="39"/>
        <v>1</v>
      </c>
      <c r="R139" s="405">
        <f>IF(C139="", "",IF(D139&gt;0,D139,
IF($E$107="NY Contract", VLOOKUP(B139,'Raw BOM'!$A$3:$G$495,7,FALSE),
IF($E$107="FL Contract", VLOOKUP(B139,'Raw BOM'!$A$3:$I$495,8,FALSE),
IF($E$107="LA Contract", VLOOKUP(B139,'Raw BOM'!$A$3:$K$495,9,FALSE),
IF($E$107="WA Contract", VLOOKUP(B139,'Raw BOM'!$A$3:$M$495,10,FALSE),
VLOOKUP(B139,'Raw BOM'!$A$3:$D$495,4,FALSE)))))))</f>
        <v>60</v>
      </c>
      <c r="S139" s="406" t="str">
        <f t="shared" si="40"/>
        <v>Ship-L</v>
      </c>
      <c r="T139" s="405">
        <f t="shared" si="41"/>
        <v>60</v>
      </c>
      <c r="U139" s="406" t="str">
        <f t="shared" si="42"/>
        <v>Shipping-Ground for Large Package</v>
      </c>
      <c r="V139" s="49" t="str">
        <f>IF(C139="","", VLOOKUP(B139,'Raw BOM'!$A$3:$F$495,6,FALSE))</f>
        <v>No</v>
      </c>
      <c r="X139" s="47">
        <f t="shared" si="43"/>
        <v>0</v>
      </c>
      <c r="Y139" s="198">
        <f>ROUND(
IF(AND(C139&lt;&gt;"", D139="", V139="Yes"),
     IF($E$107="Discount Based",
         R139*IF(OR(LEFT(A139,2)="HW", LEFT(A139,12)="CMS-Hardware"),
              $E$108,
              IF(AND(LEFT(A139,3)="Sys", LEFT(A139,4)&lt;&gt;"Ship"),
                   ($E$108+$E$109)/2,
                    0)),
         IF($E$107="Cost Based",
              IF(OR(LEFT(A139,2)="HW", LEFT(A139,12)="CMS-Hardware"),
                   R139-(1+$E$110)*VLOOKUP(B139,'Raw BOM'!$A$3:$E$492,5,FALSE),
              IF(AND(LEFT(A139,3)="Sys", LEFT(A139,4)&lt;&gt;"Ship"),
                   R139-(1+($E$110+$E$111)/2)*VLOOKUP(B139,'Raw BOM'!$A$3:$E$492,5,FALSE),
                   0))))),2)</f>
        <v>0</v>
      </c>
      <c r="Z139" s="47">
        <f>ROUND(
IF(AND(C139&lt;&gt;"", D139="", V139="No"),
     IF($E$107="Discount Based",
         R139*IF(AND(LEFT(A139,2)&lt;&gt;"HW", LEFT(A139,12)&lt;&gt;"CMS-Hardware",LEFT(A139,3)&lt;&gt;"Sys", LEFT(A139,4)&lt;&gt;"Ship"),
                   $E$109,0),
     IF($E$107="Cost Based",
          IF(AND(LEFT(A139,2)&lt;&gt;"HW", LEFT(A139,12)&lt;&gt;"CMS-Hardware",LEFT(A139,3)&lt;&gt;"Sys", LEFT(A139,4)&lt;&gt;"Ship"),
               R139-(1+$E$110)*VLOOKUP(B139,'Raw BOM'!$A$3:$E$492,5,FALSE),0),0)),0),2)</f>
        <v>0</v>
      </c>
      <c r="AA139" s="48">
        <f t="shared" si="44"/>
        <v>0</v>
      </c>
      <c r="AB139" s="48">
        <f t="shared" si="45"/>
        <v>0</v>
      </c>
    </row>
    <row r="140" spans="1:28" s="1" customFormat="1" ht="30" customHeight="1" x14ac:dyDescent="0.25">
      <c r="A140" s="41" t="str">
        <f>IF(B140&lt;&gt;"",VLOOKUP(B140,'Raw BOM'!$A$3:$B$495,2,FALSE),IF(E140&lt;&gt;"","Misc",""))</f>
        <v>Maint-Warr</v>
      </c>
      <c r="B140" s="42" t="str">
        <f>IF('Blank Quote'!B34&lt;&gt;"", 'Blank Quote'!B34, "")</f>
        <v>Maintenance-Initial Year Warranty</v>
      </c>
      <c r="C140" s="43">
        <f>IF('Blank Quote'!C34&lt;&gt;"", 'Blank Quote'!C34, "")</f>
        <v>1</v>
      </c>
      <c r="D140" s="44"/>
      <c r="E140" s="45" t="str">
        <f>IF('Blank Quote'!E34&lt;&gt;"", 'Blank Quote'!E34, "")</f>
        <v>Cross Ship</v>
      </c>
      <c r="F140"/>
      <c r="G140" s="400" t="str">
        <f t="shared" si="34"/>
        <v>Maint-Warr</v>
      </c>
      <c r="H140" s="401"/>
      <c r="I140" s="402"/>
      <c r="J140" s="403"/>
      <c r="K140" s="403" t="str">
        <f t="shared" si="36"/>
        <v>Cross Ship</v>
      </c>
      <c r="L140" s="403"/>
      <c r="M140" s="403" t="str">
        <f t="shared" si="37"/>
        <v>Maint-Warr</v>
      </c>
      <c r="N140" s="403"/>
      <c r="O140" s="403">
        <f t="shared" si="38"/>
        <v>0</v>
      </c>
      <c r="P140" s="404"/>
      <c r="Q140" s="99">
        <f t="shared" si="39"/>
        <v>1</v>
      </c>
      <c r="R140" s="405">
        <f>IF(C140="", "",IF(D140&gt;0,D140,
IF($E$107="NY Contract", VLOOKUP(B140,'Raw BOM'!$A$3:$G$495,7,FALSE),
IF($E$107="FL Contract", VLOOKUP(B140,'Raw BOM'!$A$3:$I$495,8,FALSE),
IF($E$107="LA Contract", VLOOKUP(B140,'Raw BOM'!$A$3:$K$495,9,FALSE),
IF($E$107="WA Contract", VLOOKUP(B140,'Raw BOM'!$A$3:$M$495,10,FALSE),
VLOOKUP(B140,'Raw BOM'!$A$3:$D$495,4,FALSE)))))))</f>
        <v>0</v>
      </c>
      <c r="S140" s="406" t="str">
        <f t="shared" si="40"/>
        <v>Maint-Warr</v>
      </c>
      <c r="T140" s="405">
        <f t="shared" si="41"/>
        <v>0</v>
      </c>
      <c r="U140" s="406">
        <f t="shared" si="42"/>
        <v>0</v>
      </c>
      <c r="V140" s="49" t="str">
        <f>IF(C140="","", VLOOKUP(B140,'Raw BOM'!$A$3:$F$495,6,FALSE))</f>
        <v>No</v>
      </c>
      <c r="X140" s="47">
        <f t="shared" si="43"/>
        <v>0</v>
      </c>
      <c r="Y140" s="198">
        <f>ROUND(
IF(AND(C140&lt;&gt;"", D140="", V140="Yes"),
     IF($E$107="Discount Based",
         R140*IF(OR(LEFT(A140,2)="HW", LEFT(A140,12)="CMS-Hardware"),
              $E$108,
              IF(AND(LEFT(A140,3)="Sys", LEFT(A140,4)&lt;&gt;"Ship"),
                   ($E$108+$E$109)/2,
                    0)),
         IF($E$107="Cost Based",
              IF(OR(LEFT(A140,2)="HW", LEFT(A140,12)="CMS-Hardware"),
                   R140-(1+$E$110)*VLOOKUP(B140,'Raw BOM'!$A$3:$E$492,5,FALSE),
              IF(AND(LEFT(A140,3)="Sys", LEFT(A140,4)&lt;&gt;"Ship"),
                   R140-(1+($E$110+$E$111)/2)*VLOOKUP(B140,'Raw BOM'!$A$3:$E$492,5,FALSE),
                   0))))),2)</f>
        <v>0</v>
      </c>
      <c r="Z140" s="47">
        <f>ROUND(
IF(AND(C140&lt;&gt;"", D140="", V140="No"),
     IF($E$107="Discount Based",
         R140*IF(AND(LEFT(A140,2)&lt;&gt;"HW", LEFT(A140,12)&lt;&gt;"CMS-Hardware",LEFT(A140,3)&lt;&gt;"Sys", LEFT(A140,4)&lt;&gt;"Ship"),
                   $E$109,0),
     IF($E$107="Cost Based",
          IF(AND(LEFT(A140,2)&lt;&gt;"HW", LEFT(A140,12)&lt;&gt;"CMS-Hardware",LEFT(A140,3)&lt;&gt;"Sys", LEFT(A140,4)&lt;&gt;"Ship"),
               R140-(1+$E$110)*VLOOKUP(B140,'Raw BOM'!$A$3:$E$492,5,FALSE),0),0)),0),2)</f>
        <v>0</v>
      </c>
      <c r="AA140" s="48">
        <f t="shared" si="44"/>
        <v>0</v>
      </c>
      <c r="AB140" s="48">
        <f t="shared" si="45"/>
        <v>0</v>
      </c>
    </row>
    <row r="141" spans="1:28" s="1" customFormat="1" ht="30" customHeight="1" x14ac:dyDescent="0.25">
      <c r="A141" s="41" t="str">
        <f>IF(B141&lt;&gt;"",VLOOKUP(B141,'Raw BOM'!$A$3:$B$495,2,FALSE),IF(E141&lt;&gt;"","Misc",""))</f>
        <v>Misc</v>
      </c>
      <c r="B141" s="42" t="str">
        <f>IF('Blank Quote'!B35&lt;&gt;"", 'Blank Quote'!B35, "")</f>
        <v/>
      </c>
      <c r="C141" s="43" t="str">
        <f>IF('Blank Quote'!C35&lt;&gt;"", 'Blank Quote'!C35, "")</f>
        <v/>
      </c>
      <c r="D141" s="44"/>
      <c r="E141" s="45" t="str">
        <f>IF('Blank Quote'!E35&lt;&gt;"", 'Blank Quote'!E35, "")</f>
        <v>Pick one of the following 2 Maintenance options in the 12th month.  We recommend picking 2nd line if processing more than 1,200 transactions per year.</v>
      </c>
      <c r="F141"/>
      <c r="G141" s="400" t="str">
        <f t="shared" si="34"/>
        <v>Misc</v>
      </c>
      <c r="H141" s="401"/>
      <c r="I141" s="402" t="str">
        <f>IF(B141&lt;&gt;"", B141, "")&amp;IF(E141&lt;&gt;"", "   *** "&amp;E141, "")</f>
        <v xml:space="preserve">   *** Pick one of the following 2 Maintenance options in the 12th month.  We recommend picking 2nd line if processing more than 1,200 transactions per year.</v>
      </c>
      <c r="J141" s="403"/>
      <c r="K141" s="403" t="str">
        <f t="shared" si="36"/>
        <v>Pick one of the following 2 Maintenance options in the 12th month.  We recommend picking 2nd line if processing more than 1,200 transactions per year.</v>
      </c>
      <c r="L141" s="403"/>
      <c r="M141" s="403" t="str">
        <f t="shared" si="37"/>
        <v>Misc</v>
      </c>
      <c r="N141" s="403"/>
      <c r="O141" s="403" t="str">
        <f t="shared" si="38"/>
        <v xml:space="preserve">   *** Pick one of the following 2 Maintenance options in the 12th month.  We recommend picking 2nd line if processing more than 1,200 transactions per year.</v>
      </c>
      <c r="P141" s="404"/>
      <c r="Q141" s="99" t="str">
        <f t="shared" si="39"/>
        <v/>
      </c>
      <c r="R141" s="405" t="str">
        <f>IF(C141="", "",IF(D141&gt;0,D141,
IF($E$107="NY Contract", VLOOKUP(B141,'Raw BOM'!$A$3:$G$495,7,FALSE),
IF($E$107="FL Contract", VLOOKUP(B141,'Raw BOM'!$A$3:$I$495,8,FALSE),
IF($E$107="LA Contract", VLOOKUP(B141,'Raw BOM'!$A$3:$K$495,9,FALSE),
IF($E$107="WA Contract", VLOOKUP(B141,'Raw BOM'!$A$3:$M$495,10,FALSE),
VLOOKUP(B141,'Raw BOM'!$A$3:$D$495,4,FALSE)))))))</f>
        <v/>
      </c>
      <c r="S141" s="406" t="str">
        <f t="shared" si="40"/>
        <v>Misc</v>
      </c>
      <c r="T141" s="405" t="str">
        <f t="shared" si="41"/>
        <v/>
      </c>
      <c r="U141" s="406" t="str">
        <f t="shared" si="42"/>
        <v xml:space="preserve">   *** Pick one of the following 2 Maintenance options in the 12th month.  We recommend picking 2nd line if processing more than 1,200 transactions per year.</v>
      </c>
      <c r="V141" s="49" t="str">
        <f>IF(C141="","", VLOOKUP(B141,'Raw BOM'!$A$3:$F$495,6,FALSE))</f>
        <v/>
      </c>
      <c r="X141" s="47">
        <f t="shared" si="43"/>
        <v>0</v>
      </c>
      <c r="Y141" s="198">
        <f>ROUND(
IF(AND(C141&lt;&gt;"", D141="", V141="Yes"),
     IF($E$107="Discount Based",
         R141*IF(OR(LEFT(A141,2)="HW", LEFT(A141,12)="CMS-Hardware"),
              $E$108,
              IF(AND(LEFT(A141,3)="Sys", LEFT(A141,4)&lt;&gt;"Ship"),
                   ($E$108+$E$109)/2,
                    0)),
         IF($E$107="Cost Based",
              IF(OR(LEFT(A141,2)="HW", LEFT(A141,12)="CMS-Hardware"),
                   R141-(1+$E$110)*VLOOKUP(B141,'Raw BOM'!$A$3:$E$492,5,FALSE),
              IF(AND(LEFT(A141,3)="Sys", LEFT(A141,4)&lt;&gt;"Ship"),
                   R141-(1+($E$110+$E$111)/2)*VLOOKUP(B141,'Raw BOM'!$A$3:$E$492,5,FALSE),
                   0))))),2)</f>
        <v>0</v>
      </c>
      <c r="Z141" s="47">
        <f>ROUND(
IF(AND(C141&lt;&gt;"", D141="", V141="No"),
     IF($E$107="Discount Based",
         R141*IF(AND(LEFT(A141,2)&lt;&gt;"HW", LEFT(A141,12)&lt;&gt;"CMS-Hardware",LEFT(A141,3)&lt;&gt;"Sys", LEFT(A141,4)&lt;&gt;"Ship"),
                   $E$109,0),
     IF($E$107="Cost Based",
          IF(AND(LEFT(A141,2)&lt;&gt;"HW", LEFT(A141,12)&lt;&gt;"CMS-Hardware",LEFT(A141,3)&lt;&gt;"Sys", LEFT(A141,4)&lt;&gt;"Ship"),
               R141-(1+$E$110)*VLOOKUP(B141,'Raw BOM'!$A$3:$E$492,5,FALSE),0),0)),0),2)</f>
        <v>0</v>
      </c>
      <c r="AA141" s="48">
        <f t="shared" si="44"/>
        <v>0</v>
      </c>
      <c r="AB141" s="48">
        <f t="shared" si="45"/>
        <v>0</v>
      </c>
    </row>
    <row r="142" spans="1:28" s="1" customFormat="1" ht="30" customHeight="1" x14ac:dyDescent="0.25">
      <c r="A142" s="41" t="str">
        <f>IF(B142&lt;&gt;"",VLOOKUP(B142,'Raw BOM'!$A$3:$B$495,2,FALSE),IF(E142&lt;&gt;"","Misc",""))</f>
        <v>Maint-9X5-SW-App</v>
      </c>
      <c r="B142" s="42" t="s">
        <v>125</v>
      </c>
      <c r="C142" s="43">
        <f>IF('Blank Quote'!C36&lt;&gt;"", 'Blank Quote'!C36, "")</f>
        <v>0</v>
      </c>
      <c r="D142" s="44">
        <v>495</v>
      </c>
      <c r="E142" s="50" t="str">
        <f>IF('Blank Quote'!E36&lt;&gt;"", 'Blank Quote'!E36, "")</f>
        <v>Software Only coverage, per system</v>
      </c>
      <c r="F142" s="251">
        <f>ROUND(S147*0.08,-1)</f>
        <v>410</v>
      </c>
      <c r="G142" s="315" t="str">
        <f t="shared" si="34"/>
        <v>Maint-9X5-SW-App</v>
      </c>
      <c r="H142" s="316"/>
      <c r="I142" s="317" t="str">
        <f>IF(B142&lt;&gt;"", B142, "")&amp;IF(E142&lt;&gt;"", "   *** "&amp;E142, "")</f>
        <v>Maintenance-9X5 Software Only Support Applicant   *** Software Only coverage, per system</v>
      </c>
      <c r="J142" s="317"/>
      <c r="K142" s="317" t="str">
        <f t="shared" si="36"/>
        <v>Software Only coverage, per system</v>
      </c>
      <c r="L142" s="317"/>
      <c r="M142" s="317" t="str">
        <f t="shared" si="37"/>
        <v>Maint-9X5-SW-App</v>
      </c>
      <c r="N142" s="317"/>
      <c r="O142" s="317" t="str">
        <f t="shared" si="38"/>
        <v>Maintenance-9X5 Software Only Support Applicant   *** Software Only coverage, per system</v>
      </c>
      <c r="P142" s="317"/>
      <c r="Q142" s="99">
        <f t="shared" si="39"/>
        <v>0</v>
      </c>
      <c r="R142" s="414">
        <f>D142</f>
        <v>495</v>
      </c>
      <c r="S142" s="318" t="str">
        <f t="shared" si="40"/>
        <v>Maint-9X5-SW-App</v>
      </c>
      <c r="T142" s="318">
        <f t="shared" si="41"/>
        <v>0</v>
      </c>
      <c r="U142" s="318" t="str">
        <f t="shared" si="42"/>
        <v>Maintenance-9X5 Software Only Support Applicant   *** Software Only coverage, per system</v>
      </c>
      <c r="V142" s="49" t="str">
        <f>IF(C142="","", VLOOKUP(B142,'Raw BOM'!$A$3:$F$495,6,FALSE))</f>
        <v>No</v>
      </c>
      <c r="X142" s="47">
        <f t="shared" si="43"/>
        <v>0</v>
      </c>
      <c r="Y142" s="179"/>
      <c r="Z142" s="47"/>
      <c r="AA142" s="48"/>
      <c r="AB142" s="48"/>
    </row>
    <row r="143" spans="1:28" s="1" customFormat="1" ht="30" customHeight="1" x14ac:dyDescent="0.25">
      <c r="A143" s="41" t="str">
        <f>IF(B143&lt;&gt;"",VLOOKUP(B143,'Raw BOM'!$A$3:$B$495,2,FALSE),IF(E143&lt;&gt;"","Misc",""))</f>
        <v>Maint-9X5-Remote</v>
      </c>
      <c r="B143" s="42" t="s">
        <v>127</v>
      </c>
      <c r="C143" s="43">
        <f>IF('Blank Quote'!C37&lt;&gt;"", 'Blank Quote'!C37, "")</f>
        <v>0</v>
      </c>
      <c r="D143" s="44">
        <v>720</v>
      </c>
      <c r="E143" s="50" t="str">
        <f>IF('Blank Quote'!E37&lt;&gt;"", 'Blank Quote'!E37, "")</f>
        <v>Software and Hardware Coverage, per system</v>
      </c>
      <c r="F143" s="251">
        <f>ROUND(S147*0.12,-1)</f>
        <v>610</v>
      </c>
      <c r="G143" s="315" t="str">
        <f t="shared" si="34"/>
        <v>Maint-9X5-Remote</v>
      </c>
      <c r="H143" s="316"/>
      <c r="I143" s="317" t="str">
        <f>IF(B143&lt;&gt;"", B143, "")&amp;IF(E143&lt;&gt;"", "   *** "&amp;E143, "")</f>
        <v>Maintenance-9 X 5 (8am - 5pm, M-F) Remote with Cross Ship   *** Software and Hardware Coverage, per system</v>
      </c>
      <c r="J143" s="317"/>
      <c r="K143" s="317" t="str">
        <f t="shared" si="36"/>
        <v>Software and Hardware Coverage, per system</v>
      </c>
      <c r="L143" s="317"/>
      <c r="M143" s="317" t="str">
        <f t="shared" si="37"/>
        <v>Maint-9X5-Remote</v>
      </c>
      <c r="N143" s="317"/>
      <c r="O143" s="317" t="str">
        <f t="shared" si="38"/>
        <v>Maintenance-9 X 5 (8am - 5pm, M-F) Remote with Cross Ship   *** Software and Hardware Coverage, per system</v>
      </c>
      <c r="P143" s="317"/>
      <c r="Q143" s="99">
        <f t="shared" si="39"/>
        <v>0</v>
      </c>
      <c r="R143" s="318">
        <f>D143</f>
        <v>720</v>
      </c>
      <c r="S143" s="318" t="str">
        <f t="shared" si="40"/>
        <v>Maint-9X5-Remote</v>
      </c>
      <c r="T143" s="318">
        <f t="shared" si="41"/>
        <v>0</v>
      </c>
      <c r="U143" s="318" t="str">
        <f t="shared" si="42"/>
        <v>Maintenance-9 X 5 (8am - 5pm, M-F) Remote with Cross Ship   *** Software and Hardware Coverage, per system</v>
      </c>
      <c r="V143" s="49" t="str">
        <f>IF(C143="","", VLOOKUP(B143,'Raw BOM'!$A$3:$F$495,6,FALSE))</f>
        <v>No</v>
      </c>
      <c r="X143" s="47">
        <f t="shared" si="43"/>
        <v>0</v>
      </c>
      <c r="Y143" s="179"/>
      <c r="Z143" s="47"/>
      <c r="AA143" s="48"/>
      <c r="AB143" s="48"/>
    </row>
    <row r="144" spans="1:28" s="1" customFormat="1" ht="30" customHeight="1" x14ac:dyDescent="0.25">
      <c r="A144" s="41" t="str">
        <f>IF(B144&lt;&gt;"",VLOOKUP(B144,'Raw BOM'!$A$3:$B$495,2,FALSE),IF(E144&lt;&gt;"","Misc",""))</f>
        <v/>
      </c>
      <c r="B144" s="42" t="str">
        <f>IF('Blank Quote'!B144&lt;&gt;"", 'Blank Quote'!B144, "")</f>
        <v/>
      </c>
      <c r="C144" s="43" t="str">
        <f>IF('Blank Quote'!C144&lt;&gt;"", 'Blank Quote'!C144, "")</f>
        <v/>
      </c>
      <c r="D144" s="44" t="str">
        <f>IF(B144&lt;&gt;"", F144, "")</f>
        <v/>
      </c>
      <c r="E144" s="50" t="str">
        <f>IF('Blank Quote'!E144&lt;&gt;"", 'Blank Quote'!E144, "")</f>
        <v/>
      </c>
      <c r="F144" s="251">
        <f>ROUND(S147*0.18,-1)</f>
        <v>920</v>
      </c>
      <c r="G144" s="315" t="str">
        <f t="shared" si="34"/>
        <v/>
      </c>
      <c r="H144" s="316"/>
      <c r="I144" s="317" t="str">
        <f>IF(B144&lt;&gt;"", B144, "")&amp;IF(E144&lt;&gt;"", "   *** "&amp;E144, "")</f>
        <v/>
      </c>
      <c r="J144" s="317"/>
      <c r="K144" s="317" t="str">
        <f t="shared" si="36"/>
        <v/>
      </c>
      <c r="L144" s="317"/>
      <c r="M144" s="317" t="str">
        <f t="shared" si="37"/>
        <v/>
      </c>
      <c r="N144" s="317"/>
      <c r="O144" s="317" t="str">
        <f t="shared" si="38"/>
        <v/>
      </c>
      <c r="P144" s="317"/>
      <c r="Q144" s="99" t="str">
        <f t="shared" si="39"/>
        <v/>
      </c>
      <c r="R144" s="318" t="str">
        <f>D144</f>
        <v/>
      </c>
      <c r="S144" s="318" t="str">
        <f t="shared" si="40"/>
        <v/>
      </c>
      <c r="T144" s="318" t="str">
        <f t="shared" si="41"/>
        <v/>
      </c>
      <c r="U144" s="318" t="str">
        <f t="shared" si="42"/>
        <v/>
      </c>
      <c r="V144" s="49" t="str">
        <f>IF(C144="","", VLOOKUP(B144,'Raw BOM'!$A$3:$F$495,6,FALSE))</f>
        <v/>
      </c>
      <c r="X144" s="47">
        <f t="shared" si="43"/>
        <v>0</v>
      </c>
      <c r="Y144" s="179"/>
      <c r="Z144" s="47"/>
      <c r="AA144" s="48"/>
      <c r="AB144" s="48"/>
    </row>
    <row r="145" spans="1:28" s="1" customFormat="1" ht="30" customHeight="1" thickBot="1" x14ac:dyDescent="0.3">
      <c r="A145" s="41" t="str">
        <f>IF(B145&lt;&gt;"",VLOOKUP(B145,'Raw BOM'!$A$3:$B$495,2,FALSE),IF(E145&lt;&gt;"","Misc",""))</f>
        <v/>
      </c>
      <c r="B145" s="51" t="str">
        <f>IF('Blank Quote'!B145&lt;&gt;"", 'Blank Quote'!B145, "")</f>
        <v/>
      </c>
      <c r="C145" s="52" t="str">
        <f>IF('Blank Quote'!C145&lt;&gt;"", 'Blank Quote'!C145, "")</f>
        <v/>
      </c>
      <c r="D145" s="53" t="str">
        <f>IF(B145&lt;&gt;"", F145, "")</f>
        <v/>
      </c>
      <c r="E145" s="50" t="str">
        <f>IF('Blank Quote'!E145&lt;&gt;"", 'Blank Quote'!E145, "")</f>
        <v/>
      </c>
      <c r="F145" s="251">
        <f>ROUND(S147*0.24,-1)</f>
        <v>1220</v>
      </c>
      <c r="G145" s="369" t="str">
        <f t="shared" si="34"/>
        <v/>
      </c>
      <c r="H145" s="370"/>
      <c r="I145" s="371" t="str">
        <f>IF(B145&lt;&gt;"", B145, "")&amp;IF(E145&lt;&gt;"", "   *** "&amp;E145, "")</f>
        <v/>
      </c>
      <c r="J145" s="371"/>
      <c r="K145" s="371" t="str">
        <f t="shared" si="36"/>
        <v/>
      </c>
      <c r="L145" s="371"/>
      <c r="M145" s="371" t="str">
        <f t="shared" si="37"/>
        <v/>
      </c>
      <c r="N145" s="371"/>
      <c r="O145" s="371" t="str">
        <f t="shared" si="38"/>
        <v/>
      </c>
      <c r="P145" s="371"/>
      <c r="Q145" s="96" t="str">
        <f t="shared" si="39"/>
        <v/>
      </c>
      <c r="R145" s="373" t="str">
        <f>D145</f>
        <v/>
      </c>
      <c r="S145" s="373" t="str">
        <f t="shared" si="40"/>
        <v/>
      </c>
      <c r="T145" s="373" t="str">
        <f t="shared" si="41"/>
        <v/>
      </c>
      <c r="U145" s="373" t="str">
        <f t="shared" si="42"/>
        <v/>
      </c>
      <c r="V145" s="55" t="str">
        <f>IF(C145="","", VLOOKUP(B145,'Raw BOM'!$A$3:$F$495,6,FALSE))</f>
        <v/>
      </c>
      <c r="X145" s="47">
        <f t="shared" si="43"/>
        <v>0</v>
      </c>
      <c r="Y145" s="179"/>
      <c r="Z145" s="47"/>
      <c r="AA145" s="48"/>
      <c r="AB145" s="48"/>
    </row>
    <row r="146" spans="1:28" ht="5.25" customHeight="1" thickTop="1" thickBot="1" x14ac:dyDescent="0.3">
      <c r="D146" s="35"/>
    </row>
    <row r="147" spans="1:28" ht="15" customHeight="1" outlineLevel="1" thickBot="1" x14ac:dyDescent="0.3">
      <c r="A147" s="249"/>
      <c r="B147" s="249"/>
      <c r="C147" s="249"/>
      <c r="D147" s="249"/>
      <c r="E147" s="249"/>
      <c r="G147" s="329" t="s">
        <v>129</v>
      </c>
      <c r="H147" s="330"/>
      <c r="I147" s="330"/>
      <c r="J147" s="330"/>
      <c r="K147" s="330"/>
      <c r="L147" s="330"/>
      <c r="M147" s="331"/>
      <c r="N147" s="338" t="str">
        <f>'Blank Quote'!$N$41:$O$41</f>
        <v>QS: 20191222</v>
      </c>
      <c r="O147" s="339"/>
      <c r="P147" s="57"/>
      <c r="Q147" s="57"/>
      <c r="R147" s="58" t="s">
        <v>131</v>
      </c>
      <c r="S147" s="323">
        <f>SUMIF(T125:U141,"&gt;0")</f>
        <v>5090</v>
      </c>
      <c r="T147" s="324"/>
      <c r="U147" s="325"/>
      <c r="V147" s="59"/>
    </row>
    <row r="148" spans="1:28" ht="15" customHeight="1" outlineLevel="1" thickBot="1" x14ac:dyDescent="0.3">
      <c r="A148" s="249"/>
      <c r="B148" s="249"/>
      <c r="C148" s="249"/>
      <c r="D148" s="249"/>
      <c r="E148" s="249"/>
      <c r="G148" s="332"/>
      <c r="H148" s="333"/>
      <c r="I148" s="333"/>
      <c r="J148" s="333"/>
      <c r="K148" s="333"/>
      <c r="L148" s="333"/>
      <c r="M148" s="334"/>
      <c r="N148" s="338" t="str">
        <f>'Blank Quote'!$N$42:$O$42</f>
        <v>PT: Apte</v>
      </c>
      <c r="O148" s="339"/>
      <c r="P148" s="57"/>
      <c r="Q148" s="57"/>
      <c r="R148" s="58" t="str">
        <f>IF(X148&gt;0,"Discount on Taxable Items:", "")</f>
        <v>Discount on Taxable Items:</v>
      </c>
      <c r="S148" s="326">
        <f>IF(X148&gt;0, -X148, 0)</f>
        <v>-420</v>
      </c>
      <c r="T148" s="327"/>
      <c r="U148" s="328"/>
      <c r="V148" s="258">
        <f>S148/S147</f>
        <v>-8.2514734774066803E-2</v>
      </c>
      <c r="X148" s="61">
        <f>SUM(AA125:AA145)</f>
        <v>420</v>
      </c>
    </row>
    <row r="149" spans="1:28" ht="15" customHeight="1" outlineLevel="1" thickBot="1" x14ac:dyDescent="0.3">
      <c r="A149" s="249"/>
      <c r="B149" s="249"/>
      <c r="C149" s="249"/>
      <c r="D149" s="249"/>
      <c r="E149" s="249"/>
      <c r="G149" s="332"/>
      <c r="H149" s="333"/>
      <c r="I149" s="333"/>
      <c r="J149" s="333"/>
      <c r="K149" s="333"/>
      <c r="L149" s="333"/>
      <c r="M149" s="334"/>
      <c r="N149" s="56"/>
      <c r="P149" s="57"/>
      <c r="R149" s="58" t="str">
        <f>IF(X149&gt;0,"Discount on Non-Taxable Items:", "")</f>
        <v>Discount on Non-Taxable Items:</v>
      </c>
      <c r="S149" s="323">
        <f>IF(X149&gt;0, -X149, 0)+SUMIF(T125:U141,"&lt;0")</f>
        <v>-1289.2</v>
      </c>
      <c r="T149" s="324"/>
      <c r="U149" s="325"/>
      <c r="V149" s="256">
        <f>S149/S147</f>
        <v>-0.25328094302554027</v>
      </c>
      <c r="X149" s="61">
        <f>SUM(AB125:AB145)</f>
        <v>1289.2</v>
      </c>
    </row>
    <row r="150" spans="1:28" ht="15" customHeight="1" outlineLevel="1" thickBot="1" x14ac:dyDescent="0.3">
      <c r="A150" s="249"/>
      <c r="B150" s="249"/>
      <c r="C150" s="249"/>
      <c r="D150" s="249"/>
      <c r="E150" s="249"/>
      <c r="G150" s="332"/>
      <c r="H150" s="333"/>
      <c r="I150" s="333"/>
      <c r="J150" s="333"/>
      <c r="K150" s="333"/>
      <c r="L150" s="333"/>
      <c r="M150" s="334"/>
      <c r="N150" s="56"/>
      <c r="P150" s="57"/>
      <c r="R150" s="58" t="s">
        <v>132</v>
      </c>
      <c r="S150" s="323">
        <f>SUM(T142:U145)</f>
        <v>0</v>
      </c>
      <c r="T150" s="324"/>
      <c r="U150" s="325"/>
      <c r="V150" s="201"/>
      <c r="X150" s="61"/>
    </row>
    <row r="151" spans="1:28" ht="15" customHeight="1" outlineLevel="1" thickBot="1" x14ac:dyDescent="0.3">
      <c r="A151" s="249"/>
      <c r="B151" s="249"/>
      <c r="C151" s="249"/>
      <c r="D151" s="249"/>
      <c r="E151" s="249"/>
      <c r="G151" s="332"/>
      <c r="H151" s="333"/>
      <c r="I151" s="333"/>
      <c r="J151" s="333"/>
      <c r="K151" s="333"/>
      <c r="L151" s="333"/>
      <c r="M151" s="334"/>
      <c r="N151" s="56"/>
      <c r="P151" s="57"/>
      <c r="Q151" s="57"/>
      <c r="R151" s="58" t="s">
        <v>133</v>
      </c>
      <c r="S151" s="326" t="str">
        <f>IF(B117=0, "Tax Exempt", X151)</f>
        <v>Tax Exempt</v>
      </c>
      <c r="T151" s="327"/>
      <c r="U151" s="327"/>
      <c r="V151" s="257">
        <f>B117</f>
        <v>0</v>
      </c>
      <c r="X151" s="61">
        <f>SUM(X125:X145)</f>
        <v>0</v>
      </c>
    </row>
    <row r="152" spans="1:28" ht="24" customHeight="1" outlineLevel="1" thickBot="1" x14ac:dyDescent="0.3">
      <c r="A152" s="249"/>
      <c r="B152" s="249"/>
      <c r="C152" s="249"/>
      <c r="D152" s="249"/>
      <c r="E152" s="249"/>
      <c r="G152" s="335"/>
      <c r="H152" s="336"/>
      <c r="I152" s="336"/>
      <c r="J152" s="336"/>
      <c r="K152" s="336"/>
      <c r="L152" s="336"/>
      <c r="M152" s="337"/>
      <c r="N152" s="66"/>
      <c r="O152" s="65"/>
      <c r="P152" s="57"/>
      <c r="Q152" s="57"/>
      <c r="R152" s="58" t="s">
        <v>134</v>
      </c>
      <c r="S152" s="320">
        <f>SUM(S147:U151)</f>
        <v>3380.8</v>
      </c>
      <c r="T152" s="321"/>
      <c r="U152" s="322"/>
      <c r="V152" s="62"/>
    </row>
    <row r="153" spans="1:28" ht="5.25" customHeight="1" thickBot="1" x14ac:dyDescent="0.3">
      <c r="A153" s="249"/>
      <c r="B153" s="249"/>
      <c r="C153" s="249"/>
      <c r="D153" s="249"/>
      <c r="E153" s="249"/>
    </row>
    <row r="154" spans="1:28" ht="5.85" customHeight="1" outlineLevel="1" x14ac:dyDescent="0.25">
      <c r="A154" s="249"/>
      <c r="B154" s="249"/>
      <c r="C154" s="249"/>
      <c r="D154" s="249"/>
      <c r="E154" s="249"/>
      <c r="G154" s="415" t="str">
        <f>"TERMS &amp; CONDITIONS: "&amp;VLOOKUP(B121,'T&amp;C'!A1:B3,2,FALSE)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4" s="416"/>
      <c r="I154" s="416"/>
      <c r="J154" s="416"/>
      <c r="K154" s="416"/>
      <c r="L154" s="416"/>
      <c r="M154" s="416"/>
      <c r="N154" s="416"/>
      <c r="O154" s="416"/>
      <c r="P154" s="416"/>
      <c r="Q154" s="416"/>
      <c r="R154" s="416"/>
      <c r="S154" s="416"/>
      <c r="T154" s="416"/>
      <c r="U154" s="416"/>
      <c r="V154" s="417"/>
    </row>
    <row r="155" spans="1:28" ht="6.2" customHeight="1" outlineLevel="1" x14ac:dyDescent="0.25">
      <c r="A155" s="249"/>
      <c r="B155" s="249"/>
      <c r="C155" s="249"/>
      <c r="D155" s="249"/>
      <c r="E155" s="249"/>
      <c r="G155" s="418"/>
      <c r="H155" s="419"/>
      <c r="I155" s="419"/>
      <c r="J155" s="419"/>
      <c r="K155" s="419"/>
      <c r="L155" s="419"/>
      <c r="M155" s="419"/>
      <c r="N155" s="419"/>
      <c r="O155" s="419"/>
      <c r="P155" s="419"/>
      <c r="Q155" s="419"/>
      <c r="R155" s="419"/>
      <c r="S155" s="419"/>
      <c r="T155" s="419"/>
      <c r="U155" s="419"/>
      <c r="V155" s="420"/>
    </row>
    <row r="156" spans="1:28" ht="13.5" customHeight="1" outlineLevel="1" x14ac:dyDescent="0.25">
      <c r="A156" s="249"/>
      <c r="B156" s="249"/>
      <c r="C156" s="249"/>
      <c r="D156" s="249"/>
      <c r="E156" s="249"/>
      <c r="G156" s="418"/>
      <c r="H156" s="419"/>
      <c r="I156" s="419"/>
      <c r="J156" s="419"/>
      <c r="K156" s="419"/>
      <c r="L156" s="419"/>
      <c r="M156" s="419"/>
      <c r="N156" s="419"/>
      <c r="O156" s="419"/>
      <c r="P156" s="419"/>
      <c r="Q156" s="419"/>
      <c r="R156" s="419"/>
      <c r="S156" s="419"/>
      <c r="T156" s="419"/>
      <c r="U156" s="419"/>
      <c r="V156" s="420"/>
    </row>
    <row r="157" spans="1:28" ht="22.35" customHeight="1" outlineLevel="1" x14ac:dyDescent="0.25">
      <c r="A157" s="249"/>
      <c r="B157" s="249"/>
      <c r="C157" s="249"/>
      <c r="D157" s="249"/>
      <c r="E157" s="249"/>
      <c r="G157" s="418"/>
      <c r="H157" s="419"/>
      <c r="I157" s="419"/>
      <c r="J157" s="419"/>
      <c r="K157" s="419"/>
      <c r="L157" s="419"/>
      <c r="M157" s="419"/>
      <c r="N157" s="419"/>
      <c r="O157" s="419"/>
      <c r="P157" s="419"/>
      <c r="Q157" s="419"/>
      <c r="R157" s="419"/>
      <c r="S157" s="419"/>
      <c r="T157" s="419"/>
      <c r="U157" s="419"/>
      <c r="V157" s="420"/>
    </row>
    <row r="158" spans="1:28" ht="8.85" customHeight="1" outlineLevel="1" x14ac:dyDescent="0.25">
      <c r="A158" s="249"/>
      <c r="B158" s="249"/>
      <c r="C158" s="249"/>
      <c r="D158" s="249"/>
      <c r="E158" s="249"/>
      <c r="G158" s="418"/>
      <c r="H158" s="419"/>
      <c r="I158" s="419"/>
      <c r="J158" s="419"/>
      <c r="K158" s="419"/>
      <c r="L158" s="419"/>
      <c r="M158" s="419"/>
      <c r="N158" s="419"/>
      <c r="O158" s="419"/>
      <c r="P158" s="419"/>
      <c r="Q158" s="419"/>
      <c r="R158" s="419"/>
      <c r="S158" s="419"/>
      <c r="T158" s="419"/>
      <c r="U158" s="419"/>
      <c r="V158" s="420"/>
    </row>
    <row r="159" spans="1:28" ht="1.7" customHeight="1" outlineLevel="1" thickBot="1" x14ac:dyDescent="0.3">
      <c r="A159" s="249"/>
      <c r="B159" s="249"/>
      <c r="C159" s="249"/>
      <c r="D159" s="249"/>
      <c r="E159" s="249"/>
      <c r="G159" s="288"/>
      <c r="H159" s="289"/>
      <c r="I159" s="289"/>
      <c r="J159" s="289"/>
      <c r="K159" s="289"/>
      <c r="L159" s="289"/>
      <c r="M159" s="289"/>
      <c r="N159" s="289"/>
      <c r="O159" s="289"/>
      <c r="P159" s="289"/>
      <c r="Q159" s="289"/>
      <c r="R159" s="289"/>
      <c r="S159" s="289"/>
      <c r="T159" s="289"/>
      <c r="U159" s="289"/>
      <c r="V159" s="290"/>
    </row>
    <row r="160" spans="1:28"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3"/>
    </row>
    <row r="341" spans="4:4" x14ac:dyDescent="0.25">
      <c r="D341" s="64"/>
    </row>
    <row r="342" spans="4:4" x14ac:dyDescent="0.25">
      <c r="D342" s="35"/>
    </row>
    <row r="343" spans="4:4" x14ac:dyDescent="0.25">
      <c r="D343" s="63"/>
    </row>
    <row r="344" spans="4:4" x14ac:dyDescent="0.25">
      <c r="D344" s="64"/>
    </row>
    <row r="345" spans="4:4" x14ac:dyDescent="0.25">
      <c r="D345" s="35"/>
    </row>
    <row r="346" spans="4:4" x14ac:dyDescent="0.25">
      <c r="D346" s="63"/>
    </row>
    <row r="347" spans="4:4" x14ac:dyDescent="0.25">
      <c r="D347" s="64"/>
    </row>
    <row r="348" spans="4:4" x14ac:dyDescent="0.25">
      <c r="D348" s="35"/>
    </row>
    <row r="349" spans="4:4" x14ac:dyDescent="0.25">
      <c r="D349" s="63"/>
    </row>
    <row r="350" spans="4:4" x14ac:dyDescent="0.25">
      <c r="D350" s="64"/>
    </row>
    <row r="351" spans="4:4" x14ac:dyDescent="0.25">
      <c r="D351" s="35"/>
    </row>
    <row r="352" spans="4:4" x14ac:dyDescent="0.25">
      <c r="D352" s="63"/>
    </row>
    <row r="353" spans="4:4" x14ac:dyDescent="0.25">
      <c r="D353" s="64"/>
    </row>
    <row r="354" spans="4:4" x14ac:dyDescent="0.25">
      <c r="D354" s="35"/>
    </row>
    <row r="355" spans="4:4" x14ac:dyDescent="0.25">
      <c r="D355" s="63"/>
    </row>
    <row r="356" spans="4:4" x14ac:dyDescent="0.25">
      <c r="D356" s="64"/>
    </row>
    <row r="357" spans="4:4" x14ac:dyDescent="0.25">
      <c r="D357" s="35"/>
    </row>
    <row r="358" spans="4:4" x14ac:dyDescent="0.25">
      <c r="D358" s="63"/>
    </row>
    <row r="359" spans="4:4" x14ac:dyDescent="0.25">
      <c r="D359" s="64"/>
    </row>
    <row r="360" spans="4:4" x14ac:dyDescent="0.25">
      <c r="D360" s="35"/>
    </row>
    <row r="361" spans="4:4" x14ac:dyDescent="0.25">
      <c r="D361" s="63"/>
    </row>
    <row r="362" spans="4:4" x14ac:dyDescent="0.25">
      <c r="D362" s="64"/>
    </row>
    <row r="363" spans="4:4" x14ac:dyDescent="0.25">
      <c r="D363" s="35"/>
    </row>
    <row r="364" spans="4:4" x14ac:dyDescent="0.25">
      <c r="D364" s="63"/>
    </row>
    <row r="365" spans="4:4" x14ac:dyDescent="0.25">
      <c r="D365" s="64"/>
    </row>
    <row r="366" spans="4:4" x14ac:dyDescent="0.25">
      <c r="D366" s="35"/>
    </row>
    <row r="367" spans="4:4" x14ac:dyDescent="0.25">
      <c r="D367" s="63"/>
    </row>
    <row r="368" spans="4:4" x14ac:dyDescent="0.25">
      <c r="D368" s="64"/>
    </row>
    <row r="369" spans="4:4" x14ac:dyDescent="0.25">
      <c r="D369" s="35"/>
    </row>
    <row r="370" spans="4:4" x14ac:dyDescent="0.25">
      <c r="D370" s="63"/>
    </row>
    <row r="371" spans="4:4" x14ac:dyDescent="0.25">
      <c r="D371" s="64"/>
    </row>
    <row r="372" spans="4:4" x14ac:dyDescent="0.25">
      <c r="D372" s="35"/>
    </row>
    <row r="373" spans="4:4" x14ac:dyDescent="0.25">
      <c r="D373" s="63"/>
    </row>
    <row r="374" spans="4:4" x14ac:dyDescent="0.25">
      <c r="D374" s="64"/>
    </row>
    <row r="375" spans="4:4" x14ac:dyDescent="0.25">
      <c r="D375" s="35"/>
    </row>
    <row r="376" spans="4:4" x14ac:dyDescent="0.25">
      <c r="D376" s="63"/>
    </row>
    <row r="377" spans="4:4" x14ac:dyDescent="0.25">
      <c r="D377" s="64"/>
    </row>
    <row r="378" spans="4:4" x14ac:dyDescent="0.25">
      <c r="D378" s="35"/>
    </row>
    <row r="379" spans="4:4" x14ac:dyDescent="0.25">
      <c r="D379" s="63"/>
    </row>
    <row r="380" spans="4:4" x14ac:dyDescent="0.25">
      <c r="D380" s="64"/>
    </row>
    <row r="381" spans="4:4" x14ac:dyDescent="0.25">
      <c r="D381" s="35"/>
    </row>
    <row r="382" spans="4:4" x14ac:dyDescent="0.25">
      <c r="D382" s="63"/>
    </row>
    <row r="383" spans="4:4" x14ac:dyDescent="0.25">
      <c r="D383" s="64"/>
    </row>
    <row r="384" spans="4:4" x14ac:dyDescent="0.25">
      <c r="D384" s="35"/>
    </row>
    <row r="385" spans="4:4" x14ac:dyDescent="0.25">
      <c r="D385" s="63"/>
    </row>
    <row r="386" spans="4:4" x14ac:dyDescent="0.25">
      <c r="D386" s="64"/>
    </row>
    <row r="387" spans="4:4" x14ac:dyDescent="0.25">
      <c r="D387" s="35"/>
    </row>
    <row r="388" spans="4:4" x14ac:dyDescent="0.25">
      <c r="D388" s="63"/>
    </row>
    <row r="389" spans="4:4" x14ac:dyDescent="0.25">
      <c r="D389" s="64"/>
    </row>
    <row r="390" spans="4:4" x14ac:dyDescent="0.25">
      <c r="D390" s="35"/>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3"/>
    </row>
    <row r="565" spans="4:4" x14ac:dyDescent="0.25">
      <c r="D565" s="64"/>
    </row>
    <row r="566" spans="4:4" x14ac:dyDescent="0.25">
      <c r="D566" s="35"/>
    </row>
    <row r="567" spans="4:4" x14ac:dyDescent="0.25">
      <c r="D567" s="63"/>
    </row>
    <row r="568" spans="4:4" x14ac:dyDescent="0.25">
      <c r="D568" s="64"/>
    </row>
    <row r="569" spans="4:4" x14ac:dyDescent="0.25">
      <c r="D569" s="35"/>
    </row>
    <row r="570" spans="4:4" x14ac:dyDescent="0.25">
      <c r="D570" s="63"/>
    </row>
    <row r="571" spans="4:4" x14ac:dyDescent="0.25">
      <c r="D571" s="64"/>
    </row>
    <row r="572" spans="4:4" x14ac:dyDescent="0.25">
      <c r="D572" s="35"/>
    </row>
    <row r="573" spans="4:4" x14ac:dyDescent="0.25">
      <c r="D573" s="63"/>
    </row>
    <row r="574" spans="4:4" x14ac:dyDescent="0.25">
      <c r="D574" s="64"/>
    </row>
    <row r="575" spans="4:4" x14ac:dyDescent="0.25">
      <c r="D575" s="35"/>
    </row>
    <row r="576" spans="4:4" x14ac:dyDescent="0.25">
      <c r="D576" s="63"/>
    </row>
    <row r="577" spans="4:4" x14ac:dyDescent="0.25">
      <c r="D577" s="64"/>
    </row>
    <row r="578" spans="4:4" x14ac:dyDescent="0.25">
      <c r="D578" s="35"/>
    </row>
    <row r="579" spans="4:4" x14ac:dyDescent="0.25">
      <c r="D579" s="63"/>
    </row>
    <row r="580" spans="4:4" x14ac:dyDescent="0.25">
      <c r="D580" s="64"/>
    </row>
    <row r="581" spans="4:4" x14ac:dyDescent="0.25">
      <c r="D581" s="35"/>
    </row>
    <row r="582" spans="4:4" x14ac:dyDescent="0.25">
      <c r="D582" s="63"/>
    </row>
    <row r="583" spans="4:4" x14ac:dyDescent="0.25">
      <c r="D583" s="64"/>
    </row>
    <row r="584" spans="4:4" x14ac:dyDescent="0.25">
      <c r="D584" s="35"/>
    </row>
    <row r="585" spans="4:4" x14ac:dyDescent="0.25">
      <c r="D585" s="63"/>
    </row>
    <row r="586" spans="4:4" x14ac:dyDescent="0.25">
      <c r="D586" s="64"/>
    </row>
    <row r="587" spans="4:4" x14ac:dyDescent="0.25">
      <c r="D587" s="35"/>
    </row>
    <row r="588" spans="4:4" x14ac:dyDescent="0.25">
      <c r="D588" s="63"/>
    </row>
    <row r="589" spans="4:4" x14ac:dyDescent="0.25">
      <c r="D589" s="64"/>
    </row>
    <row r="590" spans="4:4" x14ac:dyDescent="0.25">
      <c r="D590" s="35"/>
    </row>
    <row r="591" spans="4:4" x14ac:dyDescent="0.25">
      <c r="D591" s="63"/>
    </row>
    <row r="592" spans="4:4" x14ac:dyDescent="0.25">
      <c r="D592" s="64"/>
    </row>
    <row r="593" spans="4:4" x14ac:dyDescent="0.25">
      <c r="D593" s="35"/>
    </row>
    <row r="594" spans="4:4" x14ac:dyDescent="0.25">
      <c r="D594" s="63"/>
    </row>
    <row r="595" spans="4:4" x14ac:dyDescent="0.25">
      <c r="D595" s="64"/>
    </row>
    <row r="596" spans="4:4" x14ac:dyDescent="0.25">
      <c r="D596" s="35"/>
    </row>
    <row r="597" spans="4:4" x14ac:dyDescent="0.25">
      <c r="D597" s="63"/>
    </row>
    <row r="598" spans="4:4" x14ac:dyDescent="0.25">
      <c r="D598" s="64"/>
    </row>
    <row r="599" spans="4:4" x14ac:dyDescent="0.25">
      <c r="D599" s="35"/>
    </row>
    <row r="600" spans="4:4" x14ac:dyDescent="0.25">
      <c r="D600" s="63"/>
    </row>
    <row r="601" spans="4:4" x14ac:dyDescent="0.25">
      <c r="D601" s="64"/>
    </row>
    <row r="602" spans="4:4" x14ac:dyDescent="0.25">
      <c r="D602" s="35"/>
    </row>
    <row r="603" spans="4:4" x14ac:dyDescent="0.25">
      <c r="D603" s="63"/>
    </row>
    <row r="604" spans="4:4" x14ac:dyDescent="0.25">
      <c r="D604" s="64"/>
    </row>
    <row r="605" spans="4:4" x14ac:dyDescent="0.25">
      <c r="D605" s="35"/>
    </row>
    <row r="606" spans="4:4" x14ac:dyDescent="0.25">
      <c r="D606" s="63"/>
    </row>
    <row r="607" spans="4:4" x14ac:dyDescent="0.25">
      <c r="D607" s="64"/>
    </row>
    <row r="608" spans="4:4" x14ac:dyDescent="0.25">
      <c r="D608" s="35"/>
    </row>
    <row r="609" spans="4:4" x14ac:dyDescent="0.25">
      <c r="D609" s="63"/>
    </row>
    <row r="610" spans="4:4" x14ac:dyDescent="0.25">
      <c r="D610" s="64"/>
    </row>
    <row r="611" spans="4:4" x14ac:dyDescent="0.25">
      <c r="D611" s="35"/>
    </row>
    <row r="612" spans="4:4" x14ac:dyDescent="0.25">
      <c r="D612" s="63"/>
    </row>
    <row r="613" spans="4:4" x14ac:dyDescent="0.25">
      <c r="D613" s="64"/>
    </row>
    <row r="614" spans="4:4" x14ac:dyDescent="0.25">
      <c r="D614" s="35"/>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3"/>
    </row>
    <row r="2136" spans="4:4" x14ac:dyDescent="0.25">
      <c r="D2136" s="64"/>
    </row>
    <row r="2137" spans="4:4" x14ac:dyDescent="0.25">
      <c r="D2137" s="35"/>
    </row>
    <row r="2138" spans="4:4" x14ac:dyDescent="0.25">
      <c r="D2138" s="63"/>
    </row>
    <row r="2139" spans="4:4" x14ac:dyDescent="0.25">
      <c r="D2139" s="64"/>
    </row>
    <row r="2140" spans="4:4" x14ac:dyDescent="0.25">
      <c r="D2140" s="35"/>
    </row>
    <row r="2141" spans="4:4" x14ac:dyDescent="0.25">
      <c r="D2141" s="63"/>
    </row>
    <row r="2142" spans="4:4" x14ac:dyDescent="0.25">
      <c r="D2142" s="64"/>
    </row>
    <row r="2143" spans="4:4" x14ac:dyDescent="0.25">
      <c r="D2143" s="35"/>
    </row>
    <row r="2144" spans="4:4" x14ac:dyDescent="0.25">
      <c r="D2144" s="63"/>
    </row>
    <row r="2145" spans="4:4" x14ac:dyDescent="0.25">
      <c r="D2145" s="64"/>
    </row>
    <row r="2146" spans="4:4" x14ac:dyDescent="0.25">
      <c r="D2146" s="35"/>
    </row>
    <row r="2147" spans="4:4" x14ac:dyDescent="0.25">
      <c r="D2147" s="63"/>
    </row>
    <row r="2148" spans="4:4" x14ac:dyDescent="0.25">
      <c r="D2148" s="64"/>
    </row>
    <row r="2149" spans="4:4" x14ac:dyDescent="0.25">
      <c r="D2149" s="35"/>
    </row>
    <row r="2150" spans="4:4" x14ac:dyDescent="0.25">
      <c r="D2150" s="63"/>
    </row>
    <row r="2151" spans="4:4" x14ac:dyDescent="0.25">
      <c r="D2151" s="64"/>
    </row>
    <row r="2152" spans="4:4" x14ac:dyDescent="0.25">
      <c r="D2152" s="35"/>
    </row>
    <row r="2153" spans="4:4" x14ac:dyDescent="0.25">
      <c r="D2153" s="63"/>
    </row>
    <row r="2154" spans="4:4" x14ac:dyDescent="0.25">
      <c r="D2154" s="64"/>
    </row>
    <row r="2155" spans="4:4" x14ac:dyDescent="0.25">
      <c r="D2155" s="35"/>
    </row>
    <row r="2156" spans="4:4" x14ac:dyDescent="0.25">
      <c r="D2156" s="63"/>
    </row>
    <row r="2157" spans="4:4" x14ac:dyDescent="0.25">
      <c r="D2157" s="64"/>
    </row>
    <row r="2158" spans="4:4" x14ac:dyDescent="0.25">
      <c r="D2158" s="35"/>
    </row>
    <row r="2159" spans="4:4" x14ac:dyDescent="0.25">
      <c r="D2159" s="63"/>
    </row>
    <row r="2160" spans="4:4" x14ac:dyDescent="0.25">
      <c r="D2160" s="64"/>
    </row>
    <row r="2161" spans="4:4" x14ac:dyDescent="0.25">
      <c r="D2161" s="35"/>
    </row>
    <row r="2162" spans="4:4" x14ac:dyDescent="0.25">
      <c r="D2162" s="63"/>
    </row>
    <row r="2163" spans="4:4" x14ac:dyDescent="0.25">
      <c r="D2163" s="64"/>
    </row>
    <row r="2164" spans="4:4" x14ac:dyDescent="0.25">
      <c r="D2164" s="35"/>
    </row>
    <row r="2165" spans="4:4" x14ac:dyDescent="0.25">
      <c r="D2165" s="63"/>
    </row>
    <row r="2166" spans="4:4" x14ac:dyDescent="0.25">
      <c r="D2166" s="64"/>
    </row>
    <row r="2167" spans="4:4" x14ac:dyDescent="0.25">
      <c r="D2167" s="35"/>
    </row>
    <row r="2168" spans="4:4" x14ac:dyDescent="0.25">
      <c r="D2168" s="63"/>
    </row>
    <row r="2169" spans="4:4" x14ac:dyDescent="0.25">
      <c r="D2169" s="64"/>
    </row>
    <row r="2170" spans="4:4" x14ac:dyDescent="0.25">
      <c r="D2170" s="35"/>
    </row>
    <row r="2171" spans="4:4" x14ac:dyDescent="0.25">
      <c r="D2171" s="63"/>
    </row>
    <row r="2172" spans="4:4" x14ac:dyDescent="0.25">
      <c r="D2172" s="64"/>
    </row>
    <row r="2173" spans="4:4" x14ac:dyDescent="0.25">
      <c r="D2173" s="35"/>
    </row>
    <row r="2174" spans="4:4" x14ac:dyDescent="0.25">
      <c r="D2174" s="63"/>
    </row>
    <row r="2175" spans="4:4" x14ac:dyDescent="0.25">
      <c r="D2175" s="64"/>
    </row>
    <row r="2176" spans="4:4" x14ac:dyDescent="0.25">
      <c r="D2176" s="35"/>
    </row>
    <row r="2177" spans="4:4" x14ac:dyDescent="0.25">
      <c r="D2177" s="63"/>
    </row>
    <row r="2178" spans="4:4" x14ac:dyDescent="0.25">
      <c r="D2178" s="64"/>
    </row>
    <row r="2179" spans="4:4" x14ac:dyDescent="0.25">
      <c r="D2179" s="35"/>
    </row>
    <row r="2180" spans="4:4" x14ac:dyDescent="0.25">
      <c r="D2180" s="63"/>
    </row>
    <row r="2181" spans="4:4" x14ac:dyDescent="0.25">
      <c r="D2181" s="64"/>
    </row>
    <row r="2182" spans="4:4" x14ac:dyDescent="0.25">
      <c r="D2182" s="35"/>
    </row>
    <row r="2183" spans="4:4" x14ac:dyDescent="0.25">
      <c r="D2183" s="63"/>
    </row>
    <row r="2184" spans="4:4" x14ac:dyDescent="0.25">
      <c r="D2184" s="64"/>
    </row>
    <row r="2185" spans="4:4" x14ac:dyDescent="0.25">
      <c r="D2185" s="35"/>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3"/>
    </row>
    <row r="2417" spans="4:4" x14ac:dyDescent="0.25">
      <c r="D2417" s="64"/>
    </row>
    <row r="2418" spans="4:4" x14ac:dyDescent="0.25">
      <c r="D2418" s="35"/>
    </row>
    <row r="2419" spans="4:4" x14ac:dyDescent="0.25">
      <c r="D2419" s="63"/>
    </row>
    <row r="2420" spans="4:4" x14ac:dyDescent="0.25">
      <c r="D2420" s="64"/>
    </row>
    <row r="2421" spans="4:4" x14ac:dyDescent="0.25">
      <c r="D2421" s="35"/>
    </row>
    <row r="2422" spans="4:4" x14ac:dyDescent="0.25">
      <c r="D2422" s="63"/>
    </row>
    <row r="2423" spans="4:4" x14ac:dyDescent="0.25">
      <c r="D2423" s="64"/>
    </row>
    <row r="2424" spans="4:4" x14ac:dyDescent="0.25">
      <c r="D2424" s="35"/>
    </row>
    <row r="2425" spans="4:4" x14ac:dyDescent="0.25">
      <c r="D2425" s="63"/>
    </row>
    <row r="2426" spans="4:4" x14ac:dyDescent="0.25">
      <c r="D2426" s="64"/>
    </row>
    <row r="2427" spans="4:4" x14ac:dyDescent="0.25">
      <c r="D2427" s="35"/>
    </row>
    <row r="2428" spans="4:4" x14ac:dyDescent="0.25">
      <c r="D2428" s="63"/>
    </row>
    <row r="2429" spans="4:4" x14ac:dyDescent="0.25">
      <c r="D2429" s="64"/>
    </row>
    <row r="2430" spans="4:4" x14ac:dyDescent="0.25">
      <c r="D2430" s="35"/>
    </row>
    <row r="2431" spans="4:4" x14ac:dyDescent="0.25">
      <c r="D2431" s="63"/>
    </row>
    <row r="2432" spans="4:4" x14ac:dyDescent="0.25">
      <c r="D2432" s="64"/>
    </row>
    <row r="2433" spans="4:4" x14ac:dyDescent="0.25">
      <c r="D2433" s="35"/>
    </row>
    <row r="2434" spans="4:4" x14ac:dyDescent="0.25">
      <c r="D2434" s="63"/>
    </row>
    <row r="2435" spans="4:4" x14ac:dyDescent="0.25">
      <c r="D2435" s="64"/>
    </row>
    <row r="2436" spans="4:4" x14ac:dyDescent="0.25">
      <c r="D2436" s="35"/>
    </row>
    <row r="2437" spans="4:4" x14ac:dyDescent="0.25">
      <c r="D2437" s="63"/>
    </row>
    <row r="2438" spans="4:4" x14ac:dyDescent="0.25">
      <c r="D2438" s="64"/>
    </row>
    <row r="2439" spans="4:4" x14ac:dyDescent="0.25">
      <c r="D2439" s="35"/>
    </row>
    <row r="2440" spans="4:4" x14ac:dyDescent="0.25">
      <c r="D2440" s="63"/>
    </row>
    <row r="2441" spans="4:4" x14ac:dyDescent="0.25">
      <c r="D2441" s="64"/>
    </row>
    <row r="2442" spans="4:4" x14ac:dyDescent="0.25">
      <c r="D2442" s="35"/>
    </row>
    <row r="2443" spans="4:4" x14ac:dyDescent="0.25">
      <c r="D2443" s="63"/>
    </row>
    <row r="2444" spans="4:4" x14ac:dyDescent="0.25">
      <c r="D2444" s="64"/>
    </row>
    <row r="2445" spans="4:4" x14ac:dyDescent="0.25">
      <c r="D2445" s="35"/>
    </row>
    <row r="2446" spans="4:4" x14ac:dyDescent="0.25">
      <c r="D2446" s="63"/>
    </row>
    <row r="2447" spans="4:4" x14ac:dyDescent="0.25">
      <c r="D2447" s="64"/>
    </row>
    <row r="2448" spans="4:4" x14ac:dyDescent="0.25">
      <c r="D2448" s="35"/>
    </row>
    <row r="2449" spans="4:4" x14ac:dyDescent="0.25">
      <c r="D2449" s="63"/>
    </row>
    <row r="2450" spans="4:4" x14ac:dyDescent="0.25">
      <c r="D2450" s="64"/>
    </row>
    <row r="2451" spans="4:4" x14ac:dyDescent="0.25">
      <c r="D2451" s="35"/>
    </row>
    <row r="2452" spans="4:4" x14ac:dyDescent="0.25">
      <c r="D2452" s="63"/>
    </row>
    <row r="2453" spans="4:4" x14ac:dyDescent="0.25">
      <c r="D2453" s="64"/>
    </row>
    <row r="2454" spans="4:4" x14ac:dyDescent="0.25">
      <c r="D2454" s="35"/>
    </row>
    <row r="2455" spans="4:4" x14ac:dyDescent="0.25">
      <c r="D2455" s="63"/>
    </row>
    <row r="2456" spans="4:4" x14ac:dyDescent="0.25">
      <c r="D2456" s="64"/>
    </row>
    <row r="2457" spans="4:4" x14ac:dyDescent="0.25">
      <c r="D2457" s="35"/>
    </row>
    <row r="2458" spans="4:4" x14ac:dyDescent="0.25">
      <c r="D2458" s="63"/>
    </row>
    <row r="2459" spans="4:4" x14ac:dyDescent="0.25">
      <c r="D2459" s="64"/>
    </row>
    <row r="2460" spans="4:4" x14ac:dyDescent="0.25">
      <c r="D2460" s="35"/>
    </row>
    <row r="2461" spans="4:4" x14ac:dyDescent="0.25">
      <c r="D2461" s="63"/>
    </row>
    <row r="2462" spans="4:4" x14ac:dyDescent="0.25">
      <c r="D2462" s="64"/>
    </row>
    <row r="2463" spans="4:4" x14ac:dyDescent="0.25">
      <c r="D2463" s="35"/>
    </row>
    <row r="2464" spans="4:4" x14ac:dyDescent="0.25">
      <c r="D2464" s="63"/>
    </row>
    <row r="2465" spans="4:4" x14ac:dyDescent="0.25">
      <c r="D2465" s="64"/>
    </row>
    <row r="2466" spans="4:4" x14ac:dyDescent="0.25">
      <c r="D2466" s="35"/>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3"/>
    </row>
    <row r="2512" spans="4:4" x14ac:dyDescent="0.25">
      <c r="D2512" s="64"/>
    </row>
    <row r="2513" spans="4:4" x14ac:dyDescent="0.25">
      <c r="D2513" s="35"/>
    </row>
    <row r="2514" spans="4:4" x14ac:dyDescent="0.25">
      <c r="D2514" s="63"/>
    </row>
    <row r="2515" spans="4:4" x14ac:dyDescent="0.25">
      <c r="D2515" s="64"/>
    </row>
    <row r="2516" spans="4:4" x14ac:dyDescent="0.25">
      <c r="D2516" s="35"/>
    </row>
    <row r="2517" spans="4:4" x14ac:dyDescent="0.25">
      <c r="D2517" s="63"/>
    </row>
    <row r="2518" spans="4:4" x14ac:dyDescent="0.25">
      <c r="D2518" s="64"/>
    </row>
    <row r="2519" spans="4:4" x14ac:dyDescent="0.25">
      <c r="D2519" s="35"/>
    </row>
    <row r="2520" spans="4:4" x14ac:dyDescent="0.25">
      <c r="D2520" s="63"/>
    </row>
    <row r="2521" spans="4:4" x14ac:dyDescent="0.25">
      <c r="D2521" s="64"/>
    </row>
    <row r="2522" spans="4:4" x14ac:dyDescent="0.25">
      <c r="D2522" s="35"/>
    </row>
    <row r="2523" spans="4:4" x14ac:dyDescent="0.25">
      <c r="D2523" s="63"/>
    </row>
    <row r="2524" spans="4:4" x14ac:dyDescent="0.25">
      <c r="D2524" s="64"/>
    </row>
    <row r="2525" spans="4:4" x14ac:dyDescent="0.25">
      <c r="D2525" s="35"/>
    </row>
    <row r="2526" spans="4:4" x14ac:dyDescent="0.25">
      <c r="D2526" s="63"/>
    </row>
    <row r="2527" spans="4:4" x14ac:dyDescent="0.25">
      <c r="D2527" s="64"/>
    </row>
    <row r="2528" spans="4:4" x14ac:dyDescent="0.25">
      <c r="D2528" s="35"/>
    </row>
    <row r="2529" spans="4:4" x14ac:dyDescent="0.25">
      <c r="D2529" s="63"/>
    </row>
    <row r="2530" spans="4:4" x14ac:dyDescent="0.25">
      <c r="D2530" s="64"/>
    </row>
    <row r="2531" spans="4:4" x14ac:dyDescent="0.25">
      <c r="D2531" s="35"/>
    </row>
    <row r="2532" spans="4:4" x14ac:dyDescent="0.25">
      <c r="D2532" s="63"/>
    </row>
    <row r="2533" spans="4:4" x14ac:dyDescent="0.25">
      <c r="D2533" s="64"/>
    </row>
    <row r="2534" spans="4:4" x14ac:dyDescent="0.25">
      <c r="D2534" s="35"/>
    </row>
    <row r="2535" spans="4:4" x14ac:dyDescent="0.25">
      <c r="D2535" s="63"/>
    </row>
    <row r="2536" spans="4:4" x14ac:dyDescent="0.25">
      <c r="D2536" s="64"/>
    </row>
    <row r="2537" spans="4:4" x14ac:dyDescent="0.25">
      <c r="D2537" s="35"/>
    </row>
    <row r="2538" spans="4:4" x14ac:dyDescent="0.25">
      <c r="D2538" s="63"/>
    </row>
    <row r="2539" spans="4:4" x14ac:dyDescent="0.25">
      <c r="D2539" s="64"/>
    </row>
    <row r="2540" spans="4:4" x14ac:dyDescent="0.25">
      <c r="D2540" s="35"/>
    </row>
    <row r="2541" spans="4:4" x14ac:dyDescent="0.25">
      <c r="D2541" s="63"/>
    </row>
    <row r="2542" spans="4:4" x14ac:dyDescent="0.25">
      <c r="D2542" s="64"/>
    </row>
    <row r="2543" spans="4:4" x14ac:dyDescent="0.25">
      <c r="D2543" s="35"/>
    </row>
    <row r="2544" spans="4:4" x14ac:dyDescent="0.25">
      <c r="D2544" s="63"/>
    </row>
    <row r="2545" spans="4:4" x14ac:dyDescent="0.25">
      <c r="D2545" s="64"/>
    </row>
    <row r="2546" spans="4:4" x14ac:dyDescent="0.25">
      <c r="D2546" s="35"/>
    </row>
    <row r="2547" spans="4:4" x14ac:dyDescent="0.25">
      <c r="D2547" s="63"/>
    </row>
    <row r="2548" spans="4:4" x14ac:dyDescent="0.25">
      <c r="D2548" s="64"/>
    </row>
    <row r="2549" spans="4:4" x14ac:dyDescent="0.25">
      <c r="D2549" s="35"/>
    </row>
    <row r="2550" spans="4:4" x14ac:dyDescent="0.25">
      <c r="D2550" s="63"/>
    </row>
    <row r="2551" spans="4:4" x14ac:dyDescent="0.25">
      <c r="D2551" s="64"/>
    </row>
    <row r="2552" spans="4:4" x14ac:dyDescent="0.25">
      <c r="D2552" s="35"/>
    </row>
    <row r="2553" spans="4:4" x14ac:dyDescent="0.25">
      <c r="D2553" s="63"/>
    </row>
    <row r="2554" spans="4:4" x14ac:dyDescent="0.25">
      <c r="D2554" s="64"/>
    </row>
    <row r="2555" spans="4:4" x14ac:dyDescent="0.25">
      <c r="D2555" s="35"/>
    </row>
    <row r="2556" spans="4:4" x14ac:dyDescent="0.25">
      <c r="D2556" s="63"/>
    </row>
    <row r="2557" spans="4:4" x14ac:dyDescent="0.25">
      <c r="D2557" s="64"/>
    </row>
    <row r="2558" spans="4:4" x14ac:dyDescent="0.25">
      <c r="D2558" s="35"/>
    </row>
    <row r="2559" spans="4:4" x14ac:dyDescent="0.25">
      <c r="D2559" s="63"/>
    </row>
    <row r="2560" spans="4:4" x14ac:dyDescent="0.25">
      <c r="D2560" s="64"/>
    </row>
    <row r="2561" spans="4:4" x14ac:dyDescent="0.25">
      <c r="D2561" s="35"/>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row r="5361" spans="4:4" x14ac:dyDescent="0.25">
      <c r="D5361" s="64"/>
    </row>
    <row r="5362" spans="4:4" x14ac:dyDescent="0.25">
      <c r="D5362" s="35"/>
    </row>
    <row r="5363" spans="4:4" x14ac:dyDescent="0.25">
      <c r="D5363" s="63"/>
    </row>
    <row r="5364" spans="4:4" x14ac:dyDescent="0.25">
      <c r="D5364" s="64"/>
    </row>
    <row r="5365" spans="4:4" x14ac:dyDescent="0.25">
      <c r="D5365" s="35"/>
    </row>
    <row r="5366" spans="4:4" x14ac:dyDescent="0.25">
      <c r="D5366" s="63"/>
    </row>
    <row r="5367" spans="4:4" x14ac:dyDescent="0.25">
      <c r="D5367" s="64"/>
    </row>
    <row r="5368" spans="4:4" x14ac:dyDescent="0.25">
      <c r="D5368" s="35"/>
    </row>
    <row r="5369" spans="4:4" x14ac:dyDescent="0.25">
      <c r="D5369" s="63"/>
    </row>
    <row r="5370" spans="4:4" x14ac:dyDescent="0.25">
      <c r="D5370" s="64"/>
    </row>
    <row r="5371" spans="4:4" x14ac:dyDescent="0.25">
      <c r="D5371" s="35"/>
    </row>
    <row r="5372" spans="4:4" x14ac:dyDescent="0.25">
      <c r="D5372" s="63"/>
    </row>
    <row r="5373" spans="4:4" x14ac:dyDescent="0.25">
      <c r="D5373" s="64"/>
    </row>
    <row r="5374" spans="4:4" x14ac:dyDescent="0.25">
      <c r="D5374" s="35"/>
    </row>
    <row r="5375" spans="4:4" x14ac:dyDescent="0.25">
      <c r="D5375" s="63"/>
    </row>
    <row r="5376" spans="4:4" x14ac:dyDescent="0.25">
      <c r="D5376" s="64"/>
    </row>
    <row r="5377" spans="4:4" x14ac:dyDescent="0.25">
      <c r="D5377" s="35"/>
    </row>
    <row r="5378" spans="4:4" x14ac:dyDescent="0.25">
      <c r="D5378" s="63"/>
    </row>
    <row r="5379" spans="4:4" x14ac:dyDescent="0.25">
      <c r="D5379" s="64"/>
    </row>
    <row r="5380" spans="4:4" x14ac:dyDescent="0.25">
      <c r="D5380" s="35"/>
    </row>
    <row r="5381" spans="4:4" x14ac:dyDescent="0.25">
      <c r="D5381" s="63"/>
    </row>
    <row r="5382" spans="4:4" x14ac:dyDescent="0.25">
      <c r="D5382" s="64"/>
    </row>
    <row r="5383" spans="4:4" x14ac:dyDescent="0.25">
      <c r="D5383" s="35"/>
    </row>
    <row r="5384" spans="4:4" x14ac:dyDescent="0.25">
      <c r="D5384" s="63"/>
    </row>
    <row r="5385" spans="4:4" x14ac:dyDescent="0.25">
      <c r="D5385" s="64"/>
    </row>
    <row r="5386" spans="4:4" x14ac:dyDescent="0.25">
      <c r="D5386" s="35"/>
    </row>
    <row r="5387" spans="4:4" x14ac:dyDescent="0.25">
      <c r="D5387" s="63"/>
    </row>
    <row r="5388" spans="4:4" x14ac:dyDescent="0.25">
      <c r="D5388" s="64"/>
    </row>
    <row r="5389" spans="4:4" x14ac:dyDescent="0.25">
      <c r="D5389" s="35"/>
    </row>
    <row r="5390" spans="4:4" x14ac:dyDescent="0.25">
      <c r="D5390" s="63"/>
    </row>
    <row r="5391" spans="4:4" x14ac:dyDescent="0.25">
      <c r="D5391" s="64"/>
    </row>
    <row r="5392" spans="4:4" x14ac:dyDescent="0.25">
      <c r="D5392" s="35"/>
    </row>
    <row r="5393" spans="4:4" x14ac:dyDescent="0.25">
      <c r="D5393" s="63"/>
    </row>
    <row r="5394" spans="4:4" x14ac:dyDescent="0.25">
      <c r="D5394" s="64"/>
    </row>
    <row r="5395" spans="4:4" x14ac:dyDescent="0.25">
      <c r="D5395" s="35"/>
    </row>
    <row r="5396" spans="4:4" x14ac:dyDescent="0.25">
      <c r="D5396" s="63"/>
    </row>
    <row r="5397" spans="4:4" x14ac:dyDescent="0.25">
      <c r="D5397" s="64"/>
    </row>
    <row r="5398" spans="4:4" x14ac:dyDescent="0.25">
      <c r="D5398" s="35"/>
    </row>
    <row r="5399" spans="4:4" x14ac:dyDescent="0.25">
      <c r="D5399" s="63"/>
    </row>
    <row r="5400" spans="4:4" x14ac:dyDescent="0.25">
      <c r="D5400" s="64"/>
    </row>
    <row r="5401" spans="4:4" x14ac:dyDescent="0.25">
      <c r="D5401" s="35"/>
    </row>
    <row r="5402" spans="4:4" x14ac:dyDescent="0.25">
      <c r="D5402" s="63"/>
    </row>
    <row r="5403" spans="4:4" x14ac:dyDescent="0.25">
      <c r="D5403" s="64"/>
    </row>
    <row r="5404" spans="4:4" x14ac:dyDescent="0.25">
      <c r="D5404" s="35"/>
    </row>
    <row r="5405" spans="4:4" x14ac:dyDescent="0.25">
      <c r="D5405" s="63"/>
    </row>
    <row r="5406" spans="4:4" x14ac:dyDescent="0.25">
      <c r="D5406" s="64"/>
    </row>
    <row r="5407" spans="4:4" x14ac:dyDescent="0.25">
      <c r="D5407" s="35"/>
    </row>
    <row r="5408" spans="4:4" x14ac:dyDescent="0.25">
      <c r="D5408" s="63"/>
    </row>
    <row r="5409" spans="4:4" x14ac:dyDescent="0.25">
      <c r="D5409" s="64"/>
    </row>
    <row r="5410" spans="4:4" x14ac:dyDescent="0.25">
      <c r="D5410" s="35"/>
    </row>
    <row r="5411" spans="4:4" x14ac:dyDescent="0.25">
      <c r="D5411" s="63"/>
    </row>
  </sheetData>
  <sheetProtection selectLockedCells="1"/>
  <mergeCells count="399">
    <mergeCell ref="G101:V106"/>
    <mergeCell ref="G94:M99"/>
    <mergeCell ref="N94:O94"/>
    <mergeCell ref="S94:U94"/>
    <mergeCell ref="N95:O95"/>
    <mergeCell ref="S95:U95"/>
    <mergeCell ref="S96:U96"/>
    <mergeCell ref="S97:U97"/>
    <mergeCell ref="S98:U98"/>
    <mergeCell ref="S99:U99"/>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1:H81"/>
    <mergeCell ref="I81:P81"/>
    <mergeCell ref="R81:S81"/>
    <mergeCell ref="T81:U81"/>
    <mergeCell ref="G82:H82"/>
    <mergeCell ref="I82:P82"/>
    <mergeCell ref="R82:S82"/>
    <mergeCell ref="T82:U82"/>
    <mergeCell ref="G79:H79"/>
    <mergeCell ref="I79:P79"/>
    <mergeCell ref="R79:S79"/>
    <mergeCell ref="T79:U79"/>
    <mergeCell ref="G80:H80"/>
    <mergeCell ref="I80:P80"/>
    <mergeCell ref="R80:S80"/>
    <mergeCell ref="T80:U80"/>
    <mergeCell ref="G77:H77"/>
    <mergeCell ref="I77:P77"/>
    <mergeCell ref="R77:S77"/>
    <mergeCell ref="T77:U77"/>
    <mergeCell ref="G78:H78"/>
    <mergeCell ref="I78:P78"/>
    <mergeCell ref="R78:S78"/>
    <mergeCell ref="T78:U78"/>
    <mergeCell ref="G75:H75"/>
    <mergeCell ref="I75:P75"/>
    <mergeCell ref="R75:S75"/>
    <mergeCell ref="T75:U75"/>
    <mergeCell ref="G76:H76"/>
    <mergeCell ref="I76:P76"/>
    <mergeCell ref="R76:S76"/>
    <mergeCell ref="T76:U76"/>
    <mergeCell ref="G73:H73"/>
    <mergeCell ref="I73:P73"/>
    <mergeCell ref="R73:S73"/>
    <mergeCell ref="T73:U73"/>
    <mergeCell ref="G74:H74"/>
    <mergeCell ref="I74:P74"/>
    <mergeCell ref="R74:S74"/>
    <mergeCell ref="T74:U74"/>
    <mergeCell ref="G71:H71"/>
    <mergeCell ref="I71:P71"/>
    <mergeCell ref="R71:S71"/>
    <mergeCell ref="T71:U71"/>
    <mergeCell ref="G72:H72"/>
    <mergeCell ref="I72:P72"/>
    <mergeCell ref="R72:S72"/>
    <mergeCell ref="T72:U72"/>
    <mergeCell ref="G69:H69"/>
    <mergeCell ref="I69:K69"/>
    <mergeCell ref="L69:N69"/>
    <mergeCell ref="O69:P69"/>
    <mergeCell ref="Q69:R69"/>
    <mergeCell ref="S69:V69"/>
    <mergeCell ref="G65:M65"/>
    <mergeCell ref="O65:V65"/>
    <mergeCell ref="G66:M66"/>
    <mergeCell ref="O66:V66"/>
    <mergeCell ref="G68:H68"/>
    <mergeCell ref="I68:K68"/>
    <mergeCell ref="L68:N68"/>
    <mergeCell ref="O68:P68"/>
    <mergeCell ref="Q68:R68"/>
    <mergeCell ref="S68:V68"/>
    <mergeCell ref="G62:M62"/>
    <mergeCell ref="O62:V62"/>
    <mergeCell ref="G63:M63"/>
    <mergeCell ref="O63:V63"/>
    <mergeCell ref="G64:M64"/>
    <mergeCell ref="O64:V64"/>
    <mergeCell ref="C58:D58"/>
    <mergeCell ref="G58:L58"/>
    <mergeCell ref="G59:L59"/>
    <mergeCell ref="P59:U59"/>
    <mergeCell ref="G61:M61"/>
    <mergeCell ref="O61:V61"/>
    <mergeCell ref="G48:V53"/>
    <mergeCell ref="C54:D54"/>
    <mergeCell ref="C55:D55"/>
    <mergeCell ref="P55:U55"/>
    <mergeCell ref="C56:D56"/>
    <mergeCell ref="C57:D57"/>
    <mergeCell ref="G57:L57"/>
    <mergeCell ref="P57:U57"/>
    <mergeCell ref="G41:M46"/>
    <mergeCell ref="N41:O41"/>
    <mergeCell ref="S41:U41"/>
    <mergeCell ref="N42:O42"/>
    <mergeCell ref="S42:U42"/>
    <mergeCell ref="S43:U43"/>
    <mergeCell ref="S44:U44"/>
    <mergeCell ref="S45:U45"/>
    <mergeCell ref="S46:U46"/>
    <mergeCell ref="G38:H38"/>
    <mergeCell ref="I38:P38"/>
    <mergeCell ref="R38:S38"/>
    <mergeCell ref="T38:U38"/>
    <mergeCell ref="G39:H39"/>
    <mergeCell ref="I39:P39"/>
    <mergeCell ref="R39:S39"/>
    <mergeCell ref="T39:U39"/>
    <mergeCell ref="G36:H36"/>
    <mergeCell ref="I36:P36"/>
    <mergeCell ref="R36:S36"/>
    <mergeCell ref="T36:U36"/>
    <mergeCell ref="G37:H37"/>
    <mergeCell ref="I37:P37"/>
    <mergeCell ref="R37:S37"/>
    <mergeCell ref="T37:U37"/>
    <mergeCell ref="G34:H34"/>
    <mergeCell ref="I34:P34"/>
    <mergeCell ref="R34:S34"/>
    <mergeCell ref="T34:U34"/>
    <mergeCell ref="G35:H35"/>
    <mergeCell ref="I35:P35"/>
    <mergeCell ref="R35:S35"/>
    <mergeCell ref="T35:U35"/>
    <mergeCell ref="G32:H32"/>
    <mergeCell ref="I32:P32"/>
    <mergeCell ref="R32:S32"/>
    <mergeCell ref="T32:U32"/>
    <mergeCell ref="G33:H33"/>
    <mergeCell ref="I33:P33"/>
    <mergeCell ref="R33:S33"/>
    <mergeCell ref="T33:U33"/>
    <mergeCell ref="G30:H30"/>
    <mergeCell ref="I30:P30"/>
    <mergeCell ref="R30:S30"/>
    <mergeCell ref="T30:U30"/>
    <mergeCell ref="G31:H31"/>
    <mergeCell ref="I31:P31"/>
    <mergeCell ref="R31:S31"/>
    <mergeCell ref="T31:U31"/>
    <mergeCell ref="G28:H28"/>
    <mergeCell ref="I28:P28"/>
    <mergeCell ref="R28:S28"/>
    <mergeCell ref="T28:U28"/>
    <mergeCell ref="G29:H29"/>
    <mergeCell ref="I29:P29"/>
    <mergeCell ref="R29:S29"/>
    <mergeCell ref="T29:U29"/>
    <mergeCell ref="G26:H26"/>
    <mergeCell ref="I26:P26"/>
    <mergeCell ref="R26:S26"/>
    <mergeCell ref="T26:U26"/>
    <mergeCell ref="G27:H27"/>
    <mergeCell ref="I27:P27"/>
    <mergeCell ref="R27:S27"/>
    <mergeCell ref="T27:U27"/>
    <mergeCell ref="G24:H24"/>
    <mergeCell ref="I24:P24"/>
    <mergeCell ref="R24:S24"/>
    <mergeCell ref="T24:U24"/>
    <mergeCell ref="G25:H25"/>
    <mergeCell ref="I25:P25"/>
    <mergeCell ref="R25:S25"/>
    <mergeCell ref="T25:U25"/>
    <mergeCell ref="G22:H22"/>
    <mergeCell ref="I22:P22"/>
    <mergeCell ref="R22:S22"/>
    <mergeCell ref="T22:U22"/>
    <mergeCell ref="G23:H23"/>
    <mergeCell ref="I23:P23"/>
    <mergeCell ref="R23:S23"/>
    <mergeCell ref="T23:U23"/>
    <mergeCell ref="G20:H20"/>
    <mergeCell ref="I20:P20"/>
    <mergeCell ref="R20:S20"/>
    <mergeCell ref="T20:U20"/>
    <mergeCell ref="G21:H21"/>
    <mergeCell ref="I21:P21"/>
    <mergeCell ref="R21:S21"/>
    <mergeCell ref="T21:U21"/>
    <mergeCell ref="G19:H19"/>
    <mergeCell ref="I19:P19"/>
    <mergeCell ref="R19:S19"/>
    <mergeCell ref="T19:U19"/>
    <mergeCell ref="G16:H16"/>
    <mergeCell ref="I16:K16"/>
    <mergeCell ref="L16:N16"/>
    <mergeCell ref="O16:P16"/>
    <mergeCell ref="Q16:R16"/>
    <mergeCell ref="S16:V16"/>
    <mergeCell ref="G15:H15"/>
    <mergeCell ref="I15:K15"/>
    <mergeCell ref="L15:N15"/>
    <mergeCell ref="O15:P15"/>
    <mergeCell ref="Q15:R15"/>
    <mergeCell ref="S15:V15"/>
    <mergeCell ref="G18:H18"/>
    <mergeCell ref="I18:P18"/>
    <mergeCell ref="R18:S18"/>
    <mergeCell ref="T18:U18"/>
    <mergeCell ref="G5:L5"/>
    <mergeCell ref="G6:L6"/>
    <mergeCell ref="P6:U6"/>
    <mergeCell ref="G8:M8"/>
    <mergeCell ref="O8:V8"/>
    <mergeCell ref="G12:M12"/>
    <mergeCell ref="O12:V12"/>
    <mergeCell ref="G13:M13"/>
    <mergeCell ref="O13:V13"/>
    <mergeCell ref="G154:V158"/>
    <mergeCell ref="C1:D1"/>
    <mergeCell ref="C2:D2"/>
    <mergeCell ref="P2:U2"/>
    <mergeCell ref="C3:D3"/>
    <mergeCell ref="C4:D4"/>
    <mergeCell ref="G4:L4"/>
    <mergeCell ref="P4:U4"/>
    <mergeCell ref="G147:M152"/>
    <mergeCell ref="N147:O147"/>
    <mergeCell ref="S147:U147"/>
    <mergeCell ref="N148:O148"/>
    <mergeCell ref="S148:U148"/>
    <mergeCell ref="S149:U149"/>
    <mergeCell ref="S150:U150"/>
    <mergeCell ref="S151:U151"/>
    <mergeCell ref="S152:U152"/>
    <mergeCell ref="G9:M9"/>
    <mergeCell ref="O9:V9"/>
    <mergeCell ref="G10:M10"/>
    <mergeCell ref="O10:V10"/>
    <mergeCell ref="G11:M11"/>
    <mergeCell ref="O11:V11"/>
    <mergeCell ref="C5:D5"/>
    <mergeCell ref="G144:H144"/>
    <mergeCell ref="I144:P144"/>
    <mergeCell ref="R144:S144"/>
    <mergeCell ref="T144:U144"/>
    <mergeCell ref="G145:H145"/>
    <mergeCell ref="I145:P145"/>
    <mergeCell ref="R145:S145"/>
    <mergeCell ref="T145:U145"/>
    <mergeCell ref="G142:H142"/>
    <mergeCell ref="I142:P142"/>
    <mergeCell ref="R142:S142"/>
    <mergeCell ref="T142:U142"/>
    <mergeCell ref="G143:H143"/>
    <mergeCell ref="I143:P143"/>
    <mergeCell ref="R143:S143"/>
    <mergeCell ref="T143:U143"/>
    <mergeCell ref="G140:H140"/>
    <mergeCell ref="I140:P140"/>
    <mergeCell ref="R140:S140"/>
    <mergeCell ref="T140:U140"/>
    <mergeCell ref="G141:H141"/>
    <mergeCell ref="I141:P141"/>
    <mergeCell ref="R141:S141"/>
    <mergeCell ref="T141:U141"/>
    <mergeCell ref="G138:H138"/>
    <mergeCell ref="I138:P138"/>
    <mergeCell ref="R138:S138"/>
    <mergeCell ref="T138:U138"/>
    <mergeCell ref="G139:H139"/>
    <mergeCell ref="I139:P139"/>
    <mergeCell ref="R139:S139"/>
    <mergeCell ref="T139:U139"/>
    <mergeCell ref="G136:H136"/>
    <mergeCell ref="I136:P136"/>
    <mergeCell ref="R136:S136"/>
    <mergeCell ref="T136:U136"/>
    <mergeCell ref="G137:H137"/>
    <mergeCell ref="I137:P137"/>
    <mergeCell ref="R137:S137"/>
    <mergeCell ref="T137:U137"/>
    <mergeCell ref="G134:H134"/>
    <mergeCell ref="I134:P134"/>
    <mergeCell ref="R134:S134"/>
    <mergeCell ref="T134:U134"/>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P124"/>
    <mergeCell ref="R124:S124"/>
    <mergeCell ref="T124:U124"/>
    <mergeCell ref="G125:H125"/>
    <mergeCell ref="I125:P125"/>
    <mergeCell ref="R125:S125"/>
    <mergeCell ref="T125:U125"/>
    <mergeCell ref="G122:H122"/>
    <mergeCell ref="I122:K122"/>
    <mergeCell ref="L122:N122"/>
    <mergeCell ref="O122:P122"/>
    <mergeCell ref="Q122:R122"/>
    <mergeCell ref="S122:V122"/>
    <mergeCell ref="G118:M118"/>
    <mergeCell ref="O118:V118"/>
    <mergeCell ref="G119:M119"/>
    <mergeCell ref="O119:V119"/>
    <mergeCell ref="G121:H121"/>
    <mergeCell ref="I121:K121"/>
    <mergeCell ref="L121:N121"/>
    <mergeCell ref="O121:P121"/>
    <mergeCell ref="Q121:R121"/>
    <mergeCell ref="S121:V121"/>
    <mergeCell ref="G116:M116"/>
    <mergeCell ref="O116:V116"/>
    <mergeCell ref="G117:M117"/>
    <mergeCell ref="O117:V117"/>
    <mergeCell ref="G111:L111"/>
    <mergeCell ref="G112:L112"/>
    <mergeCell ref="P112:U112"/>
    <mergeCell ref="G114:M114"/>
    <mergeCell ref="O114:V114"/>
    <mergeCell ref="C107:D107"/>
    <mergeCell ref="C108:D108"/>
    <mergeCell ref="P108:U108"/>
    <mergeCell ref="C109:D109"/>
    <mergeCell ref="C110:D110"/>
    <mergeCell ref="G110:L110"/>
    <mergeCell ref="P110:U110"/>
    <mergeCell ref="C111:D111"/>
    <mergeCell ref="G115:M115"/>
    <mergeCell ref="O115:V115"/>
  </mergeCells>
  <conditionalFormatting sqref="B21">
    <cfRule type="expression" dxfId="1" priority="1">
      <formula>LEFT($A21,7)&lt;&gt;"HW-Scan"</formula>
    </cfRule>
  </conditionalFormatting>
  <dataValidations count="2">
    <dataValidation type="list" allowBlank="1" showInputMessage="1" showErrorMessage="1" sqref="B125:B145 B19:B20 B22:B39" xr:uid="{00000000-0002-0000-0200-000000000000}">
      <formula1>$A$1:$A$158</formula1>
    </dataValidation>
    <dataValidation type="list" allowBlank="1" showInputMessage="1" showErrorMessage="1" sqref="B1 B54" xr:uid="{00000000-0002-0000-0200-000001000000}">
      <formula1>$A$108:$A$128</formula1>
    </dataValidation>
  </dataValidations>
  <printOptions horizontalCentered="1" verticalCentered="1"/>
  <pageMargins left="0.5" right="0.25" top="0.25" bottom="0.25" header="0.1" footer="0.1"/>
  <pageSetup scale="68" fitToHeight="0" orientation="portrait" r:id="rId1"/>
  <rowBreaks count="2" manualBreakCount="2">
    <brk id="53" max="16383" man="1"/>
    <brk id="106" min="6" max="21"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'Pricing Model'!$A$2:$A$24</xm:f>
          </x14:formula1>
          <xm:sqref>B107</xm:sqref>
        </x14:dataValidation>
        <x14:dataValidation type="list" allowBlank="1" showInputMessage="1" showErrorMessage="1" xr:uid="{00000000-0002-0000-0200-000003000000}">
          <x14:formula1>
            <xm:f>'Raw BOM'!$A$3:$A$202</xm:f>
          </x14:formula1>
          <xm:sqref>B72:B92</xm:sqref>
        </x14:dataValidation>
        <x14:dataValidation type="list" allowBlank="1" showInputMessage="1" showErrorMessage="1" xr:uid="{00000000-0002-0000-0200-000004000000}">
          <x14:formula1>
            <xm:f>'Raw BOM'!$A$3:$A$260</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pageSetUpPr fitToPage="1"/>
  </sheetPr>
  <dimension ref="A1:AC5359"/>
  <sheetViews>
    <sheetView view="pageBreakPreview" topLeftCell="G1" zoomScale="70" zoomScaleNormal="85" zoomScaleSheetLayoutView="70" workbookViewId="0">
      <selection activeCell="I31" sqref="I31:P3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4.7" customHeight="1" thickTop="1" thickBot="1" x14ac:dyDescent="0.3">
      <c r="A1" s="13" t="s">
        <v>55</v>
      </c>
      <c r="B1" s="14" t="str">
        <f>'Blank Quote'!B1</f>
        <v>App CA Private</v>
      </c>
      <c r="C1" s="392" t="s">
        <v>57</v>
      </c>
      <c r="D1" s="393"/>
      <c r="E1" s="15" t="str">
        <f>VLOOKUP(B1,'Pricing Model'!A1:C21,3)</f>
        <v>Discount Based</v>
      </c>
    </row>
    <row r="2" spans="1:22" ht="12.75" customHeight="1" thickBot="1" x14ac:dyDescent="0.3">
      <c r="A2" s="17" t="s">
        <v>58</v>
      </c>
      <c r="B2" s="18" t="str">
        <f>'Blank Quote'!B2</f>
        <v>Command International Security Services</v>
      </c>
      <c r="C2" s="394" t="s">
        <v>59</v>
      </c>
      <c r="D2" s="395"/>
      <c r="E2" s="252">
        <f>IF(E1="Discount Based", VLOOKUP(B1,'Pricing Model'!A1:D21,4), "")</f>
        <v>0.2</v>
      </c>
      <c r="P2" s="398" t="s">
        <v>139</v>
      </c>
      <c r="Q2" s="398"/>
      <c r="R2" s="398"/>
      <c r="S2" s="398"/>
      <c r="T2" s="398"/>
      <c r="U2" s="398"/>
    </row>
    <row r="3" spans="1:22" ht="18" customHeight="1" x14ac:dyDescent="0.25">
      <c r="A3" s="17" t="s">
        <v>61</v>
      </c>
      <c r="B3" s="18" t="str">
        <f>'Blank Quote'!B3</f>
        <v>Amira Hossain</v>
      </c>
      <c r="C3" s="394" t="s">
        <v>62</v>
      </c>
      <c r="D3" s="395"/>
      <c r="E3" s="252">
        <f>IF(E1="Discount Based", VLOOKUP(B1,'Pricing Model'!A1:E21,5), "")</f>
        <v>0.44</v>
      </c>
      <c r="N3" s="265" t="str">
        <f>IF('Blank Quote'!$E$7&lt;&gt;"", "REPLACING", "")</f>
        <v/>
      </c>
    </row>
    <row r="4" spans="1:22" ht="18" customHeight="1" x14ac:dyDescent="0.25">
      <c r="A4" s="20" t="s">
        <v>67</v>
      </c>
      <c r="B4" s="21" t="str">
        <f>'Blank Quote'!B4</f>
        <v>(747) 366-0211 | manny@commandinternationalsecurity.com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MID-VALLEY PROFESSIONAL BUILDING</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6819 Sepulveda Blvd, Van Nuys, CA 91405</v>
      </c>
      <c r="C6" s="25"/>
      <c r="D6" s="25"/>
      <c r="E6" s="25"/>
      <c r="G6" s="368" t="s">
        <v>70</v>
      </c>
      <c r="H6" s="368"/>
      <c r="I6" s="368"/>
      <c r="J6" s="368"/>
      <c r="K6" s="368"/>
      <c r="L6" s="368"/>
      <c r="M6" s="22"/>
      <c r="P6" s="367" t="s">
        <v>71</v>
      </c>
      <c r="Q6" s="367"/>
      <c r="R6" s="367"/>
      <c r="S6" s="367"/>
      <c r="T6" s="367"/>
      <c r="U6" s="367"/>
    </row>
    <row r="7" spans="1:22" ht="8.4499999999999993" customHeight="1" thickBot="1" x14ac:dyDescent="0.4">
      <c r="A7" s="17" t="s">
        <v>72</v>
      </c>
      <c r="B7" s="18" t="str">
        <f>'Blank Quote'!B7</f>
        <v>Amira Hossain</v>
      </c>
      <c r="C7" s="25"/>
      <c r="D7" s="25"/>
      <c r="E7" s="25"/>
      <c r="G7" s="26"/>
    </row>
    <row r="8" spans="1:22" ht="18" customHeight="1" thickBot="1" x14ac:dyDescent="0.35">
      <c r="A8" s="20" t="s">
        <v>77</v>
      </c>
      <c r="B8" s="21" t="str">
        <f>'Blank Quote'!B8</f>
        <v>(747) 366-0211 | manny@commandinternationalsecurity.com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MID-VALLEY PROFESSIONAL BUILDING</v>
      </c>
      <c r="C9" s="25"/>
      <c r="D9" s="25"/>
      <c r="E9" s="25"/>
      <c r="G9" s="353" t="str">
        <f>IF('Non_CA Multi Tenprint'!B2="", "", 'Non_CA Multi Tenprint'!B2)</f>
        <v>Command International Security Services</v>
      </c>
      <c r="H9" s="354"/>
      <c r="I9" s="354"/>
      <c r="J9" s="354"/>
      <c r="K9" s="354"/>
      <c r="L9" s="354"/>
      <c r="M9" s="355"/>
      <c r="O9" s="340" t="str">
        <f>IF('Non_CA Multi Tenprint'!B2="", "", 'Non_CA Multi Tenprint'!B2)</f>
        <v>Command International Security Services</v>
      </c>
      <c r="P9" s="341"/>
      <c r="Q9" s="341"/>
      <c r="R9" s="341"/>
      <c r="S9" s="341"/>
      <c r="T9" s="341"/>
      <c r="U9" s="341"/>
      <c r="V9" s="342"/>
    </row>
    <row r="10" spans="1:22" ht="18" customHeight="1" thickBot="1" x14ac:dyDescent="0.3">
      <c r="A10" s="27" t="s">
        <v>12</v>
      </c>
      <c r="B10" s="24" t="str">
        <f>'Blank Quote'!B10</f>
        <v>6819 Sepulveda Blvd, Van Nuys, CA 91405</v>
      </c>
      <c r="C10" s="25"/>
      <c r="D10" s="25"/>
      <c r="E10" s="25"/>
      <c r="G10" s="340" t="str">
        <f>IF('Non_CA Multi Tenprint'!B3="", "", 'Non_CA Multi Tenprint'!B3)</f>
        <v>Amira Hossain</v>
      </c>
      <c r="H10" s="341"/>
      <c r="I10" s="341"/>
      <c r="J10" s="341"/>
      <c r="K10" s="341"/>
      <c r="L10" s="341"/>
      <c r="M10" s="342"/>
      <c r="O10" s="340" t="str">
        <f>IF('Non_CA Multi Tenprint'!B7="", "", 'Non_CA Multi Tenprint'!B7)</f>
        <v>Amira Hossain</v>
      </c>
      <c r="P10" s="341"/>
      <c r="Q10" s="341"/>
      <c r="R10" s="341"/>
      <c r="S10" s="341"/>
      <c r="T10" s="341"/>
      <c r="U10" s="341"/>
      <c r="V10" s="342"/>
    </row>
    <row r="11" spans="1:22" ht="18" customHeight="1" thickBot="1" x14ac:dyDescent="0.3">
      <c r="A11" s="27" t="s">
        <v>79</v>
      </c>
      <c r="B11" s="28">
        <f>'Blank Quote'!B11</f>
        <v>0</v>
      </c>
      <c r="C11" s="25"/>
      <c r="D11" s="25"/>
      <c r="E11" s="25"/>
      <c r="G11" s="340" t="str">
        <f>IF('Non_CA Multi Tenprint'!B4="", "", 'Non_CA Multi Tenprint'!B4)</f>
        <v>(747) 366-0211 | manny@commandinternationalsecurity.com</v>
      </c>
      <c r="H11" s="341"/>
      <c r="I11" s="341"/>
      <c r="J11" s="341"/>
      <c r="K11" s="341"/>
      <c r="L11" s="341"/>
      <c r="M11" s="342"/>
      <c r="O11" s="340" t="str">
        <f>IF('Non_CA Multi Tenprint'!B8="", "", 'Non_CA Multi Tenprint'!B8)</f>
        <v>(747) 366-0211 | manny@commandinternationalsecurity.com</v>
      </c>
      <c r="P11" s="341"/>
      <c r="Q11" s="341"/>
      <c r="R11" s="341"/>
      <c r="S11" s="341"/>
      <c r="T11" s="341"/>
      <c r="U11" s="341"/>
      <c r="V11" s="342"/>
    </row>
    <row r="12" spans="1:22" ht="18" customHeight="1" thickBot="1" x14ac:dyDescent="0.3">
      <c r="A12" s="13" t="s">
        <v>34</v>
      </c>
      <c r="B12" s="29" t="str">
        <f>'Blank Quote'!B12</f>
        <v>EC</v>
      </c>
      <c r="C12" s="25"/>
      <c r="D12" s="25"/>
      <c r="E12" s="25"/>
      <c r="G12" s="340" t="str">
        <f>IF('Non_CA Multi Tenprint'!B5="", "", 'Non_CA Multi Tenprint'!B5)</f>
        <v>MID-VALLEY PROFESSIONAL BUILDING</v>
      </c>
      <c r="H12" s="341"/>
      <c r="I12" s="341"/>
      <c r="J12" s="341"/>
      <c r="K12" s="341"/>
      <c r="L12" s="341"/>
      <c r="M12" s="342"/>
      <c r="O12" s="340" t="str">
        <f>IF('Non_CA Multi Tenprint'!B9="", "", 'Non_CA Multi Tenprint'!B9)</f>
        <v>MID-VALLEY PROFESSIONAL BUILDING</v>
      </c>
      <c r="P12" s="341"/>
      <c r="Q12" s="341"/>
      <c r="R12" s="341"/>
      <c r="S12" s="341"/>
      <c r="T12" s="341"/>
      <c r="U12" s="341"/>
      <c r="V12" s="342"/>
    </row>
    <row r="13" spans="1:22" ht="18" customHeight="1" thickBot="1" x14ac:dyDescent="0.3">
      <c r="A13" s="13" t="s">
        <v>82</v>
      </c>
      <c r="B13" s="30" t="str">
        <f>'Blank Quote'!B13</f>
        <v>Ground</v>
      </c>
      <c r="C13" s="25"/>
      <c r="D13" s="25"/>
      <c r="E13" s="25"/>
      <c r="G13" s="295" t="str">
        <f>IF('Non_CA Multi Tenprint'!B6="", "", 'Non_CA Multi Tenprint'!B6)</f>
        <v>6819 Sepulveda Blvd, Van Nuys, CA 91405</v>
      </c>
      <c r="H13" s="296"/>
      <c r="I13" s="296"/>
      <c r="J13" s="296"/>
      <c r="K13" s="296"/>
      <c r="L13" s="296"/>
      <c r="M13" s="297"/>
      <c r="O13" s="295" t="str">
        <f>IF('Non_CA Multi Tenprint'!B10="", "", 'Non_CA Multi Tenprint'!B10)</f>
        <v>6819 Sepulveda Blvd, Van Nuys, CA 91405</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45140</v>
      </c>
      <c r="H16" s="363"/>
      <c r="I16" s="364">
        <f ca="1">NOW()</f>
        <v>45140.445939351855</v>
      </c>
      <c r="J16" s="365"/>
      <c r="K16" s="366"/>
      <c r="L16" s="301" t="str">
        <f>'Non_CA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IF(A19&lt;&gt;"", A19, "")</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7"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23" si="6">M19</f>
        <v>HW-LT-Std-Home</v>
      </c>
      <c r="T19" s="319">
        <f t="shared" ref="T19:T23" si="7">IF(C19="", "", Q19*R19)</f>
        <v>750</v>
      </c>
      <c r="U19" s="319" t="str">
        <f t="shared" ref="U19:U23" si="8">O19</f>
        <v>Hardware-Laptop-Standard with Windows Home Edition   *** Standard with Windows 11</v>
      </c>
      <c r="V19" s="46" t="str">
        <f>IF(C19="","", VLOOKUP(B19,'Raw BOM'!$A$3:$F$495,6,FALSE))</f>
        <v>Yes</v>
      </c>
      <c r="W19" s="1"/>
      <c r="X19" s="47">
        <f t="shared" ref="X19:X39" si="9">IF(AND(V19="Yes", Q19&lt;&gt;0), (T19-Y19)*$B$119, 0)</f>
        <v>0</v>
      </c>
      <c r="Y19" s="198">
        <f>ROUND(
IF(AND(C19&lt;&gt;"", D19="", V19="Yes"),
     IF($E$109="Discount Based",
         R19*IF(OR(LEFT(A19,2)="HW", LEFT(A19,12)="CMS-Hardware"),
              $E$110,
              IF(AND(LEFT(A19,3)="Sys", LEFT(A19,4)&lt;&gt;"Ship"),
                   ($E$110+$E$111)/2,
                    0)),
         IF($E$109="Cost Based",
              IF(OR(LEFT(A19,2)="HW", LEFT(A19,12)="CMS-Hardware"),
                   R19-(1+$E$112)*VLOOKUP(B19,'Raw BOM'!$A$3:$E$492,5,FALSE),
              IF(AND(LEFT(A19,3)="Sys", LEFT(A19,4)&lt;&gt;"Ship"),
                   R19-(1+($E$112+$E$113)/2)*VLOOKUP(B19,'Raw BOM'!$A$3:$E$492,5,FALSE),
                   0))))),2)</f>
        <v>150</v>
      </c>
      <c r="Z19" s="47">
        <f>ROUND(
IF(AND(C19&lt;&gt;"", D19="", V19="No"),
     IF($E$109="Discount Based",
         R19*IF(AND(LEFT(A19,2)&lt;&gt;"HW", LEFT(A19,12)&lt;&gt;"CMS-Hardware",LEFT(A19,3)&lt;&gt;"Sys", LEFT(A19,4)&lt;&gt;"Ship"),
                   $E$111,0),
     IF($E$109="Cost Based",
          IF(AND(LEFT(A19,2)&lt;&gt;"HW", LEFT(A19,12)&lt;&gt;"CMS-Hardware",LEFT(A19,3)&lt;&gt;"Sys", LEFT(A19,4)&lt;&gt;"Ship"),
               R19-(1+$E$112)*VLOOKUP(B19,'Raw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IF($E$109="Discount Based",
         R20*IF(OR(LEFT(A20,2)="HW", LEFT(A20,12)="CMS-Hardware"),
              $E$110,
              IF(AND(LEFT(A20,3)="Sys", LEFT(A20,4)&lt;&gt;"Ship"),
                   ($E$110+$E$111)/2,
                    0)),
         IF($E$109="Cost Based",
              IF(OR(LEFT(A20,2)="HW", LEFT(A20,12)="CMS-Hardware"),
                   R20-(1+$E$112)*VLOOKUP(B20,'Raw BOM'!$A$3:$E$492,5,FALSE),
              IF(AND(LEFT(A20,3)="Sys", LEFT(A20,4)&lt;&gt;"Ship"),
                   R20-(1+($E$112+$E$113)/2)*VLOOKUP(B20,'Raw BOM'!$A$3:$E$492,5,FALSE),
                   0))))),2)</f>
        <v>0</v>
      </c>
      <c r="Z20" s="47">
        <f>ROUND(
IF(AND(C20&lt;&gt;"", D20="", V20="No"),
     IF($E$109="Discount Based",
         R20*IF(AND(LEFT(A20,2)&lt;&gt;"HW", LEFT(A20,12)&lt;&gt;"CMS-Hardware",LEFT(A20,3)&lt;&gt;"Sys", LEFT(A20,4)&lt;&gt;"Ship"),
                   $E$111,0),
     IF($E$109="Cost Based",
          IF(AND(LEFT(A20,2)&lt;&gt;"HW", LEFT(A20,12)&lt;&gt;"CMS-Hardware",LEFT(A20,3)&lt;&gt;"Sys", LEFT(A20,4)&lt;&gt;"Ship"),
               R20-(1+$E$112)*VLOOKUP(B20,'Raw BOM'!$A$3:$E$492,5,FALSE),0),0)),0),2)</f>
        <v>589.6</v>
      </c>
      <c r="AA20" s="48">
        <f t="shared" ref="AA20:AA23" si="10">ROUND(IF(AND(Y20&gt;0, Y20&lt;&gt;"", D20=""),Q20*Y20,0), 2)</f>
        <v>0</v>
      </c>
      <c r="AB20" s="48">
        <f t="shared" ref="AB20:AB23"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 t="shared" si="1"/>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0</v>
      </c>
      <c r="Y21" s="198">
        <f>ROUND(
IF(AND(C21&lt;&gt;"", D21="", V21="Yes"),
     IF($E$109="Discount Based",
         R21*IF(OR(LEFT(A21,2)="HW", LEFT(A21,12)="CMS-Hardware"),
              $E$110,
              IF(AND(LEFT(A21,3)="Sys", LEFT(A21,4)&lt;&gt;"Ship"),
                   ($E$110+$E$111)/2,
                    0)),
         IF($E$109="Cost Based",
              IF(OR(LEFT(A21,2)="HW", LEFT(A21,12)="CMS-Hardware"),
                   R21-(1+$E$112)*VLOOKUP(B21,'Raw BOM'!$A$3:$E$492,5,FALSE),
              IF(AND(LEFT(A21,3)="Sys", LEFT(A21,4)&lt;&gt;"Ship"),
                   R21-(1+($E$112+$E$113)/2)*VLOOKUP(B21,'Raw BOM'!$A$3:$E$492,5,FALSE),
                   0))))),2)</f>
        <v>370</v>
      </c>
      <c r="Z21" s="47">
        <f>ROUND(
IF(AND(C21&lt;&gt;"", D21="", V21="No"),
     IF($E$109="Discount Based",
         R21*IF(AND(LEFT(A21,2)&lt;&gt;"HW", LEFT(A21,12)&lt;&gt;"CMS-Hardware",LEFT(A21,3)&lt;&gt;"Sys", LEFT(A21,4)&lt;&gt;"Ship"),
                   $E$111,0),
     IF($E$109="Cost Based",
          IF(AND(LEFT(A21,2)&lt;&gt;"HW", LEFT(A21,12)&lt;&gt;"CMS-Hardware",LEFT(A21,3)&lt;&gt;"Sys", LEFT(A21,4)&lt;&gt;"Ship"),
               R21-(1+$E$112)*VLOOKUP(B21,'Raw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IF($E$109="Discount Based",
         R22*IF(OR(LEFT(A22,2)="HW", LEFT(A22,12)="CMS-Hardware"),
              $E$110,
              IF(AND(LEFT(A22,3)="Sys", LEFT(A22,4)&lt;&gt;"Ship"),
                   ($E$110+$E$111)/2,
                    0)),
         IF($E$109="Cost Based",
              IF(OR(LEFT(A22,2)="HW", LEFT(A22,12)="CMS-Hardware"),
                   R22-(1+$E$112)*VLOOKUP(B22,'Raw BOM'!$A$3:$E$492,5,FALSE),
              IF(AND(LEFT(A22,3)="Sys", LEFT(A22,4)&lt;&gt;"Ship"),
                   R22-(1+($E$112+$E$113)/2)*VLOOKUP(B22,'Raw BOM'!$A$3:$E$492,5,FALSE),
                   0))))),2)</f>
        <v>0</v>
      </c>
      <c r="Z22" s="47">
        <f>ROUND(
IF(AND(C22&lt;&gt;"", D22="", V22="No"),
     IF($E$109="Discount Based",
         R22*IF(AND(LEFT(A22,2)&lt;&gt;"HW", LEFT(A22,12)&lt;&gt;"CMS-Hardware",LEFT(A22,3)&lt;&gt;"Sys", LEFT(A22,4)&lt;&gt;"Ship"),
                   $E$111,0),
     IF($E$109="Cost Based",
          IF(AND(LEFT(A22,2)&lt;&gt;"HW", LEFT(A22,12)&lt;&gt;"CMS-Hardware",LEFT(A22,3)&lt;&gt;"Sys", LEFT(A22,4)&lt;&gt;"Ship"),
               R22-(1+$E$112)*VLOOKUP(B22,'Raw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0</v>
      </c>
      <c r="Y23" s="198">
        <f>ROUND(
IF(AND(C23&lt;&gt;"", D23="", V23="Yes"),
     IF($E$109="Discount Based",
         R23*IF(OR(LEFT(A23,2)="HW", LEFT(A23,12)="CMS-Hardware"),
              $E$110,
              IF(AND(LEFT(A23,3)="Sys", LEFT(A23,4)&lt;&gt;"Ship"),
                   ($E$110+$E$111)/2,
                    0)),
         IF($E$109="Cost Based",
              IF(OR(LEFT(A23,2)="HW", LEFT(A23,12)="CMS-Hardware"),
                   R23-(1+$E$112)*VLOOKUP(B23,'Raw BOM'!$A$3:$E$492,5,FALSE),
              IF(AND(LEFT(A23,3)="Sys", LEFT(A23,4)&lt;&gt;"Ship"),
                   R23-(1+($E$112+$E$113)/2)*VLOOKUP(B23,'Raw BOM'!$A$3:$E$492,5,FALSE),
                   0))))),2)</f>
        <v>26</v>
      </c>
      <c r="Z23" s="47">
        <f>ROUND(
IF(AND(C23&lt;&gt;"", D23="", V23="No"),
     IF($E$109="Discount Based",
         R23*IF(AND(LEFT(A23,2)&lt;&gt;"HW", LEFT(A23,12)&lt;&gt;"CMS-Hardware",LEFT(A23,3)&lt;&gt;"Sys", LEFT(A23,4)&lt;&gt;"Ship"),
                   $E$111,0),
     IF($E$109="Cost Based",
          IF(AND(LEFT(A23,2)&lt;&gt;"HW", LEFT(A23,12)&lt;&gt;"CMS-Hardware",LEFT(A23,3)&lt;&gt;"Sys", LEFT(A23,4)&lt;&gt;"Ship"),
               R23-(1+$E$112)*VLOOKUP(B23,'Raw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ref="I24:I35" si="12">IF(B24&lt;&gt;"", B24, "")&amp;IF(E24&lt;&gt;"", "   *** "&amp;E24, "")</f>
        <v>LiveScan 4th Gen Software-Driver License and ID Reading software</v>
      </c>
      <c r="J24" s="317"/>
      <c r="K24" s="317" t="str">
        <f t="shared" ref="K24:K35" si="13">E24</f>
        <v/>
      </c>
      <c r="L24" s="317"/>
      <c r="M24" s="317" t="str">
        <f t="shared" ref="M24:M35" si="14">G24</f>
        <v>LS4G-IDCard</v>
      </c>
      <c r="N24" s="317"/>
      <c r="O24" s="317" t="str">
        <f t="shared" ref="O24:O35" si="15">I24</f>
        <v>LiveScan 4th Gen Software-Driver License and ID Reading software</v>
      </c>
      <c r="P24" s="317"/>
      <c r="Q24" s="99">
        <f t="shared" ref="Q24:Q35" si="16">IF(C24="", "", C24)</f>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ref="S24:S35" si="17">M24</f>
        <v>LS4G-IDCard</v>
      </c>
      <c r="T24" s="318">
        <f t="shared" ref="T24:T39" si="18">IF(C24="", "", Q24*R24)</f>
        <v>340</v>
      </c>
      <c r="U24" s="318" t="str">
        <f t="shared" ref="U24:U39" si="19">O24</f>
        <v>LiveScan 4th Gen Software-Driver License and ID Reading software</v>
      </c>
      <c r="V24" s="49" t="str">
        <f>IF(C24="","", VLOOKUP(B24,'Raw BOM'!$A$3:$F$495,6,FALSE))</f>
        <v>No</v>
      </c>
      <c r="W24" s="1"/>
      <c r="X24" s="47">
        <f t="shared" si="9"/>
        <v>0</v>
      </c>
      <c r="Y24" s="198">
        <f>ROUND(
IF(AND(C24&lt;&gt;"", D24="", V24="Yes"),
     IF($E$109="Discount Based",
         R24*IF(OR(LEFT(A24,2)="HW", LEFT(A24,12)="CMS-Hardware"),
              $E$110,
              IF(AND(LEFT(A24,3)="Sys", LEFT(A24,4)&lt;&gt;"Ship"),
                   ($E$110+$E$111)/2,
                    0)),
         IF($E$109="Cost Based",
              IF(OR(LEFT(A24,2)="HW", LEFT(A24,12)="CMS-Hardware"),
                   R24-(1+$E$112)*VLOOKUP(B24,'Raw BOM'!$A$3:$E$492,5,FALSE),
              IF(AND(LEFT(A24,3)="Sys", LEFT(A24,4)&lt;&gt;"Ship"),
                   R24-(1+($E$112+$E$113)/2)*VLOOKUP(B24,'Raw BOM'!$A$3:$E$492,5,FALSE),
                   0))))),2)</f>
        <v>0</v>
      </c>
      <c r="Z24" s="47">
        <f>ROUND(
IF(AND(C24&lt;&gt;"", D24="", V24="No"),
     IF($E$109="Discount Based",
         R24*IF(AND(LEFT(A24,2)&lt;&gt;"HW", LEFT(A24,12)&lt;&gt;"CMS-Hardware",LEFT(A24,3)&lt;&gt;"Sys", LEFT(A24,4)&lt;&gt;"Ship"),
                   $E$111,0),
     IF($E$109="Cost Based",
          IF(AND(LEFT(A24,2)&lt;&gt;"HW", LEFT(A24,12)&lt;&gt;"CMS-Hardware",LEFT(A24,3)&lt;&gt;"Sys", LEFT(A24,4)&lt;&gt;"Ship"),
               R24-(1+$E$112)*VLOOKUP(B24,'Raw BOM'!$A$3:$E$492,5,FALSE),0),0)),0),2)</f>
        <v>149.6</v>
      </c>
      <c r="AA24" s="48">
        <f t="shared" ref="AA24:AA35" si="20">ROUND(IF(AND(Y24&gt;0, Y24&lt;&gt;"", D24=""),Q24*Y24,0), 2)</f>
        <v>0</v>
      </c>
      <c r="AB24" s="48">
        <f t="shared" ref="AB24:AB35" si="21">ROUND(IF(AND(Z24&lt;&gt;"",Z24&gt;0, D24=""),Q24*Z24,0),2)</f>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2"/>
        <v/>
      </c>
      <c r="J25" s="317"/>
      <c r="K25" s="317" t="str">
        <f t="shared" si="13"/>
        <v/>
      </c>
      <c r="L25" s="317"/>
      <c r="M25" s="317" t="str">
        <f t="shared" si="14"/>
        <v/>
      </c>
      <c r="N25" s="317"/>
      <c r="O25" s="317" t="str">
        <f t="shared" si="15"/>
        <v/>
      </c>
      <c r="P25" s="317"/>
      <c r="Q25" s="99" t="str">
        <f t="shared" si="16"/>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17"/>
        <v/>
      </c>
      <c r="T25" s="318" t="str">
        <f t="shared" si="18"/>
        <v/>
      </c>
      <c r="U25" s="318" t="str">
        <f t="shared" si="19"/>
        <v/>
      </c>
      <c r="V25" s="49" t="str">
        <f>IF(C25="","", VLOOKUP(B25,'Raw BOM'!$A$3:$F$495,6,FALSE))</f>
        <v/>
      </c>
      <c r="W25" s="1"/>
      <c r="X25" s="47">
        <f t="shared" si="9"/>
        <v>0</v>
      </c>
      <c r="Y25" s="198">
        <f>ROUND(
IF(AND(C25&lt;&gt;"", D25="", V25="Yes"),
     IF($E$109="Discount Based",
         R25*IF(OR(LEFT(A25,2)="HW", LEFT(A25,12)="CMS-Hardware"),
              $E$110,
              IF(AND(LEFT(A25,3)="Sys", LEFT(A25,4)&lt;&gt;"Ship"),
                   ($E$110+$E$111)/2,
                    0)),
         IF($E$109="Cost Based",
              IF(OR(LEFT(A25,2)="HW", LEFT(A25,12)="CMS-Hardware"),
                   R25-(1+$E$112)*VLOOKUP(B25,'Raw BOM'!$A$3:$E$492,5,FALSE),
              IF(AND(LEFT(A25,3)="Sys", LEFT(A25,4)&lt;&gt;"Ship"),
                   R25-(1+($E$112+$E$113)/2)*VLOOKUP(B25,'Raw BOM'!$A$3:$E$492,5,FALSE),
                   0))))),2)</f>
        <v>0</v>
      </c>
      <c r="Z25" s="47">
        <f>ROUND(
IF(AND(C25&lt;&gt;"", D25="", V25="No"),
     IF($E$109="Discount Based",
         R25*IF(AND(LEFT(A25,2)&lt;&gt;"HW", LEFT(A25,12)&lt;&gt;"CMS-Hardware",LEFT(A25,3)&lt;&gt;"Sys", LEFT(A25,4)&lt;&gt;"Ship"),
                   $E$111,0),
     IF($E$109="Cost Based",
          IF(AND(LEFT(A25,2)&lt;&gt;"HW", LEFT(A25,12)&lt;&gt;"CMS-Hardware",LEFT(A25,3)&lt;&gt;"Sys", LEFT(A25,4)&lt;&gt;"Ship"),
               R25-(1+$E$112)*VLOOKUP(B25,'Raw BOM'!$A$3:$E$492,5,FALSE),0),0)),0),2)</f>
        <v>0</v>
      </c>
      <c r="AA25" s="48">
        <f t="shared" si="20"/>
        <v>0</v>
      </c>
      <c r="AB25" s="48">
        <f t="shared" si="2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2"/>
        <v>Services-Configuration-CA PSP Setup   *** Pick ONE of the following capture methods at the time of capture (TWO DIFFERENT BUTTONS on the screen):</v>
      </c>
      <c r="J26" s="317"/>
      <c r="K26" s="317" t="str">
        <f t="shared" si="13"/>
        <v>Pick ONE of the following capture methods at the time of capture (TWO DIFFERENT BUTTONS on the screen):</v>
      </c>
      <c r="L26" s="317"/>
      <c r="M26" s="317" t="str">
        <f t="shared" si="14"/>
        <v>Svcs-Cfg-CAPSP</v>
      </c>
      <c r="N26" s="317"/>
      <c r="O26" s="317" t="str">
        <f t="shared" si="15"/>
        <v>Services-Configuration-CA PSP Setup   *** Pick ONE of the following capture methods at the time of capture (TWO DIFFERENT BUTTONS on the screen):</v>
      </c>
      <c r="P26" s="317"/>
      <c r="Q26" s="99">
        <f t="shared" si="16"/>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17"/>
        <v>Svcs-Cfg-CAPSP</v>
      </c>
      <c r="T26" s="318">
        <f t="shared" si="18"/>
        <v>500</v>
      </c>
      <c r="U26" s="318" t="str">
        <f t="shared" si="19"/>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IF($E$109="Discount Based",
         R26*IF(OR(LEFT(A26,2)="HW", LEFT(A26,12)="CMS-Hardware"),
              $E$110,
              IF(AND(LEFT(A26,3)="Sys", LEFT(A26,4)&lt;&gt;"Ship"),
                   ($E$110+$E$111)/2,
                    0)),
         IF($E$109="Cost Based",
              IF(OR(LEFT(A26,2)="HW", LEFT(A26,12)="CMS-Hardware"),
                   R26-(1+$E$112)*VLOOKUP(B26,'Raw BOM'!$A$3:$E$492,5,FALSE),
              IF(AND(LEFT(A26,3)="Sys", LEFT(A26,4)&lt;&gt;"Ship"),
                   R26-(1+($E$112+$E$113)/2)*VLOOKUP(B26,'Raw BOM'!$A$3:$E$492,5,FALSE),
                   0))))),2)</f>
        <v>0</v>
      </c>
      <c r="Z26" s="47">
        <f>ROUND(
IF(AND(C26&lt;&gt;"", D26="", V26="No"),
     IF($E$109="Discount Based",
         R26*IF(AND(LEFT(A26,2)&lt;&gt;"HW", LEFT(A26,12)&lt;&gt;"CMS-Hardware",LEFT(A26,3)&lt;&gt;"Sys", LEFT(A26,4)&lt;&gt;"Ship"),
                   $E$111,0),
     IF($E$109="Cost Based",
          IF(AND(LEFT(A26,2)&lt;&gt;"HW", LEFT(A26,12)&lt;&gt;"CMS-Hardware",LEFT(A26,3)&lt;&gt;"Sys", LEFT(A26,4)&lt;&gt;"Ship"),
               R26-(1+$E$112)*VLOOKUP(B26,'Raw BOM'!$A$3:$E$492,5,FALSE),0),0)),0),2)</f>
        <v>220</v>
      </c>
      <c r="AA26" s="48">
        <f t="shared" si="20"/>
        <v>0</v>
      </c>
      <c r="AB26" s="48">
        <f t="shared" si="2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2"/>
        <v xml:space="preserve">   *** Transaction Fee - Traditional FLATS and ROLLS Method (1 to 10 minutes method): $0.75 per transaction with $150 per monthly cap</v>
      </c>
      <c r="J27" s="317"/>
      <c r="K27" s="317" t="str">
        <f t="shared" si="13"/>
        <v>Transaction Fee - Traditional FLATS and ROLLS Method (1 to 10 minutes method): $0.75 per transaction with $150 per monthly cap</v>
      </c>
      <c r="L27" s="317"/>
      <c r="M27" s="317" t="str">
        <f t="shared" si="14"/>
        <v>Misc</v>
      </c>
      <c r="N27" s="317"/>
      <c r="O27" s="317" t="str">
        <f t="shared" si="15"/>
        <v xml:space="preserve">   *** Transaction Fee - Traditional FLATS and ROLLS Method (1 to 10 minutes method): $0.75 per transaction with $150 per monthly cap</v>
      </c>
      <c r="P27" s="317"/>
      <c r="Q27" s="99" t="str">
        <f t="shared" si="16"/>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17"/>
        <v>Misc</v>
      </c>
      <c r="T27" s="318" t="str">
        <f t="shared" si="18"/>
        <v/>
      </c>
      <c r="U27" s="318" t="str">
        <f t="shared" si="19"/>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IF($E$109="Discount Based",
         R27*IF(OR(LEFT(A27,2)="HW", LEFT(A27,12)="CMS-Hardware"),
              $E$110,
              IF(AND(LEFT(A27,3)="Sys", LEFT(A27,4)&lt;&gt;"Ship"),
                   ($E$110+$E$111)/2,
                    0)),
         IF($E$109="Cost Based",
              IF(OR(LEFT(A27,2)="HW", LEFT(A27,12)="CMS-Hardware"),
                   R27-(1+$E$112)*VLOOKUP(B27,'Raw BOM'!$A$3:$E$492,5,FALSE),
              IF(AND(LEFT(A27,3)="Sys", LEFT(A27,4)&lt;&gt;"Ship"),
                   R27-(1+($E$112+$E$113)/2)*VLOOKUP(B27,'Raw BOM'!$A$3:$E$492,5,FALSE),
                   0))))),2)</f>
        <v>0</v>
      </c>
      <c r="Z27" s="47">
        <f>ROUND(
IF(AND(C27&lt;&gt;"", D27="", V27="No"),
     IF($E$109="Discount Based",
         R27*IF(AND(LEFT(A27,2)&lt;&gt;"HW", LEFT(A27,12)&lt;&gt;"CMS-Hardware",LEFT(A27,3)&lt;&gt;"Sys", LEFT(A27,4)&lt;&gt;"Ship"),
                   $E$111,0),
     IF($E$109="Cost Based",
          IF(AND(LEFT(A27,2)&lt;&gt;"HW", LEFT(A27,12)&lt;&gt;"CMS-Hardware",LEFT(A27,3)&lt;&gt;"Sys", LEFT(A27,4)&lt;&gt;"Ship"),
               R27-(1+$E$112)*VLOOKUP(B27,'Raw BOM'!$A$3:$E$492,5,FALSE),0),0)),0),2)</f>
        <v>0</v>
      </c>
      <c r="AA27" s="48">
        <f t="shared" si="20"/>
        <v>0</v>
      </c>
      <c r="AB27" s="48">
        <f t="shared" si="2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2"/>
        <v xml:space="preserve">   *** Transaction Fee - NEW FLATS ONLY Method (10 to 15 second fingerprinting): $4.00 per transaction with no cap ($2.80 per trans for 501(c)(3) organizations)</v>
      </c>
      <c r="J28" s="317"/>
      <c r="K28" s="317" t="str">
        <f t="shared" si="13"/>
        <v>Transaction Fee - NEW FLATS ONLY Method (10 to 15 second fingerprinting): $4.00 per transaction with no cap ($2.80 per trans for 501(c)(3) organizations)</v>
      </c>
      <c r="L28" s="317"/>
      <c r="M28" s="317" t="str">
        <f t="shared" si="14"/>
        <v>Misc</v>
      </c>
      <c r="N28" s="317"/>
      <c r="O28" s="317" t="str">
        <f t="shared" si="15"/>
        <v xml:space="preserve">   *** Transaction Fee - NEW FLATS ONLY Method (10 to 15 second fingerprinting): $4.00 per transaction with no cap ($2.80 per trans for 501(c)(3) organizations)</v>
      </c>
      <c r="P28" s="317"/>
      <c r="Q28" s="99" t="str">
        <f t="shared" si="16"/>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17"/>
        <v>Misc</v>
      </c>
      <c r="T28" s="318" t="str">
        <f t="shared" si="18"/>
        <v/>
      </c>
      <c r="U28" s="318" t="str">
        <f t="shared" si="19"/>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IF($E$109="Discount Based",
         R28*IF(OR(LEFT(A28,2)="HW", LEFT(A28,12)="CMS-Hardware"),
              $E$110,
              IF(AND(LEFT(A28,3)="Sys", LEFT(A28,4)&lt;&gt;"Ship"),
                   ($E$110+$E$111)/2,
                    0)),
         IF($E$109="Cost Based",
              IF(OR(LEFT(A28,2)="HW", LEFT(A28,12)="CMS-Hardware"),
                   R28-(1+$E$112)*VLOOKUP(B28,'Raw BOM'!$A$3:$E$492,5,FALSE),
              IF(AND(LEFT(A28,3)="Sys", LEFT(A28,4)&lt;&gt;"Ship"),
                   R28-(1+($E$112+$E$113)/2)*VLOOKUP(B28,'Raw BOM'!$A$3:$E$492,5,FALSE),
                   0))))),2)</f>
        <v>0</v>
      </c>
      <c r="Z28" s="47">
        <f>ROUND(
IF(AND(C28&lt;&gt;"", D28="", V28="No"),
     IF($E$109="Discount Based",
         R28*IF(AND(LEFT(A28,2)&lt;&gt;"HW", LEFT(A28,12)&lt;&gt;"CMS-Hardware",LEFT(A28,3)&lt;&gt;"Sys", LEFT(A28,4)&lt;&gt;"Ship"),
                   $E$111,0),
     IF($E$109="Cost Based",
          IF(AND(LEFT(A28,2)&lt;&gt;"HW", LEFT(A28,12)&lt;&gt;"CMS-Hardware",LEFT(A28,3)&lt;&gt;"Sys", LEFT(A28,4)&lt;&gt;"Ship"),
               R28-(1+$E$112)*VLOOKUP(B28,'Raw BOM'!$A$3:$E$492,5,FALSE),0),0)),0),2)</f>
        <v>0</v>
      </c>
      <c r="AA28" s="48">
        <f t="shared" si="20"/>
        <v>0</v>
      </c>
      <c r="AB28" s="48">
        <f t="shared" si="2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2"/>
        <v/>
      </c>
      <c r="J29" s="317"/>
      <c r="K29" s="317" t="str">
        <f t="shared" si="13"/>
        <v/>
      </c>
      <c r="L29" s="317"/>
      <c r="M29" s="317" t="str">
        <f t="shared" si="14"/>
        <v/>
      </c>
      <c r="N29" s="317"/>
      <c r="O29" s="317" t="str">
        <f t="shared" si="15"/>
        <v/>
      </c>
      <c r="P29" s="317"/>
      <c r="Q29" s="99" t="str">
        <f t="shared" si="16"/>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17"/>
        <v/>
      </c>
      <c r="T29" s="318" t="str">
        <f t="shared" si="18"/>
        <v/>
      </c>
      <c r="U29" s="318" t="str">
        <f t="shared" si="19"/>
        <v/>
      </c>
      <c r="V29" s="49" t="str">
        <f>IF(C29="","", VLOOKUP(B29,'Raw BOM'!$A$3:$F$495,6,FALSE))</f>
        <v/>
      </c>
      <c r="W29" s="1"/>
      <c r="X29" s="47">
        <f t="shared" si="9"/>
        <v>0</v>
      </c>
      <c r="Y29" s="198">
        <f>ROUND(
IF(AND(C29&lt;&gt;"", D29="", V29="Yes"),
     IF($E$109="Discount Based",
         R29*IF(OR(LEFT(A29,2)="HW", LEFT(A29,12)="CMS-Hardware"),
              $E$110,
              IF(AND(LEFT(A29,3)="Sys", LEFT(A29,4)&lt;&gt;"Ship"),
                   ($E$110+$E$111)/2,
                    0)),
         IF($E$109="Cost Based",
              IF(OR(LEFT(A29,2)="HW", LEFT(A29,12)="CMS-Hardware"),
                   R29-(1+$E$112)*VLOOKUP(B29,'Raw BOM'!$A$3:$E$492,5,FALSE),
              IF(AND(LEFT(A29,3)="Sys", LEFT(A29,4)&lt;&gt;"Ship"),
                   R29-(1+($E$112+$E$113)/2)*VLOOKUP(B29,'Raw BOM'!$A$3:$E$492,5,FALSE),
                   0))))),2)</f>
        <v>0</v>
      </c>
      <c r="Z29" s="47">
        <f>ROUND(
IF(AND(C29&lt;&gt;"", D29="", V29="No"),
     IF($E$109="Discount Based",
         R29*IF(AND(LEFT(A29,2)&lt;&gt;"HW", LEFT(A29,12)&lt;&gt;"CMS-Hardware",LEFT(A29,3)&lt;&gt;"Sys", LEFT(A29,4)&lt;&gt;"Ship"),
                   $E$111,0),
     IF($E$109="Cost Based",
          IF(AND(LEFT(A29,2)&lt;&gt;"HW", LEFT(A29,12)&lt;&gt;"CMS-Hardware",LEFT(A29,3)&lt;&gt;"Sys", LEFT(A29,4)&lt;&gt;"Ship"),
               R29-(1+$E$112)*VLOOKUP(B29,'Raw BOM'!$A$3:$E$492,5,FALSE),0),0)),0),2)</f>
        <v>0</v>
      </c>
      <c r="AA29" s="48">
        <f t="shared" si="20"/>
        <v>0</v>
      </c>
      <c r="AB29" s="48">
        <f t="shared" si="2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2"/>
        <v>Services-Installation and Training Session 4hrs (see Service Method for price)</v>
      </c>
      <c r="J30" s="317"/>
      <c r="K30" s="317" t="str">
        <f t="shared" si="13"/>
        <v/>
      </c>
      <c r="L30" s="317"/>
      <c r="M30" s="317" t="str">
        <f t="shared" si="14"/>
        <v>Svcs-InstallTrain</v>
      </c>
      <c r="N30" s="317"/>
      <c r="O30" s="317" t="str">
        <f t="shared" si="15"/>
        <v>Services-Installation and Training Session 4hrs (see Service Method for price)</v>
      </c>
      <c r="P30" s="317"/>
      <c r="Q30" s="99">
        <f t="shared" si="16"/>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17"/>
        <v>Svcs-InstallTrain</v>
      </c>
      <c r="T30" s="318">
        <f t="shared" si="18"/>
        <v>0</v>
      </c>
      <c r="U30" s="318" t="str">
        <f t="shared" si="19"/>
        <v>Services-Installation and Training Session 4hrs (see Service Method for price)</v>
      </c>
      <c r="V30" s="49" t="str">
        <f>IF(C30="","", VLOOKUP(B30,'Raw BOM'!$A$3:$F$495,6,FALSE))</f>
        <v>No</v>
      </c>
      <c r="W30" s="1"/>
      <c r="X30" s="47">
        <f t="shared" si="9"/>
        <v>0</v>
      </c>
      <c r="Y30" s="198">
        <f>ROUND(
IF(AND(C30&lt;&gt;"", D30="", V30="Yes"),
     IF($E$109="Discount Based",
         R30*IF(OR(LEFT(A30,2)="HW", LEFT(A30,12)="CMS-Hardware"),
              $E$110,
              IF(AND(LEFT(A30,3)="Sys", LEFT(A30,4)&lt;&gt;"Ship"),
                   ($E$110+$E$111)/2,
                    0)),
         IF($E$109="Cost Based",
              IF(OR(LEFT(A30,2)="HW", LEFT(A30,12)="CMS-Hardware"),
                   R30-(1+$E$112)*VLOOKUP(B30,'Raw BOM'!$A$3:$E$492,5,FALSE),
              IF(AND(LEFT(A30,3)="Sys", LEFT(A30,4)&lt;&gt;"Ship"),
                   R30-(1+($E$112+$E$113)/2)*VLOOKUP(B30,'Raw BOM'!$A$3:$E$492,5,FALSE),
                   0))))),2)</f>
        <v>0</v>
      </c>
      <c r="Z30" s="47">
        <f>ROUND(
IF(AND(C30&lt;&gt;"", D30="", V30="No"),
     IF($E$109="Discount Based",
         R30*IF(AND(LEFT(A30,2)&lt;&gt;"HW", LEFT(A30,12)&lt;&gt;"CMS-Hardware",LEFT(A30,3)&lt;&gt;"Sys", LEFT(A30,4)&lt;&gt;"Ship"),
                   $E$111,0),
     IF($E$109="Cost Based",
          IF(AND(LEFT(A30,2)&lt;&gt;"HW", LEFT(A30,12)&lt;&gt;"CMS-Hardware",LEFT(A30,3)&lt;&gt;"Sys", LEFT(A30,4)&lt;&gt;"Ship"),
               R30-(1+$E$112)*VLOOKUP(B30,'Raw BOM'!$A$3:$E$492,5,FALSE),0),0)),0),2)</f>
        <v>0</v>
      </c>
      <c r="AA30" s="48">
        <f t="shared" si="20"/>
        <v>0</v>
      </c>
      <c r="AB30" s="48">
        <f t="shared" si="2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2"/>
        <v xml:space="preserve">Services Method-Remote (Phone)   *** To perform services shown in the line above. </v>
      </c>
      <c r="J31" s="317"/>
      <c r="K31" s="317" t="str">
        <f t="shared" si="13"/>
        <v xml:space="preserve">To perform services shown in the line above. </v>
      </c>
      <c r="L31" s="317"/>
      <c r="M31" s="317" t="str">
        <f t="shared" si="14"/>
        <v>Svcs-Phone</v>
      </c>
      <c r="N31" s="317"/>
      <c r="O31" s="317" t="str">
        <f t="shared" si="15"/>
        <v xml:space="preserve">Services Method-Remote (Phone)   *** To perform services shown in the line above. </v>
      </c>
      <c r="P31" s="317"/>
      <c r="Q31" s="99">
        <f t="shared" si="16"/>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17"/>
        <v>Svcs-Phone</v>
      </c>
      <c r="T31" s="318">
        <f t="shared" si="18"/>
        <v>750</v>
      </c>
      <c r="U31" s="318" t="str">
        <f t="shared" si="19"/>
        <v xml:space="preserve">Services Method-Remote (Phone)   *** To perform services shown in the line above. </v>
      </c>
      <c r="V31" s="49" t="str">
        <f>IF(C31="","", VLOOKUP(B31,'Raw BOM'!$A$3:$F$495,6,FALSE))</f>
        <v>No</v>
      </c>
      <c r="W31" s="1"/>
      <c r="X31" s="47">
        <f t="shared" si="9"/>
        <v>0</v>
      </c>
      <c r="Y31" s="198">
        <f>ROUND(
IF(AND(C31&lt;&gt;"", D31="", V31="Yes"),
     IF($E$109="Discount Based",
         R31*IF(OR(LEFT(A31,2)="HW", LEFT(A31,12)="CMS-Hardware"),
              $E$110,
              IF(AND(LEFT(A31,3)="Sys", LEFT(A31,4)&lt;&gt;"Ship"),
                   ($E$110+$E$111)/2,
                    0)),
         IF($E$109="Cost Based",
              IF(OR(LEFT(A31,2)="HW", LEFT(A31,12)="CMS-Hardware"),
                   R31-(1+$E$112)*VLOOKUP(B31,'Raw BOM'!$A$3:$E$492,5,FALSE),
              IF(AND(LEFT(A31,3)="Sys", LEFT(A31,4)&lt;&gt;"Ship"),
                   R31-(1+($E$112+$E$113)/2)*VLOOKUP(B31,'Raw BOM'!$A$3:$E$492,5,FALSE),
                   0))))),2)</f>
        <v>0</v>
      </c>
      <c r="Z31" s="47">
        <f>ROUND(
IF(AND(C31&lt;&gt;"", D31="", V31="No"),
     IF($E$109="Discount Based",
         R31*IF(AND(LEFT(A31,2)&lt;&gt;"HW", LEFT(A31,12)&lt;&gt;"CMS-Hardware",LEFT(A31,3)&lt;&gt;"Sys", LEFT(A31,4)&lt;&gt;"Ship"),
                   $E$111,0),
     IF($E$109="Cost Based",
          IF(AND(LEFT(A31,2)&lt;&gt;"HW", LEFT(A31,12)&lt;&gt;"CMS-Hardware",LEFT(A31,3)&lt;&gt;"Sys", LEFT(A31,4)&lt;&gt;"Ship"),
               R31-(1+$E$112)*VLOOKUP(B31,'Raw BOM'!$A$3:$E$492,5,FALSE),0),0)),0),2)</f>
        <v>330</v>
      </c>
      <c r="AA31" s="48">
        <f t="shared" si="20"/>
        <v>0</v>
      </c>
      <c r="AB31" s="48">
        <f t="shared" si="2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2"/>
        <v/>
      </c>
      <c r="J32" s="317"/>
      <c r="K32" s="317" t="str">
        <f t="shared" si="13"/>
        <v/>
      </c>
      <c r="L32" s="317"/>
      <c r="M32" s="317" t="str">
        <f t="shared" si="14"/>
        <v/>
      </c>
      <c r="N32" s="317"/>
      <c r="O32" s="317" t="str">
        <f t="shared" si="15"/>
        <v/>
      </c>
      <c r="P32" s="317"/>
      <c r="Q32" s="99" t="str">
        <f t="shared" si="16"/>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17"/>
        <v/>
      </c>
      <c r="T32" s="318" t="str">
        <f t="shared" si="18"/>
        <v/>
      </c>
      <c r="U32" s="318" t="str">
        <f t="shared" si="19"/>
        <v/>
      </c>
      <c r="V32" s="49" t="str">
        <f>IF(C32="","", VLOOKUP(B32,'Raw BOM'!$A$3:$F$495,6,FALSE))</f>
        <v/>
      </c>
      <c r="W32" s="1"/>
      <c r="X32" s="47">
        <f t="shared" si="9"/>
        <v>0</v>
      </c>
      <c r="Y32" s="198">
        <f>ROUND(
IF(AND(C32&lt;&gt;"", D32="", V32="Yes"),
     IF($E$109="Discount Based",
         R32*IF(OR(LEFT(A32,2)="HW", LEFT(A32,12)="CMS-Hardware"),
              $E$110,
              IF(AND(LEFT(A32,3)="Sys", LEFT(A32,4)&lt;&gt;"Ship"),
                   ($E$110+$E$111)/2,
                    0)),
         IF($E$109="Cost Based",
              IF(OR(LEFT(A32,2)="HW", LEFT(A32,12)="CMS-Hardware"),
                   R32-(1+$E$112)*VLOOKUP(B32,'Raw BOM'!$A$3:$E$492,5,FALSE),
              IF(AND(LEFT(A32,3)="Sys", LEFT(A32,4)&lt;&gt;"Ship"),
                   R32-(1+($E$112+$E$113)/2)*VLOOKUP(B32,'Raw BOM'!$A$3:$E$492,5,FALSE),
                   0))))),2)</f>
        <v>0</v>
      </c>
      <c r="Z32" s="47">
        <f>ROUND(
IF(AND(C32&lt;&gt;"", D32="", V32="No"),
     IF($E$109="Discount Based",
         R32*IF(AND(LEFT(A32,2)&lt;&gt;"HW", LEFT(A32,12)&lt;&gt;"CMS-Hardware",LEFT(A32,3)&lt;&gt;"Sys", LEFT(A32,4)&lt;&gt;"Ship"),
                   $E$111,0),
     IF($E$109="Cost Based",
          IF(AND(LEFT(A32,2)&lt;&gt;"HW", LEFT(A32,12)&lt;&gt;"CMS-Hardware",LEFT(A32,3)&lt;&gt;"Sys", LEFT(A32,4)&lt;&gt;"Ship"),
               R32-(1+$E$112)*VLOOKUP(B32,'Raw BOM'!$A$3:$E$492,5,FALSE),0),0)),0),2)</f>
        <v>0</v>
      </c>
      <c r="AA32" s="48">
        <f t="shared" si="20"/>
        <v>0</v>
      </c>
      <c r="AB32" s="48">
        <f t="shared" si="2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2"/>
        <v>Shipping-Ground for Large Package</v>
      </c>
      <c r="J33" s="317"/>
      <c r="K33" s="317" t="str">
        <f t="shared" si="13"/>
        <v/>
      </c>
      <c r="L33" s="317"/>
      <c r="M33" s="317" t="str">
        <f t="shared" si="14"/>
        <v>Ship-L</v>
      </c>
      <c r="N33" s="317"/>
      <c r="O33" s="317" t="str">
        <f t="shared" si="15"/>
        <v>Shipping-Ground for Large Package</v>
      </c>
      <c r="P33" s="317"/>
      <c r="Q33" s="99">
        <f t="shared" si="16"/>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17"/>
        <v>Ship-L</v>
      </c>
      <c r="T33" s="318">
        <f t="shared" si="18"/>
        <v>60</v>
      </c>
      <c r="U33" s="318" t="str">
        <f t="shared" si="19"/>
        <v>Shipping-Ground for Large Package</v>
      </c>
      <c r="V33" s="49" t="str">
        <f>IF(C33="","", VLOOKUP(B33,'Raw BOM'!$A$3:$F$495,6,FALSE))</f>
        <v>No</v>
      </c>
      <c r="W33" s="1"/>
      <c r="X33" s="47">
        <f t="shared" si="9"/>
        <v>0</v>
      </c>
      <c r="Y33" s="198">
        <f>ROUND(
IF(AND(C33&lt;&gt;"", D33="", V33="Yes"),
     IF($E$109="Discount Based",
         R33*IF(OR(LEFT(A33,2)="HW", LEFT(A33,12)="CMS-Hardware"),
              $E$110,
              IF(AND(LEFT(A33,3)="Sys", LEFT(A33,4)&lt;&gt;"Ship"),
                   ($E$110+$E$111)/2,
                    0)),
         IF($E$109="Cost Based",
              IF(OR(LEFT(A33,2)="HW", LEFT(A33,12)="CMS-Hardware"),
                   R33-(1+$E$112)*VLOOKUP(B33,'Raw BOM'!$A$3:$E$492,5,FALSE),
              IF(AND(LEFT(A33,3)="Sys", LEFT(A33,4)&lt;&gt;"Ship"),
                   R33-(1+($E$112+$E$113)/2)*VLOOKUP(B33,'Raw BOM'!$A$3:$E$492,5,FALSE),
                   0))))),2)</f>
        <v>0</v>
      </c>
      <c r="Z33" s="47">
        <f>ROUND(
IF(AND(C33&lt;&gt;"", D33="", V33="No"),
     IF($E$109="Discount Based",
         R33*IF(AND(LEFT(A33,2)&lt;&gt;"HW", LEFT(A33,12)&lt;&gt;"CMS-Hardware",LEFT(A33,3)&lt;&gt;"Sys", LEFT(A33,4)&lt;&gt;"Ship"),
                   $E$111,0),
     IF($E$109="Cost Based",
          IF(AND(LEFT(A33,2)&lt;&gt;"HW", LEFT(A33,12)&lt;&gt;"CMS-Hardware",LEFT(A33,3)&lt;&gt;"Sys", LEFT(A33,4)&lt;&gt;"Ship"),
               R33-(1+$E$112)*VLOOKUP(B33,'Raw BOM'!$A$3:$E$492,5,FALSE),0),0)),0),2)</f>
        <v>0</v>
      </c>
      <c r="AA33" s="48">
        <f t="shared" si="20"/>
        <v>0</v>
      </c>
      <c r="AB33" s="48">
        <f t="shared" si="2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2"/>
        <v>Maintenance-Initial Year Warranty   *** Cross Ship</v>
      </c>
      <c r="J34" s="317"/>
      <c r="K34" s="317" t="str">
        <f t="shared" si="13"/>
        <v>Cross Ship</v>
      </c>
      <c r="L34" s="317"/>
      <c r="M34" s="317" t="str">
        <f t="shared" si="14"/>
        <v>Maint-Warr</v>
      </c>
      <c r="N34" s="317"/>
      <c r="O34" s="317" t="str">
        <f t="shared" si="15"/>
        <v>Maintenance-Initial Year Warranty   *** Cross Ship</v>
      </c>
      <c r="P34" s="317"/>
      <c r="Q34" s="99">
        <f t="shared" si="16"/>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17"/>
        <v>Maint-Warr</v>
      </c>
      <c r="T34" s="318">
        <f t="shared" si="18"/>
        <v>0</v>
      </c>
      <c r="U34" s="318" t="str">
        <f t="shared" si="19"/>
        <v>Maintenance-Initial Year Warranty   *** Cross Ship</v>
      </c>
      <c r="V34" s="49" t="str">
        <f>IF(C34="","", VLOOKUP(B34,'Raw BOM'!$A$3:$F$495,6,FALSE))</f>
        <v>No</v>
      </c>
      <c r="W34" s="1"/>
      <c r="X34" s="47">
        <f t="shared" si="9"/>
        <v>0</v>
      </c>
      <c r="Y34" s="198">
        <f>ROUND(
IF(AND(C34&lt;&gt;"", D34="", V34="Yes"),
     IF($E$109="Discount Based",
         R34*IF(OR(LEFT(A34,2)="HW", LEFT(A34,12)="CMS-Hardware"),
              $E$110,
              IF(AND(LEFT(A34,3)="Sys", LEFT(A34,4)&lt;&gt;"Ship"),
                   ($E$110+$E$111)/2,
                    0)),
         IF($E$109="Cost Based",
              IF(OR(LEFT(A34,2)="HW", LEFT(A34,12)="CMS-Hardware"),
                   R34-(1+$E$112)*VLOOKUP(B34,'Raw BOM'!$A$3:$E$492,5,FALSE),
              IF(AND(LEFT(A34,3)="Sys", LEFT(A34,4)&lt;&gt;"Ship"),
                   R34-(1+($E$112+$E$113)/2)*VLOOKUP(B34,'Raw BOM'!$A$3:$E$492,5,FALSE),
                   0))))),2)</f>
        <v>0</v>
      </c>
      <c r="Z34" s="47">
        <f>ROUND(
IF(AND(C34&lt;&gt;"", D34="", V34="No"),
     IF($E$109="Discount Based",
         R34*IF(AND(LEFT(A34,2)&lt;&gt;"HW", LEFT(A34,12)&lt;&gt;"CMS-Hardware",LEFT(A34,3)&lt;&gt;"Sys", LEFT(A34,4)&lt;&gt;"Ship"),
                   $E$111,0),
     IF($E$109="Cost Based",
          IF(AND(LEFT(A34,2)&lt;&gt;"HW", LEFT(A34,12)&lt;&gt;"CMS-Hardware",LEFT(A34,3)&lt;&gt;"Sys", LEFT(A34,4)&lt;&gt;"Ship"),
               R34-(1+$E$112)*VLOOKUP(B34,'Raw BOM'!$A$3:$E$492,5,FALSE),0),0)),0),2)</f>
        <v>0</v>
      </c>
      <c r="AA34" s="48">
        <f t="shared" si="20"/>
        <v>0</v>
      </c>
      <c r="AB34" s="48">
        <f t="shared" si="2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2"/>
        <v xml:space="preserve">   *** Pick one of the following 2 Maintenance options in the 12th month.  We recommend picking 2nd line if processing more than 1,200 transactions per year.</v>
      </c>
      <c r="J35" s="317"/>
      <c r="K35" s="317" t="str">
        <f t="shared" si="13"/>
        <v>Pick one of the following 2 Maintenance options in the 12th month.  We recommend picking 2nd line if processing more than 1,200 transactions per year.</v>
      </c>
      <c r="L35" s="317"/>
      <c r="M35" s="317" t="str">
        <f t="shared" si="14"/>
        <v>Misc</v>
      </c>
      <c r="N35" s="317"/>
      <c r="O35" s="317" t="str">
        <f t="shared" si="15"/>
        <v xml:space="preserve">   *** Pick one of the following 2 Maintenance options in the 12th month.  We recommend picking 2nd line if processing more than 1,200 transactions per year.</v>
      </c>
      <c r="P35" s="317"/>
      <c r="Q35" s="99" t="str">
        <f t="shared" si="16"/>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17"/>
        <v>Misc</v>
      </c>
      <c r="T35" s="318" t="str">
        <f t="shared" si="18"/>
        <v/>
      </c>
      <c r="U35" s="318" t="str">
        <f t="shared" si="19"/>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IF($E$109="Discount Based",
         R35*IF(OR(LEFT(A35,2)="HW", LEFT(A35,12)="CMS-Hardware"),
              $E$110,
              IF(AND(LEFT(A35,3)="Sys", LEFT(A35,4)&lt;&gt;"Ship"),
                   ($E$110+$E$111)/2,
                    0)),
         IF($E$109="Cost Based",
              IF(OR(LEFT(A35,2)="HW", LEFT(A35,12)="CMS-Hardware"),
                   R35-(1+$E$112)*VLOOKUP(B35,'Raw BOM'!$A$3:$E$492,5,FALSE),
              IF(AND(LEFT(A35,3)="Sys", LEFT(A35,4)&lt;&gt;"Ship"),
                   R35-(1+($E$112+$E$113)/2)*VLOOKUP(B35,'Raw BOM'!$A$3:$E$492,5,FALSE),
                   0))))),2)</f>
        <v>0</v>
      </c>
      <c r="Z35" s="47">
        <f>ROUND(
IF(AND(C35&lt;&gt;"", D35="", V35="No"),
     IF($E$109="Discount Based",
         R35*IF(AND(LEFT(A35,2)&lt;&gt;"HW", LEFT(A35,12)&lt;&gt;"CMS-Hardware",LEFT(A35,3)&lt;&gt;"Sys", LEFT(A35,4)&lt;&gt;"Ship"),
                   $E$111,0),
     IF($E$109="Cost Based",
          IF(AND(LEFT(A35,2)&lt;&gt;"HW", LEFT(A35,12)&lt;&gt;"CMS-Hardware",LEFT(A35,3)&lt;&gt;"Sys", LEFT(A35,4)&lt;&gt;"Ship"),
               R35-(1+$E$112)*VLOOKUP(B35,'Raw BOM'!$A$3:$E$492,5,FALSE),0),0)),0),2)</f>
        <v>0</v>
      </c>
      <c r="AA35" s="48">
        <f t="shared" si="20"/>
        <v>0</v>
      </c>
      <c r="AB35" s="48">
        <f t="shared" si="21"/>
        <v>0</v>
      </c>
    </row>
    <row r="36" spans="1:28" ht="30" customHeight="1" x14ac:dyDescent="0.25">
      <c r="A36" s="41" t="str">
        <f>IF(B36&lt;&gt;"",VLOOKUP(B36,'Raw BOM'!$A$3:$B$495,2,FALSE),IF(E36&lt;&gt;"","Misc",""))</f>
        <v>Maint-9X5-SW-App</v>
      </c>
      <c r="B36" s="42" t="s">
        <v>125</v>
      </c>
      <c r="C36" s="43">
        <f>IF('Blank Quote'!C36&lt;&gt;"", 'Blank Quote'!C36, "")</f>
        <v>0</v>
      </c>
      <c r="D36" s="44">
        <v>595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 t="shared" ref="R36:R39" si="22">IF(D36="", "", D36)</f>
        <v>595</v>
      </c>
      <c r="S36" s="414" t="str">
        <f t="shared" ref="S36:S39" si="23">IF(E36="", "", E36)</f>
        <v>Software Only coverage, per system</v>
      </c>
      <c r="T36" s="318">
        <f t="shared" si="18"/>
        <v>0</v>
      </c>
      <c r="U36" s="318" t="str">
        <f t="shared" si="19"/>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960</v>
      </c>
      <c r="E37" s="50" t="str">
        <f>IF('Blank Quote'!E37&lt;&gt;"", 'Blank Quote'!E37, "")</f>
        <v>Software and Hardware Coverage, per system</v>
      </c>
      <c r="F37" s="251">
        <f>ROUND(S41*0.12,-1)</f>
        <v>690</v>
      </c>
      <c r="G37" s="315" t="str">
        <f t="shared" si="0"/>
        <v>Maint-9X5-Remote</v>
      </c>
      <c r="H37" s="316"/>
      <c r="I37" s="317" t="str">
        <f t="shared" ref="I37" si="24">IF(B37&lt;&gt;"", B37, "")&amp;IF(E37&lt;&gt;"", "   *** "&amp;E37, "")</f>
        <v>Maintenance-9 X 5 (8am - 5pm, M-F) Remote with Cross Ship   *** Software and Hardware Coverage, per system</v>
      </c>
      <c r="J37" s="317"/>
      <c r="K37" s="317" t="str">
        <f t="shared" ref="K37" si="25">E37</f>
        <v>Software and Hardware Coverage, per system</v>
      </c>
      <c r="L37" s="317"/>
      <c r="M37" s="317" t="str">
        <f t="shared" ref="M37" si="26">G37</f>
        <v>Maint-9X5-Remote</v>
      </c>
      <c r="N37" s="317"/>
      <c r="O37" s="317" t="str">
        <f t="shared" ref="O37" si="27">I37</f>
        <v>Maintenance-9 X 5 (8am - 5pm, M-F) Remote with Cross Ship   *** Software and Hardware Coverage, per system</v>
      </c>
      <c r="P37" s="317"/>
      <c r="Q37" s="99">
        <f t="shared" si="5"/>
        <v>0</v>
      </c>
      <c r="R37" s="318">
        <f t="shared" si="22"/>
        <v>960</v>
      </c>
      <c r="S37" s="318" t="str">
        <f t="shared" si="23"/>
        <v>Software and Hardware Coverage, per system</v>
      </c>
      <c r="T37" s="318">
        <f t="shared" si="18"/>
        <v>0</v>
      </c>
      <c r="U37" s="318" t="str">
        <f t="shared" si="19"/>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F37/0.12*0.18, "")</f>
        <v/>
      </c>
      <c r="E38" s="50" t="str">
        <f>IF('Blank Quote'!E38&lt;&gt;"", 'Blank Quote'!E38, "")</f>
        <v/>
      </c>
      <c r="F38" s="251">
        <f>ROUND(S41*0.18,-1)</f>
        <v>1030</v>
      </c>
      <c r="G38" s="315" t="str">
        <f t="shared" si="0"/>
        <v/>
      </c>
      <c r="H38" s="316"/>
      <c r="I38" s="317" t="str">
        <f t="shared" ref="I38:I39" si="28">IF(B38&lt;&gt;"", B38, "")&amp;IF(E38&lt;&gt;"", "   *** "&amp;E38, "")</f>
        <v/>
      </c>
      <c r="J38" s="317"/>
      <c r="K38" s="317" t="str">
        <f t="shared" ref="K38:K39" si="29">E38</f>
        <v/>
      </c>
      <c r="L38" s="317"/>
      <c r="M38" s="317" t="str">
        <f t="shared" ref="M38:M39" si="30">G38</f>
        <v/>
      </c>
      <c r="N38" s="317"/>
      <c r="O38" s="317" t="str">
        <f t="shared" ref="O38:O39" si="31">I38</f>
        <v/>
      </c>
      <c r="P38" s="317"/>
      <c r="Q38" s="99" t="str">
        <f t="shared" ref="Q38:Q39" si="32">IF(C38="", "", C38)</f>
        <v/>
      </c>
      <c r="R38" s="318" t="str">
        <f t="shared" si="22"/>
        <v/>
      </c>
      <c r="S38" s="318" t="str">
        <f t="shared" si="23"/>
        <v/>
      </c>
      <c r="T38" s="318" t="str">
        <f t="shared" si="18"/>
        <v/>
      </c>
      <c r="U38" s="318" t="str">
        <f t="shared" si="19"/>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F38/0.12*0.18, "")</f>
        <v/>
      </c>
      <c r="E39" s="54" t="str">
        <f>IF('Blank Quote'!E39&lt;&gt;"", 'Blank Quote'!E39, "")</f>
        <v/>
      </c>
      <c r="F39" s="251">
        <f>ROUND(S41*0.24,-1)</f>
        <v>1370</v>
      </c>
      <c r="G39" s="369" t="str">
        <f t="shared" si="0"/>
        <v/>
      </c>
      <c r="H39" s="370"/>
      <c r="I39" s="371" t="str">
        <f t="shared" si="28"/>
        <v/>
      </c>
      <c r="J39" s="371"/>
      <c r="K39" s="371" t="str">
        <f t="shared" si="29"/>
        <v/>
      </c>
      <c r="L39" s="371"/>
      <c r="M39" s="371" t="str">
        <f t="shared" si="30"/>
        <v/>
      </c>
      <c r="N39" s="371"/>
      <c r="O39" s="371" t="str">
        <f t="shared" si="31"/>
        <v/>
      </c>
      <c r="P39" s="371"/>
      <c r="Q39" s="96" t="str">
        <f t="shared" si="32"/>
        <v/>
      </c>
      <c r="R39" s="373" t="str">
        <f t="shared" si="22"/>
        <v/>
      </c>
      <c r="S39" s="373" t="str">
        <f t="shared" si="23"/>
        <v/>
      </c>
      <c r="T39" s="373" t="str">
        <f t="shared" si="18"/>
        <v/>
      </c>
      <c r="U39" s="373" t="str">
        <f t="shared" si="19"/>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t="str">
        <f>IF(B11=0, "Tax Exempt or TBD", X45)</f>
        <v>Tax Exempt or TBD</v>
      </c>
      <c r="T45" s="327"/>
      <c r="U45" s="327"/>
      <c r="V45" s="257">
        <f>B11</f>
        <v>0</v>
      </c>
      <c r="X45" s="61">
        <f>SUM(X19:X39)</f>
        <v>0</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3884.8</v>
      </c>
      <c r="T46" s="321"/>
      <c r="U46" s="322"/>
      <c r="V46" s="62"/>
    </row>
    <row r="47" spans="1:28" ht="12" customHeight="1" thickBot="1" x14ac:dyDescent="0.3">
      <c r="A47" s="249"/>
      <c r="B47" s="249"/>
      <c r="C47" s="249"/>
      <c r="D47" s="249"/>
      <c r="E47" s="249"/>
    </row>
    <row r="48" spans="1:28" ht="2.25" customHeight="1" x14ac:dyDescent="0.25">
      <c r="A48" s="249"/>
      <c r="B48" s="249"/>
      <c r="C48" s="249"/>
      <c r="D48" s="249"/>
      <c r="E48" s="249"/>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ht="13.5" customHeight="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ht="13.5" customHeight="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ht="13.5" customHeight="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ht="13.5" customHeight="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ht="12" customHeight="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95" customHeight="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ht="9" customHeight="1" outlineLevel="1" thickTop="1" thickBot="1" x14ac:dyDescent="0.3">
      <c r="A55" s="13" t="s">
        <v>55</v>
      </c>
      <c r="B55" s="14" t="str">
        <f>'Blank Quote'!B1</f>
        <v>App CA Private</v>
      </c>
      <c r="C55" s="392" t="s">
        <v>57</v>
      </c>
      <c r="D55" s="393"/>
      <c r="E55" s="15" t="str">
        <f>VLOOKUP(B55,'Pricing Model'!A1:C21,3)</f>
        <v>Discount Based</v>
      </c>
    </row>
    <row r="56" spans="1:22" ht="18" customHeight="1" outlineLevel="1" thickBot="1" x14ac:dyDescent="0.3">
      <c r="A56" s="17" t="s">
        <v>58</v>
      </c>
      <c r="B56" s="18" t="str">
        <f>'Blank Quote'!B2</f>
        <v>Command International Security Services</v>
      </c>
      <c r="C56" s="394" t="s">
        <v>59</v>
      </c>
      <c r="D56" s="395"/>
      <c r="E56" s="252">
        <f>IF(E55="Discount Based", VLOOKUP(B55,'Pricing Model'!A1:D21,4), "")</f>
        <v>0.2</v>
      </c>
      <c r="P56" s="398" t="s">
        <v>139</v>
      </c>
      <c r="Q56" s="398"/>
      <c r="R56" s="398"/>
      <c r="S56" s="398"/>
      <c r="T56" s="398"/>
      <c r="U56" s="398"/>
    </row>
    <row r="57" spans="1:22" ht="18" customHeight="1" outlineLevel="1" x14ac:dyDescent="0.25">
      <c r="A57" s="17" t="s">
        <v>61</v>
      </c>
      <c r="B57" s="18" t="str">
        <f>'Blank Quote'!B3</f>
        <v>Amira Hossain</v>
      </c>
      <c r="C57" s="394" t="s">
        <v>62</v>
      </c>
      <c r="D57" s="395"/>
      <c r="E57" s="252">
        <f>IF(E55="Discount Based", VLOOKUP(B55,'Pricing Model'!A1:E21,5), "")</f>
        <v>0.44</v>
      </c>
      <c r="N57" s="265" t="str">
        <f>IF('Blank Quote'!$E$7&lt;&gt;"", "REPLACING", "")</f>
        <v/>
      </c>
    </row>
    <row r="58" spans="1:22" ht="18" customHeight="1" outlineLevel="1" x14ac:dyDescent="0.25">
      <c r="A58" s="20" t="s">
        <v>67</v>
      </c>
      <c r="B58" s="21" t="str">
        <f>'Blank Quote'!B4</f>
        <v>(747) 366-0211 | manny@commandinternationalsecurity.com</v>
      </c>
      <c r="C58" s="394" t="s">
        <v>64</v>
      </c>
      <c r="D58" s="395"/>
      <c r="E58" s="19" t="str">
        <f>IF(E55="Cost Based", VLOOKUP(B55,'Pricing Model'!A1:F21,6), "")</f>
        <v/>
      </c>
      <c r="G58" s="368" t="s">
        <v>65</v>
      </c>
      <c r="H58" s="368"/>
      <c r="I58" s="368"/>
      <c r="J58" s="368"/>
      <c r="K58" s="368"/>
      <c r="L58" s="368"/>
      <c r="M58" s="22"/>
      <c r="N58" s="264" t="str">
        <f>IF('Blank Quote'!$E$7&lt;&gt;"","LSID: "&amp;'Blank Quote'!$E$7, "")</f>
        <v/>
      </c>
      <c r="P58" s="367" t="s">
        <v>66</v>
      </c>
      <c r="Q58" s="367"/>
      <c r="R58" s="367"/>
      <c r="S58" s="367"/>
      <c r="T58" s="367"/>
      <c r="U58" s="367"/>
    </row>
    <row r="59" spans="1:22" ht="18" customHeight="1" outlineLevel="1" thickBot="1" x14ac:dyDescent="0.3">
      <c r="A59" s="20" t="s">
        <v>137</v>
      </c>
      <c r="B59" s="21" t="str">
        <f>'Blank Quote'!B5</f>
        <v>MID-VALLEY PROFESSIONAL BUILDING</v>
      </c>
      <c r="C59" s="390" t="s">
        <v>68</v>
      </c>
      <c r="D59" s="391"/>
      <c r="E59" s="23" t="str">
        <f>IF(E55="Cost Based", VLOOKUP(B55,'Pricing Model'!A1:G21,7), "")</f>
        <v/>
      </c>
      <c r="G59" s="368" t="s">
        <v>69</v>
      </c>
      <c r="H59" s="368"/>
      <c r="I59" s="368"/>
      <c r="J59" s="368"/>
      <c r="K59" s="368"/>
      <c r="L59" s="368"/>
      <c r="M59" s="22"/>
    </row>
    <row r="60" spans="1:22" ht="18" customHeight="1" outlineLevel="1" thickBot="1" x14ac:dyDescent="0.3">
      <c r="A60" s="20" t="s">
        <v>12</v>
      </c>
      <c r="B60" s="24" t="str">
        <f>'Blank Quote'!B6</f>
        <v>6819 Sepulveda Blvd, Van Nuys, CA 91405</v>
      </c>
      <c r="C60" s="25"/>
      <c r="D60" s="25"/>
      <c r="E60" s="25"/>
      <c r="G60" s="368" t="s">
        <v>70</v>
      </c>
      <c r="H60" s="368"/>
      <c r="I60" s="368"/>
      <c r="J60" s="368"/>
      <c r="K60" s="368"/>
      <c r="L60" s="368"/>
      <c r="M60" s="22"/>
      <c r="P60" s="367" t="s">
        <v>71</v>
      </c>
      <c r="Q60" s="367"/>
      <c r="R60" s="367"/>
      <c r="S60" s="367"/>
      <c r="T60" s="367"/>
      <c r="U60" s="367"/>
    </row>
    <row r="61" spans="1:22" ht="9.9499999999999993" customHeight="1" outlineLevel="1" thickBot="1" x14ac:dyDescent="0.4">
      <c r="A61" s="17" t="s">
        <v>72</v>
      </c>
      <c r="B61" s="18" t="str">
        <f>'Blank Quote'!B7</f>
        <v>Amira Hossain</v>
      </c>
      <c r="C61" s="25"/>
      <c r="D61" s="25"/>
      <c r="E61" s="25"/>
      <c r="G61" s="26"/>
    </row>
    <row r="62" spans="1:22" ht="18" customHeight="1" outlineLevel="1" thickBot="1" x14ac:dyDescent="0.35">
      <c r="A62" s="20" t="s">
        <v>77</v>
      </c>
      <c r="B62" s="21" t="str">
        <f>'Blank Quote'!B8</f>
        <v>(747) 366-0211 | manny@commandinternationalsecurity.com</v>
      </c>
      <c r="C62" s="25"/>
      <c r="D62" s="25"/>
      <c r="E62" s="25"/>
      <c r="G62" s="350" t="s">
        <v>75</v>
      </c>
      <c r="H62" s="351"/>
      <c r="I62" s="351"/>
      <c r="J62" s="351"/>
      <c r="K62" s="351"/>
      <c r="L62" s="351"/>
      <c r="M62" s="352"/>
      <c r="O62" s="350" t="s">
        <v>76</v>
      </c>
      <c r="P62" s="351"/>
      <c r="Q62" s="351"/>
      <c r="R62" s="351"/>
      <c r="S62" s="351"/>
      <c r="T62" s="351"/>
      <c r="U62" s="351"/>
      <c r="V62" s="352"/>
    </row>
    <row r="63" spans="1:22" ht="18" customHeight="1" outlineLevel="1" x14ac:dyDescent="0.25">
      <c r="A63" s="20" t="s">
        <v>137</v>
      </c>
      <c r="B63" s="21" t="str">
        <f>'Blank Quote'!B9</f>
        <v>MID-VALLEY PROFESSIONAL BUILDING</v>
      </c>
      <c r="C63" s="25"/>
      <c r="D63" s="25"/>
      <c r="E63" s="25"/>
      <c r="G63" s="353" t="str">
        <f>IF('Non_CA Multi Tenprint'!B56="", "", 'Non_CA Multi Tenprint'!B56)</f>
        <v>Command International Security Services</v>
      </c>
      <c r="H63" s="354"/>
      <c r="I63" s="354"/>
      <c r="J63" s="354"/>
      <c r="K63" s="354"/>
      <c r="L63" s="354"/>
      <c r="M63" s="355"/>
      <c r="O63" s="340" t="str">
        <f>IF('Non_CA Multi Tenprint'!B56="", "", 'Non_CA Multi Tenprint'!B56)</f>
        <v>Command International Security Services</v>
      </c>
      <c r="P63" s="341"/>
      <c r="Q63" s="341"/>
      <c r="R63" s="341"/>
      <c r="S63" s="341"/>
      <c r="T63" s="341"/>
      <c r="U63" s="341"/>
      <c r="V63" s="342"/>
    </row>
    <row r="64" spans="1:22" ht="18" customHeight="1" outlineLevel="1" thickBot="1" x14ac:dyDescent="0.3">
      <c r="A64" s="27" t="s">
        <v>12</v>
      </c>
      <c r="B64" s="24" t="str">
        <f>'Blank Quote'!B10</f>
        <v>6819 Sepulveda Blvd, Van Nuys, CA 91405</v>
      </c>
      <c r="C64" s="25"/>
      <c r="D64" s="25"/>
      <c r="E64" s="25"/>
      <c r="G64" s="340" t="str">
        <f>IF('Non_CA Multi Tenprint'!B57="", "", 'Non_CA Multi Tenprint'!B57)</f>
        <v>Amira Hossain</v>
      </c>
      <c r="H64" s="341"/>
      <c r="I64" s="341"/>
      <c r="J64" s="341"/>
      <c r="K64" s="341"/>
      <c r="L64" s="341"/>
      <c r="M64" s="342"/>
      <c r="O64" s="340" t="str">
        <f>IF('Non_CA Multi Tenprint'!B61="", "", 'Non_CA Multi Tenprint'!B61)</f>
        <v>Amira Hossain</v>
      </c>
      <c r="P64" s="341"/>
      <c r="Q64" s="341"/>
      <c r="R64" s="341"/>
      <c r="S64" s="341"/>
      <c r="T64" s="341"/>
      <c r="U64" s="341"/>
      <c r="V64" s="342"/>
    </row>
    <row r="65" spans="1:28" ht="18" customHeight="1" outlineLevel="1" thickBot="1" x14ac:dyDescent="0.3">
      <c r="A65" s="27" t="s">
        <v>79</v>
      </c>
      <c r="B65" s="28">
        <f>'Blank Quote'!B11</f>
        <v>0</v>
      </c>
      <c r="C65" s="25"/>
      <c r="D65" s="25"/>
      <c r="E65" s="25"/>
      <c r="G65" s="340" t="str">
        <f>IF('Non_CA Multi Tenprint'!B58="", "", 'Non_CA Multi Tenprint'!B58)</f>
        <v>(747) 366-0211 | manny@commandinternationalsecurity.com</v>
      </c>
      <c r="H65" s="341"/>
      <c r="I65" s="341"/>
      <c r="J65" s="341"/>
      <c r="K65" s="341"/>
      <c r="L65" s="341"/>
      <c r="M65" s="342"/>
      <c r="O65" s="340" t="str">
        <f>IF('Non_CA Multi Tenprint'!B62="", "", 'Non_CA Multi Tenprint'!B62)</f>
        <v>(747) 366-0211 | manny@commandinternationalsecurity.com</v>
      </c>
      <c r="P65" s="341"/>
      <c r="Q65" s="341"/>
      <c r="R65" s="341"/>
      <c r="S65" s="341"/>
      <c r="T65" s="341"/>
      <c r="U65" s="341"/>
      <c r="V65" s="342"/>
    </row>
    <row r="66" spans="1:28" ht="18" customHeight="1" outlineLevel="1" thickBot="1" x14ac:dyDescent="0.3">
      <c r="A66" s="13" t="s">
        <v>34</v>
      </c>
      <c r="B66" s="29" t="str">
        <f>'Blank Quote'!B12</f>
        <v>EC</v>
      </c>
      <c r="C66" s="25"/>
      <c r="D66" s="25"/>
      <c r="E66" s="25"/>
      <c r="G66" s="340" t="str">
        <f>IF('Non_CA Multi Tenprint'!B59="", "", 'Non_CA Multi Tenprint'!B59)</f>
        <v>MID-VALLEY PROFESSIONAL BUILDING</v>
      </c>
      <c r="H66" s="341"/>
      <c r="I66" s="341"/>
      <c r="J66" s="341"/>
      <c r="K66" s="341"/>
      <c r="L66" s="341"/>
      <c r="M66" s="342"/>
      <c r="O66" s="340" t="str">
        <f>IF('Non_CA Multi Tenprint'!B63="", "", 'Non_CA Multi Tenprint'!B63)</f>
        <v>MID-VALLEY PROFESSIONAL BUILDING</v>
      </c>
      <c r="P66" s="341"/>
      <c r="Q66" s="341"/>
      <c r="R66" s="341"/>
      <c r="S66" s="341"/>
      <c r="T66" s="341"/>
      <c r="U66" s="341"/>
      <c r="V66" s="342"/>
    </row>
    <row r="67" spans="1:28" ht="18" customHeight="1" outlineLevel="1" thickBot="1" x14ac:dyDescent="0.3">
      <c r="A67" s="13" t="s">
        <v>82</v>
      </c>
      <c r="B67" s="30" t="str">
        <f>'Blank Quote'!B13</f>
        <v>Ground</v>
      </c>
      <c r="C67" s="25"/>
      <c r="D67" s="25"/>
      <c r="E67" s="25"/>
      <c r="G67" s="295" t="str">
        <f>IF('Non_CA Multi Tenprint'!B60="", "", 'Non_CA Multi Tenprint'!B60)</f>
        <v>6819 Sepulveda Blvd, Van Nuys, CA 91405</v>
      </c>
      <c r="H67" s="296"/>
      <c r="I67" s="296"/>
      <c r="J67" s="296"/>
      <c r="K67" s="296"/>
      <c r="L67" s="296"/>
      <c r="M67" s="297"/>
      <c r="O67" s="295" t="str">
        <f>IF('Non_CA Multi Tenprint'!B64="", "", 'Non_CA Multi Tenprint'!B64)</f>
        <v>6819 Sepulveda Blvd, Van Nuys, CA 91405</v>
      </c>
      <c r="P67" s="296"/>
      <c r="Q67" s="296"/>
      <c r="R67" s="296"/>
      <c r="S67" s="296"/>
      <c r="T67" s="296"/>
      <c r="U67" s="296"/>
      <c r="V67" s="297"/>
    </row>
    <row r="68" spans="1:28" ht="5.25" customHeight="1" outlineLevel="1" thickBot="1" x14ac:dyDescent="0.3">
      <c r="B68" s="31"/>
      <c r="C68" s="25"/>
      <c r="D68" s="25"/>
      <c r="E68" s="25"/>
    </row>
    <row r="69" spans="1:28" ht="16.5" outlineLevel="1" thickBot="1" x14ac:dyDescent="0.3">
      <c r="A69" s="32" t="s">
        <v>84</v>
      </c>
      <c r="B69" s="33" t="str">
        <f>VLOOKUP(B55,'Pricing Model'!A1:J21,10)</f>
        <v>Private</v>
      </c>
      <c r="C69" s="25"/>
      <c r="D69" s="25"/>
      <c r="E69" s="25"/>
      <c r="G69" s="293" t="s">
        <v>85</v>
      </c>
      <c r="H69" s="294"/>
      <c r="I69" s="293" t="s">
        <v>86</v>
      </c>
      <c r="J69" s="361"/>
      <c r="K69" s="294"/>
      <c r="L69" s="293" t="s">
        <v>87</v>
      </c>
      <c r="M69" s="361"/>
      <c r="N69" s="294"/>
      <c r="O69" s="293" t="s">
        <v>88</v>
      </c>
      <c r="P69" s="294"/>
      <c r="Q69" s="293" t="s">
        <v>89</v>
      </c>
      <c r="R69" s="294"/>
      <c r="S69" s="298" t="s">
        <v>90</v>
      </c>
      <c r="T69" s="299"/>
      <c r="U69" s="299"/>
      <c r="V69" s="300"/>
    </row>
    <row r="70" spans="1:28" ht="15.75" outlineLevel="1" thickBot="1" x14ac:dyDescent="0.3">
      <c r="A70" s="34" t="s">
        <v>91</v>
      </c>
      <c r="B70" s="33">
        <f>VLOOKUP(B55,'Pricing Model'!A1:H21,8)</f>
        <v>0</v>
      </c>
      <c r="C70" s="25"/>
      <c r="D70" s="25"/>
      <c r="E70" s="25"/>
      <c r="G70" s="362">
        <f ca="1">TODAY()</f>
        <v>45140</v>
      </c>
      <c r="H70" s="363"/>
      <c r="I70" s="364">
        <f ca="1">NOW()</f>
        <v>45140.445939351855</v>
      </c>
      <c r="J70" s="365"/>
      <c r="K70" s="366"/>
      <c r="L70" s="301" t="str">
        <f>'Non_CA Multi Tenprint'!B66</f>
        <v>EC</v>
      </c>
      <c r="M70" s="302"/>
      <c r="N70" s="303"/>
      <c r="O70" s="301" t="str">
        <f>VLOOKUP(B55,'Pricing Model'!A1:I21,9)</f>
        <v>Due on Rcpt</v>
      </c>
      <c r="P70" s="303"/>
      <c r="Q70" s="301" t="str">
        <f>B67</f>
        <v>Ground</v>
      </c>
      <c r="R70" s="302"/>
      <c r="S70" s="301" t="str">
        <f>IF(B70&lt;&gt;0,B70,"")</f>
        <v/>
      </c>
      <c r="T70" s="302"/>
      <c r="U70" s="302"/>
      <c r="V70" s="303"/>
    </row>
    <row r="71" spans="1:28" ht="5.25" customHeight="1" outlineLevel="1" thickBot="1" x14ac:dyDescent="0.3">
      <c r="D71" s="35"/>
    </row>
    <row r="72" spans="1:28" ht="17.25" thickTop="1" thickBot="1" x14ac:dyDescent="0.3">
      <c r="A72" s="36" t="s">
        <v>92</v>
      </c>
      <c r="B72" s="37" t="s">
        <v>93</v>
      </c>
      <c r="C72" s="38" t="s">
        <v>94</v>
      </c>
      <c r="D72" s="38" t="s">
        <v>95</v>
      </c>
      <c r="E72" s="39" t="s">
        <v>96</v>
      </c>
      <c r="G72" s="347" t="s">
        <v>92</v>
      </c>
      <c r="H72" s="348"/>
      <c r="I72" s="349" t="s">
        <v>93</v>
      </c>
      <c r="J72" s="349"/>
      <c r="K72" s="349"/>
      <c r="L72" s="349"/>
      <c r="M72" s="349"/>
      <c r="N72" s="349"/>
      <c r="O72" s="349"/>
      <c r="P72" s="349"/>
      <c r="Q72" s="97" t="s">
        <v>94</v>
      </c>
      <c r="R72" s="349" t="s">
        <v>97</v>
      </c>
      <c r="S72" s="349"/>
      <c r="T72" s="349" t="s">
        <v>98</v>
      </c>
      <c r="U72" s="349"/>
      <c r="V72" s="40" t="s">
        <v>99</v>
      </c>
      <c r="X72" s="97" t="s">
        <v>100</v>
      </c>
      <c r="Y72" s="97" t="s">
        <v>101</v>
      </c>
      <c r="Z72" s="97" t="s">
        <v>102</v>
      </c>
      <c r="AA72" s="97" t="s">
        <v>103</v>
      </c>
      <c r="AB72" s="97" t="s">
        <v>104</v>
      </c>
    </row>
    <row r="73" spans="1:28" s="1" customFormat="1" ht="30" customHeight="1" x14ac:dyDescent="0.25">
      <c r="A73" s="41" t="str">
        <f>IF(B73&lt;&gt;"",VLOOKUP(B73,'Raw BOM'!$A$3:$B$495,2,FALSE),IF(E73&lt;&gt;"","Misc",""))</f>
        <v>HW-LT-Std-Home</v>
      </c>
      <c r="B73" s="42" t="str">
        <f>IF('Blank Quote'!B19&lt;&gt;"", 'Blank Quote'!B19, "")</f>
        <v>Hardware-Laptop-Standard with Windows Home Edition</v>
      </c>
      <c r="C73" s="43">
        <f>IF('Blank Quote'!C19&lt;&gt;"", 'Blank Quote'!C19, "")</f>
        <v>1</v>
      </c>
      <c r="D73" s="44"/>
      <c r="E73" s="45" t="str">
        <f>IF('Blank Quote'!E19&lt;&gt;"", 'Blank Quote'!E19, "")</f>
        <v>Standard with Windows 11</v>
      </c>
      <c r="F73"/>
      <c r="G73" s="374" t="str">
        <f t="shared" ref="G73:G93" si="33">IF(A73&lt;&gt;"", A73, "")</f>
        <v>HW-LT-Std-Home</v>
      </c>
      <c r="H73" s="375"/>
      <c r="I73" s="376" t="str">
        <f t="shared" ref="I73:I90" si="34">IF(B73&lt;&gt;"", B73, "")&amp;IF(E73&lt;&gt;"", "   *** "&amp;E73, "")</f>
        <v>Hardware-Laptop-Standard with Windows Home Edition   *** Standard with Windows 11</v>
      </c>
      <c r="J73" s="376"/>
      <c r="K73" s="376" t="str">
        <f t="shared" ref="K73:K90" si="35">E73</f>
        <v>Standard with Windows 11</v>
      </c>
      <c r="L73" s="376"/>
      <c r="M73" s="376" t="str">
        <f t="shared" ref="M73:M90" si="36">G73</f>
        <v>HW-LT-Std-Home</v>
      </c>
      <c r="N73" s="376"/>
      <c r="O73" s="376" t="str">
        <f t="shared" ref="O73:O90" si="37">I73</f>
        <v>Hardware-Laptop-Standard with Windows Home Edition   *** Standard with Windows 11</v>
      </c>
      <c r="P73" s="376"/>
      <c r="Q73" s="98">
        <f t="shared" ref="Q73:Q90" si="38">IF(C73="", "", C73)</f>
        <v>1</v>
      </c>
      <c r="R73" s="319">
        <f>IF(C73="", "",IF(D73&gt;0,D73,
IF($E$55="NY Contract", VLOOKUP(B73,'Raw BOM'!$A$3:$G$495,7,FALSE),
IF($E$55="FL Contract", VLOOKUP(B73,'Raw BOM'!$A$3:$I$495,8,FALSE),
IF($E$55="LA Contract", VLOOKUP(B73,'Raw BOM'!$A$3:$K$495,9,FALSE),
IF($E$55="WA Contract", VLOOKUP(B73,'Raw BOM'!$A$3:$M$495,10,FALSE),
VLOOKUP(B73,'Raw BOM'!$A$3:$D$495,4,FALSE)))))))</f>
        <v>750</v>
      </c>
      <c r="S73" s="319" t="str">
        <f t="shared" ref="S73:S77" si="39">M73</f>
        <v>HW-LT-Std-Home</v>
      </c>
      <c r="T73" s="319">
        <f t="shared" ref="T73:T77" si="40">IF(C73="", "", Q73*R73)</f>
        <v>750</v>
      </c>
      <c r="U73" s="319" t="str">
        <f t="shared" ref="U73:U77" si="41">O73</f>
        <v>Hardware-Laptop-Standard with Windows Home Edition   *** Standard with Windows 11</v>
      </c>
      <c r="V73" s="46" t="str">
        <f>IF(C73="","", VLOOKUP(B73,'Raw BOM'!$A$3:$F$495,6,FALSE))</f>
        <v>Yes</v>
      </c>
      <c r="X73" s="47">
        <f t="shared" ref="X73:X93" si="42">IF(AND(V73="Yes", Q73&lt;&gt;0), (T73-Y73)*$B$119, 0)</f>
        <v>0</v>
      </c>
      <c r="Y73" s="198">
        <f>ROUND(
IF(AND(C73&lt;&gt;"", D73="", V73="Yes"),
     IF($E$109="Discount Based",
         R73*IF(OR(LEFT(A73,2)="HW", LEFT(A73,12)="CMS-Hardware"),
              $E$110,
              IF(AND(LEFT(A73,3)="Sys", LEFT(A73,4)&lt;&gt;"Ship"),
                   ($E$110+$E$111)/2,
                    0)),
         IF($E$109="Cost Based",
              IF(OR(LEFT(A73,2)="HW", LEFT(A73,12)="CMS-Hardware"),
                   R73-(1+$E$112)*VLOOKUP(B73,'Raw BOM'!$A$3:$E$492,5,FALSE),
              IF(AND(LEFT(A73,3)="Sys", LEFT(A73,4)&lt;&gt;"Ship"),
                   R73-(1+($E$112+$E$113)/2)*VLOOKUP(B73,'Raw BOM'!$A$3:$E$492,5,FALSE),
                   0))))),2)</f>
        <v>150</v>
      </c>
      <c r="Z73" s="47">
        <f>ROUND(
IF(AND(C73&lt;&gt;"", D73="", V73="No"),
     IF($E$109="Discount Based",
         R73*IF(AND(LEFT(A73,2)&lt;&gt;"HW", LEFT(A73,12)&lt;&gt;"CMS-Hardware",LEFT(A73,3)&lt;&gt;"Sys", LEFT(A73,4)&lt;&gt;"Ship"),
                   $E$111,0),
     IF($E$109="Cost Based",
          IF(AND(LEFT(A73,2)&lt;&gt;"HW", LEFT(A73,12)&lt;&gt;"CMS-Hardware",LEFT(A73,3)&lt;&gt;"Sys", LEFT(A73,4)&lt;&gt;"Ship"),
               R73-(1+$E$112)*VLOOKUP(B73,'Raw BOM'!$A$3:$E$492,5,FALSE),0),0)),0),2)</f>
        <v>0</v>
      </c>
      <c r="AA73" s="48">
        <f>ROUND(IF(AND(Y73&gt;0, Y73&lt;&gt;"", D73=""),Q73*Y73,0), 2)</f>
        <v>150</v>
      </c>
      <c r="AB73" s="48">
        <f>ROUND(IF(AND(Z73&lt;&gt;"",Z73&gt;0, D73=""),Q73*Z73,0),2)</f>
        <v>0</v>
      </c>
    </row>
    <row r="74" spans="1:28" s="1" customFormat="1" ht="30" customHeight="1" x14ac:dyDescent="0.25">
      <c r="A74" s="41" t="str">
        <f>IF(B74&lt;&gt;"",VLOOKUP(B74,'Raw BOM'!$A$3:$B$495,2,FALSE),IF(E74&lt;&gt;"","Misc",""))</f>
        <v>LS4G-Applicant-CA</v>
      </c>
      <c r="B74" s="42" t="str">
        <f>IF('Blank Quote'!B20&lt;&gt;"", 'Blank Quote'!B20, "")</f>
        <v>LiveScan 4th Gen Software-Applicant CA TOT Module</v>
      </c>
      <c r="C74" s="43">
        <f>IF('Blank Quote'!C20&lt;&gt;"", 'Blank Quote'!C20, "")</f>
        <v>1</v>
      </c>
      <c r="D74" s="44"/>
      <c r="E74" s="45" t="str">
        <f>IF('Blank Quote'!E20&lt;&gt;"", 'Blank Quote'!E20, "")</f>
        <v/>
      </c>
      <c r="F74"/>
      <c r="G74" s="315" t="str">
        <f t="shared" si="33"/>
        <v>LS4G-Applicant-CA</v>
      </c>
      <c r="H74" s="316"/>
      <c r="I74" s="317" t="str">
        <f t="shared" si="34"/>
        <v>LiveScan 4th Gen Software-Applicant CA TOT Module</v>
      </c>
      <c r="J74" s="317"/>
      <c r="K74" s="317" t="str">
        <f t="shared" si="35"/>
        <v/>
      </c>
      <c r="L74" s="317"/>
      <c r="M74" s="317" t="str">
        <f t="shared" si="36"/>
        <v>LS4G-Applicant-CA</v>
      </c>
      <c r="N74" s="317"/>
      <c r="O74" s="317" t="str">
        <f t="shared" si="37"/>
        <v>LiveScan 4th Gen Software-Applicant CA TOT Module</v>
      </c>
      <c r="P74" s="317"/>
      <c r="Q74" s="99">
        <f t="shared" si="38"/>
        <v>1</v>
      </c>
      <c r="R74" s="318">
        <f>IF(C74="", "",IF(D74&gt;0,D74,
IF($E$55="NY Contract", VLOOKUP(B74,'Raw BOM'!$A$3:$G$495,7,FALSE),
IF($E$55="FL Contract", VLOOKUP(B74,'Raw BOM'!$A$3:$I$495,8,FALSE),
IF($E$55="LA Contract", VLOOKUP(B74,'Raw BOM'!$A$3:$K$495,9,FALSE),
IF($E$55="WA Contract", VLOOKUP(B74,'Raw BOM'!$A$3:$M$495,10,FALSE),
VLOOKUP(B74,'Raw BOM'!$A$3:$D$495,4,FALSE)))))))</f>
        <v>1340</v>
      </c>
      <c r="S74" s="318" t="str">
        <f t="shared" si="39"/>
        <v>LS4G-Applicant-CA</v>
      </c>
      <c r="T74" s="318">
        <f t="shared" si="40"/>
        <v>1340</v>
      </c>
      <c r="U74" s="318" t="str">
        <f t="shared" si="41"/>
        <v>LiveScan 4th Gen Software-Applicant CA TOT Module</v>
      </c>
      <c r="V74" s="49" t="str">
        <f>IF(C74="","", VLOOKUP(B74,'Raw BOM'!$A$3:$F$495,6,FALSE))</f>
        <v>No</v>
      </c>
      <c r="X74" s="47">
        <f t="shared" si="42"/>
        <v>0</v>
      </c>
      <c r="Y74" s="198">
        <f>ROUND(
IF(AND(C74&lt;&gt;"", D74="", V74="Yes"),
     IF($E$109="Discount Based",
         R74*IF(OR(LEFT(A74,2)="HW", LEFT(A74,12)="CMS-Hardware"),
              $E$110,
              IF(AND(LEFT(A74,3)="Sys", LEFT(A74,4)&lt;&gt;"Ship"),
                   ($E$110+$E$111)/2,
                    0)),
         IF($E$109="Cost Based",
              IF(OR(LEFT(A74,2)="HW", LEFT(A74,12)="CMS-Hardware"),
                   R74-(1+$E$112)*VLOOKUP(B74,'Raw BOM'!$A$3:$E$492,5,FALSE),
              IF(AND(LEFT(A74,3)="Sys", LEFT(A74,4)&lt;&gt;"Ship"),
                   R74-(1+($E$112+$E$113)/2)*VLOOKUP(B74,'Raw BOM'!$A$3:$E$492,5,FALSE),
                   0))))),2)</f>
        <v>0</v>
      </c>
      <c r="Z74" s="47">
        <f>ROUND(
IF(AND(C74&lt;&gt;"", D74="", V74="No"),
     IF($E$109="Discount Based",
         R74*IF(AND(LEFT(A74,2)&lt;&gt;"HW", LEFT(A74,12)&lt;&gt;"CMS-Hardware",LEFT(A74,3)&lt;&gt;"Sys", LEFT(A74,4)&lt;&gt;"Ship"),
                   $E$111,0),
     IF($E$109="Cost Based",
          IF(AND(LEFT(A74,2)&lt;&gt;"HW", LEFT(A74,12)&lt;&gt;"CMS-Hardware",LEFT(A74,3)&lt;&gt;"Sys", LEFT(A74,4)&lt;&gt;"Ship"),
               R74-(1+$E$112)*VLOOKUP(B74,'Raw BOM'!$A$3:$E$492,5,FALSE),0),0)),0),2)</f>
        <v>589.6</v>
      </c>
      <c r="AA74" s="48">
        <f t="shared" ref="AA74:AA77" si="43">ROUND(IF(AND(Y74&gt;0, Y74&lt;&gt;"", D74=""),Q74*Y74,0), 2)</f>
        <v>0</v>
      </c>
      <c r="AB74" s="48">
        <f t="shared" ref="AB74:AB77" si="44">ROUND(IF(AND(Z74&lt;&gt;"",Z74&gt;0, D74=""),Q74*Z74,0),2)</f>
        <v>589.6</v>
      </c>
    </row>
    <row r="75" spans="1:28" s="1" customFormat="1" ht="30" customHeight="1" x14ac:dyDescent="0.25">
      <c r="A75" s="184" t="str">
        <f>IF(B75&lt;&gt;"",VLOOKUP(B75,'Raw BOM'!$A$3:$B$495,2,FALSE),IF(E75&lt;&gt;"","Misc",""))</f>
        <v>HW-Scan-200</v>
      </c>
      <c r="B75" s="185" t="s">
        <v>140</v>
      </c>
      <c r="C75" s="186">
        <f>C129</f>
        <v>1</v>
      </c>
      <c r="D75" s="187"/>
      <c r="E75" s="188" t="str">
        <f>IF('Blank Quote'!E21&lt;&gt;"", 'Blank Quote'!E21, "")</f>
        <v/>
      </c>
      <c r="F75" s="189"/>
      <c r="G75" s="421" t="str">
        <f t="shared" si="33"/>
        <v>HW-Scan-200</v>
      </c>
      <c r="H75" s="422"/>
      <c r="I75" s="423" t="str">
        <f t="shared" si="34"/>
        <v>Hardware-Scanner-Crossmatch Guardian 200</v>
      </c>
      <c r="J75" s="423"/>
      <c r="K75" s="423" t="str">
        <f t="shared" si="35"/>
        <v/>
      </c>
      <c r="L75" s="423"/>
      <c r="M75" s="423" t="str">
        <f t="shared" si="36"/>
        <v>HW-Scan-200</v>
      </c>
      <c r="N75" s="423"/>
      <c r="O75" s="423" t="str">
        <f t="shared" si="37"/>
        <v>Hardware-Scanner-Crossmatch Guardian 200</v>
      </c>
      <c r="P75" s="423"/>
      <c r="Q75" s="190">
        <f t="shared" si="38"/>
        <v>1</v>
      </c>
      <c r="R75" s="424">
        <f>IF(C75="", "",IF(D75&gt;0,D75,
IF($E$55="NY Contract", VLOOKUP(B75,'Raw BOM'!$A$3:$G$495,7,FALSE),
IF($E$55="FL Contract", VLOOKUP(B75,'Raw BOM'!$A$3:$I$495,8,FALSE),
IF($E$55="LA Contract", VLOOKUP(B75,'Raw BOM'!$A$3:$K$495,9,FALSE),
IF($E$55="WA Contract", VLOOKUP(B75,'Raw BOM'!$A$3:$M$495,10,FALSE),
VLOOKUP(B75,'Raw BOM'!$A$3:$D$495,4,FALSE)))))))</f>
        <v>3750</v>
      </c>
      <c r="S75" s="424" t="str">
        <f t="shared" si="39"/>
        <v>HW-Scan-200</v>
      </c>
      <c r="T75" s="424">
        <f t="shared" si="40"/>
        <v>3750</v>
      </c>
      <c r="U75" s="424" t="str">
        <f t="shared" si="41"/>
        <v>Hardware-Scanner-Crossmatch Guardian 200</v>
      </c>
      <c r="V75" s="191" t="str">
        <f>IF(C75="","", VLOOKUP(B75,'Raw BOM'!$A$3:$F$495,6,FALSE))</f>
        <v>Yes</v>
      </c>
      <c r="X75" s="47">
        <f t="shared" si="42"/>
        <v>0</v>
      </c>
      <c r="Y75" s="198">
        <f>ROUND(
IF(AND(C75&lt;&gt;"", D75="", V75="Yes"),
     IF($E$109="Discount Based",
         R75*IF(OR(LEFT(A75,2)="HW", LEFT(A75,12)="CMS-Hardware"),
              $E$110,
              IF(AND(LEFT(A75,3)="Sys", LEFT(A75,4)&lt;&gt;"Ship"),
                   ($E$110+$E$111)/2,
                    0)),
         IF($E$109="Cost Based",
              IF(OR(LEFT(A75,2)="HW", LEFT(A75,12)="CMS-Hardware"),
                   R75-(1+$E$112)*VLOOKUP(B75,'Raw BOM'!$A$3:$E$492,5,FALSE),
              IF(AND(LEFT(A75,3)="Sys", LEFT(A75,4)&lt;&gt;"Ship"),
                   R75-(1+($E$112+$E$113)/2)*VLOOKUP(B75,'Raw BOM'!$A$3:$E$492,5,FALSE),
                   0))))),2)</f>
        <v>750</v>
      </c>
      <c r="Z75" s="47">
        <f>ROUND(
IF(AND(C75&lt;&gt;"", D75="", V75="No"),
     IF($E$109="Discount Based",
         R75*IF(AND(LEFT(A75,2)&lt;&gt;"HW", LEFT(A75,12)&lt;&gt;"CMS-Hardware",LEFT(A75,3)&lt;&gt;"Sys", LEFT(A75,4)&lt;&gt;"Ship"),
                   $E$111,0),
     IF($E$109="Cost Based",
          IF(AND(LEFT(A75,2)&lt;&gt;"HW", LEFT(A75,12)&lt;&gt;"CMS-Hardware",LEFT(A75,3)&lt;&gt;"Sys", LEFT(A75,4)&lt;&gt;"Ship"),
               R75-(1+$E$112)*VLOOKUP(B75,'Raw BOM'!$A$3:$E$492,5,FALSE),0),0)),0),2)</f>
        <v>0</v>
      </c>
      <c r="AA75" s="48">
        <f t="shared" si="43"/>
        <v>750</v>
      </c>
      <c r="AB75" s="48">
        <f t="shared" si="44"/>
        <v>0</v>
      </c>
    </row>
    <row r="76" spans="1:28" s="1" customFormat="1" ht="30" customHeight="1" x14ac:dyDescent="0.25">
      <c r="A76" s="41" t="str">
        <f>IF(B76&lt;&gt;"",VLOOKUP(B76,'Raw BOM'!$A$3:$B$495,2,FALSE),IF(E76&lt;&gt;"","Misc",""))</f>
        <v/>
      </c>
      <c r="B76" s="42" t="str">
        <f>IF('Blank Quote'!B22&lt;&gt;"", 'Blank Quote'!B22, "")</f>
        <v/>
      </c>
      <c r="C76" s="43" t="str">
        <f>IF('Blank Quote'!C22&lt;&gt;"", 'Blank Quote'!C22, "")</f>
        <v/>
      </c>
      <c r="D76" s="44"/>
      <c r="E76" s="45" t="str">
        <f>IF('Blank Quote'!E22&lt;&gt;"", 'Blank Quote'!E22, "")</f>
        <v/>
      </c>
      <c r="F76"/>
      <c r="G76" s="315" t="str">
        <f t="shared" si="33"/>
        <v/>
      </c>
      <c r="H76" s="316"/>
      <c r="I76" s="317" t="str">
        <f t="shared" si="34"/>
        <v/>
      </c>
      <c r="J76" s="317"/>
      <c r="K76" s="317" t="str">
        <f t="shared" si="35"/>
        <v/>
      </c>
      <c r="L76" s="317"/>
      <c r="M76" s="317" t="str">
        <f t="shared" si="36"/>
        <v/>
      </c>
      <c r="N76" s="317"/>
      <c r="O76" s="317" t="str">
        <f t="shared" si="37"/>
        <v/>
      </c>
      <c r="P76" s="317"/>
      <c r="Q76" s="99" t="str">
        <f t="shared" si="38"/>
        <v/>
      </c>
      <c r="R76" s="318" t="str">
        <f>IF(C76="", "",IF(D76&gt;0,D76,
IF($E$55="NY Contract", VLOOKUP(B76,'Raw BOM'!$A$3:$G$495,7,FALSE),
IF($E$55="FL Contract", VLOOKUP(B76,'Raw BOM'!$A$3:$I$495,8,FALSE),
IF($E$55="LA Contract", VLOOKUP(B76,'Raw BOM'!$A$3:$K$495,9,FALSE),
IF($E$55="WA Contract", VLOOKUP(B76,'Raw BOM'!$A$3:$M$495,10,FALSE),
VLOOKUP(B76,'Raw BOM'!$A$3:$D$495,4,FALSE)))))))</f>
        <v/>
      </c>
      <c r="S76" s="318" t="str">
        <f t="shared" si="39"/>
        <v/>
      </c>
      <c r="T76" s="318" t="str">
        <f t="shared" si="40"/>
        <v/>
      </c>
      <c r="U76" s="318" t="str">
        <f t="shared" si="41"/>
        <v/>
      </c>
      <c r="V76" s="49" t="str">
        <f>IF(C76="","", VLOOKUP(B76,'Raw BOM'!$A$3:$F$495,6,FALSE))</f>
        <v/>
      </c>
      <c r="X76" s="47">
        <f t="shared" si="42"/>
        <v>0</v>
      </c>
      <c r="Y76" s="198">
        <f>ROUND(
IF(AND(C76&lt;&gt;"", D76="", V76="Yes"),
     IF($E$109="Discount Based",
         R76*IF(OR(LEFT(A76,2)="HW", LEFT(A76,12)="CMS-Hardware"),
              $E$110,
              IF(AND(LEFT(A76,3)="Sys", LEFT(A76,4)&lt;&gt;"Ship"),
                   ($E$110+$E$111)/2,
                    0)),
         IF($E$109="Cost Based",
              IF(OR(LEFT(A76,2)="HW", LEFT(A76,12)="CMS-Hardware"),
                   R76-(1+$E$112)*VLOOKUP(B76,'Raw BOM'!$A$3:$E$492,5,FALSE),
              IF(AND(LEFT(A76,3)="Sys", LEFT(A76,4)&lt;&gt;"Ship"),
                   R76-(1+($E$112+$E$113)/2)*VLOOKUP(B76,'Raw BOM'!$A$3:$E$492,5,FALSE),
                   0))))),2)</f>
        <v>0</v>
      </c>
      <c r="Z76" s="47">
        <f>ROUND(
IF(AND(C76&lt;&gt;"", D76="", V76="No"),
     IF($E$109="Discount Based",
         R76*IF(AND(LEFT(A76,2)&lt;&gt;"HW", LEFT(A76,12)&lt;&gt;"CMS-Hardware",LEFT(A76,3)&lt;&gt;"Sys", LEFT(A76,4)&lt;&gt;"Ship"),
                   $E$111,0),
     IF($E$109="Cost Based",
          IF(AND(LEFT(A76,2)&lt;&gt;"HW", LEFT(A76,12)&lt;&gt;"CMS-Hardware",LEFT(A76,3)&lt;&gt;"Sys", LEFT(A76,4)&lt;&gt;"Ship"),
               R76-(1+$E$112)*VLOOKUP(B76,'Raw BOM'!$A$3:$E$492,5,FALSE),0),0)),0),2)</f>
        <v>0</v>
      </c>
      <c r="AA76" s="48">
        <f t="shared" si="43"/>
        <v>0</v>
      </c>
      <c r="AB76" s="48">
        <f t="shared" si="44"/>
        <v>0</v>
      </c>
    </row>
    <row r="77" spans="1:28" s="1" customFormat="1" ht="30" customHeight="1" x14ac:dyDescent="0.25">
      <c r="A77" s="41" t="str">
        <f>IF(B77&lt;&gt;"",VLOOKUP(B77,'Raw BOM'!$A$3:$B$495,2,FALSE),IF(E77&lt;&gt;"","Misc",""))</f>
        <v>HW-Magtrip</v>
      </c>
      <c r="B77" s="42" t="str">
        <f>IF('Blank Quote'!B23&lt;&gt;"", 'Blank Quote'!B23, "")</f>
        <v>Hardware-Magnetic Strip Reader</v>
      </c>
      <c r="C77" s="43">
        <f>IF('Blank Quote'!C23&lt;&gt;"", 'Blank Quote'!C23, "")</f>
        <v>1</v>
      </c>
      <c r="D77" s="44"/>
      <c r="E77" s="45" t="str">
        <f>IF('Blank Quote'!E23&lt;&gt;"", 'Blank Quote'!E23, "")</f>
        <v>Auto populate personal information with a swipe of a driver's license from anywhere on the screen</v>
      </c>
      <c r="F77"/>
      <c r="G77" s="315" t="str">
        <f t="shared" si="33"/>
        <v>HW-Magtrip</v>
      </c>
      <c r="H77" s="316"/>
      <c r="I77" s="317" t="str">
        <f t="shared" si="34"/>
        <v>Hardware-Magnetic Strip Reader   *** Auto populate personal information with a swipe of a driver's license from anywhere on the screen</v>
      </c>
      <c r="J77" s="317"/>
      <c r="K77" s="317" t="str">
        <f t="shared" si="35"/>
        <v>Auto populate personal information with a swipe of a driver's license from anywhere on the screen</v>
      </c>
      <c r="L77" s="317"/>
      <c r="M77" s="317" t="str">
        <f t="shared" si="36"/>
        <v>HW-Magtrip</v>
      </c>
      <c r="N77" s="317"/>
      <c r="O77" s="317" t="str">
        <f t="shared" si="37"/>
        <v>Hardware-Magnetic Strip Reader   *** Auto populate personal information with a swipe of a driver's license from anywhere on the screen</v>
      </c>
      <c r="P77" s="317"/>
      <c r="Q77" s="99">
        <f t="shared" si="38"/>
        <v>1</v>
      </c>
      <c r="R77" s="318">
        <f>IF(C77="", "",IF(D77&gt;0,D77,
IF($E$55="NY Contract", VLOOKUP(B77,'Raw BOM'!$A$3:$G$495,7,FALSE),
IF($E$55="FL Contract", VLOOKUP(B77,'Raw BOM'!$A$3:$I$495,8,FALSE),
IF($E$55="LA Contract", VLOOKUP(B77,'Raw BOM'!$A$3:$K$495,9,FALSE),
IF($E$55="WA Contract", VLOOKUP(B77,'Raw BOM'!$A$3:$M$495,10,FALSE),
VLOOKUP(B77,'Raw BOM'!$A$3:$D$495,4,FALSE)))))))</f>
        <v>130</v>
      </c>
      <c r="S77" s="318" t="str">
        <f t="shared" si="39"/>
        <v>HW-Magtrip</v>
      </c>
      <c r="T77" s="318">
        <f t="shared" si="40"/>
        <v>130</v>
      </c>
      <c r="U77" s="318" t="str">
        <f t="shared" si="41"/>
        <v>Hardware-Magnetic Strip Reader   *** Auto populate personal information with a swipe of a driver's license from anywhere on the screen</v>
      </c>
      <c r="V77" s="49" t="str">
        <f>IF(C77="","", VLOOKUP(B77,'Raw BOM'!$A$3:$F$495,6,FALSE))</f>
        <v>Yes</v>
      </c>
      <c r="X77" s="47">
        <f t="shared" si="42"/>
        <v>0</v>
      </c>
      <c r="Y77" s="198">
        <f>ROUND(
IF(AND(C77&lt;&gt;"", D77="", V77="Yes"),
     IF($E$109="Discount Based",
         R77*IF(OR(LEFT(A77,2)="HW", LEFT(A77,12)="CMS-Hardware"),
              $E$110,
              IF(AND(LEFT(A77,3)="Sys", LEFT(A77,4)&lt;&gt;"Ship"),
                   ($E$110+$E$111)/2,
                    0)),
         IF($E$109="Cost Based",
              IF(OR(LEFT(A77,2)="HW", LEFT(A77,12)="CMS-Hardware"),
                   R77-(1+$E$112)*VLOOKUP(B77,'Raw BOM'!$A$3:$E$492,5,FALSE),
              IF(AND(LEFT(A77,3)="Sys", LEFT(A77,4)&lt;&gt;"Ship"),
                   R77-(1+($E$112+$E$113)/2)*VLOOKUP(B77,'Raw BOM'!$A$3:$E$492,5,FALSE),
                   0))))),2)</f>
        <v>26</v>
      </c>
      <c r="Z77" s="47">
        <f>ROUND(
IF(AND(C77&lt;&gt;"", D77="", V77="No"),
     IF($E$109="Discount Based",
         R77*IF(AND(LEFT(A77,2)&lt;&gt;"HW", LEFT(A77,12)&lt;&gt;"CMS-Hardware",LEFT(A77,3)&lt;&gt;"Sys", LEFT(A77,4)&lt;&gt;"Ship"),
                   $E$111,0),
     IF($E$109="Cost Based",
          IF(AND(LEFT(A77,2)&lt;&gt;"HW", LEFT(A77,12)&lt;&gt;"CMS-Hardware",LEFT(A77,3)&lt;&gt;"Sys", LEFT(A77,4)&lt;&gt;"Ship"),
               R77-(1+$E$112)*VLOOKUP(B77,'Raw BOM'!$A$3:$E$492,5,FALSE),0),0)),0),2)</f>
        <v>0</v>
      </c>
      <c r="AA77" s="48">
        <f t="shared" si="43"/>
        <v>26</v>
      </c>
      <c r="AB77" s="48">
        <f t="shared" si="44"/>
        <v>0</v>
      </c>
    </row>
    <row r="78" spans="1:28" s="1" customFormat="1" ht="30" customHeight="1" x14ac:dyDescent="0.25">
      <c r="A78" s="41" t="str">
        <f>IF(B78&lt;&gt;"",VLOOKUP(B78,'Raw BOM'!$A$3:$B$495,2,FALSE),IF(E78&lt;&gt;"","Misc",""))</f>
        <v>LS4G-IDCard</v>
      </c>
      <c r="B78" s="42" t="str">
        <f>IF('Blank Quote'!B24&lt;&gt;"", 'Blank Quote'!B24, "")</f>
        <v>LiveScan 4th Gen Software-Driver License and ID Reading software</v>
      </c>
      <c r="C78" s="43">
        <f>IF('Blank Quote'!C24&lt;&gt;"", 'Blank Quote'!C24, "")</f>
        <v>1</v>
      </c>
      <c r="D78" s="44"/>
      <c r="E78" s="45" t="str">
        <f>IF('Blank Quote'!E24&lt;&gt;"", 'Blank Quote'!E24, "")</f>
        <v/>
      </c>
      <c r="F78"/>
      <c r="G78" s="315" t="str">
        <f t="shared" si="33"/>
        <v>LS4G-IDCard</v>
      </c>
      <c r="H78" s="316"/>
      <c r="I78" s="317" t="str">
        <f t="shared" ref="I78:I89" si="45">IF(B78&lt;&gt;"", B78, "")&amp;IF(E78&lt;&gt;"", "   *** "&amp;E78, "")</f>
        <v>LiveScan 4th Gen Software-Driver License and ID Reading software</v>
      </c>
      <c r="J78" s="317"/>
      <c r="K78" s="317" t="str">
        <f t="shared" ref="K78:K89" si="46">E78</f>
        <v/>
      </c>
      <c r="L78" s="317"/>
      <c r="M78" s="317" t="str">
        <f t="shared" ref="M78:M89" si="47">G78</f>
        <v>LS4G-IDCard</v>
      </c>
      <c r="N78" s="317"/>
      <c r="O78" s="317" t="str">
        <f t="shared" ref="O78:O89" si="48">I78</f>
        <v>LiveScan 4th Gen Software-Driver License and ID Reading software</v>
      </c>
      <c r="P78" s="317"/>
      <c r="Q78" s="99">
        <f t="shared" ref="Q78:Q89" si="49">IF(C78="", "", C78)</f>
        <v>1</v>
      </c>
      <c r="R78" s="318">
        <f>IF(C78="", "",IF(D78&gt;0,D78,
IF($E$55="NY Contract", VLOOKUP(B78,'Raw BOM'!$A$3:$G$495,7,FALSE),
IF($E$55="FL Contract", VLOOKUP(B78,'Raw BOM'!$A$3:$I$495,8,FALSE),
IF($E$55="LA Contract", VLOOKUP(B78,'Raw BOM'!$A$3:$K$495,9,FALSE),
IF($E$55="WA Contract", VLOOKUP(B78,'Raw BOM'!$A$3:$M$495,10,FALSE),
VLOOKUP(B78,'Raw BOM'!$A$3:$D$495,4,FALSE)))))))</f>
        <v>340</v>
      </c>
      <c r="S78" s="318" t="str">
        <f t="shared" ref="S78:S89" si="50">M78</f>
        <v>LS4G-IDCard</v>
      </c>
      <c r="T78" s="318">
        <f t="shared" ref="T78:T89" si="51">IF(C78="", "", Q78*R78)</f>
        <v>340</v>
      </c>
      <c r="U78" s="318" t="str">
        <f t="shared" ref="U78:U89" si="52">O78</f>
        <v>LiveScan 4th Gen Software-Driver License and ID Reading software</v>
      </c>
      <c r="V78" s="49" t="str">
        <f>IF(C78="","", VLOOKUP(B78,'Raw BOM'!$A$3:$F$495,6,FALSE))</f>
        <v>No</v>
      </c>
      <c r="X78" s="47">
        <f t="shared" si="42"/>
        <v>0</v>
      </c>
      <c r="Y78" s="198">
        <f>ROUND(
IF(AND(C78&lt;&gt;"", D78="", V78="Yes"),
     IF($E$109="Discount Based",
         R78*IF(OR(LEFT(A78,2)="HW", LEFT(A78,12)="CMS-Hardware"),
              $E$110,
              IF(AND(LEFT(A78,3)="Sys", LEFT(A78,4)&lt;&gt;"Ship"),
                   ($E$110+$E$111)/2,
                    0)),
         IF($E$109="Cost Based",
              IF(OR(LEFT(A78,2)="HW", LEFT(A78,12)="CMS-Hardware"),
                   R78-(1+$E$112)*VLOOKUP(B78,'Raw BOM'!$A$3:$E$492,5,FALSE),
              IF(AND(LEFT(A78,3)="Sys", LEFT(A78,4)&lt;&gt;"Ship"),
                   R78-(1+($E$112+$E$113)/2)*VLOOKUP(B78,'Raw BOM'!$A$3:$E$492,5,FALSE),
                   0))))),2)</f>
        <v>0</v>
      </c>
      <c r="Z78" s="47">
        <f>ROUND(
IF(AND(C78&lt;&gt;"", D78="", V78="No"),
     IF($E$109="Discount Based",
         R78*IF(AND(LEFT(A78,2)&lt;&gt;"HW", LEFT(A78,12)&lt;&gt;"CMS-Hardware",LEFT(A78,3)&lt;&gt;"Sys", LEFT(A78,4)&lt;&gt;"Ship"),
                   $E$111,0),
     IF($E$109="Cost Based",
          IF(AND(LEFT(A78,2)&lt;&gt;"HW", LEFT(A78,12)&lt;&gt;"CMS-Hardware",LEFT(A78,3)&lt;&gt;"Sys", LEFT(A78,4)&lt;&gt;"Ship"),
               R78-(1+$E$112)*VLOOKUP(B78,'Raw BOM'!$A$3:$E$492,5,FALSE),0),0)),0),2)</f>
        <v>149.6</v>
      </c>
      <c r="AA78" s="48">
        <f t="shared" ref="AA78:AA89" si="53">ROUND(IF(AND(Y78&gt;0, Y78&lt;&gt;"", D78=""),Q78*Y78,0), 2)</f>
        <v>0</v>
      </c>
      <c r="AB78" s="48">
        <f t="shared" ref="AB78:AB89" si="54">ROUND(IF(AND(Z78&lt;&gt;"",Z78&gt;0, D78=""),Q78*Z78,0),2)</f>
        <v>149.6</v>
      </c>
    </row>
    <row r="79" spans="1:28" s="1" customFormat="1" ht="30" customHeight="1" x14ac:dyDescent="0.25">
      <c r="A79" s="41" t="str">
        <f>IF(B79&lt;&gt;"",VLOOKUP(B79,'Raw BOM'!$A$3:$B$495,2,FALSE),IF(E79&lt;&gt;"","Misc",""))</f>
        <v/>
      </c>
      <c r="B79" s="42" t="str">
        <f>IF('Blank Quote'!B25&lt;&gt;"", 'Blank Quote'!B25, "")</f>
        <v/>
      </c>
      <c r="C79" s="43" t="str">
        <f>IF('Blank Quote'!C25&lt;&gt;"", 'Blank Quote'!C25, "")</f>
        <v/>
      </c>
      <c r="D79" s="44"/>
      <c r="E79" s="45" t="str">
        <f>IF('Blank Quote'!E25&lt;&gt;"", 'Blank Quote'!E25, "")</f>
        <v/>
      </c>
      <c r="F79"/>
      <c r="G79" s="315" t="str">
        <f t="shared" si="33"/>
        <v/>
      </c>
      <c r="H79" s="316"/>
      <c r="I79" s="317" t="str">
        <f t="shared" si="45"/>
        <v/>
      </c>
      <c r="J79" s="317"/>
      <c r="K79" s="317" t="str">
        <f t="shared" si="46"/>
        <v/>
      </c>
      <c r="L79" s="317"/>
      <c r="M79" s="317" t="str">
        <f t="shared" si="47"/>
        <v/>
      </c>
      <c r="N79" s="317"/>
      <c r="O79" s="317" t="str">
        <f t="shared" si="48"/>
        <v/>
      </c>
      <c r="P79" s="317"/>
      <c r="Q79" s="99" t="str">
        <f t="shared" si="49"/>
        <v/>
      </c>
      <c r="R79" s="318" t="str">
        <f>IF(C79="", "",IF(D79&gt;0,D79,
IF($E$55="NY Contract", VLOOKUP(B79,'Raw BOM'!$A$3:$G$495,7,FALSE),
IF($E$55="FL Contract", VLOOKUP(B79,'Raw BOM'!$A$3:$I$495,8,FALSE),
IF($E$55="LA Contract", VLOOKUP(B79,'Raw BOM'!$A$3:$K$495,9,FALSE),
IF($E$55="WA Contract", VLOOKUP(B79,'Raw BOM'!$A$3:$M$495,10,FALSE),
VLOOKUP(B79,'Raw BOM'!$A$3:$D$495,4,FALSE)))))))</f>
        <v/>
      </c>
      <c r="S79" s="318" t="str">
        <f t="shared" si="50"/>
        <v/>
      </c>
      <c r="T79" s="318" t="str">
        <f t="shared" si="51"/>
        <v/>
      </c>
      <c r="U79" s="318" t="str">
        <f t="shared" si="52"/>
        <v/>
      </c>
      <c r="V79" s="49" t="str">
        <f>IF(C79="","", VLOOKUP(B79,'Raw BOM'!$A$3:$F$495,6,FALSE))</f>
        <v/>
      </c>
      <c r="X79" s="47">
        <f t="shared" si="42"/>
        <v>0</v>
      </c>
      <c r="Y79" s="198">
        <f>ROUND(
IF(AND(C79&lt;&gt;"", D79="", V79="Yes"),
     IF($E$109="Discount Based",
         R79*IF(OR(LEFT(A79,2)="HW", LEFT(A79,12)="CMS-Hardware"),
              $E$110,
              IF(AND(LEFT(A79,3)="Sys", LEFT(A79,4)&lt;&gt;"Ship"),
                   ($E$110+$E$111)/2,
                    0)),
         IF($E$109="Cost Based",
              IF(OR(LEFT(A79,2)="HW", LEFT(A79,12)="CMS-Hardware"),
                   R79-(1+$E$112)*VLOOKUP(B79,'Raw BOM'!$A$3:$E$492,5,FALSE),
              IF(AND(LEFT(A79,3)="Sys", LEFT(A79,4)&lt;&gt;"Ship"),
                   R79-(1+($E$112+$E$113)/2)*VLOOKUP(B79,'Raw BOM'!$A$3:$E$492,5,FALSE),
                   0))))),2)</f>
        <v>0</v>
      </c>
      <c r="Z79" s="47">
        <f>ROUND(
IF(AND(C79&lt;&gt;"", D79="", V79="No"),
     IF($E$109="Discount Based",
         R79*IF(AND(LEFT(A79,2)&lt;&gt;"HW", LEFT(A79,12)&lt;&gt;"CMS-Hardware",LEFT(A79,3)&lt;&gt;"Sys", LEFT(A79,4)&lt;&gt;"Ship"),
                   $E$111,0),
     IF($E$109="Cost Based",
          IF(AND(LEFT(A79,2)&lt;&gt;"HW", LEFT(A79,12)&lt;&gt;"CMS-Hardware",LEFT(A79,3)&lt;&gt;"Sys", LEFT(A79,4)&lt;&gt;"Ship"),
               R79-(1+$E$112)*VLOOKUP(B79,'Raw BOM'!$A$3:$E$492,5,FALSE),0),0)),0),2)</f>
        <v>0</v>
      </c>
      <c r="AA79" s="48">
        <f t="shared" si="53"/>
        <v>0</v>
      </c>
      <c r="AB79" s="48">
        <f t="shared" si="54"/>
        <v>0</v>
      </c>
    </row>
    <row r="80" spans="1:28" s="1" customFormat="1" ht="30" customHeight="1" x14ac:dyDescent="0.25">
      <c r="A80" s="41" t="str">
        <f>IF(B80&lt;&gt;"",VLOOKUP(B80,'Raw BOM'!$A$3:$B$495,2,FALSE),IF(E80&lt;&gt;"","Misc",""))</f>
        <v>Svcs-Cfg-CAPSP</v>
      </c>
      <c r="B80" s="42" t="str">
        <f>IF('Blank Quote'!B26&lt;&gt;"", 'Blank Quote'!B26, "")</f>
        <v>Services-Configuration-CA PSP Setup</v>
      </c>
      <c r="C80" s="43">
        <f>IF('Blank Quote'!C26&lt;&gt;"", 'Blank Quote'!C26, "")</f>
        <v>1</v>
      </c>
      <c r="D80" s="44"/>
      <c r="E80" s="45" t="str">
        <f>IF('Blank Quote'!E26&lt;&gt;"", 'Blank Quote'!E26, "")</f>
        <v>Pick ONE of the following capture methods at the time of capture (TWO DIFFERENT BUTTONS on the screen):</v>
      </c>
      <c r="F80"/>
      <c r="G80" s="315" t="str">
        <f t="shared" si="33"/>
        <v>Svcs-Cfg-CAPSP</v>
      </c>
      <c r="H80" s="316"/>
      <c r="I80" s="317" t="str">
        <f t="shared" si="45"/>
        <v>Services-Configuration-CA PSP Setup   *** Pick ONE of the following capture methods at the time of capture (TWO DIFFERENT BUTTONS on the screen):</v>
      </c>
      <c r="J80" s="317"/>
      <c r="K80" s="317" t="str">
        <f t="shared" si="46"/>
        <v>Pick ONE of the following capture methods at the time of capture (TWO DIFFERENT BUTTONS on the screen):</v>
      </c>
      <c r="L80" s="317"/>
      <c r="M80" s="317" t="str">
        <f t="shared" si="47"/>
        <v>Svcs-Cfg-CAPSP</v>
      </c>
      <c r="N80" s="317"/>
      <c r="O80" s="317" t="str">
        <f t="shared" si="48"/>
        <v>Services-Configuration-CA PSP Setup   *** Pick ONE of the following capture methods at the time of capture (TWO DIFFERENT BUTTONS on the screen):</v>
      </c>
      <c r="P80" s="317"/>
      <c r="Q80" s="99">
        <f t="shared" si="49"/>
        <v>1</v>
      </c>
      <c r="R80" s="318">
        <f>IF(C80="", "",IF(D80&gt;0,D80,
IF($E$55="NY Contract", VLOOKUP(B80,'Raw BOM'!$A$3:$G$495,7,FALSE),
IF($E$55="FL Contract", VLOOKUP(B80,'Raw BOM'!$A$3:$I$495,8,FALSE),
IF($E$55="LA Contract", VLOOKUP(B80,'Raw BOM'!$A$3:$K$495,9,FALSE),
IF($E$55="WA Contract", VLOOKUP(B80,'Raw BOM'!$A$3:$M$495,10,FALSE),
VLOOKUP(B80,'Raw BOM'!$A$3:$D$495,4,FALSE)))))))</f>
        <v>500</v>
      </c>
      <c r="S80" s="318" t="str">
        <f t="shared" si="50"/>
        <v>Svcs-Cfg-CAPSP</v>
      </c>
      <c r="T80" s="318">
        <f t="shared" si="51"/>
        <v>500</v>
      </c>
      <c r="U80" s="318" t="str">
        <f t="shared" si="52"/>
        <v>Services-Configuration-CA PSP Setup   *** Pick ONE of the following capture methods at the time of capture (TWO DIFFERENT BUTTONS on the screen):</v>
      </c>
      <c r="V80" s="49" t="str">
        <f>IF(C80="","", VLOOKUP(B80,'Raw BOM'!$A$3:$F$495,6,FALSE))</f>
        <v>No</v>
      </c>
      <c r="X80" s="47">
        <f t="shared" si="42"/>
        <v>0</v>
      </c>
      <c r="Y80" s="198">
        <f>ROUND(
IF(AND(C80&lt;&gt;"", D80="", V80="Yes"),
     IF($E$109="Discount Based",
         R80*IF(OR(LEFT(A80,2)="HW", LEFT(A80,12)="CMS-Hardware"),
              $E$110,
              IF(AND(LEFT(A80,3)="Sys", LEFT(A80,4)&lt;&gt;"Ship"),
                   ($E$110+$E$111)/2,
                    0)),
         IF($E$109="Cost Based",
              IF(OR(LEFT(A80,2)="HW", LEFT(A80,12)="CMS-Hardware"),
                   R80-(1+$E$112)*VLOOKUP(B80,'Raw BOM'!$A$3:$E$492,5,FALSE),
              IF(AND(LEFT(A80,3)="Sys", LEFT(A80,4)&lt;&gt;"Ship"),
                   R80-(1+($E$112+$E$113)/2)*VLOOKUP(B80,'Raw BOM'!$A$3:$E$492,5,FALSE),
                   0))))),2)</f>
        <v>0</v>
      </c>
      <c r="Z80" s="47">
        <f>ROUND(
IF(AND(C80&lt;&gt;"", D80="", V80="No"),
     IF($E$109="Discount Based",
         R80*IF(AND(LEFT(A80,2)&lt;&gt;"HW", LEFT(A80,12)&lt;&gt;"CMS-Hardware",LEFT(A80,3)&lt;&gt;"Sys", LEFT(A80,4)&lt;&gt;"Ship"),
                   $E$111,0),
     IF($E$109="Cost Based",
          IF(AND(LEFT(A80,2)&lt;&gt;"HW", LEFT(A80,12)&lt;&gt;"CMS-Hardware",LEFT(A80,3)&lt;&gt;"Sys", LEFT(A80,4)&lt;&gt;"Ship"),
               R80-(1+$E$112)*VLOOKUP(B80,'Raw BOM'!$A$3:$E$492,5,FALSE),0),0)),0),2)</f>
        <v>220</v>
      </c>
      <c r="AA80" s="48">
        <f t="shared" si="53"/>
        <v>0</v>
      </c>
      <c r="AB80" s="48">
        <f t="shared" si="54"/>
        <v>220</v>
      </c>
    </row>
    <row r="81" spans="1:28" s="1" customFormat="1" ht="30" customHeight="1" x14ac:dyDescent="0.25">
      <c r="A81" s="41" t="str">
        <f>IF(B81&lt;&gt;"",VLOOKUP(B81,'Raw BOM'!$A$3:$B$495,2,FALSE),IF(E81&lt;&gt;"","Misc",""))</f>
        <v>Misc</v>
      </c>
      <c r="B81" s="42" t="str">
        <f>IF('Blank Quote'!B27&lt;&gt;"", 'Blank Quote'!B27, "")</f>
        <v/>
      </c>
      <c r="C81" s="43" t="str">
        <f>IF('Blank Quote'!C27&lt;&gt;"", 'Blank Quote'!C27, "")</f>
        <v/>
      </c>
      <c r="D81" s="44"/>
      <c r="E81" s="45" t="str">
        <f>IF('Blank Quote'!E27&lt;&gt;"", 'Blank Quote'!E27, "")</f>
        <v>Transaction Fee - Traditional FLATS and ROLLS Method (1 to 10 minutes method): $0.75 per transaction with $150 per monthly cap</v>
      </c>
      <c r="F81"/>
      <c r="G81" s="315" t="str">
        <f t="shared" si="33"/>
        <v>Misc</v>
      </c>
      <c r="H81" s="316"/>
      <c r="I81" s="317" t="str">
        <f t="shared" si="45"/>
        <v xml:space="preserve">   *** Transaction Fee - Traditional FLATS and ROLLS Method (1 to 10 minutes method): $0.75 per transaction with $150 per monthly cap</v>
      </c>
      <c r="J81" s="317"/>
      <c r="K81" s="317" t="str">
        <f t="shared" si="46"/>
        <v>Transaction Fee - Traditional FLATS and ROLLS Method (1 to 10 minutes method): $0.75 per transaction with $150 per monthly cap</v>
      </c>
      <c r="L81" s="317"/>
      <c r="M81" s="317" t="str">
        <f t="shared" si="47"/>
        <v>Misc</v>
      </c>
      <c r="N81" s="317"/>
      <c r="O81" s="317" t="str">
        <f t="shared" si="48"/>
        <v xml:space="preserve">   *** Transaction Fee - Traditional FLATS and ROLLS Method (1 to 10 minutes method): $0.75 per transaction with $150 per monthly cap</v>
      </c>
      <c r="P81" s="317"/>
      <c r="Q81" s="99" t="str">
        <f t="shared" si="49"/>
        <v/>
      </c>
      <c r="R81" s="318" t="str">
        <f>IF(C81="", "",IF(D81&gt;0,D81,
IF($E$55="NY Contract", VLOOKUP(B81,'Raw BOM'!$A$3:$G$495,7,FALSE),
IF($E$55="FL Contract", VLOOKUP(B81,'Raw BOM'!$A$3:$I$495,8,FALSE),
IF($E$55="LA Contract", VLOOKUP(B81,'Raw BOM'!$A$3:$K$495,9,FALSE),
IF($E$55="WA Contract", VLOOKUP(B81,'Raw BOM'!$A$3:$M$495,10,FALSE),
VLOOKUP(B81,'Raw BOM'!$A$3:$D$495,4,FALSE)))))))</f>
        <v/>
      </c>
      <c r="S81" s="318" t="str">
        <f t="shared" si="50"/>
        <v>Misc</v>
      </c>
      <c r="T81" s="318" t="str">
        <f t="shared" si="51"/>
        <v/>
      </c>
      <c r="U81" s="318" t="str">
        <f t="shared" si="52"/>
        <v xml:space="preserve">   *** Transaction Fee - Traditional FLATS and ROLLS Method (1 to 10 minutes method): $0.75 per transaction with $150 per monthly cap</v>
      </c>
      <c r="V81" s="49" t="str">
        <f>IF(C81="","", VLOOKUP(B81,'Raw BOM'!$A$3:$F$495,6,FALSE))</f>
        <v/>
      </c>
      <c r="X81" s="47">
        <f t="shared" si="42"/>
        <v>0</v>
      </c>
      <c r="Y81" s="198">
        <f>ROUND(
IF(AND(C81&lt;&gt;"", D81="", V81="Yes"),
     IF($E$109="Discount Based",
         R81*IF(OR(LEFT(A81,2)="HW", LEFT(A81,12)="CMS-Hardware"),
              $E$110,
              IF(AND(LEFT(A81,3)="Sys", LEFT(A81,4)&lt;&gt;"Ship"),
                   ($E$110+$E$111)/2,
                    0)),
         IF($E$109="Cost Based",
              IF(OR(LEFT(A81,2)="HW", LEFT(A81,12)="CMS-Hardware"),
                   R81-(1+$E$112)*VLOOKUP(B81,'Raw BOM'!$A$3:$E$492,5,FALSE),
              IF(AND(LEFT(A81,3)="Sys", LEFT(A81,4)&lt;&gt;"Ship"),
                   R81-(1+($E$112+$E$113)/2)*VLOOKUP(B81,'Raw BOM'!$A$3:$E$492,5,FALSE),
                   0))))),2)</f>
        <v>0</v>
      </c>
      <c r="Z81" s="47">
        <f>ROUND(
IF(AND(C81&lt;&gt;"", D81="", V81="No"),
     IF($E$109="Discount Based",
         R81*IF(AND(LEFT(A81,2)&lt;&gt;"HW", LEFT(A81,12)&lt;&gt;"CMS-Hardware",LEFT(A81,3)&lt;&gt;"Sys", LEFT(A81,4)&lt;&gt;"Ship"),
                   $E$111,0),
     IF($E$109="Cost Based",
          IF(AND(LEFT(A81,2)&lt;&gt;"HW", LEFT(A81,12)&lt;&gt;"CMS-Hardware",LEFT(A81,3)&lt;&gt;"Sys", LEFT(A81,4)&lt;&gt;"Ship"),
               R81-(1+$E$112)*VLOOKUP(B81,'Raw BOM'!$A$3:$E$492,5,FALSE),0),0)),0),2)</f>
        <v>0</v>
      </c>
      <c r="AA81" s="48">
        <f t="shared" si="53"/>
        <v>0</v>
      </c>
      <c r="AB81" s="48">
        <f t="shared" si="54"/>
        <v>0</v>
      </c>
    </row>
    <row r="82" spans="1:28" s="1" customFormat="1" ht="30" customHeight="1" x14ac:dyDescent="0.25">
      <c r="A82" s="41" t="str">
        <f>IF(B82&lt;&gt;"",VLOOKUP(B82,'Raw BOM'!$A$3:$B$495,2,FALSE),IF(E82&lt;&gt;"","Misc",""))</f>
        <v>Misc</v>
      </c>
      <c r="B82" s="42" t="str">
        <f>IF('Blank Quote'!B28&lt;&gt;"", 'Blank Quote'!B28, "")</f>
        <v/>
      </c>
      <c r="C82" s="43" t="str">
        <f>IF('Blank Quote'!C28&lt;&gt;"", 'Blank Quote'!C28, "")</f>
        <v/>
      </c>
      <c r="D82" s="44"/>
      <c r="E82" s="45" t="str">
        <f>IF('Blank Quote'!E28&lt;&gt;"", 'Blank Quote'!E28, "")</f>
        <v>Transaction Fee - NEW FLATS ONLY Method (10 to 15 second fingerprinting): $4.00 per transaction with no cap ($2.80 per trans for 501(c)(3) organizations)</v>
      </c>
      <c r="F82"/>
      <c r="G82" s="315" t="str">
        <f t="shared" si="33"/>
        <v>Misc</v>
      </c>
      <c r="H82" s="316"/>
      <c r="I82" s="317" t="str">
        <f t="shared" si="45"/>
        <v xml:space="preserve">   *** Transaction Fee - NEW FLATS ONLY Method (10 to 15 second fingerprinting): $4.00 per transaction with no cap ($2.80 per trans for 501(c)(3) organizations)</v>
      </c>
      <c r="J82" s="317"/>
      <c r="K82" s="317" t="str">
        <f t="shared" si="46"/>
        <v>Transaction Fee - NEW FLATS ONLY Method (10 to 15 second fingerprinting): $4.00 per transaction with no cap ($2.80 per trans for 501(c)(3) organizations)</v>
      </c>
      <c r="L82" s="317"/>
      <c r="M82" s="317" t="str">
        <f t="shared" si="47"/>
        <v>Misc</v>
      </c>
      <c r="N82" s="317"/>
      <c r="O82" s="317" t="str">
        <f t="shared" si="48"/>
        <v xml:space="preserve">   *** Transaction Fee - NEW FLATS ONLY Method (10 to 15 second fingerprinting): $4.00 per transaction with no cap ($2.80 per trans for 501(c)(3) organizations)</v>
      </c>
      <c r="P82" s="317"/>
      <c r="Q82" s="99" t="str">
        <f t="shared" si="49"/>
        <v/>
      </c>
      <c r="R82" s="318" t="str">
        <f>IF(C82="", "",IF(D82&gt;0,D82,
IF($E$55="NY Contract", VLOOKUP(B82,'Raw BOM'!$A$3:$G$495,7,FALSE),
IF($E$55="FL Contract", VLOOKUP(B82,'Raw BOM'!$A$3:$I$495,8,FALSE),
IF($E$55="LA Contract", VLOOKUP(B82,'Raw BOM'!$A$3:$K$495,9,FALSE),
IF($E$55="WA Contract", VLOOKUP(B82,'Raw BOM'!$A$3:$M$495,10,FALSE),
VLOOKUP(B82,'Raw BOM'!$A$3:$D$495,4,FALSE)))))))</f>
        <v/>
      </c>
      <c r="S82" s="318" t="str">
        <f t="shared" si="50"/>
        <v>Misc</v>
      </c>
      <c r="T82" s="318" t="str">
        <f t="shared" si="51"/>
        <v/>
      </c>
      <c r="U82" s="318" t="str">
        <f t="shared" si="52"/>
        <v xml:space="preserve">   *** Transaction Fee - NEW FLATS ONLY Method (10 to 15 second fingerprinting): $4.00 per transaction with no cap ($2.80 per trans for 501(c)(3) organizations)</v>
      </c>
      <c r="V82" s="49" t="str">
        <f>IF(C82="","", VLOOKUP(B82,'Raw BOM'!$A$3:$F$495,6,FALSE))</f>
        <v/>
      </c>
      <c r="X82" s="47">
        <f t="shared" si="42"/>
        <v>0</v>
      </c>
      <c r="Y82" s="198">
        <f>ROUND(
IF(AND(C82&lt;&gt;"", D82="", V82="Yes"),
     IF($E$109="Discount Based",
         R82*IF(OR(LEFT(A82,2)="HW", LEFT(A82,12)="CMS-Hardware"),
              $E$110,
              IF(AND(LEFT(A82,3)="Sys", LEFT(A82,4)&lt;&gt;"Ship"),
                   ($E$110+$E$111)/2,
                    0)),
         IF($E$109="Cost Based",
              IF(OR(LEFT(A82,2)="HW", LEFT(A82,12)="CMS-Hardware"),
                   R82-(1+$E$112)*VLOOKUP(B82,'Raw BOM'!$A$3:$E$492,5,FALSE),
              IF(AND(LEFT(A82,3)="Sys", LEFT(A82,4)&lt;&gt;"Ship"),
                   R82-(1+($E$112+$E$113)/2)*VLOOKUP(B82,'Raw BOM'!$A$3:$E$492,5,FALSE),
                   0))))),2)</f>
        <v>0</v>
      </c>
      <c r="Z82" s="47">
        <f>ROUND(
IF(AND(C82&lt;&gt;"", D82="", V82="No"),
     IF($E$109="Discount Based",
         R82*IF(AND(LEFT(A82,2)&lt;&gt;"HW", LEFT(A82,12)&lt;&gt;"CMS-Hardware",LEFT(A82,3)&lt;&gt;"Sys", LEFT(A82,4)&lt;&gt;"Ship"),
                   $E$111,0),
     IF($E$109="Cost Based",
          IF(AND(LEFT(A82,2)&lt;&gt;"HW", LEFT(A82,12)&lt;&gt;"CMS-Hardware",LEFT(A82,3)&lt;&gt;"Sys", LEFT(A82,4)&lt;&gt;"Ship"),
               R82-(1+$E$112)*VLOOKUP(B82,'Raw BOM'!$A$3:$E$492,5,FALSE),0),0)),0),2)</f>
        <v>0</v>
      </c>
      <c r="AA82" s="48">
        <f t="shared" si="53"/>
        <v>0</v>
      </c>
      <c r="AB82" s="48">
        <f t="shared" si="54"/>
        <v>0</v>
      </c>
    </row>
    <row r="83" spans="1:28" s="1" customFormat="1" ht="30" customHeight="1" x14ac:dyDescent="0.25">
      <c r="A83" s="41" t="str">
        <f>IF(B83&lt;&gt;"",VLOOKUP(B83,'Raw BOM'!$A$3:$B$495,2,FALSE),IF(E83&lt;&gt;"","Misc",""))</f>
        <v/>
      </c>
      <c r="B83" s="42" t="str">
        <f>IF('Blank Quote'!B29&lt;&gt;"", 'Blank Quote'!B29, "")</f>
        <v/>
      </c>
      <c r="C83" s="43" t="str">
        <f>IF('Blank Quote'!C29&lt;&gt;"", 'Blank Quote'!C29, "")</f>
        <v/>
      </c>
      <c r="D83" s="44"/>
      <c r="E83" s="45" t="str">
        <f>IF('Blank Quote'!E29&lt;&gt;"", 'Blank Quote'!E29, "")</f>
        <v/>
      </c>
      <c r="F83"/>
      <c r="G83" s="315" t="str">
        <f t="shared" si="33"/>
        <v/>
      </c>
      <c r="H83" s="316"/>
      <c r="I83" s="317" t="str">
        <f t="shared" si="45"/>
        <v/>
      </c>
      <c r="J83" s="317"/>
      <c r="K83" s="317" t="str">
        <f t="shared" si="46"/>
        <v/>
      </c>
      <c r="L83" s="317"/>
      <c r="M83" s="317" t="str">
        <f t="shared" si="47"/>
        <v/>
      </c>
      <c r="N83" s="317"/>
      <c r="O83" s="317" t="str">
        <f t="shared" si="48"/>
        <v/>
      </c>
      <c r="P83" s="317"/>
      <c r="Q83" s="99" t="str">
        <f t="shared" si="49"/>
        <v/>
      </c>
      <c r="R83" s="318" t="str">
        <f>IF(C83="", "",IF(D83&gt;0,D83,
IF($E$55="NY Contract", VLOOKUP(B83,'Raw BOM'!$A$3:$G$495,7,FALSE),
IF($E$55="FL Contract", VLOOKUP(B83,'Raw BOM'!$A$3:$I$495,8,FALSE),
IF($E$55="LA Contract", VLOOKUP(B83,'Raw BOM'!$A$3:$K$495,9,FALSE),
IF($E$55="WA Contract", VLOOKUP(B83,'Raw BOM'!$A$3:$M$495,10,FALSE),
VLOOKUP(B83,'Raw BOM'!$A$3:$D$495,4,FALSE)))))))</f>
        <v/>
      </c>
      <c r="S83" s="318" t="str">
        <f t="shared" si="50"/>
        <v/>
      </c>
      <c r="T83" s="318" t="str">
        <f t="shared" si="51"/>
        <v/>
      </c>
      <c r="U83" s="318" t="str">
        <f t="shared" si="52"/>
        <v/>
      </c>
      <c r="V83" s="49" t="str">
        <f>IF(C83="","", VLOOKUP(B83,'Raw BOM'!$A$3:$F$495,6,FALSE))</f>
        <v/>
      </c>
      <c r="X83" s="47">
        <f t="shared" si="42"/>
        <v>0</v>
      </c>
      <c r="Y83" s="198">
        <f>ROUND(
IF(AND(C83&lt;&gt;"", D83="", V83="Yes"),
     IF($E$109="Discount Based",
         R83*IF(OR(LEFT(A83,2)="HW", LEFT(A83,12)="CMS-Hardware"),
              $E$110,
              IF(AND(LEFT(A83,3)="Sys", LEFT(A83,4)&lt;&gt;"Ship"),
                   ($E$110+$E$111)/2,
                    0)),
         IF($E$109="Cost Based",
              IF(OR(LEFT(A83,2)="HW", LEFT(A83,12)="CMS-Hardware"),
                   R83-(1+$E$112)*VLOOKUP(B83,'Raw BOM'!$A$3:$E$492,5,FALSE),
              IF(AND(LEFT(A83,3)="Sys", LEFT(A83,4)&lt;&gt;"Ship"),
                   R83-(1+($E$112+$E$113)/2)*VLOOKUP(B83,'Raw BOM'!$A$3:$E$492,5,FALSE),
                   0))))),2)</f>
        <v>0</v>
      </c>
      <c r="Z83" s="47">
        <f>ROUND(
IF(AND(C83&lt;&gt;"", D83="", V83="No"),
     IF($E$109="Discount Based",
         R83*IF(AND(LEFT(A83,2)&lt;&gt;"HW", LEFT(A83,12)&lt;&gt;"CMS-Hardware",LEFT(A83,3)&lt;&gt;"Sys", LEFT(A83,4)&lt;&gt;"Ship"),
                   $E$111,0),
     IF($E$109="Cost Based",
          IF(AND(LEFT(A83,2)&lt;&gt;"HW", LEFT(A83,12)&lt;&gt;"CMS-Hardware",LEFT(A83,3)&lt;&gt;"Sys", LEFT(A83,4)&lt;&gt;"Ship"),
               R83-(1+$E$112)*VLOOKUP(B83,'Raw BOM'!$A$3:$E$492,5,FALSE),0),0)),0),2)</f>
        <v>0</v>
      </c>
      <c r="AA83" s="48">
        <f t="shared" si="53"/>
        <v>0</v>
      </c>
      <c r="AB83" s="48">
        <f t="shared" si="54"/>
        <v>0</v>
      </c>
    </row>
    <row r="84" spans="1:28" s="1" customFormat="1" ht="30" customHeight="1" x14ac:dyDescent="0.25">
      <c r="A84" s="41" t="str">
        <f>IF(B84&lt;&gt;"",VLOOKUP(B84,'Raw BOM'!$A$3:$B$495,2,FALSE),IF(E84&lt;&gt;"","Misc",""))</f>
        <v>Svcs-InstallTrain</v>
      </c>
      <c r="B84" s="42" t="str">
        <f>IF('Blank Quote'!B30&lt;&gt;"", 'Blank Quote'!B30, "")</f>
        <v>Services-Installation and Training Session 4hrs (see Service Method for price)</v>
      </c>
      <c r="C84" s="43">
        <f>IF('Blank Quote'!C30&lt;&gt;"", 'Blank Quote'!C30, "")</f>
        <v>1</v>
      </c>
      <c r="D84" s="44"/>
      <c r="E84" s="45" t="str">
        <f>IF('Blank Quote'!E30&lt;&gt;"", 'Blank Quote'!E30, "")</f>
        <v/>
      </c>
      <c r="F84"/>
      <c r="G84" s="315" t="str">
        <f t="shared" si="33"/>
        <v>Svcs-InstallTrain</v>
      </c>
      <c r="H84" s="316"/>
      <c r="I84" s="317" t="str">
        <f t="shared" si="45"/>
        <v>Services-Installation and Training Session 4hrs (see Service Method for price)</v>
      </c>
      <c r="J84" s="317"/>
      <c r="K84" s="317" t="str">
        <f t="shared" si="46"/>
        <v/>
      </c>
      <c r="L84" s="317"/>
      <c r="M84" s="317" t="str">
        <f t="shared" si="47"/>
        <v>Svcs-InstallTrain</v>
      </c>
      <c r="N84" s="317"/>
      <c r="O84" s="317" t="str">
        <f t="shared" si="48"/>
        <v>Services-Installation and Training Session 4hrs (see Service Method for price)</v>
      </c>
      <c r="P84" s="317"/>
      <c r="Q84" s="99">
        <f t="shared" si="49"/>
        <v>1</v>
      </c>
      <c r="R84" s="318">
        <f>IF(C84="", "",IF(D84&gt;0,D84,
IF($E$55="NY Contract", VLOOKUP(B84,'Raw BOM'!$A$3:$G$495,7,FALSE),
IF($E$55="FL Contract", VLOOKUP(B84,'Raw BOM'!$A$3:$I$495,8,FALSE),
IF($E$55="LA Contract", VLOOKUP(B84,'Raw BOM'!$A$3:$K$495,9,FALSE),
IF($E$55="WA Contract", VLOOKUP(B84,'Raw BOM'!$A$3:$M$495,10,FALSE),
VLOOKUP(B84,'Raw BOM'!$A$3:$D$495,4,FALSE)))))))</f>
        <v>0</v>
      </c>
      <c r="S84" s="318" t="str">
        <f t="shared" si="50"/>
        <v>Svcs-InstallTrain</v>
      </c>
      <c r="T84" s="318">
        <f t="shared" si="51"/>
        <v>0</v>
      </c>
      <c r="U84" s="318" t="str">
        <f t="shared" si="52"/>
        <v>Services-Installation and Training Session 4hrs (see Service Method for price)</v>
      </c>
      <c r="V84" s="49" t="str">
        <f>IF(C84="","", VLOOKUP(B84,'Raw BOM'!$A$3:$F$495,6,FALSE))</f>
        <v>No</v>
      </c>
      <c r="X84" s="47">
        <f t="shared" si="42"/>
        <v>0</v>
      </c>
      <c r="Y84" s="198">
        <f>ROUND(
IF(AND(C84&lt;&gt;"", D84="", V84="Yes"),
     IF($E$109="Discount Based",
         R84*IF(OR(LEFT(A84,2)="HW", LEFT(A84,12)="CMS-Hardware"),
              $E$110,
              IF(AND(LEFT(A84,3)="Sys", LEFT(A84,4)&lt;&gt;"Ship"),
                   ($E$110+$E$111)/2,
                    0)),
         IF($E$109="Cost Based",
              IF(OR(LEFT(A84,2)="HW", LEFT(A84,12)="CMS-Hardware"),
                   R84-(1+$E$112)*VLOOKUP(B84,'Raw BOM'!$A$3:$E$492,5,FALSE),
              IF(AND(LEFT(A84,3)="Sys", LEFT(A84,4)&lt;&gt;"Ship"),
                   R84-(1+($E$112+$E$113)/2)*VLOOKUP(B84,'Raw BOM'!$A$3:$E$492,5,FALSE),
                   0))))),2)</f>
        <v>0</v>
      </c>
      <c r="Z84" s="47">
        <f>ROUND(
IF(AND(C84&lt;&gt;"", D84="", V84="No"),
     IF($E$109="Discount Based",
         R84*IF(AND(LEFT(A84,2)&lt;&gt;"HW", LEFT(A84,12)&lt;&gt;"CMS-Hardware",LEFT(A84,3)&lt;&gt;"Sys", LEFT(A84,4)&lt;&gt;"Ship"),
                   $E$111,0),
     IF($E$109="Cost Based",
          IF(AND(LEFT(A84,2)&lt;&gt;"HW", LEFT(A84,12)&lt;&gt;"CMS-Hardware",LEFT(A84,3)&lt;&gt;"Sys", LEFT(A84,4)&lt;&gt;"Ship"),
               R84-(1+$E$112)*VLOOKUP(B84,'Raw BOM'!$A$3:$E$492,5,FALSE),0),0)),0),2)</f>
        <v>0</v>
      </c>
      <c r="AA84" s="48">
        <f t="shared" si="53"/>
        <v>0</v>
      </c>
      <c r="AB84" s="48">
        <f t="shared" si="54"/>
        <v>0</v>
      </c>
    </row>
    <row r="85" spans="1:28" s="1" customFormat="1" ht="30" customHeight="1" x14ac:dyDescent="0.25">
      <c r="A85" s="41" t="str">
        <f>IF(B85&lt;&gt;"",VLOOKUP(B85,'Raw BOM'!$A$3:$B$495,2,FALSE),IF(E85&lt;&gt;"","Misc",""))</f>
        <v>Svcs-Phone</v>
      </c>
      <c r="B85" s="42" t="str">
        <f>IF('Blank Quote'!B31&lt;&gt;"", 'Blank Quote'!B31, "")</f>
        <v>Services Method-Remote (Phone)</v>
      </c>
      <c r="C85" s="43">
        <f>IF('Blank Quote'!C31&lt;&gt;"", 'Blank Quote'!C31, "")</f>
        <v>1</v>
      </c>
      <c r="D85" s="44"/>
      <c r="E85" s="45" t="str">
        <f>IF('Blank Quote'!E31&lt;&gt;"", 'Blank Quote'!E31, "")</f>
        <v xml:space="preserve">To perform services shown in the line above. </v>
      </c>
      <c r="F85"/>
      <c r="G85" s="315" t="str">
        <f t="shared" si="33"/>
        <v>Svcs-Phone</v>
      </c>
      <c r="H85" s="316"/>
      <c r="I85" s="317" t="str">
        <f t="shared" si="45"/>
        <v xml:space="preserve">Services Method-Remote (Phone)   *** To perform services shown in the line above. </v>
      </c>
      <c r="J85" s="317"/>
      <c r="K85" s="317" t="str">
        <f t="shared" si="46"/>
        <v xml:space="preserve">To perform services shown in the line above. </v>
      </c>
      <c r="L85" s="317"/>
      <c r="M85" s="317" t="str">
        <f t="shared" si="47"/>
        <v>Svcs-Phone</v>
      </c>
      <c r="N85" s="317"/>
      <c r="O85" s="317" t="str">
        <f t="shared" si="48"/>
        <v xml:space="preserve">Services Method-Remote (Phone)   *** To perform services shown in the line above. </v>
      </c>
      <c r="P85" s="317"/>
      <c r="Q85" s="99">
        <f t="shared" si="49"/>
        <v>1</v>
      </c>
      <c r="R85" s="318">
        <f>IF(C85="", "",IF(D85&gt;0,D85,
IF($E$55="NY Contract", VLOOKUP(B85,'Raw BOM'!$A$3:$G$495,7,FALSE),
IF($E$55="FL Contract", VLOOKUP(B85,'Raw BOM'!$A$3:$I$495,8,FALSE),
IF($E$55="LA Contract", VLOOKUP(B85,'Raw BOM'!$A$3:$K$495,9,FALSE),
IF($E$55="WA Contract", VLOOKUP(B85,'Raw BOM'!$A$3:$M$495,10,FALSE),
VLOOKUP(B85,'Raw BOM'!$A$3:$D$495,4,FALSE)))))))</f>
        <v>750</v>
      </c>
      <c r="S85" s="318" t="str">
        <f t="shared" si="50"/>
        <v>Svcs-Phone</v>
      </c>
      <c r="T85" s="318">
        <f t="shared" si="51"/>
        <v>750</v>
      </c>
      <c r="U85" s="318" t="str">
        <f t="shared" si="52"/>
        <v xml:space="preserve">Services Method-Remote (Phone)   *** To perform services shown in the line above. </v>
      </c>
      <c r="V85" s="49" t="str">
        <f>IF(C85="","", VLOOKUP(B85,'Raw BOM'!$A$3:$F$495,6,FALSE))</f>
        <v>No</v>
      </c>
      <c r="X85" s="47">
        <f t="shared" si="42"/>
        <v>0</v>
      </c>
      <c r="Y85" s="198">
        <f>ROUND(
IF(AND(C85&lt;&gt;"", D85="", V85="Yes"),
     IF($E$109="Discount Based",
         R85*IF(OR(LEFT(A85,2)="HW", LEFT(A85,12)="CMS-Hardware"),
              $E$110,
              IF(AND(LEFT(A85,3)="Sys", LEFT(A85,4)&lt;&gt;"Ship"),
                   ($E$110+$E$111)/2,
                    0)),
         IF($E$109="Cost Based",
              IF(OR(LEFT(A85,2)="HW", LEFT(A85,12)="CMS-Hardware"),
                   R85-(1+$E$112)*VLOOKUP(B85,'Raw BOM'!$A$3:$E$492,5,FALSE),
              IF(AND(LEFT(A85,3)="Sys", LEFT(A85,4)&lt;&gt;"Ship"),
                   R85-(1+($E$112+$E$113)/2)*VLOOKUP(B85,'Raw BOM'!$A$3:$E$492,5,FALSE),
                   0))))),2)</f>
        <v>0</v>
      </c>
      <c r="Z85" s="47">
        <f>ROUND(
IF(AND(C85&lt;&gt;"", D85="", V85="No"),
     IF($E$109="Discount Based",
         R85*IF(AND(LEFT(A85,2)&lt;&gt;"HW", LEFT(A85,12)&lt;&gt;"CMS-Hardware",LEFT(A85,3)&lt;&gt;"Sys", LEFT(A85,4)&lt;&gt;"Ship"),
                   $E$111,0),
     IF($E$109="Cost Based",
          IF(AND(LEFT(A85,2)&lt;&gt;"HW", LEFT(A85,12)&lt;&gt;"CMS-Hardware",LEFT(A85,3)&lt;&gt;"Sys", LEFT(A85,4)&lt;&gt;"Ship"),
               R85-(1+$E$112)*VLOOKUP(B85,'Raw BOM'!$A$3:$E$492,5,FALSE),0),0)),0),2)</f>
        <v>330</v>
      </c>
      <c r="AA85" s="48">
        <f t="shared" si="53"/>
        <v>0</v>
      </c>
      <c r="AB85" s="48">
        <f t="shared" si="54"/>
        <v>330</v>
      </c>
    </row>
    <row r="86" spans="1:28" s="1" customFormat="1" ht="30" customHeight="1" x14ac:dyDescent="0.25">
      <c r="A86" s="41" t="str">
        <f>IF(B86&lt;&gt;"",VLOOKUP(B86,'Raw BOM'!$A$3:$B$495,2,FALSE),IF(E86&lt;&gt;"","Misc",""))</f>
        <v/>
      </c>
      <c r="B86" s="42" t="str">
        <f>IF('Blank Quote'!B32&lt;&gt;"", 'Blank Quote'!B32, "")</f>
        <v/>
      </c>
      <c r="C86" s="43" t="str">
        <f>IF('Blank Quote'!C32&lt;&gt;"", 'Blank Quote'!C32, "")</f>
        <v/>
      </c>
      <c r="D86" s="44"/>
      <c r="E86" s="45" t="str">
        <f>IF('Blank Quote'!E32&lt;&gt;"", 'Blank Quote'!E32, "")</f>
        <v/>
      </c>
      <c r="F86"/>
      <c r="G86" s="315" t="str">
        <f t="shared" si="33"/>
        <v/>
      </c>
      <c r="H86" s="316"/>
      <c r="I86" s="317" t="str">
        <f t="shared" si="45"/>
        <v/>
      </c>
      <c r="J86" s="317"/>
      <c r="K86" s="317" t="str">
        <f t="shared" si="46"/>
        <v/>
      </c>
      <c r="L86" s="317"/>
      <c r="M86" s="317" t="str">
        <f t="shared" si="47"/>
        <v/>
      </c>
      <c r="N86" s="317"/>
      <c r="O86" s="317" t="str">
        <f t="shared" si="48"/>
        <v/>
      </c>
      <c r="P86" s="317"/>
      <c r="Q86" s="99" t="str">
        <f t="shared" si="49"/>
        <v/>
      </c>
      <c r="R86" s="318" t="str">
        <f>IF(C86="", "",IF(D86&gt;0,D86,
IF($E$55="NY Contract", VLOOKUP(B86,'Raw BOM'!$A$3:$G$495,7,FALSE),
IF($E$55="FL Contract", VLOOKUP(B86,'Raw BOM'!$A$3:$I$495,8,FALSE),
IF($E$55="LA Contract", VLOOKUP(B86,'Raw BOM'!$A$3:$K$495,9,FALSE),
IF($E$55="WA Contract", VLOOKUP(B86,'Raw BOM'!$A$3:$M$495,10,FALSE),
VLOOKUP(B86,'Raw BOM'!$A$3:$D$495,4,FALSE)))))))</f>
        <v/>
      </c>
      <c r="S86" s="318" t="str">
        <f t="shared" si="50"/>
        <v/>
      </c>
      <c r="T86" s="318" t="str">
        <f t="shared" si="51"/>
        <v/>
      </c>
      <c r="U86" s="318" t="str">
        <f t="shared" si="52"/>
        <v/>
      </c>
      <c r="V86" s="49" t="str">
        <f>IF(C86="","", VLOOKUP(B86,'Raw BOM'!$A$3:$F$495,6,FALSE))</f>
        <v/>
      </c>
      <c r="X86" s="47">
        <f t="shared" si="42"/>
        <v>0</v>
      </c>
      <c r="Y86" s="198">
        <f>ROUND(
IF(AND(C86&lt;&gt;"", D86="", V86="Yes"),
     IF($E$109="Discount Based",
         R86*IF(OR(LEFT(A86,2)="HW", LEFT(A86,12)="CMS-Hardware"),
              $E$110,
              IF(AND(LEFT(A86,3)="Sys", LEFT(A86,4)&lt;&gt;"Ship"),
                   ($E$110+$E$111)/2,
                    0)),
         IF($E$109="Cost Based",
              IF(OR(LEFT(A86,2)="HW", LEFT(A86,12)="CMS-Hardware"),
                   R86-(1+$E$112)*VLOOKUP(B86,'Raw BOM'!$A$3:$E$492,5,FALSE),
              IF(AND(LEFT(A86,3)="Sys", LEFT(A86,4)&lt;&gt;"Ship"),
                   R86-(1+($E$112+$E$113)/2)*VLOOKUP(B86,'Raw BOM'!$A$3:$E$492,5,FALSE),
                   0))))),2)</f>
        <v>0</v>
      </c>
      <c r="Z86" s="47">
        <f>ROUND(
IF(AND(C86&lt;&gt;"", D86="", V86="No"),
     IF($E$109="Discount Based",
         R86*IF(AND(LEFT(A86,2)&lt;&gt;"HW", LEFT(A86,12)&lt;&gt;"CMS-Hardware",LEFT(A86,3)&lt;&gt;"Sys", LEFT(A86,4)&lt;&gt;"Ship"),
                   $E$111,0),
     IF($E$109="Cost Based",
          IF(AND(LEFT(A86,2)&lt;&gt;"HW", LEFT(A86,12)&lt;&gt;"CMS-Hardware",LEFT(A86,3)&lt;&gt;"Sys", LEFT(A86,4)&lt;&gt;"Ship"),
               R86-(1+$E$112)*VLOOKUP(B86,'Raw BOM'!$A$3:$E$492,5,FALSE),0),0)),0),2)</f>
        <v>0</v>
      </c>
      <c r="AA86" s="48">
        <f t="shared" si="53"/>
        <v>0</v>
      </c>
      <c r="AB86" s="48">
        <f t="shared" si="54"/>
        <v>0</v>
      </c>
    </row>
    <row r="87" spans="1:28" s="1" customFormat="1" ht="30" customHeight="1" x14ac:dyDescent="0.25">
      <c r="A87" s="41" t="str">
        <f>IF(B87&lt;&gt;"",VLOOKUP(B87,'Raw BOM'!$A$3:$B$495,2,FALSE),IF(E87&lt;&gt;"","Misc",""))</f>
        <v>Ship-L</v>
      </c>
      <c r="B87" s="42" t="str">
        <f>IF('Blank Quote'!B33&lt;&gt;"", 'Blank Quote'!B33, "")</f>
        <v>Shipping-Ground for Large Package</v>
      </c>
      <c r="C87" s="43">
        <f>IF('Blank Quote'!C33&lt;&gt;"", 'Blank Quote'!C33, "")</f>
        <v>1</v>
      </c>
      <c r="D87" s="44"/>
      <c r="E87" s="45" t="str">
        <f>IF('Blank Quote'!E33&lt;&gt;"", 'Blank Quote'!E33, "")</f>
        <v/>
      </c>
      <c r="F87"/>
      <c r="G87" s="315" t="str">
        <f t="shared" si="33"/>
        <v>Ship-L</v>
      </c>
      <c r="H87" s="316"/>
      <c r="I87" s="317" t="str">
        <f t="shared" si="45"/>
        <v>Shipping-Ground for Large Package</v>
      </c>
      <c r="J87" s="317"/>
      <c r="K87" s="317" t="str">
        <f t="shared" si="46"/>
        <v/>
      </c>
      <c r="L87" s="317"/>
      <c r="M87" s="317" t="str">
        <f t="shared" si="47"/>
        <v>Ship-L</v>
      </c>
      <c r="N87" s="317"/>
      <c r="O87" s="317" t="str">
        <f t="shared" si="48"/>
        <v>Shipping-Ground for Large Package</v>
      </c>
      <c r="P87" s="317"/>
      <c r="Q87" s="99">
        <f t="shared" si="49"/>
        <v>1</v>
      </c>
      <c r="R87" s="318">
        <f>IF(C87="", "",IF(D87&gt;0,D87,
IF($E$55="NY Contract", VLOOKUP(B87,'Raw BOM'!$A$3:$G$495,7,FALSE),
IF($E$55="FL Contract", VLOOKUP(B87,'Raw BOM'!$A$3:$I$495,8,FALSE),
IF($E$55="LA Contract", VLOOKUP(B87,'Raw BOM'!$A$3:$K$495,9,FALSE),
IF($E$55="WA Contract", VLOOKUP(B87,'Raw BOM'!$A$3:$M$495,10,FALSE),
VLOOKUP(B87,'Raw BOM'!$A$3:$D$495,4,FALSE)))))))</f>
        <v>60</v>
      </c>
      <c r="S87" s="318" t="str">
        <f t="shared" si="50"/>
        <v>Ship-L</v>
      </c>
      <c r="T87" s="318">
        <f t="shared" si="51"/>
        <v>60</v>
      </c>
      <c r="U87" s="318" t="str">
        <f t="shared" si="52"/>
        <v>Shipping-Ground for Large Package</v>
      </c>
      <c r="V87" s="49" t="str">
        <f>IF(C87="","", VLOOKUP(B87,'Raw BOM'!$A$3:$F$495,6,FALSE))</f>
        <v>No</v>
      </c>
      <c r="X87" s="47">
        <f t="shared" si="42"/>
        <v>0</v>
      </c>
      <c r="Y87" s="198">
        <f>ROUND(
IF(AND(C87&lt;&gt;"", D87="", V87="Yes"),
     IF($E$109="Discount Based",
         R87*IF(OR(LEFT(A87,2)="HW", LEFT(A87,12)="CMS-Hardware"),
              $E$110,
              IF(AND(LEFT(A87,3)="Sys", LEFT(A87,4)&lt;&gt;"Ship"),
                   ($E$110+$E$111)/2,
                    0)),
         IF($E$109="Cost Based",
              IF(OR(LEFT(A87,2)="HW", LEFT(A87,12)="CMS-Hardware"),
                   R87-(1+$E$112)*VLOOKUP(B87,'Raw BOM'!$A$3:$E$492,5,FALSE),
              IF(AND(LEFT(A87,3)="Sys", LEFT(A87,4)&lt;&gt;"Ship"),
                   R87-(1+($E$112+$E$113)/2)*VLOOKUP(B87,'Raw BOM'!$A$3:$E$492,5,FALSE),
                   0))))),2)</f>
        <v>0</v>
      </c>
      <c r="Z87" s="47">
        <f>ROUND(
IF(AND(C87&lt;&gt;"", D87="", V87="No"),
     IF($E$109="Discount Based",
         R87*IF(AND(LEFT(A87,2)&lt;&gt;"HW", LEFT(A87,12)&lt;&gt;"CMS-Hardware",LEFT(A87,3)&lt;&gt;"Sys", LEFT(A87,4)&lt;&gt;"Ship"),
                   $E$111,0),
     IF($E$109="Cost Based",
          IF(AND(LEFT(A87,2)&lt;&gt;"HW", LEFT(A87,12)&lt;&gt;"CMS-Hardware",LEFT(A87,3)&lt;&gt;"Sys", LEFT(A87,4)&lt;&gt;"Ship"),
               R87-(1+$E$112)*VLOOKUP(B87,'Raw BOM'!$A$3:$E$492,5,FALSE),0),0)),0),2)</f>
        <v>0</v>
      </c>
      <c r="AA87" s="48">
        <f t="shared" si="53"/>
        <v>0</v>
      </c>
      <c r="AB87" s="48">
        <f t="shared" si="54"/>
        <v>0</v>
      </c>
    </row>
    <row r="88" spans="1:28" s="1" customFormat="1" ht="30" customHeight="1" x14ac:dyDescent="0.25">
      <c r="A88" s="41" t="str">
        <f>IF(B88&lt;&gt;"",VLOOKUP(B88,'Raw BOM'!$A$3:$B$495,2,FALSE),IF(E88&lt;&gt;"","Misc",""))</f>
        <v>Maint-Warr</v>
      </c>
      <c r="B88" s="42" t="str">
        <f>IF('Blank Quote'!B34&lt;&gt;"", 'Blank Quote'!B34, "")</f>
        <v>Maintenance-Initial Year Warranty</v>
      </c>
      <c r="C88" s="43">
        <f>IF('Blank Quote'!C34&lt;&gt;"", 'Blank Quote'!C34, "")</f>
        <v>1</v>
      </c>
      <c r="D88" s="44"/>
      <c r="E88" s="45" t="str">
        <f>IF('Blank Quote'!E34&lt;&gt;"", 'Blank Quote'!E34, "")</f>
        <v>Cross Ship</v>
      </c>
      <c r="F88"/>
      <c r="G88" s="315" t="str">
        <f t="shared" si="33"/>
        <v>Maint-Warr</v>
      </c>
      <c r="H88" s="316"/>
      <c r="I88" s="317" t="str">
        <f t="shared" si="45"/>
        <v>Maintenance-Initial Year Warranty   *** Cross Ship</v>
      </c>
      <c r="J88" s="317"/>
      <c r="K88" s="317" t="str">
        <f t="shared" si="46"/>
        <v>Cross Ship</v>
      </c>
      <c r="L88" s="317"/>
      <c r="M88" s="317" t="str">
        <f t="shared" si="47"/>
        <v>Maint-Warr</v>
      </c>
      <c r="N88" s="317"/>
      <c r="O88" s="317" t="str">
        <f t="shared" si="48"/>
        <v>Maintenance-Initial Year Warranty   *** Cross Ship</v>
      </c>
      <c r="P88" s="317"/>
      <c r="Q88" s="99">
        <f t="shared" si="49"/>
        <v>1</v>
      </c>
      <c r="R88" s="318">
        <f>IF(C88="", "",IF(D88&gt;0,D88,
IF($E$55="NY Contract", VLOOKUP(B88,'Raw BOM'!$A$3:$G$495,7,FALSE),
IF($E$55="FL Contract", VLOOKUP(B88,'Raw BOM'!$A$3:$I$495,8,FALSE),
IF($E$55="LA Contract", VLOOKUP(B88,'Raw BOM'!$A$3:$K$495,9,FALSE),
IF($E$55="WA Contract", VLOOKUP(B88,'Raw BOM'!$A$3:$M$495,10,FALSE),
VLOOKUP(B88,'Raw BOM'!$A$3:$D$495,4,FALSE)))))))</f>
        <v>0</v>
      </c>
      <c r="S88" s="318" t="str">
        <f t="shared" si="50"/>
        <v>Maint-Warr</v>
      </c>
      <c r="T88" s="318">
        <f t="shared" si="51"/>
        <v>0</v>
      </c>
      <c r="U88" s="318" t="str">
        <f t="shared" si="52"/>
        <v>Maintenance-Initial Year Warranty   *** Cross Ship</v>
      </c>
      <c r="V88" s="49" t="str">
        <f>IF(C88="","", VLOOKUP(B88,'Raw BOM'!$A$3:$F$495,6,FALSE))</f>
        <v>No</v>
      </c>
      <c r="X88" s="47">
        <f t="shared" si="42"/>
        <v>0</v>
      </c>
      <c r="Y88" s="198">
        <f>ROUND(
IF(AND(C88&lt;&gt;"", D88="", V88="Yes"),
     IF($E$109="Discount Based",
         R88*IF(OR(LEFT(A88,2)="HW", LEFT(A88,12)="CMS-Hardware"),
              $E$110,
              IF(AND(LEFT(A88,3)="Sys", LEFT(A88,4)&lt;&gt;"Ship"),
                   ($E$110+$E$111)/2,
                    0)),
         IF($E$109="Cost Based",
              IF(OR(LEFT(A88,2)="HW", LEFT(A88,12)="CMS-Hardware"),
                   R88-(1+$E$112)*VLOOKUP(B88,'Raw BOM'!$A$3:$E$492,5,FALSE),
              IF(AND(LEFT(A88,3)="Sys", LEFT(A88,4)&lt;&gt;"Ship"),
                   R88-(1+($E$112+$E$113)/2)*VLOOKUP(B88,'Raw BOM'!$A$3:$E$492,5,FALSE),
                   0))))),2)</f>
        <v>0</v>
      </c>
      <c r="Z88" s="47">
        <f>ROUND(
IF(AND(C88&lt;&gt;"", D88="", V88="No"),
     IF($E$109="Discount Based",
         R88*IF(AND(LEFT(A88,2)&lt;&gt;"HW", LEFT(A88,12)&lt;&gt;"CMS-Hardware",LEFT(A88,3)&lt;&gt;"Sys", LEFT(A88,4)&lt;&gt;"Ship"),
                   $E$111,0),
     IF($E$109="Cost Based",
          IF(AND(LEFT(A88,2)&lt;&gt;"HW", LEFT(A88,12)&lt;&gt;"CMS-Hardware",LEFT(A88,3)&lt;&gt;"Sys", LEFT(A88,4)&lt;&gt;"Ship"),
               R88-(1+$E$112)*VLOOKUP(B88,'Raw BOM'!$A$3:$E$492,5,FALSE),0),0)),0),2)</f>
        <v>0</v>
      </c>
      <c r="AA88" s="48">
        <f t="shared" si="53"/>
        <v>0</v>
      </c>
      <c r="AB88" s="48">
        <f t="shared" si="54"/>
        <v>0</v>
      </c>
    </row>
    <row r="89" spans="1:28" s="1" customFormat="1" ht="30" customHeight="1" x14ac:dyDescent="0.25">
      <c r="A89" s="41" t="str">
        <f>IF(B89&lt;&gt;"",VLOOKUP(B89,'Raw BOM'!$A$3:$B$495,2,FALSE),IF(E89&lt;&gt;"","Misc",""))</f>
        <v>Misc</v>
      </c>
      <c r="B89" s="42" t="str">
        <f>IF('Blank Quote'!B35&lt;&gt;"", 'Blank Quote'!B35, "")</f>
        <v/>
      </c>
      <c r="C89" s="43" t="str">
        <f>IF('Blank Quote'!C35&lt;&gt;"", 'Blank Quote'!C35, "")</f>
        <v/>
      </c>
      <c r="D89" s="44"/>
      <c r="E89" s="45" t="str">
        <f>IF('Blank Quote'!E35&lt;&gt;"", 'Blank Quote'!E35, "")</f>
        <v>Pick one of the following 2 Maintenance options in the 12th month.  We recommend picking 2nd line if processing more than 1,200 transactions per year.</v>
      </c>
      <c r="F89"/>
      <c r="G89" s="315" t="str">
        <f t="shared" si="33"/>
        <v>Misc</v>
      </c>
      <c r="H89" s="316"/>
      <c r="I89" s="317" t="str">
        <f t="shared" si="45"/>
        <v xml:space="preserve">   *** Pick one of the following 2 Maintenance options in the 12th month.  We recommend picking 2nd line if processing more than 1,200 transactions per year.</v>
      </c>
      <c r="J89" s="317"/>
      <c r="K89" s="317" t="str">
        <f t="shared" si="46"/>
        <v>Pick one of the following 2 Maintenance options in the 12th month.  We recommend picking 2nd line if processing more than 1,200 transactions per year.</v>
      </c>
      <c r="L89" s="317"/>
      <c r="M89" s="317" t="str">
        <f t="shared" si="47"/>
        <v>Misc</v>
      </c>
      <c r="N89" s="317"/>
      <c r="O89" s="317" t="str">
        <f t="shared" si="48"/>
        <v xml:space="preserve">   *** Pick one of the following 2 Maintenance options in the 12th month.  We recommend picking 2nd line if processing more than 1,200 transactions per year.</v>
      </c>
      <c r="P89" s="317"/>
      <c r="Q89" s="99" t="str">
        <f t="shared" si="49"/>
        <v/>
      </c>
      <c r="R89" s="318" t="str">
        <f>IF(C89="", "",IF(D89&gt;0,D89,
IF($E$55="NY Contract", VLOOKUP(B89,'Raw BOM'!$A$3:$G$495,7,FALSE),
IF($E$55="FL Contract", VLOOKUP(B89,'Raw BOM'!$A$3:$I$495,8,FALSE),
IF($E$55="LA Contract", VLOOKUP(B89,'Raw BOM'!$A$3:$K$495,9,FALSE),
IF($E$55="WA Contract", VLOOKUP(B89,'Raw BOM'!$A$3:$M$495,10,FALSE),
VLOOKUP(B89,'Raw BOM'!$A$3:$D$495,4,FALSE)))))))</f>
        <v/>
      </c>
      <c r="S89" s="318" t="str">
        <f t="shared" si="50"/>
        <v>Misc</v>
      </c>
      <c r="T89" s="318" t="str">
        <f t="shared" si="51"/>
        <v/>
      </c>
      <c r="U89" s="318" t="str">
        <f t="shared" si="52"/>
        <v xml:space="preserve">   *** Pick one of the following 2 Maintenance options in the 12th month.  We recommend picking 2nd line if processing more than 1,200 transactions per year.</v>
      </c>
      <c r="V89" s="49" t="str">
        <f>IF(C89="","", VLOOKUP(B89,'Raw BOM'!$A$3:$F$495,6,FALSE))</f>
        <v/>
      </c>
      <c r="X89" s="47">
        <f t="shared" si="42"/>
        <v>0</v>
      </c>
      <c r="Y89" s="198">
        <f>ROUND(
IF(AND(C89&lt;&gt;"", D89="", V89="Yes"),
     IF($E$109="Discount Based",
         R89*IF(OR(LEFT(A89,2)="HW", LEFT(A89,12)="CMS-Hardware"),
              $E$110,
              IF(AND(LEFT(A89,3)="Sys", LEFT(A89,4)&lt;&gt;"Ship"),
                   ($E$110+$E$111)/2,
                    0)),
         IF($E$109="Cost Based",
              IF(OR(LEFT(A89,2)="HW", LEFT(A89,12)="CMS-Hardware"),
                   R89-(1+$E$112)*VLOOKUP(B89,'Raw BOM'!$A$3:$E$492,5,FALSE),
              IF(AND(LEFT(A89,3)="Sys", LEFT(A89,4)&lt;&gt;"Ship"),
                   R89-(1+($E$112+$E$113)/2)*VLOOKUP(B89,'Raw BOM'!$A$3:$E$492,5,FALSE),
                   0))))),2)</f>
        <v>0</v>
      </c>
      <c r="Z89" s="47">
        <f>ROUND(
IF(AND(C89&lt;&gt;"", D89="", V89="No"),
     IF($E$109="Discount Based",
         R89*IF(AND(LEFT(A89,2)&lt;&gt;"HW", LEFT(A89,12)&lt;&gt;"CMS-Hardware",LEFT(A89,3)&lt;&gt;"Sys", LEFT(A89,4)&lt;&gt;"Ship"),
                   $E$111,0),
     IF($E$109="Cost Based",
          IF(AND(LEFT(A89,2)&lt;&gt;"HW", LEFT(A89,12)&lt;&gt;"CMS-Hardware",LEFT(A89,3)&lt;&gt;"Sys", LEFT(A89,4)&lt;&gt;"Ship"),
               R89-(1+$E$112)*VLOOKUP(B89,'Raw BOM'!$A$3:$E$492,5,FALSE),0),0)),0),2)</f>
        <v>0</v>
      </c>
      <c r="AA89" s="48">
        <f t="shared" si="53"/>
        <v>0</v>
      </c>
      <c r="AB89" s="48">
        <f t="shared" si="54"/>
        <v>0</v>
      </c>
    </row>
    <row r="90" spans="1:28" s="1" customFormat="1" ht="30" customHeight="1" x14ac:dyDescent="0.25">
      <c r="A90" s="41" t="str">
        <f>IF(B90&lt;&gt;"",VLOOKUP(B90,'Raw BOM'!$A$3:$B$495,2,FALSE),IF(E90&lt;&gt;"","Misc",""))</f>
        <v>Maint-9X5-SW-App</v>
      </c>
      <c r="B90" s="42" t="s">
        <v>125</v>
      </c>
      <c r="C90" s="43">
        <f>IF('Blank Quote'!C36&lt;&gt;"", 'Blank Quote'!C36, "")</f>
        <v>0</v>
      </c>
      <c r="D90" s="44">
        <v>595</v>
      </c>
      <c r="E90" s="50" t="str">
        <f>IF('Blank Quote'!E36&lt;&gt;"", 'Blank Quote'!E36, "")</f>
        <v>Software Only coverage, per system</v>
      </c>
      <c r="F90" s="251">
        <f>ROUND(S95*0.08,-1)</f>
        <v>610</v>
      </c>
      <c r="G90" s="315" t="str">
        <f t="shared" si="33"/>
        <v>Maint-9X5-SW-App</v>
      </c>
      <c r="H90" s="316"/>
      <c r="I90" s="317" t="str">
        <f t="shared" si="34"/>
        <v>Maintenance-9X5 Software Only Support Applicant   *** Software Only coverage, per system</v>
      </c>
      <c r="J90" s="317"/>
      <c r="K90" s="317" t="str">
        <f t="shared" si="35"/>
        <v>Software Only coverage, per system</v>
      </c>
      <c r="L90" s="317"/>
      <c r="M90" s="317" t="str">
        <f t="shared" si="36"/>
        <v>Maint-9X5-SW-App</v>
      </c>
      <c r="N90" s="317"/>
      <c r="O90" s="317" t="str">
        <f t="shared" si="37"/>
        <v>Maintenance-9X5 Software Only Support Applicant   *** Software Only coverage, per system</v>
      </c>
      <c r="P90" s="317"/>
      <c r="Q90" s="99">
        <f t="shared" si="38"/>
        <v>0</v>
      </c>
      <c r="R90" s="414">
        <f t="shared" ref="R90" si="55">IF(D90="", "", D90)</f>
        <v>595</v>
      </c>
      <c r="S90" s="414" t="str">
        <f t="shared" ref="S90" si="56">IF(E90="", "", E90)</f>
        <v>Software Only coverage, per system</v>
      </c>
      <c r="T90" s="318">
        <f t="shared" ref="T90" si="57">IF(C90="", "", Q90*R90)</f>
        <v>0</v>
      </c>
      <c r="U90" s="318" t="str">
        <f t="shared" ref="U90" si="58">O90</f>
        <v>Maintenance-9X5 Software Only Support Applicant   *** Software Only coverage, per system</v>
      </c>
      <c r="V90" s="49" t="str">
        <f>IF(C90="","", VLOOKUP(B90,'Raw BOM'!$A$3:$F$495,6,FALSE))</f>
        <v>No</v>
      </c>
      <c r="X90" s="47">
        <f t="shared" si="42"/>
        <v>0</v>
      </c>
      <c r="Y90" s="179"/>
      <c r="Z90" s="47"/>
      <c r="AA90" s="48"/>
      <c r="AB90" s="48"/>
    </row>
    <row r="91" spans="1:28" s="1" customFormat="1" ht="30" customHeight="1" x14ac:dyDescent="0.25">
      <c r="A91" s="41" t="str">
        <f>IF(B91&lt;&gt;"",VLOOKUP(B91,'Raw BOM'!$A$3:$B$495,2,FALSE),IF(E91&lt;&gt;"","Misc",""))</f>
        <v>Maint-9X5-Remote</v>
      </c>
      <c r="B91" s="42" t="s">
        <v>127</v>
      </c>
      <c r="C91" s="43">
        <f>IF('Blank Quote'!C37&lt;&gt;"", 'Blank Quote'!C37, "")</f>
        <v>0</v>
      </c>
      <c r="D91" s="44">
        <v>1190</v>
      </c>
      <c r="E91" s="50" t="str">
        <f>IF('Blank Quote'!E37&lt;&gt;"", 'Blank Quote'!E37, "")</f>
        <v>Software and Hardware Coverage, per system</v>
      </c>
      <c r="F91" s="251">
        <f>ROUND(S95*0.12,-1)</f>
        <v>910</v>
      </c>
      <c r="G91" s="315" t="str">
        <f t="shared" si="33"/>
        <v>Maint-9X5-Remote</v>
      </c>
      <c r="H91" s="316"/>
      <c r="I91" s="317" t="str">
        <f t="shared" ref="I91" si="59">IF(B91&lt;&gt;"", B91, "")&amp;IF(E91&lt;&gt;"", "   *** "&amp;E91, "")</f>
        <v>Maintenance-9 X 5 (8am - 5pm, M-F) Remote with Cross Ship   *** Software and Hardware Coverage, per system</v>
      </c>
      <c r="J91" s="317"/>
      <c r="K91" s="317" t="str">
        <f t="shared" ref="K91" si="60">E91</f>
        <v>Software and Hardware Coverage, per system</v>
      </c>
      <c r="L91" s="317"/>
      <c r="M91" s="317" t="str">
        <f t="shared" ref="M91" si="61">G91</f>
        <v>Maint-9X5-Remote</v>
      </c>
      <c r="N91" s="317"/>
      <c r="O91" s="317" t="str">
        <f t="shared" ref="O91" si="62">I91</f>
        <v>Maintenance-9 X 5 (8am - 5pm, M-F) Remote with Cross Ship   *** Software and Hardware Coverage, per system</v>
      </c>
      <c r="P91" s="317"/>
      <c r="Q91" s="99">
        <f t="shared" ref="Q91:Q93" si="63">IF(C91="", "", C91)</f>
        <v>0</v>
      </c>
      <c r="R91" s="414">
        <f t="shared" ref="R91:R93" si="64">IF(D91="", "", D91)</f>
        <v>1190</v>
      </c>
      <c r="S91" s="414" t="str">
        <f t="shared" ref="S91:S93" si="65">IF(E91="", "", E91)</f>
        <v>Software and Hardware Coverage, per system</v>
      </c>
      <c r="T91" s="318">
        <f t="shared" ref="T91" si="66">IF(C91="", "", Q91*R91)</f>
        <v>0</v>
      </c>
      <c r="U91" s="318" t="str">
        <f t="shared" ref="U91" si="67">O91</f>
        <v>Maintenance-9 X 5 (8am - 5pm, M-F) Remote with Cross Ship   *** Software and Hardware Coverage, per system</v>
      </c>
      <c r="V91" s="49" t="str">
        <f>IF(C91="","", VLOOKUP(B91,'Raw BOM'!$A$3:$F$495,6,FALSE))</f>
        <v>No</v>
      </c>
      <c r="X91" s="47">
        <f t="shared" si="42"/>
        <v>0</v>
      </c>
      <c r="Y91" s="179"/>
      <c r="Z91" s="47"/>
      <c r="AA91" s="48"/>
      <c r="AB91" s="48"/>
    </row>
    <row r="92" spans="1:28" s="1" customFormat="1" ht="30" customHeight="1" x14ac:dyDescent="0.25">
      <c r="A92" s="41" t="str">
        <f>IF(B92&lt;&gt;"",VLOOKUP(B92,'Raw BOM'!$A$3:$B$495,2,FALSE),IF(E92&lt;&gt;"","Misc",""))</f>
        <v/>
      </c>
      <c r="B92" s="42" t="str">
        <f>IF('Blank Quote'!B38&lt;&gt;"", 'Blank Quote'!B38, "")</f>
        <v/>
      </c>
      <c r="C92" s="43" t="str">
        <f>IF('Blank Quote'!C38&lt;&gt;"", 'Blank Quote'!C38, "")</f>
        <v/>
      </c>
      <c r="D92" s="44" t="str">
        <f>IF(B92&lt;&gt;"",F91/0.12*0.18, "")</f>
        <v/>
      </c>
      <c r="E92" s="50" t="str">
        <f>IF('Blank Quote'!E38&lt;&gt;"", 'Blank Quote'!E38, "")</f>
        <v/>
      </c>
      <c r="F92" s="251">
        <f>ROUND(S95*0.18,-1)</f>
        <v>1370</v>
      </c>
      <c r="G92" s="400" t="str">
        <f t="shared" si="33"/>
        <v/>
      </c>
      <c r="H92" s="401"/>
      <c r="I92" s="317" t="str">
        <f t="shared" ref="I92:I93" si="68">IF(B92&lt;&gt;"", B92, "")&amp;IF(E92&lt;&gt;"", "   *** "&amp;E92, "")</f>
        <v/>
      </c>
      <c r="J92" s="317"/>
      <c r="K92" s="317" t="str">
        <f t="shared" ref="K92:K93" si="69">E92</f>
        <v/>
      </c>
      <c r="L92" s="317"/>
      <c r="M92" s="317" t="str">
        <f t="shared" ref="M92:M93" si="70">G92</f>
        <v/>
      </c>
      <c r="N92" s="317"/>
      <c r="O92" s="317" t="str">
        <f t="shared" ref="O92:O93" si="71">I92</f>
        <v/>
      </c>
      <c r="P92" s="317"/>
      <c r="Q92" s="99" t="str">
        <f t="shared" si="63"/>
        <v/>
      </c>
      <c r="R92" s="318" t="str">
        <f t="shared" si="64"/>
        <v/>
      </c>
      <c r="S92" s="318" t="str">
        <f t="shared" si="65"/>
        <v/>
      </c>
      <c r="T92" s="318" t="str">
        <f t="shared" ref="T92:T93" si="72">IF(C92="", "", Q92*R92)</f>
        <v/>
      </c>
      <c r="U92" s="318" t="str">
        <f t="shared" ref="U92:U93" si="73">O92</f>
        <v/>
      </c>
      <c r="V92" s="49" t="str">
        <f>IF(C92="","", VLOOKUP(B92,'Raw BOM'!$A$3:$F$495,6,FALSE))</f>
        <v/>
      </c>
      <c r="X92" s="47">
        <f t="shared" si="42"/>
        <v>0</v>
      </c>
      <c r="Y92" s="179"/>
      <c r="Z92" s="47"/>
      <c r="AA92" s="48"/>
      <c r="AB92" s="48"/>
    </row>
    <row r="93" spans="1:28" s="1" customFormat="1" ht="30" customHeight="1" thickBot="1" x14ac:dyDescent="0.3">
      <c r="A93" s="41" t="str">
        <f>IF(B93&lt;&gt;"",VLOOKUP(B93,'Raw BOM'!$A$3:$B$495,2,FALSE),IF(E93&lt;&gt;"","Misc",""))</f>
        <v/>
      </c>
      <c r="B93" s="51" t="str">
        <f>IF('Blank Quote'!B39&lt;&gt;"", 'Blank Quote'!B39, "")</f>
        <v/>
      </c>
      <c r="C93" s="52" t="str">
        <f>IF('Blank Quote'!C39&lt;&gt;"", 'Blank Quote'!C39, "")</f>
        <v/>
      </c>
      <c r="D93" s="53" t="str">
        <f>IF(B93&lt;&gt;"",F92/0.12*0.18, "")</f>
        <v/>
      </c>
      <c r="E93" s="54" t="str">
        <f>IF('Blank Quote'!E39&lt;&gt;"", 'Blank Quote'!E39, "")</f>
        <v/>
      </c>
      <c r="F93" s="251">
        <f>ROUND(S95*0.24,-1)</f>
        <v>1830</v>
      </c>
      <c r="G93" s="428" t="str">
        <f t="shared" si="33"/>
        <v/>
      </c>
      <c r="H93" s="429"/>
      <c r="I93" s="371" t="str">
        <f t="shared" si="68"/>
        <v/>
      </c>
      <c r="J93" s="371"/>
      <c r="K93" s="371" t="str">
        <f t="shared" si="69"/>
        <v/>
      </c>
      <c r="L93" s="371"/>
      <c r="M93" s="371" t="str">
        <f t="shared" si="70"/>
        <v/>
      </c>
      <c r="N93" s="371"/>
      <c r="O93" s="371" t="str">
        <f t="shared" si="71"/>
        <v/>
      </c>
      <c r="P93" s="371"/>
      <c r="Q93" s="96" t="str">
        <f t="shared" si="63"/>
        <v/>
      </c>
      <c r="R93" s="373" t="str">
        <f t="shared" si="64"/>
        <v/>
      </c>
      <c r="S93" s="373" t="str">
        <f t="shared" si="65"/>
        <v/>
      </c>
      <c r="T93" s="373" t="str">
        <f t="shared" si="72"/>
        <v/>
      </c>
      <c r="U93" s="373" t="str">
        <f t="shared" si="73"/>
        <v/>
      </c>
      <c r="V93" s="55" t="str">
        <f>IF(C93="","", VLOOKUP(B93,'Raw BOM'!$A$3:$F$495,6,FALSE))</f>
        <v/>
      </c>
      <c r="X93" s="47">
        <f t="shared" si="42"/>
        <v>0</v>
      </c>
      <c r="Y93" s="179"/>
      <c r="Z93" s="47"/>
      <c r="AA93" s="48"/>
      <c r="AB93" s="48"/>
    </row>
    <row r="94" spans="1:28" ht="5.25" customHeight="1" thickTop="1" thickBot="1" x14ac:dyDescent="0.3">
      <c r="D94" s="35"/>
    </row>
    <row r="95" spans="1:28" ht="15" customHeight="1" outlineLevel="1" thickBot="1" x14ac:dyDescent="0.3">
      <c r="A95" s="249"/>
      <c r="B95" s="249"/>
      <c r="C95" s="249"/>
      <c r="D95" s="249"/>
      <c r="E95" s="249"/>
      <c r="G95" s="329" t="s">
        <v>129</v>
      </c>
      <c r="H95" s="330"/>
      <c r="I95" s="330"/>
      <c r="J95" s="330"/>
      <c r="K95" s="330"/>
      <c r="L95" s="330"/>
      <c r="M95" s="331"/>
      <c r="N95" s="338" t="str">
        <f>'Blank Quote'!$N$41:$O$41</f>
        <v>QS: 20191222</v>
      </c>
      <c r="O95" s="339"/>
      <c r="P95" s="57"/>
      <c r="Q95" s="57"/>
      <c r="R95" s="58" t="s">
        <v>131</v>
      </c>
      <c r="S95" s="323">
        <f>SUMIF(T73:U89,"&gt;0")</f>
        <v>7620</v>
      </c>
      <c r="T95" s="324"/>
      <c r="U95" s="325"/>
      <c r="V95" s="59"/>
    </row>
    <row r="96" spans="1:28" ht="15" customHeight="1" outlineLevel="1" thickBot="1" x14ac:dyDescent="0.3">
      <c r="A96" s="249"/>
      <c r="B96" s="249"/>
      <c r="C96" s="249"/>
      <c r="D96" s="249"/>
      <c r="E96" s="249"/>
      <c r="G96" s="332"/>
      <c r="H96" s="333"/>
      <c r="I96" s="333"/>
      <c r="J96" s="333"/>
      <c r="K96" s="333"/>
      <c r="L96" s="333"/>
      <c r="M96" s="334"/>
      <c r="N96" s="338" t="str">
        <f>'Blank Quote'!$N$42:$O$42</f>
        <v>PT: Apte</v>
      </c>
      <c r="O96" s="339"/>
      <c r="P96" s="57"/>
      <c r="Q96" s="57"/>
      <c r="R96" s="58" t="str">
        <f>IF(X96&gt;0,"Discount on Taxable Items:", "")</f>
        <v>Discount on Taxable Items:</v>
      </c>
      <c r="S96" s="326">
        <f>IF(X96&gt;0, -X96, 0)</f>
        <v>-926</v>
      </c>
      <c r="T96" s="327"/>
      <c r="U96" s="328"/>
      <c r="V96" s="258">
        <f>S96/S95</f>
        <v>-0.12152230971128609</v>
      </c>
      <c r="X96" s="61">
        <f>SUM(AA73:AA93)</f>
        <v>926</v>
      </c>
    </row>
    <row r="97" spans="1:24" ht="15" customHeight="1" outlineLevel="1" thickBot="1" x14ac:dyDescent="0.3">
      <c r="A97" s="249"/>
      <c r="B97" s="249"/>
      <c r="C97" s="249"/>
      <c r="D97" s="249"/>
      <c r="E97" s="249"/>
      <c r="G97" s="332"/>
      <c r="H97" s="333"/>
      <c r="I97" s="333"/>
      <c r="J97" s="333"/>
      <c r="K97" s="333"/>
      <c r="L97" s="333"/>
      <c r="M97" s="334"/>
      <c r="N97" s="56"/>
      <c r="P97" s="57"/>
      <c r="R97" s="58" t="str">
        <f>IF(X97&gt;0,"Discount on Non-Taxable Items:", "")</f>
        <v>Discount on Non-Taxable Items:</v>
      </c>
      <c r="S97" s="323">
        <f>IF(X97&gt;0, -X97, 0)+SUMIF(T73:U89,"&lt;0")</f>
        <v>-1289.2</v>
      </c>
      <c r="T97" s="324"/>
      <c r="U97" s="325"/>
      <c r="V97" s="256">
        <f>S97/S95</f>
        <v>-0.16918635170603674</v>
      </c>
      <c r="X97" s="61">
        <f>SUM(AB73:AB93)</f>
        <v>1289.2</v>
      </c>
    </row>
    <row r="98" spans="1:24" ht="15" customHeight="1" outlineLevel="1" thickBot="1" x14ac:dyDescent="0.3">
      <c r="A98" s="249"/>
      <c r="B98" s="249"/>
      <c r="C98" s="249"/>
      <c r="D98" s="249"/>
      <c r="E98" s="249"/>
      <c r="G98" s="332"/>
      <c r="H98" s="333"/>
      <c r="I98" s="333"/>
      <c r="J98" s="333"/>
      <c r="K98" s="333"/>
      <c r="L98" s="333"/>
      <c r="M98" s="334"/>
      <c r="N98" s="56"/>
      <c r="P98" s="57"/>
      <c r="R98" s="58" t="s">
        <v>132</v>
      </c>
      <c r="S98" s="323">
        <f>SUM(T90:U93)</f>
        <v>0</v>
      </c>
      <c r="T98" s="324"/>
      <c r="U98" s="325"/>
      <c r="V98" s="201"/>
      <c r="X98" s="61"/>
    </row>
    <row r="99" spans="1:24" ht="15" customHeight="1" outlineLevel="1" thickBot="1" x14ac:dyDescent="0.3">
      <c r="A99" s="249"/>
      <c r="B99" s="249"/>
      <c r="C99" s="249"/>
      <c r="D99" s="249"/>
      <c r="E99" s="249"/>
      <c r="G99" s="332"/>
      <c r="H99" s="333"/>
      <c r="I99" s="333"/>
      <c r="J99" s="333"/>
      <c r="K99" s="333"/>
      <c r="L99" s="333"/>
      <c r="M99" s="334"/>
      <c r="N99" s="56"/>
      <c r="P99" s="57"/>
      <c r="Q99" s="57"/>
      <c r="R99" s="58" t="s">
        <v>133</v>
      </c>
      <c r="S99" s="326" t="str">
        <f>IF(B65=0, "Tax Exempt or TBD", X99)</f>
        <v>Tax Exempt or TBD</v>
      </c>
      <c r="T99" s="327"/>
      <c r="U99" s="327"/>
      <c r="V99" s="257">
        <f>B65</f>
        <v>0</v>
      </c>
      <c r="X99" s="61">
        <f>SUM(X73:X93)</f>
        <v>0</v>
      </c>
    </row>
    <row r="100" spans="1:24" ht="15" customHeight="1" outlineLevel="1" thickBot="1" x14ac:dyDescent="0.3">
      <c r="A100" s="249"/>
      <c r="B100" s="249"/>
      <c r="C100" s="249"/>
      <c r="D100" s="249"/>
      <c r="E100" s="249"/>
      <c r="G100" s="335"/>
      <c r="H100" s="336"/>
      <c r="I100" s="336"/>
      <c r="J100" s="336"/>
      <c r="K100" s="336"/>
      <c r="L100" s="336"/>
      <c r="M100" s="337"/>
      <c r="N100" s="56"/>
      <c r="P100" s="57"/>
      <c r="Q100" s="57"/>
      <c r="R100" s="58" t="s">
        <v>134</v>
      </c>
      <c r="S100" s="320">
        <f>SUM(S95:U99)</f>
        <v>5404.8</v>
      </c>
      <c r="T100" s="321"/>
      <c r="U100" s="322"/>
      <c r="V100" s="62"/>
    </row>
    <row r="101" spans="1:24" ht="11.1" customHeight="1" thickBot="1" x14ac:dyDescent="0.3">
      <c r="A101" s="249"/>
      <c r="B101" s="249"/>
      <c r="C101" s="249"/>
      <c r="D101" s="249"/>
      <c r="E101" s="249"/>
    </row>
    <row r="102" spans="1:24" ht="2.4500000000000002" customHeight="1" outlineLevel="1" x14ac:dyDescent="0.25">
      <c r="A102" s="249"/>
      <c r="B102" s="249"/>
      <c r="C102" s="249"/>
      <c r="D102" s="249"/>
      <c r="E102" s="249"/>
      <c r="G102" s="306" t="str">
        <f>"TERMS &amp; CONDITIONS: "&amp;VLOOKUP(B69,'T&amp;C'!A1:B3,2,FALSE)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2" s="307"/>
      <c r="I102" s="307"/>
      <c r="J102" s="307"/>
      <c r="K102" s="307"/>
      <c r="L102" s="307"/>
      <c r="M102" s="307"/>
      <c r="N102" s="307"/>
      <c r="O102" s="307"/>
      <c r="P102" s="307"/>
      <c r="Q102" s="307"/>
      <c r="R102" s="307"/>
      <c r="S102" s="307"/>
      <c r="T102" s="307"/>
      <c r="U102" s="307"/>
      <c r="V102" s="308"/>
    </row>
    <row r="103" spans="1:24" ht="13.5" customHeight="1" outlineLevel="1" x14ac:dyDescent="0.25">
      <c r="A103" s="249"/>
      <c r="B103" s="249"/>
      <c r="C103" s="249"/>
      <c r="D103" s="249"/>
      <c r="E103" s="249"/>
      <c r="G103" s="309"/>
      <c r="H103" s="310"/>
      <c r="I103" s="310"/>
      <c r="J103" s="310"/>
      <c r="K103" s="310"/>
      <c r="L103" s="310"/>
      <c r="M103" s="310"/>
      <c r="N103" s="310"/>
      <c r="O103" s="310"/>
      <c r="P103" s="310"/>
      <c r="Q103" s="310"/>
      <c r="R103" s="310"/>
      <c r="S103" s="310"/>
      <c r="T103" s="310"/>
      <c r="U103" s="310"/>
      <c r="V103" s="311"/>
    </row>
    <row r="104" spans="1:24" ht="13.5" customHeight="1" outlineLevel="1" x14ac:dyDescent="0.25">
      <c r="A104" s="249"/>
      <c r="B104" s="249"/>
      <c r="C104" s="249"/>
      <c r="D104" s="249"/>
      <c r="E104" s="249"/>
      <c r="G104" s="309"/>
      <c r="H104" s="310"/>
      <c r="I104" s="310"/>
      <c r="J104" s="310"/>
      <c r="K104" s="310"/>
      <c r="L104" s="310"/>
      <c r="M104" s="310"/>
      <c r="N104" s="310"/>
      <c r="O104" s="310"/>
      <c r="P104" s="310"/>
      <c r="Q104" s="310"/>
      <c r="R104" s="310"/>
      <c r="S104" s="310"/>
      <c r="T104" s="310"/>
      <c r="U104" s="310"/>
      <c r="V104" s="311"/>
    </row>
    <row r="105" spans="1:24" ht="13.5" customHeight="1" outlineLevel="1" x14ac:dyDescent="0.25">
      <c r="A105" s="249"/>
      <c r="B105" s="249"/>
      <c r="C105" s="249"/>
      <c r="D105" s="249"/>
      <c r="E105" s="249"/>
      <c r="G105" s="309"/>
      <c r="H105" s="310"/>
      <c r="I105" s="310"/>
      <c r="J105" s="310"/>
      <c r="K105" s="310"/>
      <c r="L105" s="310"/>
      <c r="M105" s="310"/>
      <c r="N105" s="310"/>
      <c r="O105" s="310"/>
      <c r="P105" s="310"/>
      <c r="Q105" s="310"/>
      <c r="R105" s="310"/>
      <c r="S105" s="310"/>
      <c r="T105" s="310"/>
      <c r="U105" s="310"/>
      <c r="V105" s="311"/>
    </row>
    <row r="106" spans="1:24" ht="13.5" customHeight="1" outlineLevel="1" x14ac:dyDescent="0.25">
      <c r="A106" s="249"/>
      <c r="B106" s="249"/>
      <c r="C106" s="249"/>
      <c r="D106" s="249"/>
      <c r="E106" s="249"/>
      <c r="G106" s="309"/>
      <c r="H106" s="310"/>
      <c r="I106" s="310"/>
      <c r="J106" s="310"/>
      <c r="K106" s="310"/>
      <c r="L106" s="310"/>
      <c r="M106" s="310"/>
      <c r="N106" s="310"/>
      <c r="O106" s="310"/>
      <c r="P106" s="310"/>
      <c r="Q106" s="310"/>
      <c r="R106" s="310"/>
      <c r="S106" s="310"/>
      <c r="T106" s="310"/>
      <c r="U106" s="310"/>
      <c r="V106" s="311"/>
    </row>
    <row r="107" spans="1:24" ht="13.5" customHeight="1" outlineLevel="1" x14ac:dyDescent="0.25">
      <c r="A107" s="249"/>
      <c r="B107" s="249"/>
      <c r="C107" s="249"/>
      <c r="D107" s="249"/>
      <c r="E107" s="249"/>
      <c r="G107" s="309"/>
      <c r="H107" s="310"/>
      <c r="I107" s="310"/>
      <c r="J107" s="310"/>
      <c r="K107" s="310"/>
      <c r="L107" s="310"/>
      <c r="M107" s="310"/>
      <c r="N107" s="310"/>
      <c r="O107" s="310"/>
      <c r="P107" s="310"/>
      <c r="Q107" s="310"/>
      <c r="R107" s="310"/>
      <c r="S107" s="310"/>
      <c r="T107" s="310"/>
      <c r="U107" s="310"/>
      <c r="V107" s="311"/>
    </row>
    <row r="108" spans="1:24" ht="12.95" customHeight="1" outlineLevel="1" thickBot="1" x14ac:dyDescent="0.3">
      <c r="A108" s="249"/>
      <c r="B108" s="249"/>
      <c r="C108" s="249"/>
      <c r="D108" s="249"/>
      <c r="E108" s="249"/>
      <c r="G108" s="312"/>
      <c r="H108" s="313"/>
      <c r="I108" s="313"/>
      <c r="J108" s="313"/>
      <c r="K108" s="313"/>
      <c r="L108" s="313"/>
      <c r="M108" s="313"/>
      <c r="N108" s="313"/>
      <c r="O108" s="313"/>
      <c r="P108" s="313"/>
      <c r="Q108" s="313"/>
      <c r="R108" s="313"/>
      <c r="S108" s="313"/>
      <c r="T108" s="313"/>
      <c r="U108" s="313"/>
      <c r="V108" s="314"/>
    </row>
    <row r="109" spans="1:24" ht="17.45" customHeight="1" outlineLevel="1" thickTop="1" thickBot="1" x14ac:dyDescent="0.3">
      <c r="A109" s="13" t="str">
        <f>'Blank Quote'!$A1</f>
        <v>Pricing Type</v>
      </c>
      <c r="B109" s="14" t="s">
        <v>56</v>
      </c>
      <c r="C109" s="396" t="s">
        <v>57</v>
      </c>
      <c r="D109" s="392"/>
      <c r="E109" s="15" t="str">
        <f>VLOOKUP(B109,'Pricing Model'!A1:C21,3)</f>
        <v>Discount Based</v>
      </c>
    </row>
    <row r="110" spans="1:24" ht="24" customHeight="1" outlineLevel="1" thickBot="1" x14ac:dyDescent="0.3">
      <c r="A110" s="17" t="str">
        <f>'Blank Quote'!$A2</f>
        <v>Company / Agency</v>
      </c>
      <c r="B110" s="18" t="str">
        <f>'Blank Quote'!B2</f>
        <v>Command International Security Services</v>
      </c>
      <c r="C110" s="394" t="s">
        <v>59</v>
      </c>
      <c r="D110" s="395"/>
      <c r="E110" s="252">
        <f>IF(E109="Discount Based", VLOOKUP(B109,'Pricing Model'!A1:D21,4), "")</f>
        <v>0.2</v>
      </c>
      <c r="P110" s="398" t="s">
        <v>139</v>
      </c>
      <c r="Q110" s="398"/>
      <c r="R110" s="398"/>
      <c r="S110" s="398"/>
      <c r="T110" s="398"/>
      <c r="U110" s="398"/>
    </row>
    <row r="111" spans="1:24" ht="18" customHeight="1" outlineLevel="1" x14ac:dyDescent="0.25">
      <c r="A111" s="17" t="str">
        <f>'Blank Quote'!$A3</f>
        <v>Billing Contact</v>
      </c>
      <c r="B111" s="18" t="str">
        <f>'Blank Quote'!B3</f>
        <v>Amira Hossain</v>
      </c>
      <c r="C111" s="394" t="s">
        <v>62</v>
      </c>
      <c r="D111" s="395"/>
      <c r="E111" s="252">
        <f>IF(E109="Discount Based", VLOOKUP(B109,'Pricing Model'!A1:E21,5), "")</f>
        <v>0.44</v>
      </c>
      <c r="N111" s="265" t="str">
        <f>IF('Blank Quote'!$E$7&lt;&gt;"", "REPLACING", "")</f>
        <v/>
      </c>
    </row>
    <row r="112" spans="1:24" ht="18" customHeight="1" outlineLevel="1" x14ac:dyDescent="0.25">
      <c r="A112" s="20" t="str">
        <f>'Blank Quote'!$A4</f>
        <v>Contact Email | Phone</v>
      </c>
      <c r="B112" s="21" t="str">
        <f>'Blank Quote'!B4</f>
        <v>(747) 366-0211 | manny@commandinternationalsecurity.com</v>
      </c>
      <c r="C112" s="394" t="s">
        <v>64</v>
      </c>
      <c r="D112" s="395"/>
      <c r="E112" s="19" t="str">
        <f>IF(E109="Cost Based", VLOOKUP(B109,'Pricing Model'!A1:F21,6), "")</f>
        <v/>
      </c>
      <c r="G112" s="368" t="s">
        <v>65</v>
      </c>
      <c r="H112" s="368"/>
      <c r="I112" s="368"/>
      <c r="J112" s="368"/>
      <c r="K112" s="368"/>
      <c r="L112" s="368"/>
      <c r="M112" s="22"/>
      <c r="N112" s="264" t="str">
        <f>IF('Blank Quote'!$E$7&lt;&gt;"","LSID: "&amp;'Blank Quote'!$E$7, "")</f>
        <v/>
      </c>
      <c r="P112" s="367" t="s">
        <v>66</v>
      </c>
      <c r="Q112" s="367"/>
      <c r="R112" s="367"/>
      <c r="S112" s="367"/>
      <c r="T112" s="367"/>
      <c r="U112" s="367"/>
    </row>
    <row r="113" spans="1:28" ht="18" customHeight="1" outlineLevel="1" thickBot="1" x14ac:dyDescent="0.3">
      <c r="A113" s="20" t="str">
        <f>'Blank Quote'!$A5</f>
        <v>Bill To Address</v>
      </c>
      <c r="B113" s="21" t="str">
        <f>'Blank Quote'!B5</f>
        <v>MID-VALLEY PROFESSIONAL BUILDING</v>
      </c>
      <c r="C113" s="390" t="s">
        <v>68</v>
      </c>
      <c r="D113" s="391"/>
      <c r="E113" s="23" t="str">
        <f>IF(E109="Cost Based", VLOOKUP(B109,'Pricing Model'!A1:G21,7), "")</f>
        <v/>
      </c>
      <c r="G113" s="368" t="s">
        <v>69</v>
      </c>
      <c r="H113" s="368"/>
      <c r="I113" s="368"/>
      <c r="J113" s="368"/>
      <c r="K113" s="368"/>
      <c r="L113" s="368"/>
      <c r="M113" s="22"/>
    </row>
    <row r="114" spans="1:28" ht="18" customHeight="1" outlineLevel="1" thickBot="1" x14ac:dyDescent="0.3">
      <c r="A114" s="20" t="str">
        <f>'Blank Quote'!$A6</f>
        <v>City, State Zip</v>
      </c>
      <c r="B114" s="24" t="str">
        <f>'Blank Quote'!B6</f>
        <v>6819 Sepulveda Blvd, Van Nuys, CA 91405</v>
      </c>
      <c r="C114" s="25"/>
      <c r="D114" s="25"/>
      <c r="E114" s="25"/>
      <c r="G114" s="368" t="s">
        <v>70</v>
      </c>
      <c r="H114" s="368"/>
      <c r="I114" s="368"/>
      <c r="J114" s="368"/>
      <c r="K114" s="368"/>
      <c r="L114" s="368"/>
      <c r="M114" s="22"/>
      <c r="P114" s="367" t="s">
        <v>71</v>
      </c>
      <c r="Q114" s="367"/>
      <c r="R114" s="367"/>
      <c r="S114" s="367"/>
      <c r="T114" s="367"/>
      <c r="U114" s="367"/>
    </row>
    <row r="115" spans="1:28" ht="6" customHeight="1" outlineLevel="1" thickBot="1" x14ac:dyDescent="0.4">
      <c r="A115" s="17" t="str">
        <f>'Blank Quote'!$A7</f>
        <v>Shipping Contact</v>
      </c>
      <c r="B115" s="18" t="str">
        <f>'Blank Quote'!B7</f>
        <v>Amira Hossain</v>
      </c>
      <c r="C115" s="25"/>
      <c r="D115" s="25"/>
      <c r="E115" s="25"/>
      <c r="G115" s="26"/>
    </row>
    <row r="116" spans="1:28" ht="18" customHeight="1" outlineLevel="1" thickBot="1" x14ac:dyDescent="0.35">
      <c r="A116" s="20" t="str">
        <f>'Blank Quote'!$A8</f>
        <v>Ship Email | Phone</v>
      </c>
      <c r="B116" s="21" t="str">
        <f>'Blank Quote'!B8</f>
        <v>(747) 366-0211 | manny@commandinternationalsecurity.com</v>
      </c>
      <c r="C116" s="25"/>
      <c r="D116" s="25"/>
      <c r="E116" s="25"/>
      <c r="G116" s="350" t="s">
        <v>75</v>
      </c>
      <c r="H116" s="351"/>
      <c r="I116" s="351"/>
      <c r="J116" s="351"/>
      <c r="K116" s="351"/>
      <c r="L116" s="351"/>
      <c r="M116" s="352"/>
      <c r="O116" s="350" t="s">
        <v>76</v>
      </c>
      <c r="P116" s="351"/>
      <c r="Q116" s="351"/>
      <c r="R116" s="351"/>
      <c r="S116" s="351"/>
      <c r="T116" s="351"/>
      <c r="U116" s="351"/>
      <c r="V116" s="352"/>
    </row>
    <row r="117" spans="1:28" ht="18" customHeight="1" outlineLevel="1" x14ac:dyDescent="0.25">
      <c r="A117" s="20" t="str">
        <f>'Blank Quote'!$A9</f>
        <v>Ship To Address</v>
      </c>
      <c r="B117" s="21" t="str">
        <f>'Blank Quote'!B9</f>
        <v>MID-VALLEY PROFESSIONAL BUILDING</v>
      </c>
      <c r="C117" s="25"/>
      <c r="D117" s="25"/>
      <c r="E117" s="25"/>
      <c r="G117" s="353" t="str">
        <f>IF('Blank Quote'!B2="", "", 'Blank Quote'!B2)</f>
        <v>Command International Security Services</v>
      </c>
      <c r="H117" s="354"/>
      <c r="I117" s="354"/>
      <c r="J117" s="354"/>
      <c r="K117" s="354"/>
      <c r="L117" s="354"/>
      <c r="M117" s="355"/>
      <c r="O117" s="340" t="str">
        <f>IF('Blank Quote'!B2="", "", 'Blank Quote'!B2)</f>
        <v>Command International Security Services</v>
      </c>
      <c r="P117" s="341"/>
      <c r="Q117" s="341"/>
      <c r="R117" s="341"/>
      <c r="S117" s="341"/>
      <c r="T117" s="341"/>
      <c r="U117" s="341"/>
      <c r="V117" s="342"/>
    </row>
    <row r="118" spans="1:28" ht="18" customHeight="1" outlineLevel="1" thickBot="1" x14ac:dyDescent="0.3">
      <c r="A118" s="27" t="str">
        <f>'Blank Quote'!$A10</f>
        <v>City, State Zip</v>
      </c>
      <c r="B118" s="24" t="str">
        <f>'Blank Quote'!B10</f>
        <v>6819 Sepulveda Blvd, Van Nuys, CA 91405</v>
      </c>
      <c r="C118" s="25"/>
      <c r="D118" s="25"/>
      <c r="E118" s="25"/>
      <c r="G118" s="340" t="str">
        <f>IF('Blank Quote'!B3="", "", 'Blank Quote'!B3)</f>
        <v>Amira Hossain</v>
      </c>
      <c r="H118" s="341"/>
      <c r="I118" s="341"/>
      <c r="J118" s="341"/>
      <c r="K118" s="341"/>
      <c r="L118" s="341"/>
      <c r="M118" s="342"/>
      <c r="O118" s="340" t="str">
        <f>IF('Blank Quote'!B7="", "", 'Blank Quote'!B7)</f>
        <v>Amira Hossain</v>
      </c>
      <c r="P118" s="341"/>
      <c r="Q118" s="341"/>
      <c r="R118" s="341"/>
      <c r="S118" s="341"/>
      <c r="T118" s="341"/>
      <c r="U118" s="341"/>
      <c r="V118" s="342"/>
    </row>
    <row r="119" spans="1:28" ht="18" customHeight="1" outlineLevel="1" thickBot="1" x14ac:dyDescent="0.3">
      <c r="A119" s="27" t="str">
        <f>'Blank Quote'!$A11</f>
        <v>Sales Tax Rate</v>
      </c>
      <c r="B119" s="28">
        <f>'Blank Quote'!B11</f>
        <v>0</v>
      </c>
      <c r="C119" s="25"/>
      <c r="D119" s="25"/>
      <c r="E119" s="25"/>
      <c r="G119" s="340" t="str">
        <f>IF('Blank Quote'!B4="", "", 'Blank Quote'!B4)</f>
        <v>(747) 366-0211 | manny@commandinternationalsecurity.com</v>
      </c>
      <c r="H119" s="341"/>
      <c r="I119" s="341"/>
      <c r="J119" s="341"/>
      <c r="K119" s="341"/>
      <c r="L119" s="341"/>
      <c r="M119" s="342"/>
      <c r="O119" s="340" t="str">
        <f>IF('Blank Quote'!B8="", "", 'Blank Quote'!B8)</f>
        <v>(747) 366-0211 | manny@commandinternationalsecurity.com</v>
      </c>
      <c r="P119" s="341"/>
      <c r="Q119" s="341"/>
      <c r="R119" s="341"/>
      <c r="S119" s="341"/>
      <c r="T119" s="341"/>
      <c r="U119" s="341"/>
      <c r="V119" s="342"/>
    </row>
    <row r="120" spans="1:28" ht="18" customHeight="1" outlineLevel="1" thickBot="1" x14ac:dyDescent="0.3">
      <c r="A120" s="13" t="str">
        <f>'Blank Quote'!$A12</f>
        <v>Sales Rep</v>
      </c>
      <c r="B120" s="29" t="str">
        <f>'Blank Quote'!B12</f>
        <v>EC</v>
      </c>
      <c r="C120" s="25"/>
      <c r="D120" s="25"/>
      <c r="E120" s="25"/>
      <c r="G120" s="340" t="str">
        <f>IF('Blank Quote'!B5="", "", 'Blank Quote'!B5)</f>
        <v>MID-VALLEY PROFESSIONAL BUILDING</v>
      </c>
      <c r="H120" s="341"/>
      <c r="I120" s="341"/>
      <c r="J120" s="341"/>
      <c r="K120" s="341"/>
      <c r="L120" s="341"/>
      <c r="M120" s="342"/>
      <c r="O120" s="340" t="str">
        <f>IF('Blank Quote'!B9="", "", 'Blank Quote'!B9)</f>
        <v>MID-VALLEY PROFESSIONAL BUILDING</v>
      </c>
      <c r="P120" s="341"/>
      <c r="Q120" s="341"/>
      <c r="R120" s="341"/>
      <c r="S120" s="341"/>
      <c r="T120" s="341"/>
      <c r="U120" s="341"/>
      <c r="V120" s="342"/>
    </row>
    <row r="121" spans="1:28" ht="18" customHeight="1" outlineLevel="1" thickBot="1" x14ac:dyDescent="0.3">
      <c r="A121" s="13" t="str">
        <f>'Blank Quote'!$A13</f>
        <v>Shipping Method</v>
      </c>
      <c r="B121" s="30" t="str">
        <f>'Blank Quote'!B13</f>
        <v>Ground</v>
      </c>
      <c r="C121" s="25"/>
      <c r="D121" s="25"/>
      <c r="E121" s="25"/>
      <c r="G121" s="295" t="str">
        <f>IF('Blank Quote'!B6="", "", 'Blank Quote'!B6)</f>
        <v>6819 Sepulveda Blvd, Van Nuys, CA 91405</v>
      </c>
      <c r="H121" s="296"/>
      <c r="I121" s="296"/>
      <c r="J121" s="296"/>
      <c r="K121" s="296"/>
      <c r="L121" s="296"/>
      <c r="M121" s="297"/>
      <c r="O121" s="295" t="str">
        <f>IF('Blank Quote'!B10="", "", 'Blank Quote'!B10)</f>
        <v>6819 Sepulveda Blvd, Van Nuys, CA 91405</v>
      </c>
      <c r="P121" s="296"/>
      <c r="Q121" s="296"/>
      <c r="R121" s="296"/>
      <c r="S121" s="296"/>
      <c r="T121" s="296"/>
      <c r="U121" s="296"/>
      <c r="V121" s="297"/>
    </row>
    <row r="122" spans="1:28" ht="5.25" customHeight="1" outlineLevel="1" thickBot="1" x14ac:dyDescent="0.3">
      <c r="A122">
        <f>'Blank Quote'!$A14</f>
        <v>0</v>
      </c>
      <c r="B122" s="31"/>
      <c r="C122" s="25"/>
      <c r="D122" s="25"/>
      <c r="E122" s="25"/>
    </row>
    <row r="123" spans="1:28" ht="16.5" outlineLevel="1" thickBot="1" x14ac:dyDescent="0.3">
      <c r="A123" s="32" t="str">
        <f>'Blank Quote'!$A15</f>
        <v>T&amp;C</v>
      </c>
      <c r="B123" s="33" t="str">
        <f>VLOOKUP(B109,'Pricing Model'!A1:J21,10)</f>
        <v>Private</v>
      </c>
      <c r="C123" s="25"/>
      <c r="D123" s="25"/>
      <c r="E123" s="25"/>
      <c r="G123" s="293" t="s">
        <v>85</v>
      </c>
      <c r="H123" s="294"/>
      <c r="I123" s="293" t="s">
        <v>86</v>
      </c>
      <c r="J123" s="361"/>
      <c r="K123" s="294"/>
      <c r="L123" s="293" t="s">
        <v>87</v>
      </c>
      <c r="M123" s="361"/>
      <c r="N123" s="294"/>
      <c r="O123" s="293" t="s">
        <v>88</v>
      </c>
      <c r="P123" s="294"/>
      <c r="Q123" s="293" t="s">
        <v>89</v>
      </c>
      <c r="R123" s="294"/>
      <c r="S123" s="298" t="s">
        <v>90</v>
      </c>
      <c r="T123" s="299"/>
      <c r="U123" s="299"/>
      <c r="V123" s="300"/>
    </row>
    <row r="124" spans="1:28" ht="15.75" outlineLevel="1" thickBot="1" x14ac:dyDescent="0.3">
      <c r="A124" s="34" t="str">
        <f>'Blank Quote'!$A16</f>
        <v>Contract Number</v>
      </c>
      <c r="B124" s="33">
        <f>VLOOKUP(B109,'Pricing Model'!A1:H21,8)</f>
        <v>0</v>
      </c>
      <c r="C124" s="25"/>
      <c r="D124" s="25"/>
      <c r="E124" s="25"/>
      <c r="G124" s="362">
        <f ca="1">TODAY()</f>
        <v>45140</v>
      </c>
      <c r="H124" s="363"/>
      <c r="I124" s="364">
        <f ca="1">NOW()</f>
        <v>45140.445939351855</v>
      </c>
      <c r="J124" s="365"/>
      <c r="K124" s="366"/>
      <c r="L124" s="301" t="str">
        <f>'Non_CA Multi Tenprint'!B120</f>
        <v>EC</v>
      </c>
      <c r="M124" s="302"/>
      <c r="N124" s="303"/>
      <c r="O124" s="301" t="str">
        <f>VLOOKUP(B109,'Pricing Model'!A1:I21,9)</f>
        <v>Due on Rcpt</v>
      </c>
      <c r="P124" s="303"/>
      <c r="Q124" s="301" t="str">
        <f>B121</f>
        <v>Ground</v>
      </c>
      <c r="R124" s="302"/>
      <c r="S124" s="301" t="str">
        <f>IF(B124&lt;&gt;0,B124,"")</f>
        <v/>
      </c>
      <c r="T124" s="302"/>
      <c r="U124" s="302"/>
      <c r="V124" s="303"/>
    </row>
    <row r="125" spans="1:28" ht="5.25" customHeight="1" outlineLevel="1" thickBot="1" x14ac:dyDescent="0.3">
      <c r="D125" s="35"/>
    </row>
    <row r="126" spans="1:28" ht="17.25" thickTop="1" thickBot="1" x14ac:dyDescent="0.3">
      <c r="A126" s="36" t="s">
        <v>92</v>
      </c>
      <c r="B126" s="37" t="s">
        <v>93</v>
      </c>
      <c r="C126" s="38" t="s">
        <v>94</v>
      </c>
      <c r="D126" s="38" t="s">
        <v>95</v>
      </c>
      <c r="E126" s="39" t="s">
        <v>96</v>
      </c>
      <c r="G126" s="347" t="s">
        <v>92</v>
      </c>
      <c r="H126" s="348"/>
      <c r="I126" s="349" t="s">
        <v>93</v>
      </c>
      <c r="J126" s="349"/>
      <c r="K126" s="349"/>
      <c r="L126" s="349"/>
      <c r="M126" s="349"/>
      <c r="N126" s="349"/>
      <c r="O126" s="349"/>
      <c r="P126" s="349"/>
      <c r="Q126" s="97" t="s">
        <v>94</v>
      </c>
      <c r="R126" s="349" t="s">
        <v>97</v>
      </c>
      <c r="S126" s="349"/>
      <c r="T126" s="349" t="s">
        <v>98</v>
      </c>
      <c r="U126" s="349"/>
      <c r="V126" s="40" t="s">
        <v>99</v>
      </c>
      <c r="X126" s="97" t="s">
        <v>100</v>
      </c>
      <c r="Y126" s="97" t="s">
        <v>101</v>
      </c>
      <c r="Z126" s="97" t="s">
        <v>102</v>
      </c>
      <c r="AA126" s="97" t="s">
        <v>103</v>
      </c>
      <c r="AB126" s="97" t="s">
        <v>104</v>
      </c>
    </row>
    <row r="127" spans="1:28" s="1" customFormat="1" ht="30" customHeight="1" x14ac:dyDescent="0.25">
      <c r="A127" s="41" t="str">
        <f>IF(B127&lt;&gt;"",VLOOKUP(B127,'Raw BOM'!$A$3:$B$495,2,FALSE),IF(E127&lt;&gt;"","Misc",""))</f>
        <v>HW-LT-Std-Home</v>
      </c>
      <c r="B127" s="42" t="str">
        <f>IF('Blank Quote'!B19&lt;&gt;"", 'Blank Quote'!B19, "")</f>
        <v>Hardware-Laptop-Standard with Windows Home Edition</v>
      </c>
      <c r="C127" s="43">
        <f>IF('Blank Quote'!C19&lt;&gt;"", 'Blank Quote'!C19, "")</f>
        <v>1</v>
      </c>
      <c r="D127" s="44"/>
      <c r="E127" s="45" t="str">
        <f>IF('Blank Quote'!E19&lt;&gt;"", 'Blank Quote'!E19, "")</f>
        <v>Standard with Windows 11</v>
      </c>
      <c r="F127"/>
      <c r="G127" s="374" t="str">
        <f t="shared" ref="G127:G146" si="74">IF(A127&lt;&gt;"", A127, "")</f>
        <v>HW-LT-Std-Home</v>
      </c>
      <c r="H127" s="375"/>
      <c r="I127" s="376" t="str">
        <f>IF(B127&lt;&gt;"", B127, "")&amp;IF(E127&lt;&gt;"", "   *** "&amp;E127, "")</f>
        <v>Hardware-Laptop-Standard with Windows Home Edition   *** Standard with Windows 11</v>
      </c>
      <c r="J127" s="376"/>
      <c r="K127" s="376" t="str">
        <f t="shared" ref="K127:K144" si="75">E127</f>
        <v>Standard with Windows 11</v>
      </c>
      <c r="L127" s="376"/>
      <c r="M127" s="376" t="str">
        <f t="shared" ref="M127:M144" si="76">G127</f>
        <v>HW-LT-Std-Home</v>
      </c>
      <c r="N127" s="376"/>
      <c r="O127" s="376" t="str">
        <f t="shared" ref="O127:O144" si="77">I127</f>
        <v>Hardware-Laptop-Standard with Windows Home Edition   *** Standard with Windows 11</v>
      </c>
      <c r="P127" s="376"/>
      <c r="Q127" s="98">
        <f>IF(C127="", "", C127)</f>
        <v>1</v>
      </c>
      <c r="R127" s="319">
        <f>IF(C127="", "",IF(D127&gt;0,D127,
IF($E$109="NY Contract", VLOOKUP(B127,'Raw BOM'!$A$3:$G$495,7,FALSE),
IF($E$109="FL Contract", VLOOKUP(B127,'Raw BOM'!$A$3:$I$495,8,FALSE),
IF($E$109="LA Contract", VLOOKUP(B127,'Raw BOM'!$A$3:$K$495,9,FALSE),
IF($E$109="WA Contract", VLOOKUP(B127,'Raw BOM'!$A$3:$M$495,10,FALSE),
VLOOKUP(B127,'Raw BOM'!$A$3:$D$495,4,FALSE)))))))</f>
        <v>750</v>
      </c>
      <c r="S127" s="319" t="str">
        <f t="shared" ref="S127:S128" si="78">M127</f>
        <v>HW-LT-Std-Home</v>
      </c>
      <c r="T127" s="319">
        <f>IF(C127="", "", Q127*R127)</f>
        <v>750</v>
      </c>
      <c r="U127" s="319" t="str">
        <f t="shared" ref="U127:U128" si="79">O127</f>
        <v>Hardware-Laptop-Standard with Windows Home Edition   *** Standard with Windows 11</v>
      </c>
      <c r="V127" s="46" t="str">
        <f>IF(C127="","", VLOOKUP(B127,'Raw BOM'!$A$3:$F$495,6,FALSE))</f>
        <v>Yes</v>
      </c>
      <c r="X127" s="47">
        <f t="shared" ref="X127:X147" si="80">IF(AND(V127="Yes", Q127&lt;&gt;0), (T127-Y127)*$B$119, 0)</f>
        <v>0</v>
      </c>
      <c r="Y127" s="198">
        <f>ROUND(
IF(AND(C127&lt;&gt;"", D127="", V127="Yes"),
     IF($E$109="Discount Based",
         R127*IF(OR(LEFT(A127,2)="HW", LEFT(A127,12)="CMS-Hardware"),
              $E$110,
              IF(AND(LEFT(A127,3)="Sys", LEFT(A127,4)&lt;&gt;"Ship"),
                   ($E$110+$E$111)/2,
                    0)),
         IF($E$109="Cost Based",
              IF(OR(LEFT(A127,2)="HW", LEFT(A127,12)="CMS-Hardware"),
                   R127-(1+$E$112)*VLOOKUP(B127,'Raw BOM'!$A$3:$E$492,5,FALSE),
              IF(AND(LEFT(A127,3)="Sys", LEFT(A127,4)&lt;&gt;"Ship"),
                   R127-(1+($E$112+$E$113)/2)*VLOOKUP(B127,'Raw BOM'!$A$3:$E$492,5,FALSE),
                   0))))),2)</f>
        <v>150</v>
      </c>
      <c r="Z127" s="47">
        <f>ROUND(
IF(AND(C127&lt;&gt;"", D127="", V127="No"),
     IF($E$109="Discount Based",
         R127*IF(AND(LEFT(A127,2)&lt;&gt;"HW", LEFT(A127,12)&lt;&gt;"CMS-Hardware",LEFT(A127,3)&lt;&gt;"Sys", LEFT(A127,4)&lt;&gt;"Ship"),
                   $E$111,0),
     IF($E$109="Cost Based",
          IF(AND(LEFT(A127,2)&lt;&gt;"HW", LEFT(A127,12)&lt;&gt;"CMS-Hardware",LEFT(A127,3)&lt;&gt;"Sys", LEFT(A127,4)&lt;&gt;"Ship"),
               R127-(1+$E$112)*VLOOKUP(B127,'Raw BOM'!$A$3:$E$492,5,FALSE),0),0)),0),2)</f>
        <v>0</v>
      </c>
      <c r="AA127" s="48">
        <f>ROUND(IF(AND(Y127&gt;0, Y127&lt;&gt;"", D127=""),Q127*Y127,0), 2)</f>
        <v>150</v>
      </c>
      <c r="AB127" s="48">
        <f>ROUND(IF(AND(Z127&lt;&gt;"",Z127&gt;0, D127=""),Q127*Z127,0),2)</f>
        <v>0</v>
      </c>
    </row>
    <row r="128" spans="1:28" s="1" customFormat="1" ht="30" customHeight="1" x14ac:dyDescent="0.25">
      <c r="A128" s="41" t="str">
        <f>IF(B128&lt;&gt;"",VLOOKUP(B128,'Raw BOM'!$A$3:$B$495,2,FALSE),IF(E128&lt;&gt;"","Misc",""))</f>
        <v>LS4G-Applicant-CA</v>
      </c>
      <c r="B128" s="42" t="str">
        <f>IF('Blank Quote'!B20&lt;&gt;"", 'Blank Quote'!B20, "")</f>
        <v>LiveScan 4th Gen Software-Applicant CA TOT Module</v>
      </c>
      <c r="C128" s="43">
        <f>IF('Blank Quote'!C20&lt;&gt;"", 'Blank Quote'!C20, "")</f>
        <v>1</v>
      </c>
      <c r="D128" s="44"/>
      <c r="E128" s="45" t="str">
        <f>IF('Blank Quote'!E20&lt;&gt;"", 'Blank Quote'!E20, "")</f>
        <v/>
      </c>
      <c r="F128"/>
      <c r="G128" s="315" t="str">
        <f t="shared" si="74"/>
        <v>LS4G-Applicant-CA</v>
      </c>
      <c r="H128" s="316"/>
      <c r="I128" s="317" t="str">
        <f t="shared" ref="I128:I144" si="81">IF(B128&lt;&gt;"", B128, "")&amp;IF(E128&lt;&gt;"", "   *** "&amp;E128, "")</f>
        <v>LiveScan 4th Gen Software-Applicant CA TOT Module</v>
      </c>
      <c r="J128" s="317"/>
      <c r="K128" s="317" t="str">
        <f t="shared" si="75"/>
        <v/>
      </c>
      <c r="L128" s="317"/>
      <c r="M128" s="317" t="str">
        <f t="shared" si="76"/>
        <v>LS4G-Applicant-CA</v>
      </c>
      <c r="N128" s="317"/>
      <c r="O128" s="317" t="str">
        <f t="shared" si="77"/>
        <v>LiveScan 4th Gen Software-Applicant CA TOT Module</v>
      </c>
      <c r="P128" s="317"/>
      <c r="Q128" s="99">
        <f t="shared" ref="Q128:Q147" si="82">IF(C128="", "", C128)</f>
        <v>1</v>
      </c>
      <c r="R128" s="318">
        <f>IF(C128="", "",IF(D128&gt;0,D128,
IF($E$109="NY Contract", VLOOKUP(B128,'Raw BOM'!$A$3:$G$495,7,FALSE),
IF($E$109="FL Contract", VLOOKUP(B128,'Raw BOM'!$A$3:$I$495,8,FALSE),
IF($E$109="LA Contract", VLOOKUP(B128,'Raw BOM'!$A$3:$K$495,9,FALSE),
IF($E$109="WA Contract", VLOOKUP(B128,'Raw BOM'!$A$3:$M$495,10,FALSE),
VLOOKUP(B128,'Raw BOM'!$A$3:$D$495,4,FALSE)))))))</f>
        <v>1340</v>
      </c>
      <c r="S128" s="318" t="str">
        <f t="shared" si="78"/>
        <v>LS4G-Applicant-CA</v>
      </c>
      <c r="T128" s="318">
        <f t="shared" ref="T128" si="83">IF(C128="", "", Q128*R128)</f>
        <v>1340</v>
      </c>
      <c r="U128" s="318" t="str">
        <f t="shared" si="79"/>
        <v>LiveScan 4th Gen Software-Applicant CA TOT Module</v>
      </c>
      <c r="V128" s="49" t="str">
        <f>IF(C128="","", VLOOKUP(B128,'Raw BOM'!$A$3:$F$495,6,FALSE))</f>
        <v>No</v>
      </c>
      <c r="X128" s="47">
        <f t="shared" si="80"/>
        <v>0</v>
      </c>
      <c r="Y128" s="198">
        <f>ROUND(
IF(AND(C128&lt;&gt;"", D128="", V128="Yes"),
     IF($E$109="Discount Based",
         R128*IF(OR(LEFT(A128,2)="HW", LEFT(A128,12)="CMS-Hardware"),
              $E$110,
              IF(AND(LEFT(A128,3)="Sys", LEFT(A128,4)&lt;&gt;"Ship"),
                   ($E$110+$E$111)/2,
                    0)),
         IF($E$109="Cost Based",
              IF(OR(LEFT(A128,2)="HW", LEFT(A128,12)="CMS-Hardware"),
                   R128-(1+$E$112)*VLOOKUP(B128,'Raw BOM'!$A$3:$E$492,5,FALSE),
              IF(AND(LEFT(A128,3)="Sys", LEFT(A128,4)&lt;&gt;"Ship"),
                   R128-(1+($E$112+$E$113)/2)*VLOOKUP(B128,'Raw BOM'!$A$3:$E$492,5,FALSE),
                   0))))),2)</f>
        <v>0</v>
      </c>
      <c r="Z128" s="47">
        <f>ROUND(
IF(AND(C128&lt;&gt;"", D128="", V128="No"),
     IF($E$109="Discount Based",
         R128*IF(AND(LEFT(A128,2)&lt;&gt;"HW", LEFT(A128,12)&lt;&gt;"CMS-Hardware",LEFT(A128,3)&lt;&gt;"Sys", LEFT(A128,4)&lt;&gt;"Ship"),
                   $E$111,0),
     IF($E$109="Cost Based",
          IF(AND(LEFT(A128,2)&lt;&gt;"HW", LEFT(A128,12)&lt;&gt;"CMS-Hardware",LEFT(A128,3)&lt;&gt;"Sys", LEFT(A128,4)&lt;&gt;"Ship"),
               R128-(1+$E$112)*VLOOKUP(B128,'Raw BOM'!$A$3:$E$492,5,FALSE),0),0)),0),2)</f>
        <v>589.6</v>
      </c>
      <c r="AA128" s="48">
        <f t="shared" ref="AA128" si="84">ROUND(IF(AND(Y128&gt;0, Y128&lt;&gt;"", D128=""),Q128*Y128,0), 2)</f>
        <v>0</v>
      </c>
      <c r="AB128" s="48">
        <f t="shared" ref="AB128" si="85">ROUND(IF(AND(Z128&lt;&gt;"",Z128&gt;0, D128=""),Q128*Z128,0),2)</f>
        <v>589.6</v>
      </c>
    </row>
    <row r="129" spans="1:28" s="1" customFormat="1" ht="30" customHeight="1" x14ac:dyDescent="0.25">
      <c r="A129" s="184" t="str">
        <f>IF(B129&lt;&gt;"",VLOOKUP(B129,'Raw BOM'!$A$3:$B$495,2,FALSE),IF(E129&lt;&gt;"","Misc",""))</f>
        <v>HW-Scan-Kojak</v>
      </c>
      <c r="B129" s="185" t="s">
        <v>141</v>
      </c>
      <c r="C129" s="186">
        <f>IF('Blank Quote'!C21&lt;&gt;"", 'Blank Quote'!C21, "")</f>
        <v>1</v>
      </c>
      <c r="D129" s="187"/>
      <c r="E129" s="188" t="str">
        <f>IF('Blank Quote'!E21&lt;&gt;"", 'Blank Quote'!E21, "")</f>
        <v/>
      </c>
      <c r="F129" s="189"/>
      <c r="G129" s="407" t="str">
        <f t="shared" si="74"/>
        <v>HW-Scan-Kojak</v>
      </c>
      <c r="H129" s="408"/>
      <c r="I129" s="409" t="str">
        <f t="shared" ref="I129:I131" si="86">IF(B129&lt;&gt;"", B129, "")&amp;IF(E129&lt;&gt;"", "   *** "&amp;E129, "")</f>
        <v>Hardware-Scanner-IBT Kojak</v>
      </c>
      <c r="J129" s="410"/>
      <c r="K129" s="410" t="str">
        <f t="shared" ref="K129:K131" si="87">E129</f>
        <v/>
      </c>
      <c r="L129" s="410"/>
      <c r="M129" s="410" t="str">
        <f t="shared" ref="M129:M131" si="88">G129</f>
        <v>HW-Scan-Kojak</v>
      </c>
      <c r="N129" s="410"/>
      <c r="O129" s="410" t="str">
        <f t="shared" ref="O129:O131" si="89">I129</f>
        <v>Hardware-Scanner-IBT Kojak</v>
      </c>
      <c r="P129" s="411"/>
      <c r="Q129" s="190">
        <f t="shared" ref="Q129:Q131" si="90">IF(C129="", "", C129)</f>
        <v>1</v>
      </c>
      <c r="R129" s="412">
        <f>IF(C129="", "",IF(D129&gt;0,D129,
IF($E$109="NY Contract", VLOOKUP(B129,'Raw BOM'!$A$3:$G$495,7,FALSE),
IF($E$109="FL Contract", VLOOKUP(B129,'Raw BOM'!$A$3:$I$495,8,FALSE),
IF($E$109="LA Contract", VLOOKUP(B129,'Raw BOM'!$A$3:$K$495,9,FALSE),
IF($E$109="WA Contract", VLOOKUP(B129,'Raw BOM'!$A$3:$M$495,10,FALSE),
VLOOKUP(B129,'Raw BOM'!$A$3:$D$495,4,FALSE)))))))</f>
        <v>1220</v>
      </c>
      <c r="S129" s="413" t="str">
        <f t="shared" ref="S129:S131" si="91">M129</f>
        <v>HW-Scan-Kojak</v>
      </c>
      <c r="T129" s="412">
        <f t="shared" ref="T129:T131" si="92">IF(C129="", "", Q129*R129)</f>
        <v>1220</v>
      </c>
      <c r="U129" s="413" t="str">
        <f t="shared" ref="U129:U131" si="93">O129</f>
        <v>Hardware-Scanner-IBT Kojak</v>
      </c>
      <c r="V129" s="191" t="str">
        <f>IF(C129="","", VLOOKUP(B129,'Raw BOM'!$A$3:$F$495,6,FALSE))</f>
        <v>Yes</v>
      </c>
      <c r="X129" s="47">
        <f t="shared" si="80"/>
        <v>0</v>
      </c>
      <c r="Y129" s="198">
        <f>ROUND(
IF(AND(C129&lt;&gt;"", D129="", V129="Yes"),
     IF($E$109="Discount Based",
         R129*IF(OR(LEFT(A129,2)="HW", LEFT(A129,12)="CMS-Hardware"),
              $E$110,
              IF(AND(LEFT(A129,3)="Sys", LEFT(A129,4)&lt;&gt;"Ship"),
                   ($E$110+$E$111)/2,
                    0)),
         IF($E$109="Cost Based",
              IF(OR(LEFT(A129,2)="HW", LEFT(A129,12)="CMS-Hardware"),
                   R129-(1+$E$112)*VLOOKUP(B129,'Raw BOM'!$A$3:$E$492,5,FALSE),
              IF(AND(LEFT(A129,3)="Sys", LEFT(A129,4)&lt;&gt;"Ship"),
                   R129-(1+($E$112+$E$113)/2)*VLOOKUP(B129,'Raw BOM'!$A$3:$E$492,5,FALSE),
                   0))))),2)</f>
        <v>244</v>
      </c>
      <c r="Z129" s="47">
        <f>ROUND(
IF(AND(C129&lt;&gt;"", D129="", V129="No"),
     IF($E$109="Discount Based",
         R129*IF(AND(LEFT(A129,2)&lt;&gt;"HW", LEFT(A129,12)&lt;&gt;"CMS-Hardware",LEFT(A129,3)&lt;&gt;"Sys", LEFT(A129,4)&lt;&gt;"Ship"),
                   $E$111,0),
     IF($E$109="Cost Based",
          IF(AND(LEFT(A129,2)&lt;&gt;"HW", LEFT(A129,12)&lt;&gt;"CMS-Hardware",LEFT(A129,3)&lt;&gt;"Sys", LEFT(A129,4)&lt;&gt;"Ship"),
               R129-(1+$E$112)*VLOOKUP(B129,'Raw BOM'!$A$3:$E$492,5,FALSE),0),0)),0),2)</f>
        <v>0</v>
      </c>
      <c r="AA129" s="48">
        <f t="shared" ref="AA129:AA131" si="94">ROUND(IF(AND(Y129&gt;0, Y129&lt;&gt;"", D129=""),Q129*Y129,0), 2)</f>
        <v>244</v>
      </c>
      <c r="AB129" s="48">
        <f t="shared" ref="AB129:AB131" si="95">ROUND(IF(AND(Z129&lt;&gt;"",Z129&gt;0, D129=""),Q129*Z129,0),2)</f>
        <v>0</v>
      </c>
    </row>
    <row r="130" spans="1:28" s="1" customFormat="1" ht="30" customHeight="1" x14ac:dyDescent="0.25">
      <c r="A130" s="41" t="str">
        <f>IF(B130&lt;&gt;"",VLOOKUP(B130,'Raw BOM'!$A$3:$B$495,2,FALSE),IF(E130&lt;&gt;"","Misc",""))</f>
        <v/>
      </c>
      <c r="B130" s="42" t="str">
        <f>IF('Blank Quote'!B22&lt;&gt;"", 'Blank Quote'!B22, "")</f>
        <v/>
      </c>
      <c r="C130" s="43" t="str">
        <f>IF('Blank Quote'!C22&lt;&gt;"", 'Blank Quote'!C22, "")</f>
        <v/>
      </c>
      <c r="D130" s="44"/>
      <c r="E130" s="45" t="str">
        <f>IF('Blank Quote'!E22&lt;&gt;"", 'Blank Quote'!E22, "")</f>
        <v/>
      </c>
      <c r="F130"/>
      <c r="G130" s="400" t="str">
        <f t="shared" si="74"/>
        <v/>
      </c>
      <c r="H130" s="401"/>
      <c r="I130" s="402" t="str">
        <f t="shared" si="86"/>
        <v/>
      </c>
      <c r="J130" s="403"/>
      <c r="K130" s="403" t="str">
        <f t="shared" si="87"/>
        <v/>
      </c>
      <c r="L130" s="403"/>
      <c r="M130" s="403" t="str">
        <f t="shared" si="88"/>
        <v/>
      </c>
      <c r="N130" s="403"/>
      <c r="O130" s="403" t="str">
        <f t="shared" si="89"/>
        <v/>
      </c>
      <c r="P130" s="404"/>
      <c r="Q130" s="99" t="str">
        <f t="shared" si="90"/>
        <v/>
      </c>
      <c r="R130" s="405" t="str">
        <f>IF(C130="", "",IF(D130&gt;0,D130,
IF($E$109="NY Contract", VLOOKUP(B130,'Raw BOM'!$A$3:$G$495,7,FALSE),
IF($E$109="FL Contract", VLOOKUP(B130,'Raw BOM'!$A$3:$I$495,8,FALSE),
IF($E$109="LA Contract", VLOOKUP(B130,'Raw BOM'!$A$3:$K$495,9,FALSE),
IF($E$109="WA Contract", VLOOKUP(B130,'Raw BOM'!$A$3:$M$495,10,FALSE),
VLOOKUP(B130,'Raw BOM'!$A$3:$D$495,4,FALSE)))))))</f>
        <v/>
      </c>
      <c r="S130" s="406" t="str">
        <f t="shared" si="91"/>
        <v/>
      </c>
      <c r="T130" s="405" t="str">
        <f t="shared" si="92"/>
        <v/>
      </c>
      <c r="U130" s="406" t="str">
        <f t="shared" si="93"/>
        <v/>
      </c>
      <c r="V130" s="49" t="str">
        <f>IF(C130="","", VLOOKUP(B130,'Raw BOM'!$A$3:$F$495,6,FALSE))</f>
        <v/>
      </c>
      <c r="X130" s="47">
        <f t="shared" si="80"/>
        <v>0</v>
      </c>
      <c r="Y130" s="198">
        <f>ROUND(
IF(AND(C130&lt;&gt;"", D130="", V130="Yes"),
     IF($E$109="Discount Based",
         R130*IF(OR(LEFT(A130,2)="HW", LEFT(A130,12)="CMS-Hardware"),
              $E$110,
              IF(AND(LEFT(A130,3)="Sys", LEFT(A130,4)&lt;&gt;"Ship"),
                   ($E$110+$E$111)/2,
                    0)),
         IF($E$109="Cost Based",
              IF(OR(LEFT(A130,2)="HW", LEFT(A130,12)="CMS-Hardware"),
                   R130-(1+$E$112)*VLOOKUP(B130,'Raw BOM'!$A$3:$E$492,5,FALSE),
              IF(AND(LEFT(A130,3)="Sys", LEFT(A130,4)&lt;&gt;"Ship"),
                   R130-(1+($E$112+$E$113)/2)*VLOOKUP(B130,'Raw BOM'!$A$3:$E$492,5,FALSE),
                   0))))),2)</f>
        <v>0</v>
      </c>
      <c r="Z130" s="47">
        <f>ROUND(
IF(AND(C130&lt;&gt;"", D130="", V130="No"),
     IF($E$109="Discount Based",
         R130*IF(AND(LEFT(A130,2)&lt;&gt;"HW", LEFT(A130,12)&lt;&gt;"CMS-Hardware",LEFT(A130,3)&lt;&gt;"Sys", LEFT(A130,4)&lt;&gt;"Ship"),
                   $E$111,0),
     IF($E$109="Cost Based",
          IF(AND(LEFT(A130,2)&lt;&gt;"HW", LEFT(A130,12)&lt;&gt;"CMS-Hardware",LEFT(A130,3)&lt;&gt;"Sys", LEFT(A130,4)&lt;&gt;"Ship"),
               R130-(1+$E$112)*VLOOKUP(B130,'Raw BOM'!$A$3:$E$492,5,FALSE),0),0)),0),2)</f>
        <v>0</v>
      </c>
      <c r="AA130" s="48">
        <f t="shared" si="94"/>
        <v>0</v>
      </c>
      <c r="AB130" s="48">
        <f t="shared" si="95"/>
        <v>0</v>
      </c>
    </row>
    <row r="131" spans="1:28" s="1" customFormat="1" ht="30" customHeight="1" x14ac:dyDescent="0.25">
      <c r="A131" s="41" t="str">
        <f>IF(B131&lt;&gt;"",VLOOKUP(B131,'Raw BOM'!$A$3:$B$495,2,FALSE),IF(E131&lt;&gt;"","Misc",""))</f>
        <v>HW-Magtrip</v>
      </c>
      <c r="B131" s="42" t="str">
        <f>IF('Blank Quote'!B23&lt;&gt;"", 'Blank Quote'!B23, "")</f>
        <v>Hardware-Magnetic Strip Reader</v>
      </c>
      <c r="C131" s="43">
        <f>IF('Blank Quote'!C23&lt;&gt;"", 'Blank Quote'!C23, "")</f>
        <v>1</v>
      </c>
      <c r="D131" s="44"/>
      <c r="E131" s="45" t="str">
        <f>IF('Blank Quote'!E23&lt;&gt;"", 'Blank Quote'!E23, "")</f>
        <v>Auto populate personal information with a swipe of a driver's license from anywhere on the screen</v>
      </c>
      <c r="F131"/>
      <c r="G131" s="400" t="str">
        <f t="shared" si="74"/>
        <v>HW-Magtrip</v>
      </c>
      <c r="H131" s="401"/>
      <c r="I131" s="402" t="str">
        <f t="shared" si="86"/>
        <v>Hardware-Magnetic Strip Reader   *** Auto populate personal information with a swipe of a driver's license from anywhere on the screen</v>
      </c>
      <c r="J131" s="403"/>
      <c r="K131" s="403" t="str">
        <f t="shared" si="87"/>
        <v>Auto populate personal information with a swipe of a driver's license from anywhere on the screen</v>
      </c>
      <c r="L131" s="403"/>
      <c r="M131" s="403" t="str">
        <f t="shared" si="88"/>
        <v>HW-Magtrip</v>
      </c>
      <c r="N131" s="403"/>
      <c r="O131" s="403" t="str">
        <f t="shared" si="89"/>
        <v>Hardware-Magnetic Strip Reader   *** Auto populate personal information with a swipe of a driver's license from anywhere on the screen</v>
      </c>
      <c r="P131" s="404"/>
      <c r="Q131" s="99">
        <f t="shared" si="90"/>
        <v>1</v>
      </c>
      <c r="R131" s="405">
        <f>IF(C131="", "",IF(D131&gt;0,D131,
IF($E$109="NY Contract", VLOOKUP(B131,'Raw BOM'!$A$3:$G$495,7,FALSE),
IF($E$109="FL Contract", VLOOKUP(B131,'Raw BOM'!$A$3:$I$495,8,FALSE),
IF($E$109="LA Contract", VLOOKUP(B131,'Raw BOM'!$A$3:$K$495,9,FALSE),
IF($E$109="WA Contract", VLOOKUP(B131,'Raw BOM'!$A$3:$M$495,10,FALSE),
VLOOKUP(B131,'Raw BOM'!$A$3:$D$495,4,FALSE)))))))</f>
        <v>130</v>
      </c>
      <c r="S131" s="406" t="str">
        <f t="shared" si="91"/>
        <v>HW-Magtrip</v>
      </c>
      <c r="T131" s="405">
        <f t="shared" si="92"/>
        <v>130</v>
      </c>
      <c r="U131" s="406" t="str">
        <f t="shared" si="93"/>
        <v>Hardware-Magnetic Strip Reader   *** Auto populate personal information with a swipe of a driver's license from anywhere on the screen</v>
      </c>
      <c r="V131" s="49" t="str">
        <f>IF(C131="","", VLOOKUP(B131,'Raw BOM'!$A$3:$F$495,6,FALSE))</f>
        <v>Yes</v>
      </c>
      <c r="X131" s="47">
        <f t="shared" si="80"/>
        <v>0</v>
      </c>
      <c r="Y131" s="198">
        <f>ROUND(
IF(AND(C131&lt;&gt;"", D131="", V131="Yes"),
     IF($E$109="Discount Based",
         R131*IF(OR(LEFT(A131,2)="HW", LEFT(A131,12)="CMS-Hardware"),
              $E$110,
              IF(AND(LEFT(A131,3)="Sys", LEFT(A131,4)&lt;&gt;"Ship"),
                   ($E$110+$E$111)/2,
                    0)),
         IF($E$109="Cost Based",
              IF(OR(LEFT(A131,2)="HW", LEFT(A131,12)="CMS-Hardware"),
                   R131-(1+$E$112)*VLOOKUP(B131,'Raw BOM'!$A$3:$E$492,5,FALSE),
              IF(AND(LEFT(A131,3)="Sys", LEFT(A131,4)&lt;&gt;"Ship"),
                   R131-(1+($E$112+$E$113)/2)*VLOOKUP(B131,'Raw BOM'!$A$3:$E$492,5,FALSE),
                   0))))),2)</f>
        <v>26</v>
      </c>
      <c r="Z131" s="47">
        <f>ROUND(
IF(AND(C131&lt;&gt;"", D131="", V131="No"),
     IF($E$109="Discount Based",
         R131*IF(AND(LEFT(A131,2)&lt;&gt;"HW", LEFT(A131,12)&lt;&gt;"CMS-Hardware",LEFT(A131,3)&lt;&gt;"Sys", LEFT(A131,4)&lt;&gt;"Ship"),
                   $E$111,0),
     IF($E$109="Cost Based",
          IF(AND(LEFT(A131,2)&lt;&gt;"HW", LEFT(A131,12)&lt;&gt;"CMS-Hardware",LEFT(A131,3)&lt;&gt;"Sys", LEFT(A131,4)&lt;&gt;"Ship"),
               R131-(1+$E$112)*VLOOKUP(B131,'Raw BOM'!$A$3:$E$492,5,FALSE),0),0)),0),2)</f>
        <v>0</v>
      </c>
      <c r="AA131" s="48">
        <f t="shared" si="94"/>
        <v>26</v>
      </c>
      <c r="AB131" s="48">
        <f t="shared" si="95"/>
        <v>0</v>
      </c>
    </row>
    <row r="132" spans="1:28" s="1" customFormat="1" ht="30" customHeight="1" x14ac:dyDescent="0.25">
      <c r="A132" s="41" t="str">
        <f>IF(B132&lt;&gt;"",VLOOKUP(B132,'Raw BOM'!$A$3:$B$495,2,FALSE),IF(E132&lt;&gt;"","Misc",""))</f>
        <v>LS4G-IDCard</v>
      </c>
      <c r="B132" s="42" t="str">
        <f>IF('Blank Quote'!B24&lt;&gt;"", 'Blank Quote'!B24, "")</f>
        <v>LiveScan 4th Gen Software-Driver License and ID Reading software</v>
      </c>
      <c r="C132" s="43">
        <f>IF('Blank Quote'!C24&lt;&gt;"", 'Blank Quote'!C24, "")</f>
        <v>1</v>
      </c>
      <c r="D132" s="44"/>
      <c r="E132" s="45" t="str">
        <f>IF('Blank Quote'!E24&lt;&gt;"", 'Blank Quote'!E24, "")</f>
        <v/>
      </c>
      <c r="F132"/>
      <c r="G132" s="400" t="str">
        <f t="shared" si="74"/>
        <v>LS4G-IDCard</v>
      </c>
      <c r="H132" s="401"/>
      <c r="I132" s="402" t="str">
        <f t="shared" ref="I132:I143" si="96">IF(B132&lt;&gt;"", B132, "")&amp;IF(E132&lt;&gt;"", "   *** "&amp;E132, "")</f>
        <v>LiveScan 4th Gen Software-Driver License and ID Reading software</v>
      </c>
      <c r="J132" s="403"/>
      <c r="K132" s="403" t="str">
        <f t="shared" ref="K132:K143" si="97">E132</f>
        <v/>
      </c>
      <c r="L132" s="403"/>
      <c r="M132" s="403" t="str">
        <f t="shared" ref="M132:M143" si="98">G132</f>
        <v>LS4G-IDCard</v>
      </c>
      <c r="N132" s="403"/>
      <c r="O132" s="403" t="str">
        <f t="shared" ref="O132:O143" si="99">I132</f>
        <v>LiveScan 4th Gen Software-Driver License and ID Reading software</v>
      </c>
      <c r="P132" s="404"/>
      <c r="Q132" s="99">
        <f t="shared" ref="Q132:Q143" si="100">IF(C132="", "", C132)</f>
        <v>1</v>
      </c>
      <c r="R132" s="405">
        <f>IF(C132="", "",IF(D132&gt;0,D132,
IF($E$109="NY Contract", VLOOKUP(B132,'Raw BOM'!$A$3:$G$495,7,FALSE),
IF($E$109="FL Contract", VLOOKUP(B132,'Raw BOM'!$A$3:$I$495,8,FALSE),
IF($E$109="LA Contract", VLOOKUP(B132,'Raw BOM'!$A$3:$K$495,9,FALSE),
IF($E$109="WA Contract", VLOOKUP(B132,'Raw BOM'!$A$3:$M$495,10,FALSE),
VLOOKUP(B132,'Raw BOM'!$A$3:$D$495,4,FALSE)))))))</f>
        <v>340</v>
      </c>
      <c r="S132" s="406" t="str">
        <f t="shared" ref="S132:S144" si="101">M132</f>
        <v>LS4G-IDCard</v>
      </c>
      <c r="T132" s="405">
        <f t="shared" ref="T132:T143" si="102">IF(C132="", "", Q132*R132)</f>
        <v>340</v>
      </c>
      <c r="U132" s="406" t="str">
        <f t="shared" ref="U132:U143" si="103">O132</f>
        <v>LiveScan 4th Gen Software-Driver License and ID Reading software</v>
      </c>
      <c r="V132" s="49" t="str">
        <f>IF(C132="","", VLOOKUP(B132,'Raw BOM'!$A$3:$F$495,6,FALSE))</f>
        <v>No</v>
      </c>
      <c r="X132" s="47">
        <f t="shared" si="80"/>
        <v>0</v>
      </c>
      <c r="Y132" s="198">
        <f>ROUND(
IF(AND(C132&lt;&gt;"", D132="", V132="Yes"),
     IF($E$109="Discount Based",
         R132*IF(OR(LEFT(A132,2)="HW", LEFT(A132,12)="CMS-Hardware"),
              $E$110,
              IF(AND(LEFT(A132,3)="Sys", LEFT(A132,4)&lt;&gt;"Ship"),
                   ($E$110+$E$111)/2,
                    0)),
         IF($E$109="Cost Based",
              IF(OR(LEFT(A132,2)="HW", LEFT(A132,12)="CMS-Hardware"),
                   R132-(1+$E$112)*VLOOKUP(B132,'Raw BOM'!$A$3:$E$492,5,FALSE),
              IF(AND(LEFT(A132,3)="Sys", LEFT(A132,4)&lt;&gt;"Ship"),
                   R132-(1+($E$112+$E$113)/2)*VLOOKUP(B132,'Raw BOM'!$A$3:$E$492,5,FALSE),
                   0))))),2)</f>
        <v>0</v>
      </c>
      <c r="Z132" s="47">
        <f>ROUND(
IF(AND(C132&lt;&gt;"", D132="", V132="No"),
     IF($E$109="Discount Based",
         R132*IF(AND(LEFT(A132,2)&lt;&gt;"HW", LEFT(A132,12)&lt;&gt;"CMS-Hardware",LEFT(A132,3)&lt;&gt;"Sys", LEFT(A132,4)&lt;&gt;"Ship"),
                   $E$111,0),
     IF($E$109="Cost Based",
          IF(AND(LEFT(A132,2)&lt;&gt;"HW", LEFT(A132,12)&lt;&gt;"CMS-Hardware",LEFT(A132,3)&lt;&gt;"Sys", LEFT(A132,4)&lt;&gt;"Ship"),
               R132-(1+$E$112)*VLOOKUP(B132,'Raw BOM'!$A$3:$E$492,5,FALSE),0),0)),0),2)</f>
        <v>149.6</v>
      </c>
      <c r="AA132" s="48">
        <f t="shared" ref="AA132:AA143" si="104">ROUND(IF(AND(Y132&gt;0, Y132&lt;&gt;"", D132=""),Q132*Y132,0), 2)</f>
        <v>0</v>
      </c>
      <c r="AB132" s="48">
        <f t="shared" ref="AB132:AB143" si="105">ROUND(IF(AND(Z132&lt;&gt;"",Z132&gt;0, D132=""),Q132*Z132,0),2)</f>
        <v>149.6</v>
      </c>
    </row>
    <row r="133" spans="1:28" s="1" customFormat="1" ht="30" customHeight="1" x14ac:dyDescent="0.25">
      <c r="A133" s="41" t="str">
        <f>IF(B133&lt;&gt;"",VLOOKUP(B133,'Raw BOM'!$A$3:$B$495,2,FALSE),IF(E133&lt;&gt;"","Misc",""))</f>
        <v/>
      </c>
      <c r="B133" s="42" t="str">
        <f>IF('Blank Quote'!B25&lt;&gt;"", 'Blank Quote'!B25, "")</f>
        <v/>
      </c>
      <c r="C133" s="43" t="str">
        <f>IF('Blank Quote'!C25&lt;&gt;"", 'Blank Quote'!C25, "")</f>
        <v/>
      </c>
      <c r="D133" s="44"/>
      <c r="E133" s="45" t="str">
        <f>IF('Blank Quote'!E25&lt;&gt;"", 'Blank Quote'!E25, "")</f>
        <v/>
      </c>
      <c r="F133"/>
      <c r="G133" s="400" t="str">
        <f t="shared" si="74"/>
        <v/>
      </c>
      <c r="H133" s="401"/>
      <c r="I133" s="402" t="str">
        <f t="shared" si="96"/>
        <v/>
      </c>
      <c r="J133" s="403"/>
      <c r="K133" s="403" t="str">
        <f t="shared" si="97"/>
        <v/>
      </c>
      <c r="L133" s="403"/>
      <c r="M133" s="403" t="str">
        <f t="shared" si="98"/>
        <v/>
      </c>
      <c r="N133" s="403"/>
      <c r="O133" s="403" t="str">
        <f t="shared" si="99"/>
        <v/>
      </c>
      <c r="P133" s="404"/>
      <c r="Q133" s="99" t="str">
        <f t="shared" si="100"/>
        <v/>
      </c>
      <c r="R133" s="405" t="str">
        <f>IF(C133="", "",IF(D133&gt;0,D133,
IF($E$109="NY Contract", VLOOKUP(B133,'Raw BOM'!$A$3:$G$495,7,FALSE),
IF($E$109="FL Contract", VLOOKUP(B133,'Raw BOM'!$A$3:$I$495,8,FALSE),
IF($E$109="LA Contract", VLOOKUP(B133,'Raw BOM'!$A$3:$K$495,9,FALSE),
IF($E$109="WA Contract", VLOOKUP(B133,'Raw BOM'!$A$3:$M$495,10,FALSE),
VLOOKUP(B133,'Raw BOM'!$A$3:$D$495,4,FALSE)))))))</f>
        <v/>
      </c>
      <c r="S133" s="406" t="str">
        <f t="shared" si="101"/>
        <v/>
      </c>
      <c r="T133" s="405" t="str">
        <f t="shared" si="102"/>
        <v/>
      </c>
      <c r="U133" s="406" t="str">
        <f t="shared" si="103"/>
        <v/>
      </c>
      <c r="V133" s="49" t="str">
        <f>IF(C133="","", VLOOKUP(B133,'Raw BOM'!$A$3:$F$495,6,FALSE))</f>
        <v/>
      </c>
      <c r="X133" s="47">
        <f t="shared" si="80"/>
        <v>0</v>
      </c>
      <c r="Y133" s="198">
        <f>ROUND(
IF(AND(C133&lt;&gt;"", D133="", V133="Yes"),
     IF($E$109="Discount Based",
         R133*IF(OR(LEFT(A133,2)="HW", LEFT(A133,12)="CMS-Hardware"),
              $E$110,
              IF(AND(LEFT(A133,3)="Sys", LEFT(A133,4)&lt;&gt;"Ship"),
                   ($E$110+$E$111)/2,
                    0)),
         IF($E$109="Cost Based",
              IF(OR(LEFT(A133,2)="HW", LEFT(A133,12)="CMS-Hardware"),
                   R133-(1+$E$112)*VLOOKUP(B133,'Raw BOM'!$A$3:$E$492,5,FALSE),
              IF(AND(LEFT(A133,3)="Sys", LEFT(A133,4)&lt;&gt;"Ship"),
                   R133-(1+($E$112+$E$113)/2)*VLOOKUP(B133,'Raw BOM'!$A$3:$E$492,5,FALSE),
                   0))))),2)</f>
        <v>0</v>
      </c>
      <c r="Z133" s="47">
        <f>ROUND(
IF(AND(C133&lt;&gt;"", D133="", V133="No"),
     IF($E$109="Discount Based",
         R133*IF(AND(LEFT(A133,2)&lt;&gt;"HW", LEFT(A133,12)&lt;&gt;"CMS-Hardware",LEFT(A133,3)&lt;&gt;"Sys", LEFT(A133,4)&lt;&gt;"Ship"),
                   $E$111,0),
     IF($E$109="Cost Based",
          IF(AND(LEFT(A133,2)&lt;&gt;"HW", LEFT(A133,12)&lt;&gt;"CMS-Hardware",LEFT(A133,3)&lt;&gt;"Sys", LEFT(A133,4)&lt;&gt;"Ship"),
               R133-(1+$E$112)*VLOOKUP(B133,'Raw BOM'!$A$3:$E$492,5,FALSE),0),0)),0),2)</f>
        <v>0</v>
      </c>
      <c r="AA133" s="48">
        <f t="shared" si="104"/>
        <v>0</v>
      </c>
      <c r="AB133" s="48">
        <f t="shared" si="105"/>
        <v>0</v>
      </c>
    </row>
    <row r="134" spans="1:28" s="1" customFormat="1" ht="30" customHeight="1" x14ac:dyDescent="0.25">
      <c r="A134" s="41" t="str">
        <f>IF(B134&lt;&gt;"",VLOOKUP(B134,'Raw BOM'!$A$3:$B$495,2,FALSE),IF(E134&lt;&gt;"","Misc",""))</f>
        <v>Svcs-Cfg-CAPSP</v>
      </c>
      <c r="B134" s="42" t="str">
        <f>IF('Blank Quote'!B26&lt;&gt;"", 'Blank Quote'!B26, "")</f>
        <v>Services-Configuration-CA PSP Setup</v>
      </c>
      <c r="C134" s="43">
        <f>IF('Blank Quote'!C26&lt;&gt;"", 'Blank Quote'!C26, "")</f>
        <v>1</v>
      </c>
      <c r="D134" s="44"/>
      <c r="E134" s="45" t="str">
        <f>IF('Blank Quote'!E26&lt;&gt;"", 'Blank Quote'!E26, "")</f>
        <v>Pick ONE of the following capture methods at the time of capture (TWO DIFFERENT BUTTONS on the screen):</v>
      </c>
      <c r="F134"/>
      <c r="G134" s="400" t="str">
        <f t="shared" si="74"/>
        <v>Svcs-Cfg-CAPSP</v>
      </c>
      <c r="H134" s="401"/>
      <c r="I134" s="402" t="str">
        <f t="shared" si="96"/>
        <v>Services-Configuration-CA PSP Setup   *** Pick ONE of the following capture methods at the time of capture (TWO DIFFERENT BUTTONS on the screen):</v>
      </c>
      <c r="J134" s="403"/>
      <c r="K134" s="403" t="str">
        <f t="shared" si="97"/>
        <v>Pick ONE of the following capture methods at the time of capture (TWO DIFFERENT BUTTONS on the screen):</v>
      </c>
      <c r="L134" s="403"/>
      <c r="M134" s="403" t="str">
        <f t="shared" si="98"/>
        <v>Svcs-Cfg-CAPSP</v>
      </c>
      <c r="N134" s="403"/>
      <c r="O134" s="403" t="str">
        <f t="shared" si="99"/>
        <v>Services-Configuration-CA PSP Setup   *** Pick ONE of the following capture methods at the time of capture (TWO DIFFERENT BUTTONS on the screen):</v>
      </c>
      <c r="P134" s="404"/>
      <c r="Q134" s="99">
        <f t="shared" si="100"/>
        <v>1</v>
      </c>
      <c r="R134" s="405">
        <f>IF(C134="", "",IF(D134&gt;0,D134,
IF($E$109="NY Contract", VLOOKUP(B134,'Raw BOM'!$A$3:$G$495,7,FALSE),
IF($E$109="FL Contract", VLOOKUP(B134,'Raw BOM'!$A$3:$I$495,8,FALSE),
IF($E$109="LA Contract", VLOOKUP(B134,'Raw BOM'!$A$3:$K$495,9,FALSE),
IF($E$109="WA Contract", VLOOKUP(B134,'Raw BOM'!$A$3:$M$495,10,FALSE),
VLOOKUP(B134,'Raw BOM'!$A$3:$D$495,4,FALSE)))))))</f>
        <v>500</v>
      </c>
      <c r="S134" s="406" t="str">
        <f t="shared" si="101"/>
        <v>Svcs-Cfg-CAPSP</v>
      </c>
      <c r="T134" s="405">
        <f t="shared" si="102"/>
        <v>500</v>
      </c>
      <c r="U134" s="406" t="str">
        <f t="shared" si="103"/>
        <v>Services-Configuration-CA PSP Setup   *** Pick ONE of the following capture methods at the time of capture (TWO DIFFERENT BUTTONS on the screen):</v>
      </c>
      <c r="V134" s="49" t="str">
        <f>IF(C134="","", VLOOKUP(B134,'Raw BOM'!$A$3:$F$495,6,FALSE))</f>
        <v>No</v>
      </c>
      <c r="X134" s="47">
        <f t="shared" si="80"/>
        <v>0</v>
      </c>
      <c r="Y134" s="198">
        <f>ROUND(
IF(AND(C134&lt;&gt;"", D134="", V134="Yes"),
     IF($E$109="Discount Based",
         R134*IF(OR(LEFT(A134,2)="HW", LEFT(A134,12)="CMS-Hardware"),
              $E$110,
              IF(AND(LEFT(A134,3)="Sys", LEFT(A134,4)&lt;&gt;"Ship"),
                   ($E$110+$E$111)/2,
                    0)),
         IF($E$109="Cost Based",
              IF(OR(LEFT(A134,2)="HW", LEFT(A134,12)="CMS-Hardware"),
                   R134-(1+$E$112)*VLOOKUP(B134,'Raw BOM'!$A$3:$E$492,5,FALSE),
              IF(AND(LEFT(A134,3)="Sys", LEFT(A134,4)&lt;&gt;"Ship"),
                   R134-(1+($E$112+$E$113)/2)*VLOOKUP(B134,'Raw BOM'!$A$3:$E$492,5,FALSE),
                   0))))),2)</f>
        <v>0</v>
      </c>
      <c r="Z134" s="47">
        <f>ROUND(
IF(AND(C134&lt;&gt;"", D134="", V134="No"),
     IF($E$109="Discount Based",
         R134*IF(AND(LEFT(A134,2)&lt;&gt;"HW", LEFT(A134,12)&lt;&gt;"CMS-Hardware",LEFT(A134,3)&lt;&gt;"Sys", LEFT(A134,4)&lt;&gt;"Ship"),
                   $E$111,0),
     IF($E$109="Cost Based",
          IF(AND(LEFT(A134,2)&lt;&gt;"HW", LEFT(A134,12)&lt;&gt;"CMS-Hardware",LEFT(A134,3)&lt;&gt;"Sys", LEFT(A134,4)&lt;&gt;"Ship"),
               R134-(1+$E$112)*VLOOKUP(B134,'Raw BOM'!$A$3:$E$492,5,FALSE),0),0)),0),2)</f>
        <v>220</v>
      </c>
      <c r="AA134" s="48">
        <f t="shared" si="104"/>
        <v>0</v>
      </c>
      <c r="AB134" s="48">
        <f t="shared" si="105"/>
        <v>220</v>
      </c>
    </row>
    <row r="135" spans="1:28" s="1" customFormat="1" ht="30" customHeight="1" x14ac:dyDescent="0.25">
      <c r="A135" s="41" t="str">
        <f>IF(B135&lt;&gt;"",VLOOKUP(B135,'Raw BOM'!$A$3:$B$495,2,FALSE),IF(E135&lt;&gt;"","Misc",""))</f>
        <v>Misc</v>
      </c>
      <c r="B135" s="42" t="str">
        <f>IF('Blank Quote'!B27&lt;&gt;"", 'Blank Quote'!B27, "")</f>
        <v/>
      </c>
      <c r="C135" s="43" t="str">
        <f>IF('Blank Quote'!C27&lt;&gt;"", 'Blank Quote'!C27, "")</f>
        <v/>
      </c>
      <c r="D135" s="44"/>
      <c r="E135" s="45" t="str">
        <f>IF('Blank Quote'!E27&lt;&gt;"", 'Blank Quote'!E27, "")</f>
        <v>Transaction Fee - Traditional FLATS and ROLLS Method (1 to 10 minutes method): $0.75 per transaction with $150 per monthly cap</v>
      </c>
      <c r="F135"/>
      <c r="G135" s="400" t="str">
        <f t="shared" si="74"/>
        <v>Misc</v>
      </c>
      <c r="H135" s="401"/>
      <c r="I135" s="402" t="str">
        <f t="shared" si="96"/>
        <v xml:space="preserve">   *** Transaction Fee - Traditional FLATS and ROLLS Method (1 to 10 minutes method): $0.75 per transaction with $150 per monthly cap</v>
      </c>
      <c r="J135" s="403"/>
      <c r="K135" s="403" t="str">
        <f t="shared" si="97"/>
        <v>Transaction Fee - Traditional FLATS and ROLLS Method (1 to 10 minutes method): $0.75 per transaction with $150 per monthly cap</v>
      </c>
      <c r="L135" s="403"/>
      <c r="M135" s="403" t="str">
        <f t="shared" si="98"/>
        <v>Misc</v>
      </c>
      <c r="N135" s="403"/>
      <c r="O135" s="403" t="str">
        <f t="shared" si="99"/>
        <v xml:space="preserve">   *** Transaction Fee - Traditional FLATS and ROLLS Method (1 to 10 minutes method): $0.75 per transaction with $150 per monthly cap</v>
      </c>
      <c r="P135" s="404"/>
      <c r="Q135" s="99" t="str">
        <f t="shared" si="100"/>
        <v/>
      </c>
      <c r="R135" s="405" t="str">
        <f>IF(C135="", "",IF(D135&gt;0,D135,
IF($E$109="NY Contract", VLOOKUP(B135,'Raw BOM'!$A$3:$G$495,7,FALSE),
IF($E$109="FL Contract", VLOOKUP(B135,'Raw BOM'!$A$3:$I$495,8,FALSE),
IF($E$109="LA Contract", VLOOKUP(B135,'Raw BOM'!$A$3:$K$495,9,FALSE),
IF($E$109="WA Contract", VLOOKUP(B135,'Raw BOM'!$A$3:$M$495,10,FALSE),
VLOOKUP(B135,'Raw BOM'!$A$3:$D$495,4,FALSE)))))))</f>
        <v/>
      </c>
      <c r="S135" s="406" t="str">
        <f t="shared" si="101"/>
        <v>Misc</v>
      </c>
      <c r="T135" s="405" t="str">
        <f t="shared" si="102"/>
        <v/>
      </c>
      <c r="U135" s="406" t="str">
        <f t="shared" si="103"/>
        <v xml:space="preserve">   *** Transaction Fee - Traditional FLATS and ROLLS Method (1 to 10 minutes method): $0.75 per transaction with $150 per monthly cap</v>
      </c>
      <c r="V135" s="49" t="str">
        <f>IF(C135="","", VLOOKUP(B135,'Raw BOM'!$A$3:$F$495,6,FALSE))</f>
        <v/>
      </c>
      <c r="X135" s="47">
        <f t="shared" si="80"/>
        <v>0</v>
      </c>
      <c r="Y135" s="198">
        <f>ROUND(
IF(AND(C135&lt;&gt;"", D135="", V135="Yes"),
     IF($E$109="Discount Based",
         R135*IF(OR(LEFT(A135,2)="HW", LEFT(A135,12)="CMS-Hardware"),
              $E$110,
              IF(AND(LEFT(A135,3)="Sys", LEFT(A135,4)&lt;&gt;"Ship"),
                   ($E$110+$E$111)/2,
                    0)),
         IF($E$109="Cost Based",
              IF(OR(LEFT(A135,2)="HW", LEFT(A135,12)="CMS-Hardware"),
                   R135-(1+$E$112)*VLOOKUP(B135,'Raw BOM'!$A$3:$E$492,5,FALSE),
              IF(AND(LEFT(A135,3)="Sys", LEFT(A135,4)&lt;&gt;"Ship"),
                   R135-(1+($E$112+$E$113)/2)*VLOOKUP(B135,'Raw BOM'!$A$3:$E$492,5,FALSE),
                   0))))),2)</f>
        <v>0</v>
      </c>
      <c r="Z135" s="47">
        <f>ROUND(
IF(AND(C135&lt;&gt;"", D135="", V135="No"),
     IF($E$109="Discount Based",
         R135*IF(AND(LEFT(A135,2)&lt;&gt;"HW", LEFT(A135,12)&lt;&gt;"CMS-Hardware",LEFT(A135,3)&lt;&gt;"Sys", LEFT(A135,4)&lt;&gt;"Ship"),
                   $E$111,0),
     IF($E$109="Cost Based",
          IF(AND(LEFT(A135,2)&lt;&gt;"HW", LEFT(A135,12)&lt;&gt;"CMS-Hardware",LEFT(A135,3)&lt;&gt;"Sys", LEFT(A135,4)&lt;&gt;"Ship"),
               R135-(1+$E$112)*VLOOKUP(B135,'Raw BOM'!$A$3:$E$492,5,FALSE),0),0)),0),2)</f>
        <v>0</v>
      </c>
      <c r="AA135" s="48">
        <f t="shared" si="104"/>
        <v>0</v>
      </c>
      <c r="AB135" s="48">
        <f t="shared" si="105"/>
        <v>0</v>
      </c>
    </row>
    <row r="136" spans="1:28" s="1" customFormat="1" ht="30" customHeight="1" x14ac:dyDescent="0.25">
      <c r="A136" s="41" t="str">
        <f>IF(B136&lt;&gt;"",VLOOKUP(B136,'Raw BOM'!$A$3:$B$495,2,FALSE),IF(E136&lt;&gt;"","Misc",""))</f>
        <v>Misc</v>
      </c>
      <c r="B136" s="42" t="str">
        <f>IF('Blank Quote'!B28&lt;&gt;"", 'Blank Quote'!B28, "")</f>
        <v/>
      </c>
      <c r="C136" s="43" t="str">
        <f>IF('Blank Quote'!C28&lt;&gt;"", 'Blank Quote'!C28, "")</f>
        <v/>
      </c>
      <c r="D136" s="44"/>
      <c r="E136" s="45" t="str">
        <f>IF('Blank Quote'!E28&lt;&gt;"", 'Blank Quote'!E28, "")</f>
        <v>Transaction Fee - NEW FLATS ONLY Method (10 to 15 second fingerprinting): $4.00 per transaction with no cap ($2.80 per trans for 501(c)(3) organizations)</v>
      </c>
      <c r="F136"/>
      <c r="G136" s="400" t="str">
        <f t="shared" si="74"/>
        <v>Misc</v>
      </c>
      <c r="H136" s="401"/>
      <c r="I136" s="402" t="str">
        <f t="shared" si="96"/>
        <v xml:space="preserve">   *** Transaction Fee - NEW FLATS ONLY Method (10 to 15 second fingerprinting): $4.00 per transaction with no cap ($2.80 per trans for 501(c)(3) organizations)</v>
      </c>
      <c r="J136" s="403"/>
      <c r="K136" s="403" t="str">
        <f t="shared" si="97"/>
        <v>Transaction Fee - NEW FLATS ONLY Method (10 to 15 second fingerprinting): $4.00 per transaction with no cap ($2.80 per trans for 501(c)(3) organizations)</v>
      </c>
      <c r="L136" s="403"/>
      <c r="M136" s="403" t="str">
        <f t="shared" si="98"/>
        <v>Misc</v>
      </c>
      <c r="N136" s="403"/>
      <c r="O136" s="403" t="str">
        <f t="shared" si="99"/>
        <v xml:space="preserve">   *** Transaction Fee - NEW FLATS ONLY Method (10 to 15 second fingerprinting): $4.00 per transaction with no cap ($2.80 per trans for 501(c)(3) organizations)</v>
      </c>
      <c r="P136" s="404"/>
      <c r="Q136" s="99" t="str">
        <f t="shared" si="100"/>
        <v/>
      </c>
      <c r="R136" s="405" t="str">
        <f>IF(C136="", "",IF(D136&gt;0,D136,
IF($E$109="NY Contract", VLOOKUP(B136,'Raw BOM'!$A$3:$G$495,7,FALSE),
IF($E$109="FL Contract", VLOOKUP(B136,'Raw BOM'!$A$3:$I$495,8,FALSE),
IF($E$109="LA Contract", VLOOKUP(B136,'Raw BOM'!$A$3:$K$495,9,FALSE),
IF($E$109="WA Contract", VLOOKUP(B136,'Raw BOM'!$A$3:$M$495,10,FALSE),
VLOOKUP(B136,'Raw BOM'!$A$3:$D$495,4,FALSE)))))))</f>
        <v/>
      </c>
      <c r="S136" s="406" t="str">
        <f t="shared" si="101"/>
        <v>Misc</v>
      </c>
      <c r="T136" s="405" t="str">
        <f t="shared" si="102"/>
        <v/>
      </c>
      <c r="U136" s="406" t="str">
        <f t="shared" si="103"/>
        <v xml:space="preserve">   *** Transaction Fee - NEW FLATS ONLY Method (10 to 15 second fingerprinting): $4.00 per transaction with no cap ($2.80 per trans for 501(c)(3) organizations)</v>
      </c>
      <c r="V136" s="49" t="str">
        <f>IF(C136="","", VLOOKUP(B136,'Raw BOM'!$A$3:$F$495,6,FALSE))</f>
        <v/>
      </c>
      <c r="X136" s="47">
        <f t="shared" si="80"/>
        <v>0</v>
      </c>
      <c r="Y136" s="198">
        <f>ROUND(
IF(AND(C136&lt;&gt;"", D136="", V136="Yes"),
     IF($E$109="Discount Based",
         R136*IF(OR(LEFT(A136,2)="HW", LEFT(A136,12)="CMS-Hardware"),
              $E$110,
              IF(AND(LEFT(A136,3)="Sys", LEFT(A136,4)&lt;&gt;"Ship"),
                   ($E$110+$E$111)/2,
                    0)),
         IF($E$109="Cost Based",
              IF(OR(LEFT(A136,2)="HW", LEFT(A136,12)="CMS-Hardware"),
                   R136-(1+$E$112)*VLOOKUP(B136,'Raw BOM'!$A$3:$E$492,5,FALSE),
              IF(AND(LEFT(A136,3)="Sys", LEFT(A136,4)&lt;&gt;"Ship"),
                   R136-(1+($E$112+$E$113)/2)*VLOOKUP(B136,'Raw BOM'!$A$3:$E$492,5,FALSE),
                   0))))),2)</f>
        <v>0</v>
      </c>
      <c r="Z136" s="47">
        <f>ROUND(
IF(AND(C136&lt;&gt;"", D136="", V136="No"),
     IF($E$109="Discount Based",
         R136*IF(AND(LEFT(A136,2)&lt;&gt;"HW", LEFT(A136,12)&lt;&gt;"CMS-Hardware",LEFT(A136,3)&lt;&gt;"Sys", LEFT(A136,4)&lt;&gt;"Ship"),
                   $E$111,0),
     IF($E$109="Cost Based",
          IF(AND(LEFT(A136,2)&lt;&gt;"HW", LEFT(A136,12)&lt;&gt;"CMS-Hardware",LEFT(A136,3)&lt;&gt;"Sys", LEFT(A136,4)&lt;&gt;"Ship"),
               R136-(1+$E$112)*VLOOKUP(B136,'Raw BOM'!$A$3:$E$492,5,FALSE),0),0)),0),2)</f>
        <v>0</v>
      </c>
      <c r="AA136" s="48">
        <f t="shared" si="104"/>
        <v>0</v>
      </c>
      <c r="AB136" s="48">
        <f t="shared" si="105"/>
        <v>0</v>
      </c>
    </row>
    <row r="137" spans="1:28" s="1" customFormat="1" ht="30" customHeight="1" x14ac:dyDescent="0.25">
      <c r="A137" s="41" t="str">
        <f>IF(B137&lt;&gt;"",VLOOKUP(B137,'Raw BOM'!$A$3:$B$495,2,FALSE),IF(E137&lt;&gt;"","Misc",""))</f>
        <v/>
      </c>
      <c r="B137" s="42" t="str">
        <f>IF('Blank Quote'!B29&lt;&gt;"", 'Blank Quote'!B29, "")</f>
        <v/>
      </c>
      <c r="C137" s="43" t="str">
        <f>IF('Blank Quote'!C29&lt;&gt;"", 'Blank Quote'!C29, "")</f>
        <v/>
      </c>
      <c r="D137" s="44"/>
      <c r="E137" s="45" t="str">
        <f>IF('Blank Quote'!E29&lt;&gt;"", 'Blank Quote'!E29, "")</f>
        <v/>
      </c>
      <c r="F137"/>
      <c r="G137" s="400" t="str">
        <f t="shared" si="74"/>
        <v/>
      </c>
      <c r="H137" s="401"/>
      <c r="I137" s="402" t="str">
        <f t="shared" si="96"/>
        <v/>
      </c>
      <c r="J137" s="403"/>
      <c r="K137" s="403" t="str">
        <f t="shared" si="97"/>
        <v/>
      </c>
      <c r="L137" s="403"/>
      <c r="M137" s="403" t="str">
        <f t="shared" si="98"/>
        <v/>
      </c>
      <c r="N137" s="403"/>
      <c r="O137" s="403" t="str">
        <f t="shared" si="99"/>
        <v/>
      </c>
      <c r="P137" s="404"/>
      <c r="Q137" s="99" t="str">
        <f t="shared" si="100"/>
        <v/>
      </c>
      <c r="R137" s="405" t="str">
        <f>IF(C137="", "",IF(D137&gt;0,D137,
IF($E$109="NY Contract", VLOOKUP(B137,'Raw BOM'!$A$3:$G$495,7,FALSE),
IF($E$109="FL Contract", VLOOKUP(B137,'Raw BOM'!$A$3:$I$495,8,FALSE),
IF($E$109="LA Contract", VLOOKUP(B137,'Raw BOM'!$A$3:$K$495,9,FALSE),
IF($E$109="WA Contract", VLOOKUP(B137,'Raw BOM'!$A$3:$M$495,10,FALSE),
VLOOKUP(B137,'Raw BOM'!$A$3:$D$495,4,FALSE)))))))</f>
        <v/>
      </c>
      <c r="S137" s="406" t="str">
        <f t="shared" si="101"/>
        <v/>
      </c>
      <c r="T137" s="405" t="str">
        <f t="shared" si="102"/>
        <v/>
      </c>
      <c r="U137" s="406" t="str">
        <f t="shared" si="103"/>
        <v/>
      </c>
      <c r="V137" s="49" t="str">
        <f>IF(C137="","", VLOOKUP(B137,'Raw BOM'!$A$3:$F$495,6,FALSE))</f>
        <v/>
      </c>
      <c r="X137" s="47">
        <f t="shared" si="80"/>
        <v>0</v>
      </c>
      <c r="Y137" s="198">
        <f>ROUND(
IF(AND(C137&lt;&gt;"", D137="", V137="Yes"),
     IF($E$109="Discount Based",
         R137*IF(OR(LEFT(A137,2)="HW", LEFT(A137,12)="CMS-Hardware"),
              $E$110,
              IF(AND(LEFT(A137,3)="Sys", LEFT(A137,4)&lt;&gt;"Ship"),
                   ($E$110+$E$111)/2,
                    0)),
         IF($E$109="Cost Based",
              IF(OR(LEFT(A137,2)="HW", LEFT(A137,12)="CMS-Hardware"),
                   R137-(1+$E$112)*VLOOKUP(B137,'Raw BOM'!$A$3:$E$492,5,FALSE),
              IF(AND(LEFT(A137,3)="Sys", LEFT(A137,4)&lt;&gt;"Ship"),
                   R137-(1+($E$112+$E$113)/2)*VLOOKUP(B137,'Raw BOM'!$A$3:$E$492,5,FALSE),
                   0))))),2)</f>
        <v>0</v>
      </c>
      <c r="Z137" s="47">
        <f>ROUND(
IF(AND(C137&lt;&gt;"", D137="", V137="No"),
     IF($E$109="Discount Based",
         R137*IF(AND(LEFT(A137,2)&lt;&gt;"HW", LEFT(A137,12)&lt;&gt;"CMS-Hardware",LEFT(A137,3)&lt;&gt;"Sys", LEFT(A137,4)&lt;&gt;"Ship"),
                   $E$111,0),
     IF($E$109="Cost Based",
          IF(AND(LEFT(A137,2)&lt;&gt;"HW", LEFT(A137,12)&lt;&gt;"CMS-Hardware",LEFT(A137,3)&lt;&gt;"Sys", LEFT(A137,4)&lt;&gt;"Ship"),
               R137-(1+$E$112)*VLOOKUP(B137,'Raw BOM'!$A$3:$E$492,5,FALSE),0),0)),0),2)</f>
        <v>0</v>
      </c>
      <c r="AA137" s="48">
        <f t="shared" si="104"/>
        <v>0</v>
      </c>
      <c r="AB137" s="48">
        <f t="shared" si="105"/>
        <v>0</v>
      </c>
    </row>
    <row r="138" spans="1:28" s="1" customFormat="1" ht="30" customHeight="1" x14ac:dyDescent="0.25">
      <c r="A138" s="41" t="str">
        <f>IF(B138&lt;&gt;"",VLOOKUP(B138,'Raw BOM'!$A$3:$B$495,2,FALSE),IF(E138&lt;&gt;"","Misc",""))</f>
        <v>Svcs-InstallTrain</v>
      </c>
      <c r="B138" s="42" t="str">
        <f>IF('Blank Quote'!B30&lt;&gt;"", 'Blank Quote'!B30, "")</f>
        <v>Services-Installation and Training Session 4hrs (see Service Method for price)</v>
      </c>
      <c r="C138" s="43">
        <f>IF('Blank Quote'!C30&lt;&gt;"", 'Blank Quote'!C30, "")</f>
        <v>1</v>
      </c>
      <c r="D138" s="44"/>
      <c r="E138" s="45" t="str">
        <f>IF('Blank Quote'!E30&lt;&gt;"", 'Blank Quote'!E30, "")</f>
        <v/>
      </c>
      <c r="F138"/>
      <c r="G138" s="400" t="str">
        <f t="shared" si="74"/>
        <v>Svcs-InstallTrain</v>
      </c>
      <c r="H138" s="401"/>
      <c r="I138" s="402" t="str">
        <f t="shared" si="96"/>
        <v>Services-Installation and Training Session 4hrs (see Service Method for price)</v>
      </c>
      <c r="J138" s="403"/>
      <c r="K138" s="403" t="str">
        <f t="shared" si="97"/>
        <v/>
      </c>
      <c r="L138" s="403"/>
      <c r="M138" s="403" t="str">
        <f t="shared" si="98"/>
        <v>Svcs-InstallTrain</v>
      </c>
      <c r="N138" s="403"/>
      <c r="O138" s="403" t="str">
        <f t="shared" si="99"/>
        <v>Services-Installation and Training Session 4hrs (see Service Method for price)</v>
      </c>
      <c r="P138" s="404"/>
      <c r="Q138" s="99">
        <f t="shared" si="100"/>
        <v>1</v>
      </c>
      <c r="R138" s="405">
        <f>IF(C138="", "",IF(D138&gt;0,D138,
IF($E$109="NY Contract", VLOOKUP(B138,'Raw BOM'!$A$3:$G$495,7,FALSE),
IF($E$109="FL Contract", VLOOKUP(B138,'Raw BOM'!$A$3:$I$495,8,FALSE),
IF($E$109="LA Contract", VLOOKUP(B138,'Raw BOM'!$A$3:$K$495,9,FALSE),
IF($E$109="WA Contract", VLOOKUP(B138,'Raw BOM'!$A$3:$M$495,10,FALSE),
VLOOKUP(B138,'Raw BOM'!$A$3:$D$495,4,FALSE)))))))</f>
        <v>0</v>
      </c>
      <c r="S138" s="406" t="str">
        <f t="shared" si="101"/>
        <v>Svcs-InstallTrain</v>
      </c>
      <c r="T138" s="405">
        <f t="shared" si="102"/>
        <v>0</v>
      </c>
      <c r="U138" s="406" t="str">
        <f t="shared" si="103"/>
        <v>Services-Installation and Training Session 4hrs (see Service Method for price)</v>
      </c>
      <c r="V138" s="49" t="str">
        <f>IF(C138="","", VLOOKUP(B138,'Raw BOM'!$A$3:$F$495,6,FALSE))</f>
        <v>No</v>
      </c>
      <c r="X138" s="47">
        <f t="shared" si="80"/>
        <v>0</v>
      </c>
      <c r="Y138" s="198">
        <f>ROUND(
IF(AND(C138&lt;&gt;"", D138="", V138="Yes"),
     IF($E$109="Discount Based",
         R138*IF(OR(LEFT(A138,2)="HW", LEFT(A138,12)="CMS-Hardware"),
              $E$110,
              IF(AND(LEFT(A138,3)="Sys", LEFT(A138,4)&lt;&gt;"Ship"),
                   ($E$110+$E$111)/2,
                    0)),
         IF($E$109="Cost Based",
              IF(OR(LEFT(A138,2)="HW", LEFT(A138,12)="CMS-Hardware"),
                   R138-(1+$E$112)*VLOOKUP(B138,'Raw BOM'!$A$3:$E$492,5,FALSE),
              IF(AND(LEFT(A138,3)="Sys", LEFT(A138,4)&lt;&gt;"Ship"),
                   R138-(1+($E$112+$E$113)/2)*VLOOKUP(B138,'Raw BOM'!$A$3:$E$492,5,FALSE),
                   0))))),2)</f>
        <v>0</v>
      </c>
      <c r="Z138" s="47">
        <f>ROUND(
IF(AND(C138&lt;&gt;"", D138="", V138="No"),
     IF($E$109="Discount Based",
         R138*IF(AND(LEFT(A138,2)&lt;&gt;"HW", LEFT(A138,12)&lt;&gt;"CMS-Hardware",LEFT(A138,3)&lt;&gt;"Sys", LEFT(A138,4)&lt;&gt;"Ship"),
                   $E$111,0),
     IF($E$109="Cost Based",
          IF(AND(LEFT(A138,2)&lt;&gt;"HW", LEFT(A138,12)&lt;&gt;"CMS-Hardware",LEFT(A138,3)&lt;&gt;"Sys", LEFT(A138,4)&lt;&gt;"Ship"),
               R138-(1+$E$112)*VLOOKUP(B138,'Raw BOM'!$A$3:$E$492,5,FALSE),0),0)),0),2)</f>
        <v>0</v>
      </c>
      <c r="AA138" s="48">
        <f t="shared" si="104"/>
        <v>0</v>
      </c>
      <c r="AB138" s="48">
        <f t="shared" si="105"/>
        <v>0</v>
      </c>
    </row>
    <row r="139" spans="1:28" s="1" customFormat="1" ht="30" customHeight="1" x14ac:dyDescent="0.25">
      <c r="A139" s="41" t="str">
        <f>IF(B139&lt;&gt;"",VLOOKUP(B139,'Raw BOM'!$A$3:$B$495,2,FALSE),IF(E139&lt;&gt;"","Misc",""))</f>
        <v>Svcs-Phone</v>
      </c>
      <c r="B139" s="42" t="str">
        <f>IF('Blank Quote'!B31&lt;&gt;"", 'Blank Quote'!B31, "")</f>
        <v>Services Method-Remote (Phone)</v>
      </c>
      <c r="C139" s="43">
        <f>IF('Blank Quote'!C31&lt;&gt;"", 'Blank Quote'!C31, "")</f>
        <v>1</v>
      </c>
      <c r="D139" s="44"/>
      <c r="E139" s="45" t="str">
        <f>IF('Blank Quote'!E31&lt;&gt;"", 'Blank Quote'!E31, "")</f>
        <v xml:space="preserve">To perform services shown in the line above. </v>
      </c>
      <c r="F139"/>
      <c r="G139" s="400" t="str">
        <f t="shared" si="74"/>
        <v>Svcs-Phone</v>
      </c>
      <c r="H139" s="401"/>
      <c r="I139" s="402" t="str">
        <f t="shared" si="96"/>
        <v xml:space="preserve">Services Method-Remote (Phone)   *** To perform services shown in the line above. </v>
      </c>
      <c r="J139" s="403"/>
      <c r="K139" s="403" t="str">
        <f t="shared" si="97"/>
        <v xml:space="preserve">To perform services shown in the line above. </v>
      </c>
      <c r="L139" s="403"/>
      <c r="M139" s="403" t="str">
        <f t="shared" si="98"/>
        <v>Svcs-Phone</v>
      </c>
      <c r="N139" s="403"/>
      <c r="O139" s="403" t="str">
        <f t="shared" si="99"/>
        <v xml:space="preserve">Services Method-Remote (Phone)   *** To perform services shown in the line above. </v>
      </c>
      <c r="P139" s="404"/>
      <c r="Q139" s="99">
        <f t="shared" si="100"/>
        <v>1</v>
      </c>
      <c r="R139" s="405">
        <f>IF(C139="", "",IF(D139&gt;0,D139,
IF($E$109="NY Contract", VLOOKUP(B139,'Raw BOM'!$A$3:$G$495,7,FALSE),
IF($E$109="FL Contract", VLOOKUP(B139,'Raw BOM'!$A$3:$I$495,8,FALSE),
IF($E$109="LA Contract", VLOOKUP(B139,'Raw BOM'!$A$3:$K$495,9,FALSE),
IF($E$109="WA Contract", VLOOKUP(B139,'Raw BOM'!$A$3:$M$495,10,FALSE),
VLOOKUP(B139,'Raw BOM'!$A$3:$D$495,4,FALSE)))))))</f>
        <v>750</v>
      </c>
      <c r="S139" s="406" t="str">
        <f t="shared" si="101"/>
        <v>Svcs-Phone</v>
      </c>
      <c r="T139" s="405">
        <f t="shared" si="102"/>
        <v>750</v>
      </c>
      <c r="U139" s="406" t="str">
        <f t="shared" si="103"/>
        <v xml:space="preserve">Services Method-Remote (Phone)   *** To perform services shown in the line above. </v>
      </c>
      <c r="V139" s="49" t="str">
        <f>IF(C139="","", VLOOKUP(B139,'Raw BOM'!$A$3:$F$495,6,FALSE))</f>
        <v>No</v>
      </c>
      <c r="X139" s="47">
        <f t="shared" si="80"/>
        <v>0</v>
      </c>
      <c r="Y139" s="198">
        <f>ROUND(
IF(AND(C139&lt;&gt;"", D139="", V139="Yes"),
     IF($E$109="Discount Based",
         R139*IF(OR(LEFT(A139,2)="HW", LEFT(A139,12)="CMS-Hardware"),
              $E$110,
              IF(AND(LEFT(A139,3)="Sys", LEFT(A139,4)&lt;&gt;"Ship"),
                   ($E$110+$E$111)/2,
                    0)),
         IF($E$109="Cost Based",
              IF(OR(LEFT(A139,2)="HW", LEFT(A139,12)="CMS-Hardware"),
                   R139-(1+$E$112)*VLOOKUP(B139,'Raw BOM'!$A$3:$E$492,5,FALSE),
              IF(AND(LEFT(A139,3)="Sys", LEFT(A139,4)&lt;&gt;"Ship"),
                   R139-(1+($E$112+$E$113)/2)*VLOOKUP(B139,'Raw BOM'!$A$3:$E$492,5,FALSE),
                   0))))),2)</f>
        <v>0</v>
      </c>
      <c r="Z139" s="47">
        <f>ROUND(
IF(AND(C139&lt;&gt;"", D139="", V139="No"),
     IF($E$109="Discount Based",
         R139*IF(AND(LEFT(A139,2)&lt;&gt;"HW", LEFT(A139,12)&lt;&gt;"CMS-Hardware",LEFT(A139,3)&lt;&gt;"Sys", LEFT(A139,4)&lt;&gt;"Ship"),
                   $E$111,0),
     IF($E$109="Cost Based",
          IF(AND(LEFT(A139,2)&lt;&gt;"HW", LEFT(A139,12)&lt;&gt;"CMS-Hardware",LEFT(A139,3)&lt;&gt;"Sys", LEFT(A139,4)&lt;&gt;"Ship"),
               R139-(1+$E$112)*VLOOKUP(B139,'Raw BOM'!$A$3:$E$492,5,FALSE),0),0)),0),2)</f>
        <v>330</v>
      </c>
      <c r="AA139" s="48">
        <f t="shared" si="104"/>
        <v>0</v>
      </c>
      <c r="AB139" s="48">
        <f t="shared" si="105"/>
        <v>330</v>
      </c>
    </row>
    <row r="140" spans="1:28" s="1" customFormat="1" ht="30" customHeight="1" x14ac:dyDescent="0.25">
      <c r="A140" s="41" t="str">
        <f>IF(B140&lt;&gt;"",VLOOKUP(B140,'Raw BOM'!$A$3:$B$495,2,FALSE),IF(E140&lt;&gt;"","Misc",""))</f>
        <v/>
      </c>
      <c r="B140" s="42" t="str">
        <f>IF('Blank Quote'!B32&lt;&gt;"", 'Blank Quote'!B32, "")</f>
        <v/>
      </c>
      <c r="C140" s="43" t="str">
        <f>IF('Blank Quote'!C32&lt;&gt;"", 'Blank Quote'!C32, "")</f>
        <v/>
      </c>
      <c r="D140" s="44"/>
      <c r="E140" s="45" t="str">
        <f>IF('Blank Quote'!E32&lt;&gt;"", 'Blank Quote'!E32, "")</f>
        <v/>
      </c>
      <c r="F140"/>
      <c r="G140" s="400" t="str">
        <f t="shared" si="74"/>
        <v/>
      </c>
      <c r="H140" s="401"/>
      <c r="I140" s="402" t="str">
        <f t="shared" si="96"/>
        <v/>
      </c>
      <c r="J140" s="403"/>
      <c r="K140" s="403" t="str">
        <f t="shared" si="97"/>
        <v/>
      </c>
      <c r="L140" s="403"/>
      <c r="M140" s="403" t="str">
        <f t="shared" si="98"/>
        <v/>
      </c>
      <c r="N140" s="403"/>
      <c r="O140" s="403" t="str">
        <f t="shared" si="99"/>
        <v/>
      </c>
      <c r="P140" s="404"/>
      <c r="Q140" s="99" t="str">
        <f t="shared" si="100"/>
        <v/>
      </c>
      <c r="R140" s="405" t="str">
        <f>IF(C140="", "",IF(D140&gt;0,D140,
IF($E$109="NY Contract", VLOOKUP(B140,'Raw BOM'!$A$3:$G$495,7,FALSE),
IF($E$109="FL Contract", VLOOKUP(B140,'Raw BOM'!$A$3:$I$495,8,FALSE),
IF($E$109="LA Contract", VLOOKUP(B140,'Raw BOM'!$A$3:$K$495,9,FALSE),
IF($E$109="WA Contract", VLOOKUP(B140,'Raw BOM'!$A$3:$M$495,10,FALSE),
VLOOKUP(B140,'Raw BOM'!$A$3:$D$495,4,FALSE)))))))</f>
        <v/>
      </c>
      <c r="S140" s="406" t="str">
        <f t="shared" si="101"/>
        <v/>
      </c>
      <c r="T140" s="405" t="str">
        <f t="shared" si="102"/>
        <v/>
      </c>
      <c r="U140" s="406" t="str">
        <f t="shared" si="103"/>
        <v/>
      </c>
      <c r="V140" s="49" t="str">
        <f>IF(C140="","", VLOOKUP(B140,'Raw BOM'!$A$3:$F$495,6,FALSE))</f>
        <v/>
      </c>
      <c r="X140" s="47">
        <f t="shared" si="80"/>
        <v>0</v>
      </c>
      <c r="Y140" s="198">
        <f>ROUND(
IF(AND(C140&lt;&gt;"", D140="", V140="Yes"),
     IF($E$109="Discount Based",
         R140*IF(OR(LEFT(A140,2)="HW", LEFT(A140,12)="CMS-Hardware"),
              $E$110,
              IF(AND(LEFT(A140,3)="Sys", LEFT(A140,4)&lt;&gt;"Ship"),
                   ($E$110+$E$111)/2,
                    0)),
         IF($E$109="Cost Based",
              IF(OR(LEFT(A140,2)="HW", LEFT(A140,12)="CMS-Hardware"),
                   R140-(1+$E$112)*VLOOKUP(B140,'Raw BOM'!$A$3:$E$492,5,FALSE),
              IF(AND(LEFT(A140,3)="Sys", LEFT(A140,4)&lt;&gt;"Ship"),
                   R140-(1+($E$112+$E$113)/2)*VLOOKUP(B140,'Raw BOM'!$A$3:$E$492,5,FALSE),
                   0))))),2)</f>
        <v>0</v>
      </c>
      <c r="Z140" s="47">
        <f>ROUND(
IF(AND(C140&lt;&gt;"", D140="", V140="No"),
     IF($E$109="Discount Based",
         R140*IF(AND(LEFT(A140,2)&lt;&gt;"HW", LEFT(A140,12)&lt;&gt;"CMS-Hardware",LEFT(A140,3)&lt;&gt;"Sys", LEFT(A140,4)&lt;&gt;"Ship"),
                   $E$111,0),
     IF($E$109="Cost Based",
          IF(AND(LEFT(A140,2)&lt;&gt;"HW", LEFT(A140,12)&lt;&gt;"CMS-Hardware",LEFT(A140,3)&lt;&gt;"Sys", LEFT(A140,4)&lt;&gt;"Ship"),
               R140-(1+$E$112)*VLOOKUP(B140,'Raw BOM'!$A$3:$E$492,5,FALSE),0),0)),0),2)</f>
        <v>0</v>
      </c>
      <c r="AA140" s="48">
        <f t="shared" si="104"/>
        <v>0</v>
      </c>
      <c r="AB140" s="48">
        <f t="shared" si="105"/>
        <v>0</v>
      </c>
    </row>
    <row r="141" spans="1:28" s="1" customFormat="1" ht="30" customHeight="1" x14ac:dyDescent="0.25">
      <c r="A141" s="41" t="str">
        <f>IF(B141&lt;&gt;"",VLOOKUP(B141,'Raw BOM'!$A$3:$B$495,2,FALSE),IF(E141&lt;&gt;"","Misc",""))</f>
        <v>Ship-L</v>
      </c>
      <c r="B141" s="42" t="str">
        <f>IF('Blank Quote'!B33&lt;&gt;"", 'Blank Quote'!B33, "")</f>
        <v>Shipping-Ground for Large Package</v>
      </c>
      <c r="C141" s="43">
        <f>IF('Blank Quote'!C33&lt;&gt;"", 'Blank Quote'!C33, "")</f>
        <v>1</v>
      </c>
      <c r="D141" s="44"/>
      <c r="E141" s="45" t="str">
        <f>IF('Blank Quote'!E33&lt;&gt;"", 'Blank Quote'!E33, "")</f>
        <v/>
      </c>
      <c r="F141"/>
      <c r="G141" s="400" t="str">
        <f t="shared" si="74"/>
        <v>Ship-L</v>
      </c>
      <c r="H141" s="401"/>
      <c r="I141" s="402" t="str">
        <f t="shared" si="96"/>
        <v>Shipping-Ground for Large Package</v>
      </c>
      <c r="J141" s="403"/>
      <c r="K141" s="403" t="str">
        <f t="shared" si="97"/>
        <v/>
      </c>
      <c r="L141" s="403"/>
      <c r="M141" s="403" t="str">
        <f t="shared" si="98"/>
        <v>Ship-L</v>
      </c>
      <c r="N141" s="403"/>
      <c r="O141" s="403" t="str">
        <f t="shared" si="99"/>
        <v>Shipping-Ground for Large Package</v>
      </c>
      <c r="P141" s="404"/>
      <c r="Q141" s="99">
        <f t="shared" si="100"/>
        <v>1</v>
      </c>
      <c r="R141" s="405">
        <f>IF(C141="", "",IF(D141&gt;0,D141,
IF($E$109="NY Contract", VLOOKUP(B141,'Raw BOM'!$A$3:$G$495,7,FALSE),
IF($E$109="FL Contract", VLOOKUP(B141,'Raw BOM'!$A$3:$I$495,8,FALSE),
IF($E$109="LA Contract", VLOOKUP(B141,'Raw BOM'!$A$3:$K$495,9,FALSE),
IF($E$109="WA Contract", VLOOKUP(B141,'Raw BOM'!$A$3:$M$495,10,FALSE),
VLOOKUP(B141,'Raw BOM'!$A$3:$D$495,4,FALSE)))))))</f>
        <v>60</v>
      </c>
      <c r="S141" s="406" t="str">
        <f t="shared" si="101"/>
        <v>Ship-L</v>
      </c>
      <c r="T141" s="405">
        <f t="shared" si="102"/>
        <v>60</v>
      </c>
      <c r="U141" s="406" t="str">
        <f t="shared" si="103"/>
        <v>Shipping-Ground for Large Package</v>
      </c>
      <c r="V141" s="49" t="str">
        <f>IF(C141="","", VLOOKUP(B141,'Raw BOM'!$A$3:$F$495,6,FALSE))</f>
        <v>No</v>
      </c>
      <c r="X141" s="47">
        <f t="shared" si="80"/>
        <v>0</v>
      </c>
      <c r="Y141" s="198">
        <f>ROUND(
IF(AND(C141&lt;&gt;"", D141="", V141="Yes"),
     IF($E$109="Discount Based",
         R141*IF(OR(LEFT(A141,2)="HW", LEFT(A141,12)="CMS-Hardware"),
              $E$110,
              IF(AND(LEFT(A141,3)="Sys", LEFT(A141,4)&lt;&gt;"Ship"),
                   ($E$110+$E$111)/2,
                    0)),
         IF($E$109="Cost Based",
              IF(OR(LEFT(A141,2)="HW", LEFT(A141,12)="CMS-Hardware"),
                   R141-(1+$E$112)*VLOOKUP(B141,'Raw BOM'!$A$3:$E$492,5,FALSE),
              IF(AND(LEFT(A141,3)="Sys", LEFT(A141,4)&lt;&gt;"Ship"),
                   R141-(1+($E$112+$E$113)/2)*VLOOKUP(B141,'Raw BOM'!$A$3:$E$492,5,FALSE),
                   0))))),2)</f>
        <v>0</v>
      </c>
      <c r="Z141" s="47">
        <f>ROUND(
IF(AND(C141&lt;&gt;"", D141="", V141="No"),
     IF($E$109="Discount Based",
         R141*IF(AND(LEFT(A141,2)&lt;&gt;"HW", LEFT(A141,12)&lt;&gt;"CMS-Hardware",LEFT(A141,3)&lt;&gt;"Sys", LEFT(A141,4)&lt;&gt;"Ship"),
                   $E$111,0),
     IF($E$109="Cost Based",
          IF(AND(LEFT(A141,2)&lt;&gt;"HW", LEFT(A141,12)&lt;&gt;"CMS-Hardware",LEFT(A141,3)&lt;&gt;"Sys", LEFT(A141,4)&lt;&gt;"Ship"),
               R141-(1+$E$112)*VLOOKUP(B141,'Raw BOM'!$A$3:$E$492,5,FALSE),0),0)),0),2)</f>
        <v>0</v>
      </c>
      <c r="AA141" s="48">
        <f t="shared" si="104"/>
        <v>0</v>
      </c>
      <c r="AB141" s="48">
        <f t="shared" si="105"/>
        <v>0</v>
      </c>
    </row>
    <row r="142" spans="1:28" s="1" customFormat="1" ht="30" customHeight="1" x14ac:dyDescent="0.25">
      <c r="A142" s="41" t="str">
        <f>IF(B142&lt;&gt;"",VLOOKUP(B142,'Raw BOM'!$A$3:$B$495,2,FALSE),IF(E142&lt;&gt;"","Misc",""))</f>
        <v>Maint-Warr</v>
      </c>
      <c r="B142" s="42" t="str">
        <f>IF('Blank Quote'!B34&lt;&gt;"", 'Blank Quote'!B34, "")</f>
        <v>Maintenance-Initial Year Warranty</v>
      </c>
      <c r="C142" s="43">
        <f>IF('Blank Quote'!C34&lt;&gt;"", 'Blank Quote'!C34, "")</f>
        <v>1</v>
      </c>
      <c r="D142" s="44"/>
      <c r="E142" s="45" t="str">
        <f>IF('Blank Quote'!E34&lt;&gt;"", 'Blank Quote'!E34, "")</f>
        <v>Cross Ship</v>
      </c>
      <c r="F142"/>
      <c r="G142" s="400" t="str">
        <f t="shared" si="74"/>
        <v>Maint-Warr</v>
      </c>
      <c r="H142" s="401"/>
      <c r="I142" s="402" t="str">
        <f t="shared" si="96"/>
        <v>Maintenance-Initial Year Warranty   *** Cross Ship</v>
      </c>
      <c r="J142" s="403"/>
      <c r="K142" s="403" t="str">
        <f t="shared" si="97"/>
        <v>Cross Ship</v>
      </c>
      <c r="L142" s="403"/>
      <c r="M142" s="403" t="str">
        <f t="shared" si="98"/>
        <v>Maint-Warr</v>
      </c>
      <c r="N142" s="403"/>
      <c r="O142" s="403" t="str">
        <f t="shared" si="99"/>
        <v>Maintenance-Initial Year Warranty   *** Cross Ship</v>
      </c>
      <c r="P142" s="404"/>
      <c r="Q142" s="99">
        <f t="shared" si="100"/>
        <v>1</v>
      </c>
      <c r="R142" s="405">
        <f>IF(C142="", "",IF(D142&gt;0,D142,
IF($E$109="NY Contract", VLOOKUP(B142,'Raw BOM'!$A$3:$G$495,7,FALSE),
IF($E$109="FL Contract", VLOOKUP(B142,'Raw BOM'!$A$3:$I$495,8,FALSE),
IF($E$109="LA Contract", VLOOKUP(B142,'Raw BOM'!$A$3:$K$495,9,FALSE),
IF($E$109="WA Contract", VLOOKUP(B142,'Raw BOM'!$A$3:$M$495,10,FALSE),
VLOOKUP(B142,'Raw BOM'!$A$3:$D$495,4,FALSE)))))))</f>
        <v>0</v>
      </c>
      <c r="S142" s="406" t="str">
        <f t="shared" si="101"/>
        <v>Maint-Warr</v>
      </c>
      <c r="T142" s="405">
        <f t="shared" si="102"/>
        <v>0</v>
      </c>
      <c r="U142" s="406" t="str">
        <f t="shared" si="103"/>
        <v>Maintenance-Initial Year Warranty   *** Cross Ship</v>
      </c>
      <c r="V142" s="49" t="str">
        <f>IF(C142="","", VLOOKUP(B142,'Raw BOM'!$A$3:$F$495,6,FALSE))</f>
        <v>No</v>
      </c>
      <c r="X142" s="47">
        <f t="shared" si="80"/>
        <v>0</v>
      </c>
      <c r="Y142" s="198">
        <f>ROUND(
IF(AND(C142&lt;&gt;"", D142="", V142="Yes"),
     IF($E$109="Discount Based",
         R142*IF(OR(LEFT(A142,2)="HW", LEFT(A142,12)="CMS-Hardware"),
              $E$110,
              IF(AND(LEFT(A142,3)="Sys", LEFT(A142,4)&lt;&gt;"Ship"),
                   ($E$110+$E$111)/2,
                    0)),
         IF($E$109="Cost Based",
              IF(OR(LEFT(A142,2)="HW", LEFT(A142,12)="CMS-Hardware"),
                   R142-(1+$E$112)*VLOOKUP(B142,'Raw BOM'!$A$3:$E$492,5,FALSE),
              IF(AND(LEFT(A142,3)="Sys", LEFT(A142,4)&lt;&gt;"Ship"),
                   R142-(1+($E$112+$E$113)/2)*VLOOKUP(B142,'Raw BOM'!$A$3:$E$492,5,FALSE),
                   0))))),2)</f>
        <v>0</v>
      </c>
      <c r="Z142" s="47">
        <f>ROUND(
IF(AND(C142&lt;&gt;"", D142="", V142="No"),
     IF($E$109="Discount Based",
         R142*IF(AND(LEFT(A142,2)&lt;&gt;"HW", LEFT(A142,12)&lt;&gt;"CMS-Hardware",LEFT(A142,3)&lt;&gt;"Sys", LEFT(A142,4)&lt;&gt;"Ship"),
                   $E$111,0),
     IF($E$109="Cost Based",
          IF(AND(LEFT(A142,2)&lt;&gt;"HW", LEFT(A142,12)&lt;&gt;"CMS-Hardware",LEFT(A142,3)&lt;&gt;"Sys", LEFT(A142,4)&lt;&gt;"Ship"),
               R142-(1+$E$112)*VLOOKUP(B142,'Raw BOM'!$A$3:$E$492,5,FALSE),0),0)),0),2)</f>
        <v>0</v>
      </c>
      <c r="AA142" s="48">
        <f t="shared" si="104"/>
        <v>0</v>
      </c>
      <c r="AB142" s="48">
        <f t="shared" si="105"/>
        <v>0</v>
      </c>
    </row>
    <row r="143" spans="1:28" s="1" customFormat="1" ht="30" customHeight="1" x14ac:dyDescent="0.25">
      <c r="A143" s="41" t="str">
        <f>IF(B143&lt;&gt;"",VLOOKUP(B143,'Raw BOM'!$A$3:$B$495,2,FALSE),IF(E143&lt;&gt;"","Misc",""))</f>
        <v>Misc</v>
      </c>
      <c r="B143" s="42" t="str">
        <f>IF('Blank Quote'!B35&lt;&gt;"", 'Blank Quote'!B35, "")</f>
        <v/>
      </c>
      <c r="C143" s="43" t="str">
        <f>IF('Blank Quote'!C35&lt;&gt;"", 'Blank Quote'!C35, "")</f>
        <v/>
      </c>
      <c r="D143" s="44"/>
      <c r="E143" s="45" t="str">
        <f>IF('Blank Quote'!E35&lt;&gt;"", 'Blank Quote'!E35, "")</f>
        <v>Pick one of the following 2 Maintenance options in the 12th month.  We recommend picking 2nd line if processing more than 1,200 transactions per year.</v>
      </c>
      <c r="F143"/>
      <c r="G143" s="400" t="str">
        <f t="shared" si="74"/>
        <v>Misc</v>
      </c>
      <c r="H143" s="401"/>
      <c r="I143" s="402" t="str">
        <f t="shared" si="96"/>
        <v xml:space="preserve">   *** Pick one of the following 2 Maintenance options in the 12th month.  We recommend picking 2nd line if processing more than 1,200 transactions per year.</v>
      </c>
      <c r="J143" s="403"/>
      <c r="K143" s="403" t="str">
        <f t="shared" si="97"/>
        <v>Pick one of the following 2 Maintenance options in the 12th month.  We recommend picking 2nd line if processing more than 1,200 transactions per year.</v>
      </c>
      <c r="L143" s="403"/>
      <c r="M143" s="403" t="str">
        <f t="shared" si="98"/>
        <v>Misc</v>
      </c>
      <c r="N143" s="403"/>
      <c r="O143" s="403" t="str">
        <f t="shared" si="99"/>
        <v xml:space="preserve">   *** Pick one of the following 2 Maintenance options in the 12th month.  We recommend picking 2nd line if processing more than 1,200 transactions per year.</v>
      </c>
      <c r="P143" s="404"/>
      <c r="Q143" s="99" t="str">
        <f t="shared" si="100"/>
        <v/>
      </c>
      <c r="R143" s="405" t="str">
        <f>IF(C143="", "",IF(D143&gt;0,D143,
IF($E$109="NY Contract", VLOOKUP(B143,'Raw BOM'!$A$3:$G$495,7,FALSE),
IF($E$109="FL Contract", VLOOKUP(B143,'Raw BOM'!$A$3:$I$495,8,FALSE),
IF($E$109="LA Contract", VLOOKUP(B143,'Raw BOM'!$A$3:$K$495,9,FALSE),
IF($E$109="WA Contract", VLOOKUP(B143,'Raw BOM'!$A$3:$M$495,10,FALSE),
VLOOKUP(B143,'Raw BOM'!$A$3:$D$495,4,FALSE)))))))</f>
        <v/>
      </c>
      <c r="S143" s="406" t="str">
        <f t="shared" si="101"/>
        <v>Misc</v>
      </c>
      <c r="T143" s="405" t="str">
        <f t="shared" si="102"/>
        <v/>
      </c>
      <c r="U143" s="406" t="str">
        <f t="shared" si="103"/>
        <v xml:space="preserve">   *** Pick one of the following 2 Maintenance options in the 12th month.  We recommend picking 2nd line if processing more than 1,200 transactions per year.</v>
      </c>
      <c r="V143" s="49" t="str">
        <f>IF(C143="","", VLOOKUP(B143,'Raw BOM'!$A$3:$F$495,6,FALSE))</f>
        <v/>
      </c>
      <c r="X143" s="47">
        <f t="shared" si="80"/>
        <v>0</v>
      </c>
      <c r="Y143" s="198">
        <f>ROUND(
IF(AND(C143&lt;&gt;"", D143="", V143="Yes"),
     IF($E$109="Discount Based",
         R143*IF(OR(LEFT(A143,2)="HW", LEFT(A143,12)="CMS-Hardware"),
              $E$110,
              IF(AND(LEFT(A143,3)="Sys", LEFT(A143,4)&lt;&gt;"Ship"),
                   ($E$110+$E$111)/2,
                    0)),
         IF($E$109="Cost Based",
              IF(OR(LEFT(A143,2)="HW", LEFT(A143,12)="CMS-Hardware"),
                   R143-(1+$E$112)*VLOOKUP(B143,'Raw BOM'!$A$3:$E$492,5,FALSE),
              IF(AND(LEFT(A143,3)="Sys", LEFT(A143,4)&lt;&gt;"Ship"),
                   R143-(1+($E$112+$E$113)/2)*VLOOKUP(B143,'Raw BOM'!$A$3:$E$492,5,FALSE),
                   0))))),2)</f>
        <v>0</v>
      </c>
      <c r="Z143" s="47">
        <f>ROUND(
IF(AND(C143&lt;&gt;"", D143="", V143="No"),
     IF($E$109="Discount Based",
         R143*IF(AND(LEFT(A143,2)&lt;&gt;"HW", LEFT(A143,12)&lt;&gt;"CMS-Hardware",LEFT(A143,3)&lt;&gt;"Sys", LEFT(A143,4)&lt;&gt;"Ship"),
                   $E$111,0),
     IF($E$109="Cost Based",
          IF(AND(LEFT(A143,2)&lt;&gt;"HW", LEFT(A143,12)&lt;&gt;"CMS-Hardware",LEFT(A143,3)&lt;&gt;"Sys", LEFT(A143,4)&lt;&gt;"Ship"),
               R143-(1+$E$112)*VLOOKUP(B143,'Raw BOM'!$A$3:$E$492,5,FALSE),0),0)),0),2)</f>
        <v>0</v>
      </c>
      <c r="AA143" s="48">
        <f t="shared" si="104"/>
        <v>0</v>
      </c>
      <c r="AB143" s="48">
        <f t="shared" si="105"/>
        <v>0</v>
      </c>
    </row>
    <row r="144" spans="1:28" s="1" customFormat="1" ht="30" customHeight="1" x14ac:dyDescent="0.25">
      <c r="A144" s="41" t="str">
        <f>IF(B144&lt;&gt;"",VLOOKUP(B144,'Raw BOM'!$A$3:$B$495,2,FALSE),IF(E144&lt;&gt;"","Misc",""))</f>
        <v>Maint-9X5-SW-App</v>
      </c>
      <c r="B144" s="42" t="s">
        <v>125</v>
      </c>
      <c r="C144" s="43">
        <f>IF('Blank Quote'!C36&lt;&gt;"", 'Blank Quote'!C36, "")</f>
        <v>0</v>
      </c>
      <c r="D144" s="44">
        <v>595</v>
      </c>
      <c r="E144" s="50" t="str">
        <f>IF('Blank Quote'!E36&lt;&gt;"", 'Blank Quote'!E36, "")</f>
        <v>Software Only coverage, per system</v>
      </c>
      <c r="F144" s="251">
        <f>ROUND(S149*0.08,-1)</f>
        <v>410</v>
      </c>
      <c r="G144" s="315" t="str">
        <f t="shared" si="74"/>
        <v>Maint-9X5-SW-App</v>
      </c>
      <c r="H144" s="316"/>
      <c r="I144" s="317" t="str">
        <f t="shared" si="81"/>
        <v>Maintenance-9X5 Software Only Support Applicant   *** Software Only coverage, per system</v>
      </c>
      <c r="J144" s="317"/>
      <c r="K144" s="317" t="str">
        <f t="shared" si="75"/>
        <v>Software Only coverage, per system</v>
      </c>
      <c r="L144" s="317"/>
      <c r="M144" s="317" t="str">
        <f t="shared" si="76"/>
        <v>Maint-9X5-SW-App</v>
      </c>
      <c r="N144" s="317"/>
      <c r="O144" s="317" t="str">
        <f t="shared" si="77"/>
        <v>Maintenance-9X5 Software Only Support Applicant   *** Software Only coverage, per system</v>
      </c>
      <c r="P144" s="317"/>
      <c r="Q144" s="99">
        <f t="shared" si="82"/>
        <v>0</v>
      </c>
      <c r="R144" s="414">
        <f>D144</f>
        <v>595</v>
      </c>
      <c r="S144" s="414" t="str">
        <f t="shared" si="101"/>
        <v>Maint-9X5-SW-App</v>
      </c>
      <c r="T144" s="318">
        <f t="shared" ref="T144:T147" si="106">IF(C144="", "", Q144*R144)</f>
        <v>0</v>
      </c>
      <c r="U144" s="318" t="str">
        <f t="shared" ref="U144:U147" si="107">O144</f>
        <v>Maintenance-9X5 Software Only Support Applicant   *** Software Only coverage, per system</v>
      </c>
      <c r="V144" s="49" t="str">
        <f>IF(C144="","", VLOOKUP(B144,'Raw BOM'!$A$3:$F$495,6,FALSE))</f>
        <v>No</v>
      </c>
      <c r="X144" s="47">
        <f t="shared" si="80"/>
        <v>0</v>
      </c>
      <c r="Y144" s="179"/>
      <c r="Z144" s="47"/>
      <c r="AA144" s="48"/>
      <c r="AB144" s="48"/>
    </row>
    <row r="145" spans="1:28" s="1" customFormat="1" ht="30" customHeight="1" x14ac:dyDescent="0.25">
      <c r="A145" s="41" t="str">
        <f>IF(B145&lt;&gt;"",VLOOKUP(B145,'Raw BOM'!$A$3:$B$495,2,FALSE),IF(E145&lt;&gt;"","Misc",""))</f>
        <v>Maint-9X5-Remote</v>
      </c>
      <c r="B145" s="42" t="s">
        <v>127</v>
      </c>
      <c r="C145" s="43">
        <f>IF('Blank Quote'!C37&lt;&gt;"", 'Blank Quote'!C37, "")</f>
        <v>0</v>
      </c>
      <c r="D145" s="44">
        <v>880</v>
      </c>
      <c r="E145" s="50" t="str">
        <f>IF('Blank Quote'!E37&lt;&gt;"", 'Blank Quote'!E37, "")</f>
        <v>Software and Hardware Coverage, per system</v>
      </c>
      <c r="F145" s="251">
        <f>ROUND(S149*0.12,-1)</f>
        <v>610</v>
      </c>
      <c r="G145" s="315" t="str">
        <f t="shared" si="74"/>
        <v>Maint-9X5-Remote</v>
      </c>
      <c r="H145" s="316"/>
      <c r="I145" s="317" t="str">
        <f t="shared" ref="I145:I147" si="108">IF(B145&lt;&gt;"", B145, "")&amp;IF(E145&lt;&gt;"", "   *** "&amp;E145, "")</f>
        <v>Maintenance-9 X 5 (8am - 5pm, M-F) Remote with Cross Ship   *** Software and Hardware Coverage, per system</v>
      </c>
      <c r="J145" s="317"/>
      <c r="K145" s="317" t="str">
        <f t="shared" ref="K145:K147" si="109">E145</f>
        <v>Software and Hardware Coverage, per system</v>
      </c>
      <c r="L145" s="317"/>
      <c r="M145" s="317" t="str">
        <f t="shared" ref="M145:M147" si="110">G145</f>
        <v>Maint-9X5-Remote</v>
      </c>
      <c r="N145" s="317"/>
      <c r="O145" s="317" t="str">
        <f t="shared" ref="O145:O147" si="111">I145</f>
        <v>Maintenance-9 X 5 (8am - 5pm, M-F) Remote with Cross Ship   *** Software and Hardware Coverage, per system</v>
      </c>
      <c r="P145" s="317"/>
      <c r="Q145" s="99">
        <f t="shared" si="82"/>
        <v>0</v>
      </c>
      <c r="R145" s="318">
        <f t="shared" ref="R145:R147" si="112">D145</f>
        <v>880</v>
      </c>
      <c r="S145" s="318" t="str">
        <f t="shared" ref="S145:S147" si="113">M145</f>
        <v>Maint-9X5-Remote</v>
      </c>
      <c r="T145" s="318">
        <f t="shared" si="106"/>
        <v>0</v>
      </c>
      <c r="U145" s="318" t="str">
        <f t="shared" si="107"/>
        <v>Maintenance-9 X 5 (8am - 5pm, M-F) Remote with Cross Ship   *** Software and Hardware Coverage, per system</v>
      </c>
      <c r="V145" s="49" t="str">
        <f>IF(C145="","", VLOOKUP(B145,'Raw BOM'!$A$3:$F$495,6,FALSE))</f>
        <v>No</v>
      </c>
      <c r="X145" s="47">
        <f t="shared" si="80"/>
        <v>0</v>
      </c>
      <c r="Y145" s="179"/>
      <c r="Z145" s="47"/>
      <c r="AA145" s="48"/>
      <c r="AB145" s="48"/>
    </row>
    <row r="146" spans="1:28" s="1" customFormat="1" ht="30" customHeight="1" x14ac:dyDescent="0.25">
      <c r="A146" s="41" t="str">
        <f>IF(B146&lt;&gt;"",VLOOKUP(B146,'Raw BOM'!$A$3:$B$495,2,FALSE),IF(E146&lt;&gt;"","Misc",""))</f>
        <v/>
      </c>
      <c r="B146" s="42" t="str">
        <f>IF('Blank Quote'!B38&lt;&gt;"", 'Blank Quote'!B38, "")</f>
        <v/>
      </c>
      <c r="C146" s="43" t="str">
        <f>IF('Blank Quote'!C38&lt;&gt;"", 'Blank Quote'!C38, "")</f>
        <v/>
      </c>
      <c r="D146" s="44" t="str">
        <f>IF(B146&lt;&gt;"", F145/0.12*0.18, "")</f>
        <v/>
      </c>
      <c r="E146" s="50" t="str">
        <f>IF('Blank Quote'!E38&lt;&gt;"", 'Blank Quote'!E38, "")</f>
        <v/>
      </c>
      <c r="F146" s="251">
        <f>ROUND(S149*0.18,-1)</f>
        <v>920</v>
      </c>
      <c r="G146" s="315" t="str">
        <f t="shared" si="74"/>
        <v/>
      </c>
      <c r="H146" s="316"/>
      <c r="I146" s="317" t="str">
        <f t="shared" si="108"/>
        <v/>
      </c>
      <c r="J146" s="317"/>
      <c r="K146" s="317" t="str">
        <f t="shared" si="109"/>
        <v/>
      </c>
      <c r="L146" s="317"/>
      <c r="M146" s="317" t="str">
        <f t="shared" si="110"/>
        <v/>
      </c>
      <c r="N146" s="317"/>
      <c r="O146" s="317" t="str">
        <f t="shared" si="111"/>
        <v/>
      </c>
      <c r="P146" s="317"/>
      <c r="Q146" s="99" t="str">
        <f t="shared" si="82"/>
        <v/>
      </c>
      <c r="R146" s="318" t="str">
        <f t="shared" si="112"/>
        <v/>
      </c>
      <c r="S146" s="318" t="str">
        <f t="shared" si="113"/>
        <v/>
      </c>
      <c r="T146" s="318" t="str">
        <f t="shared" si="106"/>
        <v/>
      </c>
      <c r="U146" s="318" t="str">
        <f t="shared" si="107"/>
        <v/>
      </c>
      <c r="V146" s="49" t="str">
        <f>IF(C146="","", VLOOKUP(B146,'Raw BOM'!$A$3:$F$495,6,FALSE))</f>
        <v/>
      </c>
      <c r="X146" s="47">
        <f t="shared" si="80"/>
        <v>0</v>
      </c>
      <c r="Y146" s="179"/>
      <c r="Z146" s="47"/>
      <c r="AA146" s="48"/>
      <c r="AB146" s="48"/>
    </row>
    <row r="147" spans="1:28" s="1" customFormat="1" ht="30" customHeight="1" thickBot="1" x14ac:dyDescent="0.3">
      <c r="A147" s="41" t="str">
        <f>IF(B147&lt;&gt;"",VLOOKUP(B147,'Raw BOM'!$A$3:$B$495,2,FALSE),IF(E147&lt;&gt;"","Misc",""))</f>
        <v/>
      </c>
      <c r="B147" s="51" t="str">
        <f>IF('Blank Quote'!B39&lt;&gt;"", 'Blank Quote'!B39, "")</f>
        <v/>
      </c>
      <c r="C147" s="52" t="str">
        <f>IF('Blank Quote'!C39&lt;&gt;"", 'Blank Quote'!C39, "")</f>
        <v/>
      </c>
      <c r="D147" s="53" t="str">
        <f>IF(B147&lt;&gt;"", F146/0.12*0.18, "")</f>
        <v/>
      </c>
      <c r="E147" s="54" t="str">
        <f>IF('Blank Quote'!E39&lt;&gt;"", 'Blank Quote'!E39, "")</f>
        <v/>
      </c>
      <c r="F147" s="251">
        <f>ROUND(S149*0.24,-1)</f>
        <v>1220</v>
      </c>
      <c r="G147" s="369" t="str">
        <f>IF(A147&lt;&gt;"", A147, "")</f>
        <v/>
      </c>
      <c r="H147" s="370"/>
      <c r="I147" s="371" t="str">
        <f t="shared" si="108"/>
        <v/>
      </c>
      <c r="J147" s="371"/>
      <c r="K147" s="371" t="str">
        <f t="shared" si="109"/>
        <v/>
      </c>
      <c r="L147" s="371"/>
      <c r="M147" s="371" t="str">
        <f t="shared" si="110"/>
        <v/>
      </c>
      <c r="N147" s="371"/>
      <c r="O147" s="371" t="str">
        <f t="shared" si="111"/>
        <v/>
      </c>
      <c r="P147" s="371"/>
      <c r="Q147" s="96" t="str">
        <f t="shared" si="82"/>
        <v/>
      </c>
      <c r="R147" s="373" t="str">
        <f t="shared" si="112"/>
        <v/>
      </c>
      <c r="S147" s="373" t="str">
        <f t="shared" si="113"/>
        <v/>
      </c>
      <c r="T147" s="373" t="str">
        <f t="shared" si="106"/>
        <v/>
      </c>
      <c r="U147" s="373" t="str">
        <f t="shared" si="107"/>
        <v/>
      </c>
      <c r="V147" s="55" t="str">
        <f>IF(C147="","", VLOOKUP(B147,'Raw BOM'!$A$3:$F$495,6,FALSE))</f>
        <v/>
      </c>
      <c r="X147" s="47">
        <f t="shared" si="80"/>
        <v>0</v>
      </c>
      <c r="Y147" s="179"/>
      <c r="Z147" s="47"/>
      <c r="AA147" s="48"/>
      <c r="AB147" s="48"/>
    </row>
    <row r="148" spans="1:28" ht="5.25" customHeight="1" thickTop="1" thickBot="1" x14ac:dyDescent="0.3">
      <c r="D148" s="35"/>
    </row>
    <row r="149" spans="1:28" ht="15" customHeight="1" outlineLevel="1" thickBot="1" x14ac:dyDescent="0.3">
      <c r="A149" s="249"/>
      <c r="B149" s="249"/>
      <c r="C149" s="249"/>
      <c r="D149" s="249"/>
      <c r="E149" s="249"/>
      <c r="G149" s="329" t="s">
        <v>129</v>
      </c>
      <c r="H149" s="330"/>
      <c r="I149" s="330"/>
      <c r="J149" s="330"/>
      <c r="K149" s="330"/>
      <c r="L149" s="330"/>
      <c r="M149" s="331"/>
      <c r="N149" s="338" t="str">
        <f>'Blank Quote'!$N$41:$O$41</f>
        <v>QS: 20191222</v>
      </c>
      <c r="O149" s="339"/>
      <c r="P149" s="57"/>
      <c r="Q149" s="57"/>
      <c r="R149" s="58" t="s">
        <v>131</v>
      </c>
      <c r="S149" s="323">
        <f>SUMIF(T127:U143,"&gt;0")</f>
        <v>5090</v>
      </c>
      <c r="T149" s="324"/>
      <c r="U149" s="325"/>
      <c r="V149" s="59"/>
    </row>
    <row r="150" spans="1:28" ht="15" customHeight="1" outlineLevel="1" thickBot="1" x14ac:dyDescent="0.3">
      <c r="A150" s="249"/>
      <c r="B150" s="249"/>
      <c r="C150" s="249"/>
      <c r="D150" s="249"/>
      <c r="E150" s="249"/>
      <c r="G150" s="332"/>
      <c r="H150" s="333"/>
      <c r="I150" s="333"/>
      <c r="J150" s="333"/>
      <c r="K150" s="333"/>
      <c r="L150" s="333"/>
      <c r="M150" s="334"/>
      <c r="N150" s="338" t="str">
        <f>'Blank Quote'!$N$42:$O$42</f>
        <v>PT: Apte</v>
      </c>
      <c r="O150" s="339"/>
      <c r="P150" s="57"/>
      <c r="Q150" s="57"/>
      <c r="R150" s="58" t="str">
        <f>IF(X150&gt;0,"Discount on Taxable Items:", "")</f>
        <v>Discount on Taxable Items:</v>
      </c>
      <c r="S150" s="326">
        <f>IF(X150&gt;0, -X150, 0)</f>
        <v>-420</v>
      </c>
      <c r="T150" s="327"/>
      <c r="U150" s="328"/>
      <c r="V150" s="258">
        <f>S150/S149</f>
        <v>-8.2514734774066803E-2</v>
      </c>
      <c r="X150" s="61">
        <f>SUM(AA127:AA147)</f>
        <v>420</v>
      </c>
    </row>
    <row r="151" spans="1:28" ht="15" customHeight="1" outlineLevel="1" thickBot="1" x14ac:dyDescent="0.3">
      <c r="A151" s="249"/>
      <c r="B151" s="249"/>
      <c r="C151" s="249"/>
      <c r="D151" s="249"/>
      <c r="E151" s="249"/>
      <c r="G151" s="332"/>
      <c r="H151" s="333"/>
      <c r="I151" s="333"/>
      <c r="J151" s="333"/>
      <c r="K151" s="333"/>
      <c r="L151" s="333"/>
      <c r="M151" s="334"/>
      <c r="N151" s="56"/>
      <c r="P151" s="57"/>
      <c r="R151" s="58" t="str">
        <f>IF(X151&gt;0,"Discount on Non-Taxable Items:", "")</f>
        <v>Discount on Non-Taxable Items:</v>
      </c>
      <c r="S151" s="323">
        <f>IF(X151&gt;0, -X151, 0)+SUMIF(T127:U143,"&lt;0")</f>
        <v>-1289.2</v>
      </c>
      <c r="T151" s="324"/>
      <c r="U151" s="325"/>
      <c r="V151" s="256">
        <f>S151/S149</f>
        <v>-0.25328094302554027</v>
      </c>
      <c r="X151" s="61">
        <f>SUM(AB127:AB147)</f>
        <v>1289.2</v>
      </c>
    </row>
    <row r="152" spans="1:28" ht="15" customHeight="1" outlineLevel="1" thickBot="1" x14ac:dyDescent="0.3">
      <c r="A152" s="249"/>
      <c r="B152" s="249"/>
      <c r="C152" s="249"/>
      <c r="D152" s="249"/>
      <c r="E152" s="249"/>
      <c r="G152" s="332"/>
      <c r="H152" s="333"/>
      <c r="I152" s="333"/>
      <c r="J152" s="333"/>
      <c r="K152" s="333"/>
      <c r="L152" s="333"/>
      <c r="M152" s="334"/>
      <c r="N152" s="56"/>
      <c r="P152" s="57"/>
      <c r="R152" s="58" t="s">
        <v>132</v>
      </c>
      <c r="S152" s="323">
        <f>SUM(T144:U147)</f>
        <v>0</v>
      </c>
      <c r="T152" s="324"/>
      <c r="U152" s="325"/>
      <c r="V152" s="201"/>
      <c r="X152" s="61"/>
    </row>
    <row r="153" spans="1:28" ht="15" customHeight="1" outlineLevel="1" thickBot="1" x14ac:dyDescent="0.3">
      <c r="A153" s="249"/>
      <c r="B153" s="249"/>
      <c r="C153" s="249"/>
      <c r="D153" s="249"/>
      <c r="E153" s="249"/>
      <c r="G153" s="332"/>
      <c r="H153" s="333"/>
      <c r="I153" s="333"/>
      <c r="J153" s="333"/>
      <c r="K153" s="333"/>
      <c r="L153" s="333"/>
      <c r="M153" s="334"/>
      <c r="N153" s="56"/>
      <c r="P153" s="57"/>
      <c r="Q153" s="57"/>
      <c r="R153" s="58" t="s">
        <v>133</v>
      </c>
      <c r="S153" s="326" t="str">
        <f>IF(B119=0, "Tax Exempt or TBD", X153)</f>
        <v>Tax Exempt or TBD</v>
      </c>
      <c r="T153" s="327"/>
      <c r="U153" s="327"/>
      <c r="V153" s="257">
        <f>B119</f>
        <v>0</v>
      </c>
      <c r="X153" s="61">
        <f>SUM(X127:X147)</f>
        <v>0</v>
      </c>
    </row>
    <row r="154" spans="1:28" ht="15" customHeight="1" outlineLevel="1" thickBot="1" x14ac:dyDescent="0.3">
      <c r="A154" s="249"/>
      <c r="B154" s="249"/>
      <c r="C154" s="249"/>
      <c r="D154" s="249"/>
      <c r="E154" s="249"/>
      <c r="G154" s="335"/>
      <c r="H154" s="336"/>
      <c r="I154" s="336"/>
      <c r="J154" s="336"/>
      <c r="K154" s="336"/>
      <c r="L154" s="336"/>
      <c r="M154" s="337"/>
      <c r="N154" s="66"/>
      <c r="O154" s="65"/>
      <c r="P154" s="57"/>
      <c r="Q154" s="57"/>
      <c r="R154" s="58" t="s">
        <v>134</v>
      </c>
      <c r="S154" s="320">
        <f>SUM(S149:U153)</f>
        <v>3380.8</v>
      </c>
      <c r="T154" s="321"/>
      <c r="U154" s="322"/>
      <c r="V154" s="62"/>
    </row>
    <row r="155" spans="1:28" ht="5.25" customHeight="1" thickBot="1" x14ac:dyDescent="0.3">
      <c r="A155" s="249"/>
      <c r="B155" s="249"/>
      <c r="C155" s="249"/>
      <c r="D155" s="249"/>
      <c r="E155" s="249"/>
    </row>
    <row r="156" spans="1:28" ht="3.4" customHeight="1" outlineLevel="1" x14ac:dyDescent="0.25">
      <c r="A156" s="249"/>
      <c r="B156" s="249"/>
      <c r="C156" s="249"/>
      <c r="D156" s="249"/>
      <c r="E156" s="249"/>
      <c r="G156" s="306" t="str">
        <f>"TERMS &amp; CONDITIONS: "&amp;VLOOKUP(B123,'T&amp;C'!A1:B3,2,FALSE)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6" s="307"/>
      <c r="I156" s="307"/>
      <c r="J156" s="307"/>
      <c r="K156" s="307"/>
      <c r="L156" s="307"/>
      <c r="M156" s="307"/>
      <c r="N156" s="307"/>
      <c r="O156" s="307"/>
      <c r="P156" s="307"/>
      <c r="Q156" s="307"/>
      <c r="R156" s="307"/>
      <c r="S156" s="307"/>
      <c r="T156" s="307"/>
      <c r="U156" s="307"/>
      <c r="V156" s="308"/>
    </row>
    <row r="157" spans="1:28" ht="6" customHeight="1" outlineLevel="1" x14ac:dyDescent="0.25">
      <c r="A157" s="249"/>
      <c r="B157" s="249"/>
      <c r="C157" s="249"/>
      <c r="D157" s="249"/>
      <c r="E157" s="249"/>
      <c r="G157" s="309"/>
      <c r="H157" s="310"/>
      <c r="I157" s="310"/>
      <c r="J157" s="310"/>
      <c r="K157" s="310"/>
      <c r="L157" s="310"/>
      <c r="M157" s="310"/>
      <c r="N157" s="310"/>
      <c r="O157" s="310"/>
      <c r="P157" s="310"/>
      <c r="Q157" s="310"/>
      <c r="R157" s="310"/>
      <c r="S157" s="310"/>
      <c r="T157" s="310"/>
      <c r="U157" s="310"/>
      <c r="V157" s="311"/>
    </row>
    <row r="158" spans="1:28" ht="13.5" customHeight="1" outlineLevel="1" x14ac:dyDescent="0.25">
      <c r="A158" s="249"/>
      <c r="B158" s="249"/>
      <c r="C158" s="249"/>
      <c r="D158" s="249"/>
      <c r="E158" s="249"/>
      <c r="G158" s="309"/>
      <c r="H158" s="310"/>
      <c r="I158" s="310"/>
      <c r="J158" s="310"/>
      <c r="K158" s="310"/>
      <c r="L158" s="310"/>
      <c r="M158" s="310"/>
      <c r="N158" s="310"/>
      <c r="O158" s="310"/>
      <c r="P158" s="310"/>
      <c r="Q158" s="310"/>
      <c r="R158" s="310"/>
      <c r="S158" s="310"/>
      <c r="T158" s="310"/>
      <c r="U158" s="310"/>
      <c r="V158" s="311"/>
    </row>
    <row r="159" spans="1:28" ht="13.5" customHeight="1" outlineLevel="1" x14ac:dyDescent="0.25">
      <c r="A159" s="249"/>
      <c r="B159" s="249"/>
      <c r="C159" s="249"/>
      <c r="D159" s="249"/>
      <c r="E159" s="249"/>
      <c r="G159" s="309"/>
      <c r="H159" s="310"/>
      <c r="I159" s="310"/>
      <c r="J159" s="310"/>
      <c r="K159" s="310"/>
      <c r="L159" s="310"/>
      <c r="M159" s="310"/>
      <c r="N159" s="310"/>
      <c r="O159" s="310"/>
      <c r="P159" s="310"/>
      <c r="Q159" s="310"/>
      <c r="R159" s="310"/>
      <c r="S159" s="310"/>
      <c r="T159" s="310"/>
      <c r="U159" s="310"/>
      <c r="V159" s="311"/>
    </row>
    <row r="160" spans="1:28" ht="13.5" customHeight="1" outlineLevel="1" x14ac:dyDescent="0.25">
      <c r="A160" s="249"/>
      <c r="B160" s="249"/>
      <c r="C160" s="249"/>
      <c r="D160" s="249"/>
      <c r="E160" s="249"/>
      <c r="G160" s="309"/>
      <c r="H160" s="310"/>
      <c r="I160" s="310"/>
      <c r="J160" s="310"/>
      <c r="K160" s="310"/>
      <c r="L160" s="310"/>
      <c r="M160" s="310"/>
      <c r="N160" s="310"/>
      <c r="O160" s="310"/>
      <c r="P160" s="310"/>
      <c r="Q160" s="310"/>
      <c r="R160" s="310"/>
      <c r="S160" s="310"/>
      <c r="T160" s="310"/>
      <c r="U160" s="310"/>
      <c r="V160" s="311"/>
    </row>
    <row r="161" spans="1:22" ht="9" customHeight="1" outlineLevel="1" x14ac:dyDescent="0.25">
      <c r="A161" s="249"/>
      <c r="B161" s="249"/>
      <c r="C161" s="249"/>
      <c r="D161" s="249"/>
      <c r="E161" s="249"/>
      <c r="G161" s="309"/>
      <c r="H161" s="310"/>
      <c r="I161" s="310"/>
      <c r="J161" s="310"/>
      <c r="K161" s="310"/>
      <c r="L161" s="310"/>
      <c r="M161" s="310"/>
      <c r="N161" s="310"/>
      <c r="O161" s="310"/>
      <c r="P161" s="310"/>
      <c r="Q161" s="310"/>
      <c r="R161" s="310"/>
      <c r="S161" s="310"/>
      <c r="T161" s="310"/>
      <c r="U161" s="310"/>
      <c r="V161" s="311"/>
    </row>
    <row r="162" spans="1:22" ht="24.6" customHeight="1" outlineLevel="1" thickBot="1" x14ac:dyDescent="0.3">
      <c r="A162" s="249"/>
      <c r="B162" s="249"/>
      <c r="C162" s="249"/>
      <c r="D162" s="249"/>
      <c r="E162" s="249"/>
      <c r="G162" s="312"/>
      <c r="H162" s="313"/>
      <c r="I162" s="313"/>
      <c r="J162" s="313"/>
      <c r="K162" s="313"/>
      <c r="L162" s="313"/>
      <c r="M162" s="313"/>
      <c r="N162" s="313"/>
      <c r="O162" s="313"/>
      <c r="P162" s="313"/>
      <c r="Q162" s="313"/>
      <c r="R162" s="313"/>
      <c r="S162" s="313"/>
      <c r="T162" s="313"/>
      <c r="U162" s="313"/>
      <c r="V162" s="314"/>
    </row>
    <row r="163" spans="1:22" x14ac:dyDescent="0.25">
      <c r="D163" s="64"/>
    </row>
    <row r="164" spans="1:22" x14ac:dyDescent="0.25">
      <c r="D164" s="35"/>
    </row>
    <row r="165" spans="1:22" x14ac:dyDescent="0.25">
      <c r="D165" s="63"/>
    </row>
    <row r="166" spans="1:22" x14ac:dyDescent="0.25">
      <c r="D166" s="64"/>
    </row>
    <row r="167" spans="1:22" x14ac:dyDescent="0.25">
      <c r="D167" s="35"/>
    </row>
    <row r="168" spans="1:22" x14ac:dyDescent="0.25">
      <c r="D168" s="63"/>
    </row>
    <row r="169" spans="1:22" x14ac:dyDescent="0.25">
      <c r="D169" s="64"/>
    </row>
    <row r="170" spans="1:22" x14ac:dyDescent="0.25">
      <c r="D170" s="35"/>
    </row>
    <row r="171" spans="1:22" x14ac:dyDescent="0.25">
      <c r="D171" s="63"/>
    </row>
    <row r="172" spans="1:22" x14ac:dyDescent="0.25">
      <c r="D172" s="64"/>
    </row>
    <row r="173" spans="1:22" x14ac:dyDescent="0.25">
      <c r="D173" s="35"/>
    </row>
    <row r="174" spans="1:22" x14ac:dyDescent="0.25">
      <c r="D174" s="63"/>
    </row>
    <row r="175" spans="1:22" x14ac:dyDescent="0.25">
      <c r="D175" s="64"/>
    </row>
    <row r="176" spans="1:22" x14ac:dyDescent="0.25">
      <c r="D176" s="35"/>
    </row>
    <row r="177" spans="4:4" x14ac:dyDescent="0.25">
      <c r="D177" s="63"/>
    </row>
    <row r="178" spans="4:4" x14ac:dyDescent="0.25">
      <c r="D178" s="64"/>
    </row>
    <row r="179" spans="4:4" x14ac:dyDescent="0.25">
      <c r="D179" s="35"/>
    </row>
    <row r="180" spans="4:4" x14ac:dyDescent="0.25">
      <c r="D180" s="63"/>
    </row>
    <row r="181" spans="4:4" x14ac:dyDescent="0.25">
      <c r="D181" s="64"/>
    </row>
    <row r="182" spans="4:4" x14ac:dyDescent="0.25">
      <c r="D182" s="35"/>
    </row>
    <row r="183" spans="4:4" x14ac:dyDescent="0.25">
      <c r="D183" s="63"/>
    </row>
    <row r="184" spans="4:4" x14ac:dyDescent="0.25">
      <c r="D184" s="64"/>
    </row>
    <row r="185" spans="4:4" x14ac:dyDescent="0.25">
      <c r="D185" s="35"/>
    </row>
    <row r="186" spans="4:4" x14ac:dyDescent="0.25">
      <c r="D186" s="63"/>
    </row>
    <row r="187" spans="4:4" x14ac:dyDescent="0.25">
      <c r="D187" s="64"/>
    </row>
    <row r="188" spans="4:4" x14ac:dyDescent="0.25">
      <c r="D188" s="35"/>
    </row>
    <row r="189" spans="4:4" x14ac:dyDescent="0.25">
      <c r="D189" s="63"/>
    </row>
    <row r="190" spans="4:4" x14ac:dyDescent="0.25">
      <c r="D190" s="64"/>
    </row>
    <row r="191" spans="4:4" x14ac:dyDescent="0.25">
      <c r="D191" s="35"/>
    </row>
    <row r="192" spans="4:4" x14ac:dyDescent="0.25">
      <c r="D192" s="63"/>
    </row>
    <row r="193" spans="4:4" x14ac:dyDescent="0.25">
      <c r="D193" s="64"/>
    </row>
    <row r="194" spans="4:4" x14ac:dyDescent="0.25">
      <c r="D194" s="35"/>
    </row>
    <row r="195" spans="4:4" x14ac:dyDescent="0.25">
      <c r="D195" s="63"/>
    </row>
    <row r="196" spans="4:4" x14ac:dyDescent="0.25">
      <c r="D196" s="64"/>
    </row>
    <row r="197" spans="4:4" x14ac:dyDescent="0.25">
      <c r="D197" s="35"/>
    </row>
    <row r="198" spans="4:4" x14ac:dyDescent="0.25">
      <c r="D198" s="63"/>
    </row>
    <row r="199" spans="4:4" x14ac:dyDescent="0.25">
      <c r="D199" s="64"/>
    </row>
    <row r="200" spans="4:4" x14ac:dyDescent="0.25">
      <c r="D200" s="35"/>
    </row>
    <row r="201" spans="4:4" x14ac:dyDescent="0.25">
      <c r="D201" s="63"/>
    </row>
    <row r="202" spans="4:4" x14ac:dyDescent="0.25">
      <c r="D202" s="64"/>
    </row>
    <row r="203" spans="4:4" x14ac:dyDescent="0.25">
      <c r="D203" s="35"/>
    </row>
    <row r="204" spans="4:4" x14ac:dyDescent="0.25">
      <c r="D204" s="63"/>
    </row>
    <row r="205" spans="4:4" x14ac:dyDescent="0.25">
      <c r="D205" s="64"/>
    </row>
    <row r="206" spans="4:4" x14ac:dyDescent="0.25">
      <c r="D206" s="35"/>
    </row>
    <row r="207" spans="4:4" x14ac:dyDescent="0.25">
      <c r="D207" s="63"/>
    </row>
    <row r="208" spans="4:4" x14ac:dyDescent="0.25">
      <c r="D208" s="64"/>
    </row>
    <row r="209" spans="4:4" x14ac:dyDescent="0.25">
      <c r="D209" s="35"/>
    </row>
    <row r="210" spans="4:4" x14ac:dyDescent="0.25">
      <c r="D210" s="63"/>
    </row>
    <row r="211" spans="4:4" x14ac:dyDescent="0.25">
      <c r="D211" s="64"/>
    </row>
    <row r="212" spans="4:4" x14ac:dyDescent="0.25">
      <c r="D212" s="35"/>
    </row>
    <row r="213" spans="4:4" x14ac:dyDescent="0.25">
      <c r="D213" s="63"/>
    </row>
    <row r="214" spans="4:4" x14ac:dyDescent="0.25">
      <c r="D214" s="64"/>
    </row>
    <row r="215" spans="4:4" x14ac:dyDescent="0.25">
      <c r="D215" s="35"/>
    </row>
    <row r="216" spans="4:4" x14ac:dyDescent="0.25">
      <c r="D216" s="63"/>
    </row>
    <row r="217" spans="4:4" x14ac:dyDescent="0.25">
      <c r="D217" s="64"/>
    </row>
    <row r="218" spans="4:4" x14ac:dyDescent="0.25">
      <c r="D218" s="35"/>
    </row>
    <row r="219" spans="4:4" x14ac:dyDescent="0.25">
      <c r="D219" s="63"/>
    </row>
    <row r="220" spans="4:4" x14ac:dyDescent="0.25">
      <c r="D220" s="64"/>
    </row>
    <row r="221" spans="4:4" x14ac:dyDescent="0.25">
      <c r="D221" s="35"/>
    </row>
    <row r="222" spans="4:4" x14ac:dyDescent="0.25">
      <c r="D222" s="63"/>
    </row>
    <row r="223" spans="4:4" x14ac:dyDescent="0.25">
      <c r="D223" s="64"/>
    </row>
    <row r="224" spans="4:4" x14ac:dyDescent="0.25">
      <c r="D224" s="35"/>
    </row>
    <row r="225" spans="4:4" x14ac:dyDescent="0.25">
      <c r="D225" s="63"/>
    </row>
    <row r="226" spans="4:4" x14ac:dyDescent="0.25">
      <c r="D226" s="64"/>
    </row>
    <row r="227" spans="4:4" x14ac:dyDescent="0.25">
      <c r="D227" s="35"/>
    </row>
    <row r="228" spans="4:4" x14ac:dyDescent="0.25">
      <c r="D228" s="63"/>
    </row>
    <row r="229" spans="4:4" x14ac:dyDescent="0.25">
      <c r="D229" s="64"/>
    </row>
    <row r="230" spans="4:4" x14ac:dyDescent="0.25">
      <c r="D230" s="35"/>
    </row>
    <row r="231" spans="4:4" x14ac:dyDescent="0.25">
      <c r="D231" s="63"/>
    </row>
    <row r="232" spans="4:4" x14ac:dyDescent="0.25">
      <c r="D232" s="64"/>
    </row>
    <row r="233" spans="4:4" x14ac:dyDescent="0.25">
      <c r="D233" s="35"/>
    </row>
    <row r="234" spans="4:4" x14ac:dyDescent="0.25">
      <c r="D234" s="63"/>
    </row>
    <row r="235" spans="4:4" x14ac:dyDescent="0.25">
      <c r="D235" s="64"/>
    </row>
    <row r="236" spans="4:4" x14ac:dyDescent="0.25">
      <c r="D236" s="35"/>
    </row>
    <row r="237" spans="4:4" x14ac:dyDescent="0.25">
      <c r="D237" s="63"/>
    </row>
    <row r="238" spans="4:4" x14ac:dyDescent="0.25">
      <c r="D238" s="64"/>
    </row>
    <row r="239" spans="4:4" x14ac:dyDescent="0.25">
      <c r="D239" s="35"/>
    </row>
    <row r="240" spans="4:4" x14ac:dyDescent="0.25">
      <c r="D240" s="63"/>
    </row>
    <row r="241" spans="4:4" x14ac:dyDescent="0.25">
      <c r="D241" s="64"/>
    </row>
    <row r="242" spans="4:4" x14ac:dyDescent="0.25">
      <c r="D242" s="35"/>
    </row>
    <row r="243" spans="4:4" x14ac:dyDescent="0.25">
      <c r="D243" s="63"/>
    </row>
    <row r="244" spans="4:4" x14ac:dyDescent="0.25">
      <c r="D244" s="64"/>
    </row>
    <row r="245" spans="4:4" x14ac:dyDescent="0.25">
      <c r="D245" s="35"/>
    </row>
    <row r="246" spans="4:4" x14ac:dyDescent="0.25">
      <c r="D246" s="63"/>
    </row>
    <row r="247" spans="4:4" x14ac:dyDescent="0.25">
      <c r="D247" s="64"/>
    </row>
    <row r="248" spans="4:4" x14ac:dyDescent="0.25">
      <c r="D248" s="35"/>
    </row>
    <row r="249" spans="4:4" x14ac:dyDescent="0.25">
      <c r="D249" s="63"/>
    </row>
    <row r="250" spans="4:4" x14ac:dyDescent="0.25">
      <c r="D250" s="64"/>
    </row>
    <row r="251" spans="4:4" x14ac:dyDescent="0.25">
      <c r="D251" s="35"/>
    </row>
    <row r="252" spans="4:4" x14ac:dyDescent="0.25">
      <c r="D252" s="63"/>
    </row>
    <row r="253" spans="4:4" x14ac:dyDescent="0.25">
      <c r="D253" s="64"/>
    </row>
    <row r="254" spans="4:4" x14ac:dyDescent="0.25">
      <c r="D254" s="35"/>
    </row>
    <row r="255" spans="4:4" x14ac:dyDescent="0.25">
      <c r="D255" s="63"/>
    </row>
    <row r="256" spans="4:4" x14ac:dyDescent="0.25">
      <c r="D256" s="64"/>
    </row>
    <row r="257" spans="4:4" x14ac:dyDescent="0.25">
      <c r="D257" s="35"/>
    </row>
    <row r="258" spans="4:4" x14ac:dyDescent="0.25">
      <c r="D258" s="63"/>
    </row>
    <row r="259" spans="4:4" x14ac:dyDescent="0.25">
      <c r="D259" s="64"/>
    </row>
    <row r="260" spans="4:4" x14ac:dyDescent="0.25">
      <c r="D260" s="35"/>
    </row>
    <row r="261" spans="4:4" x14ac:dyDescent="0.25">
      <c r="D261" s="63"/>
    </row>
    <row r="262" spans="4:4" x14ac:dyDescent="0.25">
      <c r="D262" s="64"/>
    </row>
    <row r="263" spans="4:4" x14ac:dyDescent="0.25">
      <c r="D263" s="35"/>
    </row>
    <row r="264" spans="4:4" x14ac:dyDescent="0.25">
      <c r="D264" s="63"/>
    </row>
    <row r="265" spans="4:4" x14ac:dyDescent="0.25">
      <c r="D265" s="64"/>
    </row>
    <row r="266" spans="4:4" x14ac:dyDescent="0.25">
      <c r="D266" s="35"/>
    </row>
    <row r="267" spans="4:4" x14ac:dyDescent="0.25">
      <c r="D267" s="63"/>
    </row>
    <row r="268" spans="4:4" x14ac:dyDescent="0.25">
      <c r="D268" s="64"/>
    </row>
    <row r="269" spans="4:4" x14ac:dyDescent="0.25">
      <c r="D269" s="35"/>
    </row>
    <row r="270" spans="4:4" x14ac:dyDescent="0.25">
      <c r="D270" s="63"/>
    </row>
    <row r="271" spans="4:4" x14ac:dyDescent="0.25">
      <c r="D271" s="64"/>
    </row>
    <row r="272" spans="4:4" x14ac:dyDescent="0.25">
      <c r="D272" s="35"/>
    </row>
    <row r="273" spans="4:4" x14ac:dyDescent="0.25">
      <c r="D273" s="63"/>
    </row>
    <row r="274" spans="4:4" x14ac:dyDescent="0.25">
      <c r="D274" s="64"/>
    </row>
    <row r="275" spans="4:4" x14ac:dyDescent="0.25">
      <c r="D275" s="35"/>
    </row>
    <row r="276" spans="4:4" x14ac:dyDescent="0.25">
      <c r="D276" s="63"/>
    </row>
    <row r="277" spans="4:4" x14ac:dyDescent="0.25">
      <c r="D277" s="64"/>
    </row>
    <row r="278" spans="4:4" x14ac:dyDescent="0.25">
      <c r="D278" s="35"/>
    </row>
    <row r="279" spans="4:4" x14ac:dyDescent="0.25">
      <c r="D279" s="63"/>
    </row>
    <row r="280" spans="4:4" x14ac:dyDescent="0.25">
      <c r="D280" s="64"/>
    </row>
    <row r="281" spans="4:4" x14ac:dyDescent="0.25">
      <c r="D281" s="35"/>
    </row>
    <row r="282" spans="4:4" x14ac:dyDescent="0.25">
      <c r="D282" s="63"/>
    </row>
    <row r="283" spans="4:4" x14ac:dyDescent="0.25">
      <c r="D283" s="64"/>
    </row>
    <row r="284" spans="4:4" x14ac:dyDescent="0.25">
      <c r="D284" s="35"/>
    </row>
    <row r="285" spans="4:4" x14ac:dyDescent="0.25">
      <c r="D285" s="63"/>
    </row>
    <row r="286" spans="4:4" x14ac:dyDescent="0.25">
      <c r="D286" s="64"/>
    </row>
    <row r="287" spans="4:4" x14ac:dyDescent="0.25">
      <c r="D287" s="35"/>
    </row>
    <row r="288" spans="4:4" x14ac:dyDescent="0.25">
      <c r="D288" s="63"/>
    </row>
    <row r="289" spans="4:4" x14ac:dyDescent="0.25">
      <c r="D289" s="64"/>
    </row>
    <row r="290" spans="4:4" x14ac:dyDescent="0.25">
      <c r="D290" s="35"/>
    </row>
    <row r="291" spans="4:4" x14ac:dyDescent="0.25">
      <c r="D291" s="63"/>
    </row>
    <row r="292" spans="4:4" x14ac:dyDescent="0.25">
      <c r="D292" s="64"/>
    </row>
    <row r="293" spans="4:4" x14ac:dyDescent="0.25">
      <c r="D293" s="35"/>
    </row>
    <row r="294" spans="4:4" x14ac:dyDescent="0.25">
      <c r="D294" s="63"/>
    </row>
    <row r="295" spans="4:4" x14ac:dyDescent="0.25">
      <c r="D295" s="64"/>
    </row>
    <row r="296" spans="4:4" x14ac:dyDescent="0.25">
      <c r="D296" s="35"/>
    </row>
    <row r="297" spans="4:4" x14ac:dyDescent="0.25">
      <c r="D297" s="63"/>
    </row>
    <row r="298" spans="4:4" x14ac:dyDescent="0.25">
      <c r="D298" s="64"/>
    </row>
    <row r="299" spans="4:4" x14ac:dyDescent="0.25">
      <c r="D299" s="35"/>
    </row>
    <row r="300" spans="4:4" x14ac:dyDescent="0.25">
      <c r="D300" s="63"/>
    </row>
    <row r="301" spans="4:4" x14ac:dyDescent="0.25">
      <c r="D301" s="64"/>
    </row>
    <row r="302" spans="4:4" x14ac:dyDescent="0.25">
      <c r="D302" s="35"/>
    </row>
    <row r="303" spans="4:4" x14ac:dyDescent="0.25">
      <c r="D303" s="63"/>
    </row>
    <row r="304" spans="4:4" x14ac:dyDescent="0.25">
      <c r="D304" s="64"/>
    </row>
    <row r="305" spans="4:4" x14ac:dyDescent="0.25">
      <c r="D305" s="35"/>
    </row>
    <row r="306" spans="4:4" x14ac:dyDescent="0.25">
      <c r="D306" s="63"/>
    </row>
    <row r="307" spans="4:4" x14ac:dyDescent="0.25">
      <c r="D307" s="64"/>
    </row>
    <row r="308" spans="4:4" x14ac:dyDescent="0.25">
      <c r="D308" s="35"/>
    </row>
    <row r="309" spans="4:4" x14ac:dyDescent="0.25">
      <c r="D309" s="63"/>
    </row>
    <row r="310" spans="4:4" x14ac:dyDescent="0.25">
      <c r="D310" s="64"/>
    </row>
    <row r="311" spans="4:4" x14ac:dyDescent="0.25">
      <c r="D311" s="35"/>
    </row>
    <row r="312" spans="4:4" x14ac:dyDescent="0.25">
      <c r="D312" s="63"/>
    </row>
    <row r="313" spans="4:4" x14ac:dyDescent="0.25">
      <c r="D313" s="64"/>
    </row>
    <row r="314" spans="4:4" x14ac:dyDescent="0.25">
      <c r="D314" s="35"/>
    </row>
    <row r="315" spans="4:4" x14ac:dyDescent="0.25">
      <c r="D315" s="63"/>
    </row>
    <row r="316" spans="4:4" x14ac:dyDescent="0.25">
      <c r="D316" s="64"/>
    </row>
    <row r="317" spans="4:4" x14ac:dyDescent="0.25">
      <c r="D317" s="35"/>
    </row>
    <row r="318" spans="4:4" x14ac:dyDescent="0.25">
      <c r="D318" s="63"/>
    </row>
    <row r="319" spans="4:4" x14ac:dyDescent="0.25">
      <c r="D319" s="64"/>
    </row>
    <row r="320" spans="4:4" x14ac:dyDescent="0.25">
      <c r="D320" s="35"/>
    </row>
    <row r="321" spans="4:4" x14ac:dyDescent="0.25">
      <c r="D321" s="63"/>
    </row>
    <row r="322" spans="4:4" x14ac:dyDescent="0.25">
      <c r="D322" s="64"/>
    </row>
    <row r="323" spans="4:4" x14ac:dyDescent="0.25">
      <c r="D323" s="35"/>
    </row>
    <row r="324" spans="4:4" x14ac:dyDescent="0.25">
      <c r="D324" s="63"/>
    </row>
    <row r="325" spans="4:4" x14ac:dyDescent="0.25">
      <c r="D325" s="64"/>
    </row>
    <row r="326" spans="4:4" x14ac:dyDescent="0.25">
      <c r="D326" s="35"/>
    </row>
    <row r="327" spans="4:4" x14ac:dyDescent="0.25">
      <c r="D327" s="63"/>
    </row>
    <row r="328" spans="4:4" x14ac:dyDescent="0.25">
      <c r="D328" s="64"/>
    </row>
    <row r="329" spans="4:4" x14ac:dyDescent="0.25">
      <c r="D329" s="35"/>
    </row>
    <row r="330" spans="4:4" x14ac:dyDescent="0.25">
      <c r="D330" s="63"/>
    </row>
    <row r="331" spans="4:4" x14ac:dyDescent="0.25">
      <c r="D331" s="64"/>
    </row>
    <row r="332" spans="4:4" x14ac:dyDescent="0.25">
      <c r="D332" s="35"/>
    </row>
    <row r="333" spans="4:4" x14ac:dyDescent="0.25">
      <c r="D333" s="63"/>
    </row>
    <row r="334" spans="4:4" x14ac:dyDescent="0.25">
      <c r="D334" s="64"/>
    </row>
    <row r="335" spans="4:4" x14ac:dyDescent="0.25">
      <c r="D335" s="35"/>
    </row>
    <row r="336" spans="4:4" x14ac:dyDescent="0.25">
      <c r="D336" s="63"/>
    </row>
    <row r="337" spans="4:4" x14ac:dyDescent="0.25">
      <c r="D337" s="64"/>
    </row>
    <row r="338" spans="4:4" x14ac:dyDescent="0.25">
      <c r="D338" s="35"/>
    </row>
    <row r="339" spans="4:4" x14ac:dyDescent="0.25">
      <c r="D339" s="64"/>
    </row>
    <row r="340" spans="4:4" x14ac:dyDescent="0.25">
      <c r="D340" s="35"/>
    </row>
    <row r="341" spans="4:4" x14ac:dyDescent="0.25">
      <c r="D341" s="63"/>
    </row>
    <row r="342" spans="4:4" x14ac:dyDescent="0.25">
      <c r="D342" s="64"/>
    </row>
    <row r="343" spans="4:4" x14ac:dyDescent="0.25">
      <c r="D343" s="35"/>
    </row>
    <row r="344" spans="4:4" x14ac:dyDescent="0.25">
      <c r="D344" s="63"/>
    </row>
    <row r="345" spans="4:4" x14ac:dyDescent="0.25">
      <c r="D345" s="64"/>
    </row>
    <row r="346" spans="4:4" x14ac:dyDescent="0.25">
      <c r="D346" s="35"/>
    </row>
    <row r="347" spans="4:4" x14ac:dyDescent="0.25">
      <c r="D347" s="63"/>
    </row>
    <row r="348" spans="4:4" x14ac:dyDescent="0.25">
      <c r="D348" s="64"/>
    </row>
    <row r="349" spans="4:4" x14ac:dyDescent="0.25">
      <c r="D349" s="35"/>
    </row>
    <row r="350" spans="4:4" x14ac:dyDescent="0.25">
      <c r="D350" s="63"/>
    </row>
    <row r="351" spans="4:4" x14ac:dyDescent="0.25">
      <c r="D351" s="64"/>
    </row>
    <row r="352" spans="4:4" x14ac:dyDescent="0.25">
      <c r="D352" s="35"/>
    </row>
    <row r="353" spans="4:4" x14ac:dyDescent="0.25">
      <c r="D353" s="63"/>
    </row>
    <row r="354" spans="4:4" x14ac:dyDescent="0.25">
      <c r="D354" s="64"/>
    </row>
    <row r="355" spans="4:4" x14ac:dyDescent="0.25">
      <c r="D355" s="35"/>
    </row>
    <row r="356" spans="4:4" x14ac:dyDescent="0.25">
      <c r="D356" s="63"/>
    </row>
    <row r="357" spans="4:4" x14ac:dyDescent="0.25">
      <c r="D357" s="64"/>
    </row>
    <row r="358" spans="4:4" x14ac:dyDescent="0.25">
      <c r="D358" s="35"/>
    </row>
    <row r="359" spans="4:4" x14ac:dyDescent="0.25">
      <c r="D359" s="63"/>
    </row>
    <row r="360" spans="4:4" x14ac:dyDescent="0.25">
      <c r="D360" s="64"/>
    </row>
    <row r="361" spans="4:4" x14ac:dyDescent="0.25">
      <c r="D361" s="35"/>
    </row>
    <row r="362" spans="4:4" x14ac:dyDescent="0.25">
      <c r="D362" s="63"/>
    </row>
    <row r="363" spans="4:4" x14ac:dyDescent="0.25">
      <c r="D363" s="64"/>
    </row>
    <row r="364" spans="4:4" x14ac:dyDescent="0.25">
      <c r="D364" s="35"/>
    </row>
    <row r="365" spans="4:4" x14ac:dyDescent="0.25">
      <c r="D365" s="63"/>
    </row>
    <row r="366" spans="4:4" x14ac:dyDescent="0.25">
      <c r="D366" s="64"/>
    </row>
    <row r="367" spans="4:4" x14ac:dyDescent="0.25">
      <c r="D367" s="35"/>
    </row>
    <row r="368" spans="4:4" x14ac:dyDescent="0.25">
      <c r="D368" s="63"/>
    </row>
    <row r="369" spans="4:4" x14ac:dyDescent="0.25">
      <c r="D369" s="64"/>
    </row>
    <row r="370" spans="4:4" x14ac:dyDescent="0.25">
      <c r="D370" s="35"/>
    </row>
    <row r="371" spans="4:4" x14ac:dyDescent="0.25">
      <c r="D371" s="63"/>
    </row>
    <row r="372" spans="4:4" x14ac:dyDescent="0.25">
      <c r="D372" s="64"/>
    </row>
    <row r="373" spans="4:4" x14ac:dyDescent="0.25">
      <c r="D373" s="35"/>
    </row>
    <row r="374" spans="4:4" x14ac:dyDescent="0.25">
      <c r="D374" s="63"/>
    </row>
    <row r="375" spans="4:4" x14ac:dyDescent="0.25">
      <c r="D375" s="64"/>
    </row>
    <row r="376" spans="4:4" x14ac:dyDescent="0.25">
      <c r="D376" s="35"/>
    </row>
    <row r="377" spans="4:4" x14ac:dyDescent="0.25">
      <c r="D377" s="63"/>
    </row>
    <row r="378" spans="4:4" x14ac:dyDescent="0.25">
      <c r="D378" s="64"/>
    </row>
    <row r="379" spans="4:4" x14ac:dyDescent="0.25">
      <c r="D379" s="35"/>
    </row>
    <row r="380" spans="4:4" x14ac:dyDescent="0.25">
      <c r="D380" s="63"/>
    </row>
    <row r="381" spans="4:4" x14ac:dyDescent="0.25">
      <c r="D381" s="64"/>
    </row>
    <row r="382" spans="4:4" x14ac:dyDescent="0.25">
      <c r="D382" s="35"/>
    </row>
    <row r="383" spans="4:4" x14ac:dyDescent="0.25">
      <c r="D383" s="63"/>
    </row>
    <row r="384" spans="4:4" x14ac:dyDescent="0.25">
      <c r="D384" s="64"/>
    </row>
    <row r="385" spans="4:4" x14ac:dyDescent="0.25">
      <c r="D385" s="35"/>
    </row>
    <row r="386" spans="4:4" x14ac:dyDescent="0.25">
      <c r="D386" s="63"/>
    </row>
    <row r="387" spans="4:4" x14ac:dyDescent="0.25">
      <c r="D387" s="64"/>
    </row>
    <row r="388" spans="4:4" x14ac:dyDescent="0.25">
      <c r="D388" s="35"/>
    </row>
    <row r="389" spans="4:4" x14ac:dyDescent="0.25">
      <c r="D389" s="63"/>
    </row>
    <row r="390" spans="4:4" x14ac:dyDescent="0.25">
      <c r="D390" s="64"/>
    </row>
    <row r="391" spans="4:4" x14ac:dyDescent="0.25">
      <c r="D391" s="35"/>
    </row>
    <row r="392" spans="4:4" x14ac:dyDescent="0.25">
      <c r="D392" s="63"/>
    </row>
    <row r="393" spans="4:4" x14ac:dyDescent="0.25">
      <c r="D393" s="64"/>
    </row>
    <row r="394" spans="4:4" x14ac:dyDescent="0.25">
      <c r="D394" s="35"/>
    </row>
    <row r="395" spans="4:4" x14ac:dyDescent="0.25">
      <c r="D395" s="63"/>
    </row>
    <row r="396" spans="4:4" x14ac:dyDescent="0.25">
      <c r="D396" s="64"/>
    </row>
    <row r="397" spans="4:4" x14ac:dyDescent="0.25">
      <c r="D397" s="35"/>
    </row>
    <row r="398" spans="4:4" x14ac:dyDescent="0.25">
      <c r="D398" s="63"/>
    </row>
    <row r="399" spans="4:4" x14ac:dyDescent="0.25">
      <c r="D399" s="64"/>
    </row>
    <row r="400" spans="4:4" x14ac:dyDescent="0.25">
      <c r="D400" s="35"/>
    </row>
    <row r="401" spans="4:4" x14ac:dyDescent="0.25">
      <c r="D401" s="63"/>
    </row>
    <row r="402" spans="4:4" x14ac:dyDescent="0.25">
      <c r="D402" s="64"/>
    </row>
    <row r="403" spans="4:4" x14ac:dyDescent="0.25">
      <c r="D403" s="35"/>
    </row>
    <row r="404" spans="4:4" x14ac:dyDescent="0.25">
      <c r="D404" s="63"/>
    </row>
    <row r="405" spans="4:4" x14ac:dyDescent="0.25">
      <c r="D405" s="64"/>
    </row>
    <row r="406" spans="4:4" x14ac:dyDescent="0.25">
      <c r="D406" s="35"/>
    </row>
    <row r="407" spans="4:4" x14ac:dyDescent="0.25">
      <c r="D407" s="63"/>
    </row>
    <row r="408" spans="4:4" x14ac:dyDescent="0.25">
      <c r="D408" s="64"/>
    </row>
    <row r="409" spans="4:4" x14ac:dyDescent="0.25">
      <c r="D409" s="35"/>
    </row>
    <row r="410" spans="4:4" x14ac:dyDescent="0.25">
      <c r="D410" s="63"/>
    </row>
    <row r="411" spans="4:4" x14ac:dyDescent="0.25">
      <c r="D411" s="64"/>
    </row>
    <row r="412" spans="4:4" x14ac:dyDescent="0.25">
      <c r="D412" s="35"/>
    </row>
    <row r="413" spans="4:4" x14ac:dyDescent="0.25">
      <c r="D413" s="63"/>
    </row>
    <row r="414" spans="4:4" x14ac:dyDescent="0.25">
      <c r="D414" s="64"/>
    </row>
    <row r="415" spans="4:4" x14ac:dyDescent="0.25">
      <c r="D415" s="35"/>
    </row>
    <row r="416" spans="4:4" x14ac:dyDescent="0.25">
      <c r="D416" s="63"/>
    </row>
    <row r="417" spans="4:4" x14ac:dyDescent="0.25">
      <c r="D417" s="64"/>
    </row>
    <row r="418" spans="4:4" x14ac:dyDescent="0.25">
      <c r="D418" s="35"/>
    </row>
    <row r="419" spans="4:4" x14ac:dyDescent="0.25">
      <c r="D419" s="63"/>
    </row>
    <row r="420" spans="4:4" x14ac:dyDescent="0.25">
      <c r="D420" s="64"/>
    </row>
    <row r="421" spans="4:4" x14ac:dyDescent="0.25">
      <c r="D421" s="35"/>
    </row>
    <row r="422" spans="4:4" x14ac:dyDescent="0.25">
      <c r="D422" s="63"/>
    </row>
    <row r="423" spans="4:4" x14ac:dyDescent="0.25">
      <c r="D423" s="64"/>
    </row>
    <row r="424" spans="4:4" x14ac:dyDescent="0.25">
      <c r="D424" s="35"/>
    </row>
    <row r="425" spans="4:4" x14ac:dyDescent="0.25">
      <c r="D425" s="63"/>
    </row>
    <row r="426" spans="4:4" x14ac:dyDescent="0.25">
      <c r="D426" s="64"/>
    </row>
    <row r="427" spans="4:4" x14ac:dyDescent="0.25">
      <c r="D427" s="35"/>
    </row>
    <row r="428" spans="4:4" x14ac:dyDescent="0.25">
      <c r="D428" s="63"/>
    </row>
    <row r="429" spans="4:4" x14ac:dyDescent="0.25">
      <c r="D429" s="64"/>
    </row>
    <row r="430" spans="4:4" x14ac:dyDescent="0.25">
      <c r="D430" s="35"/>
    </row>
    <row r="431" spans="4:4" x14ac:dyDescent="0.25">
      <c r="D431" s="63"/>
    </row>
    <row r="432" spans="4:4" x14ac:dyDescent="0.25">
      <c r="D432" s="64"/>
    </row>
    <row r="433" spans="4:4" x14ac:dyDescent="0.25">
      <c r="D433" s="35"/>
    </row>
    <row r="434" spans="4:4" x14ac:dyDescent="0.25">
      <c r="D434" s="63"/>
    </row>
    <row r="435" spans="4:4" x14ac:dyDescent="0.25">
      <c r="D435" s="64"/>
    </row>
    <row r="436" spans="4:4" x14ac:dyDescent="0.25">
      <c r="D436" s="35"/>
    </row>
    <row r="437" spans="4:4" x14ac:dyDescent="0.25">
      <c r="D437" s="63"/>
    </row>
    <row r="438" spans="4:4" x14ac:dyDescent="0.25">
      <c r="D438" s="64"/>
    </row>
    <row r="439" spans="4:4" x14ac:dyDescent="0.25">
      <c r="D439" s="35"/>
    </row>
    <row r="440" spans="4:4" x14ac:dyDescent="0.25">
      <c r="D440" s="63"/>
    </row>
    <row r="441" spans="4:4" x14ac:dyDescent="0.25">
      <c r="D441" s="64"/>
    </row>
    <row r="442" spans="4:4" x14ac:dyDescent="0.25">
      <c r="D442" s="35"/>
    </row>
    <row r="443" spans="4:4" x14ac:dyDescent="0.25">
      <c r="D443" s="63"/>
    </row>
    <row r="444" spans="4:4" x14ac:dyDescent="0.25">
      <c r="D444" s="64"/>
    </row>
    <row r="445" spans="4:4" x14ac:dyDescent="0.25">
      <c r="D445" s="35"/>
    </row>
    <row r="446" spans="4:4" x14ac:dyDescent="0.25">
      <c r="D446" s="63"/>
    </row>
    <row r="447" spans="4:4" x14ac:dyDescent="0.25">
      <c r="D447" s="64"/>
    </row>
    <row r="448" spans="4:4" x14ac:dyDescent="0.25">
      <c r="D448" s="35"/>
    </row>
    <row r="449" spans="4:4" x14ac:dyDescent="0.25">
      <c r="D449" s="63"/>
    </row>
    <row r="450" spans="4:4" x14ac:dyDescent="0.25">
      <c r="D450" s="64"/>
    </row>
    <row r="451" spans="4:4" x14ac:dyDescent="0.25">
      <c r="D451" s="35"/>
    </row>
    <row r="452" spans="4:4" x14ac:dyDescent="0.25">
      <c r="D452" s="63"/>
    </row>
    <row r="453" spans="4:4" x14ac:dyDescent="0.25">
      <c r="D453" s="64"/>
    </row>
    <row r="454" spans="4:4" x14ac:dyDescent="0.25">
      <c r="D454" s="35"/>
    </row>
    <row r="455" spans="4:4" x14ac:dyDescent="0.25">
      <c r="D455" s="63"/>
    </row>
    <row r="456" spans="4:4" x14ac:dyDescent="0.25">
      <c r="D456" s="64"/>
    </row>
    <row r="457" spans="4:4" x14ac:dyDescent="0.25">
      <c r="D457" s="35"/>
    </row>
    <row r="458" spans="4:4" x14ac:dyDescent="0.25">
      <c r="D458" s="63"/>
    </row>
    <row r="459" spans="4:4" x14ac:dyDescent="0.25">
      <c r="D459" s="64"/>
    </row>
    <row r="460" spans="4:4" x14ac:dyDescent="0.25">
      <c r="D460" s="35"/>
    </row>
    <row r="461" spans="4:4" x14ac:dyDescent="0.25">
      <c r="D461" s="63"/>
    </row>
    <row r="462" spans="4:4" x14ac:dyDescent="0.25">
      <c r="D462" s="64"/>
    </row>
    <row r="463" spans="4:4" x14ac:dyDescent="0.25">
      <c r="D463" s="35"/>
    </row>
    <row r="464" spans="4:4" x14ac:dyDescent="0.25">
      <c r="D464" s="63"/>
    </row>
    <row r="465" spans="4:4" x14ac:dyDescent="0.25">
      <c r="D465" s="64"/>
    </row>
    <row r="466" spans="4:4" x14ac:dyDescent="0.25">
      <c r="D466" s="35"/>
    </row>
    <row r="467" spans="4:4" x14ac:dyDescent="0.25">
      <c r="D467" s="63"/>
    </row>
    <row r="468" spans="4:4" x14ac:dyDescent="0.25">
      <c r="D468" s="64"/>
    </row>
    <row r="469" spans="4:4" x14ac:dyDescent="0.25">
      <c r="D469" s="35"/>
    </row>
    <row r="470" spans="4:4" x14ac:dyDescent="0.25">
      <c r="D470" s="63"/>
    </row>
    <row r="471" spans="4:4" x14ac:dyDescent="0.25">
      <c r="D471" s="64"/>
    </row>
    <row r="472" spans="4:4" x14ac:dyDescent="0.25">
      <c r="D472" s="35"/>
    </row>
    <row r="473" spans="4:4" x14ac:dyDescent="0.25">
      <c r="D473" s="63"/>
    </row>
    <row r="474" spans="4:4" x14ac:dyDescent="0.25">
      <c r="D474" s="64"/>
    </row>
    <row r="475" spans="4:4" x14ac:dyDescent="0.25">
      <c r="D475" s="35"/>
    </row>
    <row r="476" spans="4:4" x14ac:dyDescent="0.25">
      <c r="D476" s="63"/>
    </row>
    <row r="477" spans="4:4" x14ac:dyDescent="0.25">
      <c r="D477" s="64"/>
    </row>
    <row r="478" spans="4:4" x14ac:dyDescent="0.25">
      <c r="D478" s="35"/>
    </row>
    <row r="479" spans="4:4" x14ac:dyDescent="0.25">
      <c r="D479" s="63"/>
    </row>
    <row r="480" spans="4:4" x14ac:dyDescent="0.25">
      <c r="D480" s="64"/>
    </row>
    <row r="481" spans="4:4" x14ac:dyDescent="0.25">
      <c r="D481" s="35"/>
    </row>
    <row r="482" spans="4:4" x14ac:dyDescent="0.25">
      <c r="D482" s="63"/>
    </row>
    <row r="483" spans="4:4" x14ac:dyDescent="0.25">
      <c r="D483" s="64"/>
    </row>
    <row r="484" spans="4:4" x14ac:dyDescent="0.25">
      <c r="D484" s="35"/>
    </row>
    <row r="485" spans="4:4" x14ac:dyDescent="0.25">
      <c r="D485" s="63"/>
    </row>
    <row r="486" spans="4:4" x14ac:dyDescent="0.25">
      <c r="D486" s="64"/>
    </row>
    <row r="487" spans="4:4" x14ac:dyDescent="0.25">
      <c r="D487" s="35"/>
    </row>
    <row r="488" spans="4:4" x14ac:dyDescent="0.25">
      <c r="D488" s="63"/>
    </row>
    <row r="489" spans="4:4" x14ac:dyDescent="0.25">
      <c r="D489" s="64"/>
    </row>
    <row r="490" spans="4:4" x14ac:dyDescent="0.25">
      <c r="D490" s="35"/>
    </row>
    <row r="491" spans="4:4" x14ac:dyDescent="0.25">
      <c r="D491" s="63"/>
    </row>
    <row r="492" spans="4:4" x14ac:dyDescent="0.25">
      <c r="D492" s="64"/>
    </row>
    <row r="493" spans="4:4" x14ac:dyDescent="0.25">
      <c r="D493" s="35"/>
    </row>
    <row r="494" spans="4:4" x14ac:dyDescent="0.25">
      <c r="D494" s="63"/>
    </row>
    <row r="495" spans="4:4" x14ac:dyDescent="0.25">
      <c r="D495" s="64"/>
    </row>
    <row r="496" spans="4:4" x14ac:dyDescent="0.25">
      <c r="D496" s="35"/>
    </row>
    <row r="497" spans="4:4" x14ac:dyDescent="0.25">
      <c r="D497" s="63"/>
    </row>
    <row r="498" spans="4:4" x14ac:dyDescent="0.25">
      <c r="D498" s="64"/>
    </row>
    <row r="499" spans="4:4" x14ac:dyDescent="0.25">
      <c r="D499" s="35"/>
    </row>
    <row r="500" spans="4:4" x14ac:dyDescent="0.25">
      <c r="D500" s="63"/>
    </row>
    <row r="501" spans="4:4" x14ac:dyDescent="0.25">
      <c r="D501" s="64"/>
    </row>
    <row r="502" spans="4:4" x14ac:dyDescent="0.25">
      <c r="D502" s="35"/>
    </row>
    <row r="503" spans="4:4" x14ac:dyDescent="0.25">
      <c r="D503" s="63"/>
    </row>
    <row r="504" spans="4:4" x14ac:dyDescent="0.25">
      <c r="D504" s="64"/>
    </row>
    <row r="505" spans="4:4" x14ac:dyDescent="0.25">
      <c r="D505" s="35"/>
    </row>
    <row r="506" spans="4:4" x14ac:dyDescent="0.25">
      <c r="D506" s="63"/>
    </row>
    <row r="507" spans="4:4" x14ac:dyDescent="0.25">
      <c r="D507" s="64"/>
    </row>
    <row r="508" spans="4:4" x14ac:dyDescent="0.25">
      <c r="D508" s="35"/>
    </row>
    <row r="509" spans="4:4" x14ac:dyDescent="0.25">
      <c r="D509" s="63"/>
    </row>
    <row r="510" spans="4:4" x14ac:dyDescent="0.25">
      <c r="D510" s="64"/>
    </row>
    <row r="511" spans="4:4" x14ac:dyDescent="0.25">
      <c r="D511" s="35"/>
    </row>
    <row r="512" spans="4:4" x14ac:dyDescent="0.25">
      <c r="D512" s="63"/>
    </row>
    <row r="513" spans="4:4" x14ac:dyDescent="0.25">
      <c r="D513" s="64"/>
    </row>
    <row r="514" spans="4:4" x14ac:dyDescent="0.25">
      <c r="D514" s="35"/>
    </row>
    <row r="515" spans="4:4" x14ac:dyDescent="0.25">
      <c r="D515" s="63"/>
    </row>
    <row r="516" spans="4:4" x14ac:dyDescent="0.25">
      <c r="D516" s="64"/>
    </row>
    <row r="517" spans="4:4" x14ac:dyDescent="0.25">
      <c r="D517" s="35"/>
    </row>
    <row r="518" spans="4:4" x14ac:dyDescent="0.25">
      <c r="D518" s="63"/>
    </row>
    <row r="519" spans="4:4" x14ac:dyDescent="0.25">
      <c r="D519" s="64"/>
    </row>
    <row r="520" spans="4:4" x14ac:dyDescent="0.25">
      <c r="D520" s="35"/>
    </row>
    <row r="521" spans="4:4" x14ac:dyDescent="0.25">
      <c r="D521" s="63"/>
    </row>
    <row r="522" spans="4:4" x14ac:dyDescent="0.25">
      <c r="D522" s="64"/>
    </row>
    <row r="523" spans="4:4" x14ac:dyDescent="0.25">
      <c r="D523" s="35"/>
    </row>
    <row r="524" spans="4:4" x14ac:dyDescent="0.25">
      <c r="D524" s="63"/>
    </row>
    <row r="525" spans="4:4" x14ac:dyDescent="0.25">
      <c r="D525" s="64"/>
    </row>
    <row r="526" spans="4:4" x14ac:dyDescent="0.25">
      <c r="D526" s="35"/>
    </row>
    <row r="527" spans="4:4" x14ac:dyDescent="0.25">
      <c r="D527" s="63"/>
    </row>
    <row r="528" spans="4:4" x14ac:dyDescent="0.25">
      <c r="D528" s="64"/>
    </row>
    <row r="529" spans="4:4" x14ac:dyDescent="0.25">
      <c r="D529" s="35"/>
    </row>
    <row r="530" spans="4:4" x14ac:dyDescent="0.25">
      <c r="D530" s="63"/>
    </row>
    <row r="531" spans="4:4" x14ac:dyDescent="0.25">
      <c r="D531" s="64"/>
    </row>
    <row r="532" spans="4:4" x14ac:dyDescent="0.25">
      <c r="D532" s="35"/>
    </row>
    <row r="533" spans="4:4" x14ac:dyDescent="0.25">
      <c r="D533" s="63"/>
    </row>
    <row r="534" spans="4:4" x14ac:dyDescent="0.25">
      <c r="D534" s="64"/>
    </row>
    <row r="535" spans="4:4" x14ac:dyDescent="0.25">
      <c r="D535" s="35"/>
    </row>
    <row r="536" spans="4:4" x14ac:dyDescent="0.25">
      <c r="D536" s="63"/>
    </row>
    <row r="537" spans="4:4" x14ac:dyDescent="0.25">
      <c r="D537" s="64"/>
    </row>
    <row r="538" spans="4:4" x14ac:dyDescent="0.25">
      <c r="D538" s="35"/>
    </row>
    <row r="539" spans="4:4" x14ac:dyDescent="0.25">
      <c r="D539" s="63"/>
    </row>
    <row r="540" spans="4:4" x14ac:dyDescent="0.25">
      <c r="D540" s="64"/>
    </row>
    <row r="541" spans="4:4" x14ac:dyDescent="0.25">
      <c r="D541" s="35"/>
    </row>
    <row r="542" spans="4:4" x14ac:dyDescent="0.25">
      <c r="D542" s="63"/>
    </row>
    <row r="543" spans="4:4" x14ac:dyDescent="0.25">
      <c r="D543" s="64"/>
    </row>
    <row r="544" spans="4:4" x14ac:dyDescent="0.25">
      <c r="D544" s="35"/>
    </row>
    <row r="545" spans="4:4" x14ac:dyDescent="0.25">
      <c r="D545" s="63"/>
    </row>
    <row r="546" spans="4:4" x14ac:dyDescent="0.25">
      <c r="D546" s="64"/>
    </row>
    <row r="547" spans="4:4" x14ac:dyDescent="0.25">
      <c r="D547" s="35"/>
    </row>
    <row r="548" spans="4:4" x14ac:dyDescent="0.25">
      <c r="D548" s="63"/>
    </row>
    <row r="549" spans="4:4" x14ac:dyDescent="0.25">
      <c r="D549" s="64"/>
    </row>
    <row r="550" spans="4:4" x14ac:dyDescent="0.25">
      <c r="D550" s="35"/>
    </row>
    <row r="551" spans="4:4" x14ac:dyDescent="0.25">
      <c r="D551" s="63"/>
    </row>
    <row r="552" spans="4:4" x14ac:dyDescent="0.25">
      <c r="D552" s="64"/>
    </row>
    <row r="553" spans="4:4" x14ac:dyDescent="0.25">
      <c r="D553" s="35"/>
    </row>
    <row r="554" spans="4:4" x14ac:dyDescent="0.25">
      <c r="D554" s="63"/>
    </row>
    <row r="555" spans="4:4" x14ac:dyDescent="0.25">
      <c r="D555" s="64"/>
    </row>
    <row r="556" spans="4:4" x14ac:dyDescent="0.25">
      <c r="D556" s="35"/>
    </row>
    <row r="557" spans="4:4" x14ac:dyDescent="0.25">
      <c r="D557" s="63"/>
    </row>
    <row r="558" spans="4:4" x14ac:dyDescent="0.25">
      <c r="D558" s="64"/>
    </row>
    <row r="559" spans="4:4" x14ac:dyDescent="0.25">
      <c r="D559" s="35"/>
    </row>
    <row r="560" spans="4:4" x14ac:dyDescent="0.25">
      <c r="D560" s="63"/>
    </row>
    <row r="561" spans="4:4" x14ac:dyDescent="0.25">
      <c r="D561" s="64"/>
    </row>
    <row r="562" spans="4:4" x14ac:dyDescent="0.25">
      <c r="D562" s="35"/>
    </row>
    <row r="563" spans="4:4" x14ac:dyDescent="0.25">
      <c r="D563" s="64"/>
    </row>
    <row r="564" spans="4:4" x14ac:dyDescent="0.25">
      <c r="D564" s="35"/>
    </row>
    <row r="565" spans="4:4" x14ac:dyDescent="0.25">
      <c r="D565" s="63"/>
    </row>
    <row r="566" spans="4:4" x14ac:dyDescent="0.25">
      <c r="D566" s="64"/>
    </row>
    <row r="567" spans="4:4" x14ac:dyDescent="0.25">
      <c r="D567" s="35"/>
    </row>
    <row r="568" spans="4:4" x14ac:dyDescent="0.25">
      <c r="D568" s="63"/>
    </row>
    <row r="569" spans="4:4" x14ac:dyDescent="0.25">
      <c r="D569" s="64"/>
    </row>
    <row r="570" spans="4:4" x14ac:dyDescent="0.25">
      <c r="D570" s="35"/>
    </row>
    <row r="571" spans="4:4" x14ac:dyDescent="0.25">
      <c r="D571" s="63"/>
    </row>
    <row r="572" spans="4:4" x14ac:dyDescent="0.25">
      <c r="D572" s="64"/>
    </row>
    <row r="573" spans="4:4" x14ac:dyDescent="0.25">
      <c r="D573" s="35"/>
    </row>
    <row r="574" spans="4:4" x14ac:dyDescent="0.25">
      <c r="D574" s="63"/>
    </row>
    <row r="575" spans="4:4" x14ac:dyDescent="0.25">
      <c r="D575" s="64"/>
    </row>
    <row r="576" spans="4:4" x14ac:dyDescent="0.25">
      <c r="D576" s="35"/>
    </row>
    <row r="577" spans="4:4" x14ac:dyDescent="0.25">
      <c r="D577" s="63"/>
    </row>
    <row r="578" spans="4:4" x14ac:dyDescent="0.25">
      <c r="D578" s="64"/>
    </row>
    <row r="579" spans="4:4" x14ac:dyDescent="0.25">
      <c r="D579" s="35"/>
    </row>
    <row r="580" spans="4:4" x14ac:dyDescent="0.25">
      <c r="D580" s="63"/>
    </row>
    <row r="581" spans="4:4" x14ac:dyDescent="0.25">
      <c r="D581" s="64"/>
    </row>
    <row r="582" spans="4:4" x14ac:dyDescent="0.25">
      <c r="D582" s="35"/>
    </row>
    <row r="583" spans="4:4" x14ac:dyDescent="0.25">
      <c r="D583" s="63"/>
    </row>
    <row r="584" spans="4:4" x14ac:dyDescent="0.25">
      <c r="D584" s="64"/>
    </row>
    <row r="585" spans="4:4" x14ac:dyDescent="0.25">
      <c r="D585" s="35"/>
    </row>
    <row r="586" spans="4:4" x14ac:dyDescent="0.25">
      <c r="D586" s="63"/>
    </row>
    <row r="587" spans="4:4" x14ac:dyDescent="0.25">
      <c r="D587" s="64"/>
    </row>
    <row r="588" spans="4:4" x14ac:dyDescent="0.25">
      <c r="D588" s="35"/>
    </row>
    <row r="589" spans="4:4" x14ac:dyDescent="0.25">
      <c r="D589" s="63"/>
    </row>
    <row r="590" spans="4:4" x14ac:dyDescent="0.25">
      <c r="D590" s="64"/>
    </row>
    <row r="591" spans="4:4" x14ac:dyDescent="0.25">
      <c r="D591" s="35"/>
    </row>
    <row r="592" spans="4:4" x14ac:dyDescent="0.25">
      <c r="D592" s="63"/>
    </row>
    <row r="593" spans="4:4" x14ac:dyDescent="0.25">
      <c r="D593" s="64"/>
    </row>
    <row r="594" spans="4:4" x14ac:dyDescent="0.25">
      <c r="D594" s="35"/>
    </row>
    <row r="595" spans="4:4" x14ac:dyDescent="0.25">
      <c r="D595" s="63"/>
    </row>
    <row r="596" spans="4:4" x14ac:dyDescent="0.25">
      <c r="D596" s="64"/>
    </row>
    <row r="597" spans="4:4" x14ac:dyDescent="0.25">
      <c r="D597" s="35"/>
    </row>
    <row r="598" spans="4:4" x14ac:dyDescent="0.25">
      <c r="D598" s="63"/>
    </row>
    <row r="599" spans="4:4" x14ac:dyDescent="0.25">
      <c r="D599" s="64"/>
    </row>
    <row r="600" spans="4:4" x14ac:dyDescent="0.25">
      <c r="D600" s="35"/>
    </row>
    <row r="601" spans="4:4" x14ac:dyDescent="0.25">
      <c r="D601" s="63"/>
    </row>
    <row r="602" spans="4:4" x14ac:dyDescent="0.25">
      <c r="D602" s="64"/>
    </row>
    <row r="603" spans="4:4" x14ac:dyDescent="0.25">
      <c r="D603" s="35"/>
    </row>
    <row r="604" spans="4:4" x14ac:dyDescent="0.25">
      <c r="D604" s="63"/>
    </row>
    <row r="605" spans="4:4" x14ac:dyDescent="0.25">
      <c r="D605" s="64"/>
    </row>
    <row r="606" spans="4:4" x14ac:dyDescent="0.25">
      <c r="D606" s="35"/>
    </row>
    <row r="607" spans="4:4" x14ac:dyDescent="0.25">
      <c r="D607" s="63"/>
    </row>
    <row r="608" spans="4:4" x14ac:dyDescent="0.25">
      <c r="D608" s="64"/>
    </row>
    <row r="609" spans="4:4" x14ac:dyDescent="0.25">
      <c r="D609" s="35"/>
    </row>
    <row r="610" spans="4:4" x14ac:dyDescent="0.25">
      <c r="D610" s="63"/>
    </row>
    <row r="611" spans="4:4" x14ac:dyDescent="0.25">
      <c r="D611" s="64"/>
    </row>
    <row r="612" spans="4:4" x14ac:dyDescent="0.25">
      <c r="D612" s="35"/>
    </row>
    <row r="613" spans="4:4" x14ac:dyDescent="0.25">
      <c r="D613" s="63"/>
    </row>
    <row r="614" spans="4:4" x14ac:dyDescent="0.25">
      <c r="D614" s="64"/>
    </row>
    <row r="615" spans="4:4" x14ac:dyDescent="0.25">
      <c r="D615" s="35"/>
    </row>
    <row r="616" spans="4:4" x14ac:dyDescent="0.25">
      <c r="D616" s="63"/>
    </row>
    <row r="617" spans="4:4" x14ac:dyDescent="0.25">
      <c r="D617" s="64"/>
    </row>
    <row r="618" spans="4:4" x14ac:dyDescent="0.25">
      <c r="D618" s="35"/>
    </row>
    <row r="619" spans="4:4" x14ac:dyDescent="0.25">
      <c r="D619" s="63"/>
    </row>
    <row r="620" spans="4:4" x14ac:dyDescent="0.25">
      <c r="D620" s="64"/>
    </row>
    <row r="621" spans="4:4" x14ac:dyDescent="0.25">
      <c r="D621" s="35"/>
    </row>
    <row r="622" spans="4:4" x14ac:dyDescent="0.25">
      <c r="D622" s="63"/>
    </row>
    <row r="623" spans="4:4" x14ac:dyDescent="0.25">
      <c r="D623" s="64"/>
    </row>
    <row r="624" spans="4:4" x14ac:dyDescent="0.25">
      <c r="D624" s="35"/>
    </row>
    <row r="625" spans="4:4" x14ac:dyDescent="0.25">
      <c r="D625" s="63"/>
    </row>
    <row r="626" spans="4:4" x14ac:dyDescent="0.25">
      <c r="D626" s="64"/>
    </row>
    <row r="627" spans="4:4" x14ac:dyDescent="0.25">
      <c r="D627" s="35"/>
    </row>
    <row r="628" spans="4:4" x14ac:dyDescent="0.25">
      <c r="D628" s="63"/>
    </row>
    <row r="629" spans="4:4" x14ac:dyDescent="0.25">
      <c r="D629" s="64"/>
    </row>
    <row r="630" spans="4:4" x14ac:dyDescent="0.25">
      <c r="D630" s="35"/>
    </row>
    <row r="631" spans="4:4" x14ac:dyDescent="0.25">
      <c r="D631" s="63"/>
    </row>
    <row r="632" spans="4:4" x14ac:dyDescent="0.25">
      <c r="D632" s="64"/>
    </row>
    <row r="633" spans="4:4" x14ac:dyDescent="0.25">
      <c r="D633" s="35"/>
    </row>
    <row r="634" spans="4:4" x14ac:dyDescent="0.25">
      <c r="D634" s="63"/>
    </row>
    <row r="635" spans="4:4" x14ac:dyDescent="0.25">
      <c r="D635" s="64"/>
    </row>
    <row r="636" spans="4:4" x14ac:dyDescent="0.25">
      <c r="D636" s="35"/>
    </row>
    <row r="637" spans="4:4" x14ac:dyDescent="0.25">
      <c r="D637" s="63"/>
    </row>
    <row r="638" spans="4:4" x14ac:dyDescent="0.25">
      <c r="D638" s="64"/>
    </row>
    <row r="639" spans="4:4" x14ac:dyDescent="0.25">
      <c r="D639" s="35"/>
    </row>
    <row r="640" spans="4:4" x14ac:dyDescent="0.25">
      <c r="D640" s="63"/>
    </row>
    <row r="641" spans="4:4" x14ac:dyDescent="0.25">
      <c r="D641" s="64"/>
    </row>
    <row r="642" spans="4:4" x14ac:dyDescent="0.25">
      <c r="D642" s="35"/>
    </row>
    <row r="643" spans="4:4" x14ac:dyDescent="0.25">
      <c r="D643" s="63"/>
    </row>
    <row r="644" spans="4:4" x14ac:dyDescent="0.25">
      <c r="D644" s="64"/>
    </row>
    <row r="645" spans="4:4" x14ac:dyDescent="0.25">
      <c r="D645" s="35"/>
    </row>
    <row r="646" spans="4:4" x14ac:dyDescent="0.25">
      <c r="D646" s="63"/>
    </row>
    <row r="647" spans="4:4" x14ac:dyDescent="0.25">
      <c r="D647" s="64"/>
    </row>
    <row r="648" spans="4:4" x14ac:dyDescent="0.25">
      <c r="D648" s="35"/>
    </row>
    <row r="649" spans="4:4" x14ac:dyDescent="0.25">
      <c r="D649" s="63"/>
    </row>
    <row r="650" spans="4:4" x14ac:dyDescent="0.25">
      <c r="D650" s="64"/>
    </row>
    <row r="651" spans="4:4" x14ac:dyDescent="0.25">
      <c r="D651" s="35"/>
    </row>
    <row r="652" spans="4:4" x14ac:dyDescent="0.25">
      <c r="D652" s="63"/>
    </row>
    <row r="653" spans="4:4" x14ac:dyDescent="0.25">
      <c r="D653" s="64"/>
    </row>
    <row r="654" spans="4:4" x14ac:dyDescent="0.25">
      <c r="D654" s="35"/>
    </row>
    <row r="655" spans="4:4" x14ac:dyDescent="0.25">
      <c r="D655" s="63"/>
    </row>
    <row r="656" spans="4:4" x14ac:dyDescent="0.25">
      <c r="D656" s="64"/>
    </row>
    <row r="657" spans="4:4" x14ac:dyDescent="0.25">
      <c r="D657" s="35"/>
    </row>
    <row r="658" spans="4:4" x14ac:dyDescent="0.25">
      <c r="D658" s="63"/>
    </row>
    <row r="659" spans="4:4" x14ac:dyDescent="0.25">
      <c r="D659" s="64"/>
    </row>
    <row r="660" spans="4:4" x14ac:dyDescent="0.25">
      <c r="D660" s="35"/>
    </row>
    <row r="661" spans="4:4" x14ac:dyDescent="0.25">
      <c r="D661" s="63"/>
    </row>
    <row r="662" spans="4:4" x14ac:dyDescent="0.25">
      <c r="D662" s="64"/>
    </row>
    <row r="663" spans="4:4" x14ac:dyDescent="0.25">
      <c r="D663" s="35"/>
    </row>
    <row r="664" spans="4:4" x14ac:dyDescent="0.25">
      <c r="D664" s="63"/>
    </row>
    <row r="665" spans="4:4" x14ac:dyDescent="0.25">
      <c r="D665" s="64"/>
    </row>
    <row r="666" spans="4:4" x14ac:dyDescent="0.25">
      <c r="D666" s="35"/>
    </row>
    <row r="667" spans="4:4" x14ac:dyDescent="0.25">
      <c r="D667" s="63"/>
    </row>
    <row r="668" spans="4:4" x14ac:dyDescent="0.25">
      <c r="D668" s="64"/>
    </row>
    <row r="669" spans="4:4" x14ac:dyDescent="0.25">
      <c r="D669" s="35"/>
    </row>
    <row r="670" spans="4:4" x14ac:dyDescent="0.25">
      <c r="D670" s="63"/>
    </row>
    <row r="671" spans="4:4" x14ac:dyDescent="0.25">
      <c r="D671" s="64"/>
    </row>
    <row r="672" spans="4:4" x14ac:dyDescent="0.25">
      <c r="D672" s="35"/>
    </row>
    <row r="673" spans="4:4" x14ac:dyDescent="0.25">
      <c r="D673" s="63"/>
    </row>
    <row r="674" spans="4:4" x14ac:dyDescent="0.25">
      <c r="D674" s="64"/>
    </row>
    <row r="675" spans="4:4" x14ac:dyDescent="0.25">
      <c r="D675" s="35"/>
    </row>
    <row r="676" spans="4:4" x14ac:dyDescent="0.25">
      <c r="D676" s="63"/>
    </row>
    <row r="677" spans="4:4" x14ac:dyDescent="0.25">
      <c r="D677" s="64"/>
    </row>
    <row r="678" spans="4:4" x14ac:dyDescent="0.25">
      <c r="D678" s="35"/>
    </row>
    <row r="679" spans="4:4" x14ac:dyDescent="0.25">
      <c r="D679" s="63"/>
    </row>
    <row r="680" spans="4:4" x14ac:dyDescent="0.25">
      <c r="D680" s="64"/>
    </row>
    <row r="681" spans="4:4" x14ac:dyDescent="0.25">
      <c r="D681" s="35"/>
    </row>
    <row r="682" spans="4:4" x14ac:dyDescent="0.25">
      <c r="D682" s="63"/>
    </row>
    <row r="683" spans="4:4" x14ac:dyDescent="0.25">
      <c r="D683" s="64"/>
    </row>
    <row r="684" spans="4:4" x14ac:dyDescent="0.25">
      <c r="D684" s="35"/>
    </row>
    <row r="685" spans="4:4" x14ac:dyDescent="0.25">
      <c r="D685" s="63"/>
    </row>
    <row r="686" spans="4:4" x14ac:dyDescent="0.25">
      <c r="D686" s="64"/>
    </row>
    <row r="687" spans="4:4" x14ac:dyDescent="0.25">
      <c r="D687" s="35"/>
    </row>
    <row r="688" spans="4:4" x14ac:dyDescent="0.25">
      <c r="D688" s="63"/>
    </row>
    <row r="689" spans="4:4" x14ac:dyDescent="0.25">
      <c r="D689" s="64"/>
    </row>
    <row r="690" spans="4:4" x14ac:dyDescent="0.25">
      <c r="D690" s="35"/>
    </row>
    <row r="691" spans="4:4" x14ac:dyDescent="0.25">
      <c r="D691" s="63"/>
    </row>
    <row r="692" spans="4:4" x14ac:dyDescent="0.25">
      <c r="D692" s="64"/>
    </row>
    <row r="693" spans="4:4" x14ac:dyDescent="0.25">
      <c r="D693" s="35"/>
    </row>
    <row r="694" spans="4:4" x14ac:dyDescent="0.25">
      <c r="D694" s="63"/>
    </row>
    <row r="695" spans="4:4" x14ac:dyDescent="0.25">
      <c r="D695" s="64"/>
    </row>
    <row r="696" spans="4:4" x14ac:dyDescent="0.25">
      <c r="D696" s="35"/>
    </row>
    <row r="697" spans="4:4" x14ac:dyDescent="0.25">
      <c r="D697" s="63"/>
    </row>
    <row r="698" spans="4:4" x14ac:dyDescent="0.25">
      <c r="D698" s="64"/>
    </row>
    <row r="699" spans="4:4" x14ac:dyDescent="0.25">
      <c r="D699" s="35"/>
    </row>
    <row r="700" spans="4:4" x14ac:dyDescent="0.25">
      <c r="D700" s="63"/>
    </row>
    <row r="701" spans="4:4" x14ac:dyDescent="0.25">
      <c r="D701" s="64"/>
    </row>
    <row r="702" spans="4:4" x14ac:dyDescent="0.25">
      <c r="D702" s="35"/>
    </row>
    <row r="703" spans="4:4" x14ac:dyDescent="0.25">
      <c r="D703" s="63"/>
    </row>
    <row r="704" spans="4:4" x14ac:dyDescent="0.25">
      <c r="D704" s="64"/>
    </row>
    <row r="705" spans="4:4" x14ac:dyDescent="0.25">
      <c r="D705" s="35"/>
    </row>
    <row r="706" spans="4:4" x14ac:dyDescent="0.25">
      <c r="D706" s="63"/>
    </row>
    <row r="707" spans="4:4" x14ac:dyDescent="0.25">
      <c r="D707" s="64"/>
    </row>
    <row r="708" spans="4:4" x14ac:dyDescent="0.25">
      <c r="D708" s="35"/>
    </row>
    <row r="709" spans="4:4" x14ac:dyDescent="0.25">
      <c r="D709" s="63"/>
    </row>
    <row r="710" spans="4:4" x14ac:dyDescent="0.25">
      <c r="D710" s="64"/>
    </row>
    <row r="711" spans="4:4" x14ac:dyDescent="0.25">
      <c r="D711" s="35"/>
    </row>
    <row r="712" spans="4:4" x14ac:dyDescent="0.25">
      <c r="D712" s="63"/>
    </row>
    <row r="713" spans="4:4" x14ac:dyDescent="0.25">
      <c r="D713" s="64"/>
    </row>
    <row r="714" spans="4:4" x14ac:dyDescent="0.25">
      <c r="D714" s="35"/>
    </row>
    <row r="715" spans="4:4" x14ac:dyDescent="0.25">
      <c r="D715" s="63"/>
    </row>
    <row r="716" spans="4:4" x14ac:dyDescent="0.25">
      <c r="D716" s="64"/>
    </row>
    <row r="717" spans="4:4" x14ac:dyDescent="0.25">
      <c r="D717" s="35"/>
    </row>
    <row r="718" spans="4:4" x14ac:dyDescent="0.25">
      <c r="D718" s="63"/>
    </row>
    <row r="719" spans="4:4" x14ac:dyDescent="0.25">
      <c r="D719" s="64"/>
    </row>
    <row r="720" spans="4:4" x14ac:dyDescent="0.25">
      <c r="D720" s="35"/>
    </row>
    <row r="721" spans="4:4" x14ac:dyDescent="0.25">
      <c r="D721" s="63"/>
    </row>
    <row r="722" spans="4:4" x14ac:dyDescent="0.25">
      <c r="D722" s="64"/>
    </row>
    <row r="723" spans="4:4" x14ac:dyDescent="0.25">
      <c r="D723" s="35"/>
    </row>
    <row r="724" spans="4:4" x14ac:dyDescent="0.25">
      <c r="D724" s="63"/>
    </row>
    <row r="725" spans="4:4" x14ac:dyDescent="0.25">
      <c r="D725" s="64"/>
    </row>
    <row r="726" spans="4:4" x14ac:dyDescent="0.25">
      <c r="D726" s="35"/>
    </row>
    <row r="727" spans="4:4" x14ac:dyDescent="0.25">
      <c r="D727" s="63"/>
    </row>
    <row r="728" spans="4:4" x14ac:dyDescent="0.25">
      <c r="D728" s="64"/>
    </row>
    <row r="729" spans="4:4" x14ac:dyDescent="0.25">
      <c r="D729" s="35"/>
    </row>
    <row r="730" spans="4:4" x14ac:dyDescent="0.25">
      <c r="D730" s="63"/>
    </row>
    <row r="731" spans="4:4" x14ac:dyDescent="0.25">
      <c r="D731" s="64"/>
    </row>
    <row r="732" spans="4:4" x14ac:dyDescent="0.25">
      <c r="D732" s="35"/>
    </row>
    <row r="733" spans="4:4" x14ac:dyDescent="0.25">
      <c r="D733" s="63"/>
    </row>
    <row r="734" spans="4:4" x14ac:dyDescent="0.25">
      <c r="D734" s="64"/>
    </row>
    <row r="735" spans="4:4" x14ac:dyDescent="0.25">
      <c r="D735" s="35"/>
    </row>
    <row r="736" spans="4:4" x14ac:dyDescent="0.25">
      <c r="D736" s="63"/>
    </row>
    <row r="737" spans="4:4" x14ac:dyDescent="0.25">
      <c r="D737" s="64"/>
    </row>
    <row r="738" spans="4:4" x14ac:dyDescent="0.25">
      <c r="D738" s="35"/>
    </row>
    <row r="739" spans="4:4" x14ac:dyDescent="0.25">
      <c r="D739" s="63"/>
    </row>
    <row r="740" spans="4:4" x14ac:dyDescent="0.25">
      <c r="D740" s="64"/>
    </row>
    <row r="741" spans="4:4" x14ac:dyDescent="0.25">
      <c r="D741" s="35"/>
    </row>
    <row r="742" spans="4:4" x14ac:dyDescent="0.25">
      <c r="D742" s="63"/>
    </row>
    <row r="743" spans="4:4" x14ac:dyDescent="0.25">
      <c r="D743" s="64"/>
    </row>
    <row r="744" spans="4:4" x14ac:dyDescent="0.25">
      <c r="D744" s="35"/>
    </row>
    <row r="745" spans="4:4" x14ac:dyDescent="0.25">
      <c r="D745" s="63"/>
    </row>
    <row r="746" spans="4:4" x14ac:dyDescent="0.25">
      <c r="D746" s="64"/>
    </row>
    <row r="747" spans="4:4" x14ac:dyDescent="0.25">
      <c r="D747" s="35"/>
    </row>
    <row r="748" spans="4:4" x14ac:dyDescent="0.25">
      <c r="D748" s="63"/>
    </row>
    <row r="749" spans="4:4" x14ac:dyDescent="0.25">
      <c r="D749" s="64"/>
    </row>
    <row r="750" spans="4:4" x14ac:dyDescent="0.25">
      <c r="D750" s="35"/>
    </row>
    <row r="751" spans="4:4" x14ac:dyDescent="0.25">
      <c r="D751" s="63"/>
    </row>
    <row r="752" spans="4:4" x14ac:dyDescent="0.25">
      <c r="D752" s="64"/>
    </row>
    <row r="753" spans="4:4" x14ac:dyDescent="0.25">
      <c r="D753" s="35"/>
    </row>
    <row r="754" spans="4:4" x14ac:dyDescent="0.25">
      <c r="D754" s="63"/>
    </row>
    <row r="755" spans="4:4" x14ac:dyDescent="0.25">
      <c r="D755" s="64"/>
    </row>
    <row r="756" spans="4:4" x14ac:dyDescent="0.25">
      <c r="D756" s="35"/>
    </row>
    <row r="757" spans="4:4" x14ac:dyDescent="0.25">
      <c r="D757" s="63"/>
    </row>
    <row r="758" spans="4:4" x14ac:dyDescent="0.25">
      <c r="D758" s="64"/>
    </row>
    <row r="759" spans="4:4" x14ac:dyDescent="0.25">
      <c r="D759" s="35"/>
    </row>
    <row r="760" spans="4:4" x14ac:dyDescent="0.25">
      <c r="D760" s="63"/>
    </row>
    <row r="761" spans="4:4" x14ac:dyDescent="0.25">
      <c r="D761" s="64"/>
    </row>
    <row r="762" spans="4:4" x14ac:dyDescent="0.25">
      <c r="D762" s="35"/>
    </row>
    <row r="763" spans="4:4" x14ac:dyDescent="0.25">
      <c r="D763" s="63"/>
    </row>
    <row r="764" spans="4:4" x14ac:dyDescent="0.25">
      <c r="D764" s="64"/>
    </row>
    <row r="765" spans="4:4" x14ac:dyDescent="0.25">
      <c r="D765" s="35"/>
    </row>
    <row r="766" spans="4:4" x14ac:dyDescent="0.25">
      <c r="D766" s="63"/>
    </row>
    <row r="767" spans="4:4" x14ac:dyDescent="0.25">
      <c r="D767" s="64"/>
    </row>
    <row r="768" spans="4:4" x14ac:dyDescent="0.25">
      <c r="D768" s="35"/>
    </row>
    <row r="769" spans="4:4" x14ac:dyDescent="0.25">
      <c r="D769" s="63"/>
    </row>
    <row r="770" spans="4:4" x14ac:dyDescent="0.25">
      <c r="D770" s="64"/>
    </row>
    <row r="771" spans="4:4" x14ac:dyDescent="0.25">
      <c r="D771" s="35"/>
    </row>
    <row r="772" spans="4:4" x14ac:dyDescent="0.25">
      <c r="D772" s="63"/>
    </row>
    <row r="773" spans="4:4" x14ac:dyDescent="0.25">
      <c r="D773" s="64"/>
    </row>
    <row r="774" spans="4:4" x14ac:dyDescent="0.25">
      <c r="D774" s="35"/>
    </row>
    <row r="775" spans="4:4" x14ac:dyDescent="0.25">
      <c r="D775" s="63"/>
    </row>
    <row r="776" spans="4:4" x14ac:dyDescent="0.25">
      <c r="D776" s="64"/>
    </row>
    <row r="777" spans="4:4" x14ac:dyDescent="0.25">
      <c r="D777" s="35"/>
    </row>
    <row r="778" spans="4:4" x14ac:dyDescent="0.25">
      <c r="D778" s="63"/>
    </row>
    <row r="779" spans="4:4" x14ac:dyDescent="0.25">
      <c r="D779" s="64"/>
    </row>
    <row r="780" spans="4:4" x14ac:dyDescent="0.25">
      <c r="D780" s="35"/>
    </row>
    <row r="781" spans="4:4" x14ac:dyDescent="0.25">
      <c r="D781" s="63"/>
    </row>
    <row r="782" spans="4:4" x14ac:dyDescent="0.25">
      <c r="D782" s="64"/>
    </row>
    <row r="783" spans="4:4" x14ac:dyDescent="0.25">
      <c r="D783" s="35"/>
    </row>
    <row r="784" spans="4:4" x14ac:dyDescent="0.25">
      <c r="D784" s="63"/>
    </row>
    <row r="785" spans="4:4" x14ac:dyDescent="0.25">
      <c r="D785" s="64"/>
    </row>
    <row r="786" spans="4:4" x14ac:dyDescent="0.25">
      <c r="D786" s="35"/>
    </row>
    <row r="787" spans="4:4" x14ac:dyDescent="0.25">
      <c r="D787" s="63"/>
    </row>
    <row r="788" spans="4:4" x14ac:dyDescent="0.25">
      <c r="D788" s="64"/>
    </row>
    <row r="789" spans="4:4" x14ac:dyDescent="0.25">
      <c r="D789" s="35"/>
    </row>
    <row r="790" spans="4:4" x14ac:dyDescent="0.25">
      <c r="D790" s="63"/>
    </row>
    <row r="791" spans="4:4" x14ac:dyDescent="0.25">
      <c r="D791" s="64"/>
    </row>
    <row r="792" spans="4:4" x14ac:dyDescent="0.25">
      <c r="D792" s="35"/>
    </row>
    <row r="793" spans="4:4" x14ac:dyDescent="0.25">
      <c r="D793" s="63"/>
    </row>
    <row r="794" spans="4:4" x14ac:dyDescent="0.25">
      <c r="D794" s="64"/>
    </row>
    <row r="795" spans="4:4" x14ac:dyDescent="0.25">
      <c r="D795" s="35"/>
    </row>
    <row r="796" spans="4:4" x14ac:dyDescent="0.25">
      <c r="D796" s="63"/>
    </row>
    <row r="797" spans="4:4" x14ac:dyDescent="0.25">
      <c r="D797" s="64"/>
    </row>
    <row r="798" spans="4:4" x14ac:dyDescent="0.25">
      <c r="D798" s="35"/>
    </row>
    <row r="799" spans="4:4" x14ac:dyDescent="0.25">
      <c r="D799" s="63"/>
    </row>
    <row r="800" spans="4:4" x14ac:dyDescent="0.25">
      <c r="D800" s="64"/>
    </row>
    <row r="801" spans="4:4" x14ac:dyDescent="0.25">
      <c r="D801" s="35"/>
    </row>
    <row r="802" spans="4:4" x14ac:dyDescent="0.25">
      <c r="D802" s="63"/>
    </row>
    <row r="803" spans="4:4" x14ac:dyDescent="0.25">
      <c r="D803" s="64"/>
    </row>
    <row r="804" spans="4:4" x14ac:dyDescent="0.25">
      <c r="D804" s="35"/>
    </row>
    <row r="805" spans="4:4" x14ac:dyDescent="0.25">
      <c r="D805" s="63"/>
    </row>
    <row r="806" spans="4:4" x14ac:dyDescent="0.25">
      <c r="D806" s="64"/>
    </row>
    <row r="807" spans="4:4" x14ac:dyDescent="0.25">
      <c r="D807" s="35"/>
    </row>
    <row r="808" spans="4:4" x14ac:dyDescent="0.25">
      <c r="D808" s="63"/>
    </row>
    <row r="809" spans="4:4" x14ac:dyDescent="0.25">
      <c r="D809" s="64"/>
    </row>
    <row r="810" spans="4:4" x14ac:dyDescent="0.25">
      <c r="D810" s="35"/>
    </row>
    <row r="811" spans="4:4" x14ac:dyDescent="0.25">
      <c r="D811" s="63"/>
    </row>
    <row r="812" spans="4:4" x14ac:dyDescent="0.25">
      <c r="D812" s="64"/>
    </row>
    <row r="813" spans="4:4" x14ac:dyDescent="0.25">
      <c r="D813" s="35"/>
    </row>
    <row r="814" spans="4:4" x14ac:dyDescent="0.25">
      <c r="D814" s="63"/>
    </row>
    <row r="815" spans="4:4" x14ac:dyDescent="0.25">
      <c r="D815" s="64"/>
    </row>
    <row r="816" spans="4:4" x14ac:dyDescent="0.25">
      <c r="D816" s="35"/>
    </row>
    <row r="817" spans="4:4" x14ac:dyDescent="0.25">
      <c r="D817" s="63"/>
    </row>
    <row r="818" spans="4:4" x14ac:dyDescent="0.25">
      <c r="D818" s="64"/>
    </row>
    <row r="819" spans="4:4" x14ac:dyDescent="0.25">
      <c r="D819" s="35"/>
    </row>
    <row r="820" spans="4:4" x14ac:dyDescent="0.25">
      <c r="D820" s="63"/>
    </row>
    <row r="821" spans="4:4" x14ac:dyDescent="0.25">
      <c r="D821" s="64"/>
    </row>
    <row r="822" spans="4:4" x14ac:dyDescent="0.25">
      <c r="D822" s="35"/>
    </row>
    <row r="823" spans="4:4" x14ac:dyDescent="0.25">
      <c r="D823" s="63"/>
    </row>
    <row r="824" spans="4:4" x14ac:dyDescent="0.25">
      <c r="D824" s="64"/>
    </row>
    <row r="825" spans="4:4" x14ac:dyDescent="0.25">
      <c r="D825" s="35"/>
    </row>
    <row r="826" spans="4:4" x14ac:dyDescent="0.25">
      <c r="D826" s="63"/>
    </row>
    <row r="827" spans="4:4" x14ac:dyDescent="0.25">
      <c r="D827" s="64"/>
    </row>
    <row r="828" spans="4:4" x14ac:dyDescent="0.25">
      <c r="D828" s="35"/>
    </row>
    <row r="829" spans="4:4" x14ac:dyDescent="0.25">
      <c r="D829" s="63"/>
    </row>
    <row r="830" spans="4:4" x14ac:dyDescent="0.25">
      <c r="D830" s="64"/>
    </row>
    <row r="831" spans="4:4" x14ac:dyDescent="0.25">
      <c r="D831" s="35"/>
    </row>
    <row r="832" spans="4:4" x14ac:dyDescent="0.25">
      <c r="D832" s="63"/>
    </row>
    <row r="833" spans="4:4" x14ac:dyDescent="0.25">
      <c r="D833" s="64"/>
    </row>
    <row r="834" spans="4:4" x14ac:dyDescent="0.25">
      <c r="D834" s="35"/>
    </row>
    <row r="835" spans="4:4" x14ac:dyDescent="0.25">
      <c r="D835" s="63"/>
    </row>
    <row r="836" spans="4:4" x14ac:dyDescent="0.25">
      <c r="D836" s="64"/>
    </row>
    <row r="837" spans="4:4" x14ac:dyDescent="0.25">
      <c r="D837" s="35"/>
    </row>
    <row r="838" spans="4:4" x14ac:dyDescent="0.25">
      <c r="D838" s="63"/>
    </row>
    <row r="839" spans="4:4" x14ac:dyDescent="0.25">
      <c r="D839" s="64"/>
    </row>
    <row r="840" spans="4:4" x14ac:dyDescent="0.25">
      <c r="D840" s="35"/>
    </row>
    <row r="841" spans="4:4" x14ac:dyDescent="0.25">
      <c r="D841" s="63"/>
    </row>
    <row r="842" spans="4:4" x14ac:dyDescent="0.25">
      <c r="D842" s="64"/>
    </row>
    <row r="843" spans="4:4" x14ac:dyDescent="0.25">
      <c r="D843" s="35"/>
    </row>
    <row r="844" spans="4:4" x14ac:dyDescent="0.25">
      <c r="D844" s="63"/>
    </row>
    <row r="845" spans="4:4" x14ac:dyDescent="0.25">
      <c r="D845" s="64"/>
    </row>
    <row r="846" spans="4:4" x14ac:dyDescent="0.25">
      <c r="D846" s="35"/>
    </row>
    <row r="847" spans="4:4" x14ac:dyDescent="0.25">
      <c r="D847" s="63"/>
    </row>
    <row r="848" spans="4:4" x14ac:dyDescent="0.25">
      <c r="D848" s="64"/>
    </row>
    <row r="849" spans="4:4" x14ac:dyDescent="0.25">
      <c r="D849" s="35"/>
    </row>
    <row r="850" spans="4:4" x14ac:dyDescent="0.25">
      <c r="D850" s="63"/>
    </row>
    <row r="851" spans="4:4" x14ac:dyDescent="0.25">
      <c r="D851" s="64"/>
    </row>
    <row r="852" spans="4:4" x14ac:dyDescent="0.25">
      <c r="D852" s="35"/>
    </row>
    <row r="853" spans="4:4" x14ac:dyDescent="0.25">
      <c r="D853" s="63"/>
    </row>
    <row r="854" spans="4:4" x14ac:dyDescent="0.25">
      <c r="D854" s="64"/>
    </row>
    <row r="855" spans="4:4" x14ac:dyDescent="0.25">
      <c r="D855" s="35"/>
    </row>
    <row r="856" spans="4:4" x14ac:dyDescent="0.25">
      <c r="D856" s="63"/>
    </row>
    <row r="857" spans="4:4" x14ac:dyDescent="0.25">
      <c r="D857" s="64"/>
    </row>
    <row r="858" spans="4:4" x14ac:dyDescent="0.25">
      <c r="D858" s="35"/>
    </row>
    <row r="859" spans="4:4" x14ac:dyDescent="0.25">
      <c r="D859" s="63"/>
    </row>
    <row r="860" spans="4:4" x14ac:dyDescent="0.25">
      <c r="D860" s="64"/>
    </row>
    <row r="861" spans="4:4" x14ac:dyDescent="0.25">
      <c r="D861" s="35"/>
    </row>
    <row r="862" spans="4:4" x14ac:dyDescent="0.25">
      <c r="D862" s="63"/>
    </row>
    <row r="863" spans="4:4" x14ac:dyDescent="0.25">
      <c r="D863" s="64"/>
    </row>
    <row r="864" spans="4:4" x14ac:dyDescent="0.25">
      <c r="D864" s="35"/>
    </row>
    <row r="865" spans="4:4" x14ac:dyDescent="0.25">
      <c r="D865" s="63"/>
    </row>
    <row r="866" spans="4:4" x14ac:dyDescent="0.25">
      <c r="D866" s="64"/>
    </row>
    <row r="867" spans="4:4" x14ac:dyDescent="0.25">
      <c r="D867" s="35"/>
    </row>
    <row r="868" spans="4:4" x14ac:dyDescent="0.25">
      <c r="D868" s="63"/>
    </row>
    <row r="869" spans="4:4" x14ac:dyDescent="0.25">
      <c r="D869" s="64"/>
    </row>
    <row r="870" spans="4:4" x14ac:dyDescent="0.25">
      <c r="D870" s="35"/>
    </row>
    <row r="871" spans="4:4" x14ac:dyDescent="0.25">
      <c r="D871" s="63"/>
    </row>
    <row r="872" spans="4:4" x14ac:dyDescent="0.25">
      <c r="D872" s="64"/>
    </row>
    <row r="873" spans="4:4" x14ac:dyDescent="0.25">
      <c r="D873" s="35"/>
    </row>
    <row r="874" spans="4:4" x14ac:dyDescent="0.25">
      <c r="D874" s="63"/>
    </row>
    <row r="875" spans="4:4" x14ac:dyDescent="0.25">
      <c r="D875" s="64"/>
    </row>
    <row r="876" spans="4:4" x14ac:dyDescent="0.25">
      <c r="D876" s="35"/>
    </row>
    <row r="877" spans="4:4" x14ac:dyDescent="0.25">
      <c r="D877" s="63"/>
    </row>
    <row r="878" spans="4:4" x14ac:dyDescent="0.25">
      <c r="D878" s="64"/>
    </row>
    <row r="879" spans="4:4" x14ac:dyDescent="0.25">
      <c r="D879" s="35"/>
    </row>
    <row r="880" spans="4:4" x14ac:dyDescent="0.25">
      <c r="D880" s="63"/>
    </row>
    <row r="881" spans="4:4" x14ac:dyDescent="0.25">
      <c r="D881" s="64"/>
    </row>
    <row r="882" spans="4:4" x14ac:dyDescent="0.25">
      <c r="D882" s="35"/>
    </row>
    <row r="883" spans="4:4" x14ac:dyDescent="0.25">
      <c r="D883" s="63"/>
    </row>
    <row r="884" spans="4:4" x14ac:dyDescent="0.25">
      <c r="D884" s="64"/>
    </row>
    <row r="885" spans="4:4" x14ac:dyDescent="0.25">
      <c r="D885" s="35"/>
    </row>
    <row r="886" spans="4:4" x14ac:dyDescent="0.25">
      <c r="D886" s="63"/>
    </row>
    <row r="887" spans="4:4" x14ac:dyDescent="0.25">
      <c r="D887" s="64"/>
    </row>
    <row r="888" spans="4:4" x14ac:dyDescent="0.25">
      <c r="D888" s="35"/>
    </row>
    <row r="889" spans="4:4" x14ac:dyDescent="0.25">
      <c r="D889" s="63"/>
    </row>
    <row r="890" spans="4:4" x14ac:dyDescent="0.25">
      <c r="D890" s="64"/>
    </row>
    <row r="891" spans="4:4" x14ac:dyDescent="0.25">
      <c r="D891" s="35"/>
    </row>
    <row r="892" spans="4:4" x14ac:dyDescent="0.25">
      <c r="D892" s="63"/>
    </row>
    <row r="893" spans="4:4" x14ac:dyDescent="0.25">
      <c r="D893" s="64"/>
    </row>
    <row r="894" spans="4:4" x14ac:dyDescent="0.25">
      <c r="D894" s="35"/>
    </row>
    <row r="895" spans="4:4" x14ac:dyDescent="0.25">
      <c r="D895" s="63"/>
    </row>
    <row r="896" spans="4:4" x14ac:dyDescent="0.25">
      <c r="D896" s="64"/>
    </row>
    <row r="897" spans="4:4" x14ac:dyDescent="0.25">
      <c r="D897" s="35"/>
    </row>
    <row r="898" spans="4:4" x14ac:dyDescent="0.25">
      <c r="D898" s="63"/>
    </row>
    <row r="899" spans="4:4" x14ac:dyDescent="0.25">
      <c r="D899" s="64"/>
    </row>
    <row r="900" spans="4:4" x14ac:dyDescent="0.25">
      <c r="D900" s="35"/>
    </row>
    <row r="901" spans="4:4" x14ac:dyDescent="0.25">
      <c r="D901" s="63"/>
    </row>
    <row r="902" spans="4:4" x14ac:dyDescent="0.25">
      <c r="D902" s="64"/>
    </row>
    <row r="903" spans="4:4" x14ac:dyDescent="0.25">
      <c r="D903" s="35"/>
    </row>
    <row r="904" spans="4:4" x14ac:dyDescent="0.25">
      <c r="D904" s="63"/>
    </row>
    <row r="905" spans="4:4" x14ac:dyDescent="0.25">
      <c r="D905" s="64"/>
    </row>
    <row r="906" spans="4:4" x14ac:dyDescent="0.25">
      <c r="D906" s="35"/>
    </row>
    <row r="907" spans="4:4" x14ac:dyDescent="0.25">
      <c r="D907" s="63"/>
    </row>
    <row r="908" spans="4:4" x14ac:dyDescent="0.25">
      <c r="D908" s="64"/>
    </row>
    <row r="909" spans="4:4" x14ac:dyDescent="0.25">
      <c r="D909" s="35"/>
    </row>
    <row r="910" spans="4:4" x14ac:dyDescent="0.25">
      <c r="D910" s="63"/>
    </row>
    <row r="911" spans="4:4" x14ac:dyDescent="0.25">
      <c r="D911" s="64"/>
    </row>
    <row r="912" spans="4:4" x14ac:dyDescent="0.25">
      <c r="D912" s="35"/>
    </row>
    <row r="913" spans="4:4" x14ac:dyDescent="0.25">
      <c r="D913" s="63"/>
    </row>
    <row r="914" spans="4:4" x14ac:dyDescent="0.25">
      <c r="D914" s="64"/>
    </row>
    <row r="915" spans="4:4" x14ac:dyDescent="0.25">
      <c r="D915" s="35"/>
    </row>
    <row r="916" spans="4:4" x14ac:dyDescent="0.25">
      <c r="D916" s="63"/>
    </row>
    <row r="917" spans="4:4" x14ac:dyDescent="0.25">
      <c r="D917" s="64"/>
    </row>
    <row r="918" spans="4:4" x14ac:dyDescent="0.25">
      <c r="D918" s="35"/>
    </row>
    <row r="919" spans="4:4" x14ac:dyDescent="0.25">
      <c r="D919" s="63"/>
    </row>
    <row r="920" spans="4:4" x14ac:dyDescent="0.25">
      <c r="D920" s="64"/>
    </row>
    <row r="921" spans="4:4" x14ac:dyDescent="0.25">
      <c r="D921" s="35"/>
    </row>
    <row r="922" spans="4:4" x14ac:dyDescent="0.25">
      <c r="D922" s="63"/>
    </row>
    <row r="923" spans="4:4" x14ac:dyDescent="0.25">
      <c r="D923" s="64"/>
    </row>
    <row r="924" spans="4:4" x14ac:dyDescent="0.25">
      <c r="D924" s="35"/>
    </row>
    <row r="925" spans="4:4" x14ac:dyDescent="0.25">
      <c r="D925" s="63"/>
    </row>
    <row r="926" spans="4:4" x14ac:dyDescent="0.25">
      <c r="D926" s="64"/>
    </row>
    <row r="927" spans="4:4" x14ac:dyDescent="0.25">
      <c r="D927" s="35"/>
    </row>
    <row r="928" spans="4:4" x14ac:dyDescent="0.25">
      <c r="D928" s="63"/>
    </row>
    <row r="929" spans="4:4" x14ac:dyDescent="0.25">
      <c r="D929" s="64"/>
    </row>
    <row r="930" spans="4:4" x14ac:dyDescent="0.25">
      <c r="D930" s="35"/>
    </row>
    <row r="931" spans="4:4" x14ac:dyDescent="0.25">
      <c r="D931" s="63"/>
    </row>
    <row r="932" spans="4:4" x14ac:dyDescent="0.25">
      <c r="D932" s="64"/>
    </row>
    <row r="933" spans="4:4" x14ac:dyDescent="0.25">
      <c r="D933" s="35"/>
    </row>
    <row r="934" spans="4:4" x14ac:dyDescent="0.25">
      <c r="D934" s="63"/>
    </row>
    <row r="935" spans="4:4" x14ac:dyDescent="0.25">
      <c r="D935" s="64"/>
    </row>
    <row r="936" spans="4:4" x14ac:dyDescent="0.25">
      <c r="D936" s="35"/>
    </row>
    <row r="937" spans="4:4" x14ac:dyDescent="0.25">
      <c r="D937" s="63"/>
    </row>
    <row r="938" spans="4:4" x14ac:dyDescent="0.25">
      <c r="D938" s="64"/>
    </row>
    <row r="939" spans="4:4" x14ac:dyDescent="0.25">
      <c r="D939" s="35"/>
    </row>
    <row r="940" spans="4:4" x14ac:dyDescent="0.25">
      <c r="D940" s="63"/>
    </row>
    <row r="941" spans="4:4" x14ac:dyDescent="0.25">
      <c r="D941" s="64"/>
    </row>
    <row r="942" spans="4:4" x14ac:dyDescent="0.25">
      <c r="D942" s="35"/>
    </row>
    <row r="943" spans="4:4" x14ac:dyDescent="0.25">
      <c r="D943" s="63"/>
    </row>
    <row r="944" spans="4:4" x14ac:dyDescent="0.25">
      <c r="D944" s="64"/>
    </row>
    <row r="945" spans="4:4" x14ac:dyDescent="0.25">
      <c r="D945" s="35"/>
    </row>
    <row r="946" spans="4:4" x14ac:dyDescent="0.25">
      <c r="D946" s="63"/>
    </row>
    <row r="947" spans="4:4" x14ac:dyDescent="0.25">
      <c r="D947" s="64"/>
    </row>
    <row r="948" spans="4:4" x14ac:dyDescent="0.25">
      <c r="D948" s="35"/>
    </row>
    <row r="949" spans="4:4" x14ac:dyDescent="0.25">
      <c r="D949" s="63"/>
    </row>
    <row r="950" spans="4:4" x14ac:dyDescent="0.25">
      <c r="D950" s="64"/>
    </row>
    <row r="951" spans="4:4" x14ac:dyDescent="0.25">
      <c r="D951" s="35"/>
    </row>
    <row r="952" spans="4:4" x14ac:dyDescent="0.25">
      <c r="D952" s="63"/>
    </row>
    <row r="953" spans="4:4" x14ac:dyDescent="0.25">
      <c r="D953" s="64"/>
    </row>
    <row r="954" spans="4:4" x14ac:dyDescent="0.25">
      <c r="D954" s="35"/>
    </row>
    <row r="955" spans="4:4" x14ac:dyDescent="0.25">
      <c r="D955" s="63"/>
    </row>
    <row r="956" spans="4:4" x14ac:dyDescent="0.25">
      <c r="D956" s="64"/>
    </row>
    <row r="957" spans="4:4" x14ac:dyDescent="0.25">
      <c r="D957" s="35"/>
    </row>
    <row r="958" spans="4:4" x14ac:dyDescent="0.25">
      <c r="D958" s="63"/>
    </row>
    <row r="959" spans="4:4" x14ac:dyDescent="0.25">
      <c r="D959" s="64"/>
    </row>
    <row r="960" spans="4:4" x14ac:dyDescent="0.25">
      <c r="D960" s="35"/>
    </row>
    <row r="961" spans="4:4" x14ac:dyDescent="0.25">
      <c r="D961" s="63"/>
    </row>
    <row r="962" spans="4:4" x14ac:dyDescent="0.25">
      <c r="D962" s="64"/>
    </row>
    <row r="963" spans="4:4" x14ac:dyDescent="0.25">
      <c r="D963" s="35"/>
    </row>
    <row r="964" spans="4:4" x14ac:dyDescent="0.25">
      <c r="D964" s="63"/>
    </row>
    <row r="965" spans="4:4" x14ac:dyDescent="0.25">
      <c r="D965" s="64"/>
    </row>
    <row r="966" spans="4:4" x14ac:dyDescent="0.25">
      <c r="D966" s="35"/>
    </row>
    <row r="967" spans="4:4" x14ac:dyDescent="0.25">
      <c r="D967" s="63"/>
    </row>
    <row r="968" spans="4:4" x14ac:dyDescent="0.25">
      <c r="D968" s="64"/>
    </row>
    <row r="969" spans="4:4" x14ac:dyDescent="0.25">
      <c r="D969" s="35"/>
    </row>
    <row r="970" spans="4:4" x14ac:dyDescent="0.25">
      <c r="D970" s="63"/>
    </row>
    <row r="971" spans="4:4" x14ac:dyDescent="0.25">
      <c r="D971" s="64"/>
    </row>
    <row r="972" spans="4:4" x14ac:dyDescent="0.25">
      <c r="D972" s="35"/>
    </row>
    <row r="973" spans="4:4" x14ac:dyDescent="0.25">
      <c r="D973" s="63"/>
    </row>
    <row r="974" spans="4:4" x14ac:dyDescent="0.25">
      <c r="D974" s="64"/>
    </row>
    <row r="975" spans="4:4" x14ac:dyDescent="0.25">
      <c r="D975" s="35"/>
    </row>
    <row r="976" spans="4:4" x14ac:dyDescent="0.25">
      <c r="D976" s="63"/>
    </row>
    <row r="977" spans="4:4" x14ac:dyDescent="0.25">
      <c r="D977" s="64"/>
    </row>
    <row r="978" spans="4:4" x14ac:dyDescent="0.25">
      <c r="D978" s="35"/>
    </row>
    <row r="979" spans="4:4" x14ac:dyDescent="0.25">
      <c r="D979" s="63"/>
    </row>
    <row r="980" spans="4:4" x14ac:dyDescent="0.25">
      <c r="D980" s="64"/>
    </row>
    <row r="981" spans="4:4" x14ac:dyDescent="0.25">
      <c r="D981" s="35"/>
    </row>
    <row r="982" spans="4:4" x14ac:dyDescent="0.25">
      <c r="D982" s="63"/>
    </row>
    <row r="983" spans="4:4" x14ac:dyDescent="0.25">
      <c r="D983" s="64"/>
    </row>
    <row r="984" spans="4:4" x14ac:dyDescent="0.25">
      <c r="D984" s="35"/>
    </row>
    <row r="985" spans="4:4" x14ac:dyDescent="0.25">
      <c r="D985" s="63"/>
    </row>
    <row r="986" spans="4:4" x14ac:dyDescent="0.25">
      <c r="D986" s="64"/>
    </row>
    <row r="987" spans="4:4" x14ac:dyDescent="0.25">
      <c r="D987" s="35"/>
    </row>
    <row r="988" spans="4:4" x14ac:dyDescent="0.25">
      <c r="D988" s="63"/>
    </row>
    <row r="989" spans="4:4" x14ac:dyDescent="0.25">
      <c r="D989" s="64"/>
    </row>
    <row r="990" spans="4:4" x14ac:dyDescent="0.25">
      <c r="D990" s="35"/>
    </row>
    <row r="991" spans="4:4" x14ac:dyDescent="0.25">
      <c r="D991" s="63"/>
    </row>
    <row r="992" spans="4:4" x14ac:dyDescent="0.25">
      <c r="D992" s="64"/>
    </row>
    <row r="993" spans="4:4" x14ac:dyDescent="0.25">
      <c r="D993" s="35"/>
    </row>
    <row r="994" spans="4:4" x14ac:dyDescent="0.25">
      <c r="D994" s="63"/>
    </row>
    <row r="995" spans="4:4" x14ac:dyDescent="0.25">
      <c r="D995" s="64"/>
    </row>
    <row r="996" spans="4:4" x14ac:dyDescent="0.25">
      <c r="D996" s="35"/>
    </row>
    <row r="997" spans="4:4" x14ac:dyDescent="0.25">
      <c r="D997" s="63"/>
    </row>
    <row r="998" spans="4:4" x14ac:dyDescent="0.25">
      <c r="D998" s="64"/>
    </row>
    <row r="999" spans="4:4" x14ac:dyDescent="0.25">
      <c r="D999" s="35"/>
    </row>
    <row r="1000" spans="4:4" x14ac:dyDescent="0.25">
      <c r="D1000" s="63"/>
    </row>
    <row r="1001" spans="4:4" x14ac:dyDescent="0.25">
      <c r="D1001" s="64"/>
    </row>
    <row r="1002" spans="4:4" x14ac:dyDescent="0.25">
      <c r="D1002" s="35"/>
    </row>
    <row r="1003" spans="4:4" x14ac:dyDescent="0.25">
      <c r="D1003" s="63"/>
    </row>
    <row r="1004" spans="4:4" x14ac:dyDescent="0.25">
      <c r="D1004" s="64"/>
    </row>
    <row r="1005" spans="4:4" x14ac:dyDescent="0.25">
      <c r="D1005" s="35"/>
    </row>
    <row r="1006" spans="4:4" x14ac:dyDescent="0.25">
      <c r="D1006" s="63"/>
    </row>
    <row r="1007" spans="4:4" x14ac:dyDescent="0.25">
      <c r="D1007" s="64"/>
    </row>
    <row r="1008" spans="4:4" x14ac:dyDescent="0.25">
      <c r="D1008" s="35"/>
    </row>
    <row r="1009" spans="4:4" x14ac:dyDescent="0.25">
      <c r="D1009" s="63"/>
    </row>
    <row r="1010" spans="4:4" x14ac:dyDescent="0.25">
      <c r="D1010" s="64"/>
    </row>
    <row r="1011" spans="4:4" x14ac:dyDescent="0.25">
      <c r="D1011" s="35"/>
    </row>
    <row r="1012" spans="4:4" x14ac:dyDescent="0.25">
      <c r="D1012" s="63"/>
    </row>
    <row r="1013" spans="4:4" x14ac:dyDescent="0.25">
      <c r="D1013" s="64"/>
    </row>
    <row r="1014" spans="4:4" x14ac:dyDescent="0.25">
      <c r="D1014" s="35"/>
    </row>
    <row r="1015" spans="4:4" x14ac:dyDescent="0.25">
      <c r="D1015" s="63"/>
    </row>
    <row r="1016" spans="4:4" x14ac:dyDescent="0.25">
      <c r="D1016" s="64"/>
    </row>
    <row r="1017" spans="4:4" x14ac:dyDescent="0.25">
      <c r="D1017" s="35"/>
    </row>
    <row r="1018" spans="4:4" x14ac:dyDescent="0.25">
      <c r="D1018" s="63"/>
    </row>
    <row r="1019" spans="4:4" x14ac:dyDescent="0.25">
      <c r="D1019" s="64"/>
    </row>
    <row r="1020" spans="4:4" x14ac:dyDescent="0.25">
      <c r="D1020" s="35"/>
    </row>
    <row r="1021" spans="4:4" x14ac:dyDescent="0.25">
      <c r="D1021" s="63"/>
    </row>
    <row r="1022" spans="4:4" x14ac:dyDescent="0.25">
      <c r="D1022" s="64"/>
    </row>
    <row r="1023" spans="4:4" x14ac:dyDescent="0.25">
      <c r="D1023" s="35"/>
    </row>
    <row r="1024" spans="4:4" x14ac:dyDescent="0.25">
      <c r="D1024" s="63"/>
    </row>
    <row r="1025" spans="4:4" x14ac:dyDescent="0.25">
      <c r="D1025" s="64"/>
    </row>
    <row r="1026" spans="4:4" x14ac:dyDescent="0.25">
      <c r="D1026" s="35"/>
    </row>
    <row r="1027" spans="4:4" x14ac:dyDescent="0.25">
      <c r="D1027" s="63"/>
    </row>
    <row r="1028" spans="4:4" x14ac:dyDescent="0.25">
      <c r="D1028" s="64"/>
    </row>
    <row r="1029" spans="4:4" x14ac:dyDescent="0.25">
      <c r="D1029" s="35"/>
    </row>
    <row r="1030" spans="4:4" x14ac:dyDescent="0.25">
      <c r="D1030" s="63"/>
    </row>
    <row r="1031" spans="4:4" x14ac:dyDescent="0.25">
      <c r="D1031" s="64"/>
    </row>
    <row r="1032" spans="4:4" x14ac:dyDescent="0.25">
      <c r="D1032" s="35"/>
    </row>
    <row r="1033" spans="4:4" x14ac:dyDescent="0.25">
      <c r="D1033" s="63"/>
    </row>
    <row r="1034" spans="4:4" x14ac:dyDescent="0.25">
      <c r="D1034" s="64"/>
    </row>
    <row r="1035" spans="4:4" x14ac:dyDescent="0.25">
      <c r="D1035" s="35"/>
    </row>
    <row r="1036" spans="4:4" x14ac:dyDescent="0.25">
      <c r="D1036" s="63"/>
    </row>
    <row r="1037" spans="4:4" x14ac:dyDescent="0.25">
      <c r="D1037" s="64"/>
    </row>
    <row r="1038" spans="4:4" x14ac:dyDescent="0.25">
      <c r="D1038" s="35"/>
    </row>
    <row r="1039" spans="4:4" x14ac:dyDescent="0.25">
      <c r="D1039" s="63"/>
    </row>
    <row r="1040" spans="4:4" x14ac:dyDescent="0.25">
      <c r="D1040" s="64"/>
    </row>
    <row r="1041" spans="4:4" x14ac:dyDescent="0.25">
      <c r="D1041" s="35"/>
    </row>
    <row r="1042" spans="4:4" x14ac:dyDescent="0.25">
      <c r="D1042" s="63"/>
    </row>
    <row r="1043" spans="4:4" x14ac:dyDescent="0.25">
      <c r="D1043" s="64"/>
    </row>
    <row r="1044" spans="4:4" x14ac:dyDescent="0.25">
      <c r="D1044" s="35"/>
    </row>
    <row r="1045" spans="4:4" x14ac:dyDescent="0.25">
      <c r="D1045" s="63"/>
    </row>
    <row r="1046" spans="4:4" x14ac:dyDescent="0.25">
      <c r="D1046" s="64"/>
    </row>
    <row r="1047" spans="4:4" x14ac:dyDescent="0.25">
      <c r="D1047" s="35"/>
    </row>
    <row r="1048" spans="4:4" x14ac:dyDescent="0.25">
      <c r="D1048" s="63"/>
    </row>
    <row r="1049" spans="4:4" x14ac:dyDescent="0.25">
      <c r="D1049" s="64"/>
    </row>
    <row r="1050" spans="4:4" x14ac:dyDescent="0.25">
      <c r="D1050" s="35"/>
    </row>
    <row r="1051" spans="4:4" x14ac:dyDescent="0.25">
      <c r="D1051" s="63"/>
    </row>
    <row r="1052" spans="4:4" x14ac:dyDescent="0.25">
      <c r="D1052" s="64"/>
    </row>
    <row r="1053" spans="4:4" x14ac:dyDescent="0.25">
      <c r="D1053" s="35"/>
    </row>
    <row r="1054" spans="4:4" x14ac:dyDescent="0.25">
      <c r="D1054" s="63"/>
    </row>
    <row r="1055" spans="4:4" x14ac:dyDescent="0.25">
      <c r="D1055" s="64"/>
    </row>
    <row r="1056" spans="4:4" x14ac:dyDescent="0.25">
      <c r="D1056" s="35"/>
    </row>
    <row r="1057" spans="4:4" x14ac:dyDescent="0.25">
      <c r="D1057" s="63"/>
    </row>
    <row r="1058" spans="4:4" x14ac:dyDescent="0.25">
      <c r="D1058" s="64"/>
    </row>
    <row r="1059" spans="4:4" x14ac:dyDescent="0.25">
      <c r="D1059" s="35"/>
    </row>
    <row r="1060" spans="4:4" x14ac:dyDescent="0.25">
      <c r="D1060" s="63"/>
    </row>
    <row r="1061" spans="4:4" x14ac:dyDescent="0.25">
      <c r="D1061" s="64"/>
    </row>
    <row r="1062" spans="4:4" x14ac:dyDescent="0.25">
      <c r="D1062" s="35"/>
    </row>
    <row r="1063" spans="4:4" x14ac:dyDescent="0.25">
      <c r="D1063" s="63"/>
    </row>
    <row r="1064" spans="4:4" x14ac:dyDescent="0.25">
      <c r="D1064" s="64"/>
    </row>
    <row r="1065" spans="4:4" x14ac:dyDescent="0.25">
      <c r="D1065" s="35"/>
    </row>
    <row r="1066" spans="4:4" x14ac:dyDescent="0.25">
      <c r="D1066" s="63"/>
    </row>
    <row r="1067" spans="4:4" x14ac:dyDescent="0.25">
      <c r="D1067" s="64"/>
    </row>
    <row r="1068" spans="4:4" x14ac:dyDescent="0.25">
      <c r="D1068" s="35"/>
    </row>
    <row r="1069" spans="4:4" x14ac:dyDescent="0.25">
      <c r="D1069" s="63"/>
    </row>
    <row r="1070" spans="4:4" x14ac:dyDescent="0.25">
      <c r="D1070" s="64"/>
    </row>
    <row r="1071" spans="4:4" x14ac:dyDescent="0.25">
      <c r="D1071" s="35"/>
    </row>
    <row r="1072" spans="4:4" x14ac:dyDescent="0.25">
      <c r="D1072" s="63"/>
    </row>
    <row r="1073" spans="4:4" x14ac:dyDescent="0.25">
      <c r="D1073" s="64"/>
    </row>
    <row r="1074" spans="4:4" x14ac:dyDescent="0.25">
      <c r="D1074" s="35"/>
    </row>
    <row r="1075" spans="4:4" x14ac:dyDescent="0.25">
      <c r="D1075" s="63"/>
    </row>
    <row r="1076" spans="4:4" x14ac:dyDescent="0.25">
      <c r="D1076" s="64"/>
    </row>
    <row r="1077" spans="4:4" x14ac:dyDescent="0.25">
      <c r="D1077" s="35"/>
    </row>
    <row r="1078" spans="4:4" x14ac:dyDescent="0.25">
      <c r="D1078" s="63"/>
    </row>
    <row r="1079" spans="4:4" x14ac:dyDescent="0.25">
      <c r="D1079" s="64"/>
    </row>
    <row r="1080" spans="4:4" x14ac:dyDescent="0.25">
      <c r="D1080" s="35"/>
    </row>
    <row r="1081" spans="4:4" x14ac:dyDescent="0.25">
      <c r="D1081" s="63"/>
    </row>
    <row r="1082" spans="4:4" x14ac:dyDescent="0.25">
      <c r="D1082" s="64"/>
    </row>
    <row r="1083" spans="4:4" x14ac:dyDescent="0.25">
      <c r="D1083" s="35"/>
    </row>
    <row r="1084" spans="4:4" x14ac:dyDescent="0.25">
      <c r="D1084" s="63"/>
    </row>
    <row r="1085" spans="4:4" x14ac:dyDescent="0.25">
      <c r="D1085" s="64"/>
    </row>
    <row r="1086" spans="4:4" x14ac:dyDescent="0.25">
      <c r="D1086" s="35"/>
    </row>
    <row r="1087" spans="4:4" x14ac:dyDescent="0.25">
      <c r="D1087" s="63"/>
    </row>
    <row r="1088" spans="4:4" x14ac:dyDescent="0.25">
      <c r="D1088" s="64"/>
    </row>
    <row r="1089" spans="4:4" x14ac:dyDescent="0.25">
      <c r="D1089" s="35"/>
    </row>
    <row r="1090" spans="4:4" x14ac:dyDescent="0.25">
      <c r="D1090" s="63"/>
    </row>
    <row r="1091" spans="4:4" x14ac:dyDescent="0.25">
      <c r="D1091" s="64"/>
    </row>
    <row r="1092" spans="4:4" x14ac:dyDescent="0.25">
      <c r="D1092" s="35"/>
    </row>
    <row r="1093" spans="4:4" x14ac:dyDescent="0.25">
      <c r="D1093" s="63"/>
    </row>
    <row r="1094" spans="4:4" x14ac:dyDescent="0.25">
      <c r="D1094" s="64"/>
    </row>
    <row r="1095" spans="4:4" x14ac:dyDescent="0.25">
      <c r="D1095" s="35"/>
    </row>
    <row r="1096" spans="4:4" x14ac:dyDescent="0.25">
      <c r="D1096" s="63"/>
    </row>
    <row r="1097" spans="4:4" x14ac:dyDescent="0.25">
      <c r="D1097" s="64"/>
    </row>
    <row r="1098" spans="4:4" x14ac:dyDescent="0.25">
      <c r="D1098" s="35"/>
    </row>
    <row r="1099" spans="4:4" x14ac:dyDescent="0.25">
      <c r="D1099" s="63"/>
    </row>
    <row r="1100" spans="4:4" x14ac:dyDescent="0.25">
      <c r="D1100" s="64"/>
    </row>
    <row r="1101" spans="4:4" x14ac:dyDescent="0.25">
      <c r="D1101" s="35"/>
    </row>
    <row r="1102" spans="4:4" x14ac:dyDescent="0.25">
      <c r="D1102" s="63"/>
    </row>
    <row r="1103" spans="4:4" x14ac:dyDescent="0.25">
      <c r="D1103" s="64"/>
    </row>
    <row r="1104" spans="4:4" x14ac:dyDescent="0.25">
      <c r="D1104" s="35"/>
    </row>
    <row r="1105" spans="4:4" x14ac:dyDescent="0.25">
      <c r="D1105" s="63"/>
    </row>
    <row r="1106" spans="4:4" x14ac:dyDescent="0.25">
      <c r="D1106" s="64"/>
    </row>
    <row r="1107" spans="4:4" x14ac:dyDescent="0.25">
      <c r="D1107" s="35"/>
    </row>
    <row r="1108" spans="4:4" x14ac:dyDescent="0.25">
      <c r="D1108" s="63"/>
    </row>
    <row r="1109" spans="4:4" x14ac:dyDescent="0.25">
      <c r="D1109" s="64"/>
    </row>
    <row r="1110" spans="4:4" x14ac:dyDescent="0.25">
      <c r="D1110" s="35"/>
    </row>
    <row r="1111" spans="4:4" x14ac:dyDescent="0.25">
      <c r="D1111" s="63"/>
    </row>
    <row r="1112" spans="4:4" x14ac:dyDescent="0.25">
      <c r="D1112" s="64"/>
    </row>
    <row r="1113" spans="4:4" x14ac:dyDescent="0.25">
      <c r="D1113" s="35"/>
    </row>
    <row r="1114" spans="4:4" x14ac:dyDescent="0.25">
      <c r="D1114" s="63"/>
    </row>
    <row r="1115" spans="4:4" x14ac:dyDescent="0.25">
      <c r="D1115" s="64"/>
    </row>
    <row r="1116" spans="4:4" x14ac:dyDescent="0.25">
      <c r="D1116" s="35"/>
    </row>
    <row r="1117" spans="4:4" x14ac:dyDescent="0.25">
      <c r="D1117" s="63"/>
    </row>
    <row r="1118" spans="4:4" x14ac:dyDescent="0.25">
      <c r="D1118" s="64"/>
    </row>
    <row r="1119" spans="4:4" x14ac:dyDescent="0.25">
      <c r="D1119" s="35"/>
    </row>
    <row r="1120" spans="4:4" x14ac:dyDescent="0.25">
      <c r="D1120" s="63"/>
    </row>
    <row r="1121" spans="4:4" x14ac:dyDescent="0.25">
      <c r="D1121" s="64"/>
    </row>
    <row r="1122" spans="4:4" x14ac:dyDescent="0.25">
      <c r="D1122" s="35"/>
    </row>
    <row r="1123" spans="4:4" x14ac:dyDescent="0.25">
      <c r="D1123" s="63"/>
    </row>
    <row r="1124" spans="4:4" x14ac:dyDescent="0.25">
      <c r="D1124" s="64"/>
    </row>
    <row r="1125" spans="4:4" x14ac:dyDescent="0.25">
      <c r="D1125" s="35"/>
    </row>
    <row r="1126" spans="4:4" x14ac:dyDescent="0.25">
      <c r="D1126" s="63"/>
    </row>
    <row r="1127" spans="4:4" x14ac:dyDescent="0.25">
      <c r="D1127" s="64"/>
    </row>
    <row r="1128" spans="4:4" x14ac:dyDescent="0.25">
      <c r="D1128" s="35"/>
    </row>
    <row r="1129" spans="4:4" x14ac:dyDescent="0.25">
      <c r="D1129" s="63"/>
    </row>
    <row r="1130" spans="4:4" x14ac:dyDescent="0.25">
      <c r="D1130" s="64"/>
    </row>
    <row r="1131" spans="4:4" x14ac:dyDescent="0.25">
      <c r="D1131" s="35"/>
    </row>
    <row r="1132" spans="4:4" x14ac:dyDescent="0.25">
      <c r="D1132" s="63"/>
    </row>
    <row r="1133" spans="4:4" x14ac:dyDescent="0.25">
      <c r="D1133" s="64"/>
    </row>
    <row r="1134" spans="4:4" x14ac:dyDescent="0.25">
      <c r="D1134" s="35"/>
    </row>
    <row r="1135" spans="4:4" x14ac:dyDescent="0.25">
      <c r="D1135" s="63"/>
    </row>
    <row r="1136" spans="4:4" x14ac:dyDescent="0.25">
      <c r="D1136" s="64"/>
    </row>
    <row r="1137" spans="4:4" x14ac:dyDescent="0.25">
      <c r="D1137" s="35"/>
    </row>
    <row r="1138" spans="4:4" x14ac:dyDescent="0.25">
      <c r="D1138" s="63"/>
    </row>
    <row r="1139" spans="4:4" x14ac:dyDescent="0.25">
      <c r="D1139" s="64"/>
    </row>
    <row r="1140" spans="4:4" x14ac:dyDescent="0.25">
      <c r="D1140" s="35"/>
    </row>
    <row r="1141" spans="4:4" x14ac:dyDescent="0.25">
      <c r="D1141" s="63"/>
    </row>
    <row r="1142" spans="4:4" x14ac:dyDescent="0.25">
      <c r="D1142" s="64"/>
    </row>
    <row r="1143" spans="4:4" x14ac:dyDescent="0.25">
      <c r="D1143" s="35"/>
    </row>
    <row r="1144" spans="4:4" x14ac:dyDescent="0.25">
      <c r="D1144" s="63"/>
    </row>
    <row r="1145" spans="4:4" x14ac:dyDescent="0.25">
      <c r="D1145" s="64"/>
    </row>
    <row r="1146" spans="4:4" x14ac:dyDescent="0.25">
      <c r="D1146" s="35"/>
    </row>
    <row r="1147" spans="4:4" x14ac:dyDescent="0.25">
      <c r="D1147" s="63"/>
    </row>
    <row r="1148" spans="4:4" x14ac:dyDescent="0.25">
      <c r="D1148" s="64"/>
    </row>
    <row r="1149" spans="4:4" x14ac:dyDescent="0.25">
      <c r="D1149" s="35"/>
    </row>
    <row r="1150" spans="4:4" x14ac:dyDescent="0.25">
      <c r="D1150" s="63"/>
    </row>
    <row r="1151" spans="4:4" x14ac:dyDescent="0.25">
      <c r="D1151" s="64"/>
    </row>
    <row r="1152" spans="4:4" x14ac:dyDescent="0.25">
      <c r="D1152" s="35"/>
    </row>
    <row r="1153" spans="4:4" x14ac:dyDescent="0.25">
      <c r="D1153" s="63"/>
    </row>
    <row r="1154" spans="4:4" x14ac:dyDescent="0.25">
      <c r="D1154" s="64"/>
    </row>
    <row r="1155" spans="4:4" x14ac:dyDescent="0.25">
      <c r="D1155" s="35"/>
    </row>
    <row r="1156" spans="4:4" x14ac:dyDescent="0.25">
      <c r="D1156" s="63"/>
    </row>
    <row r="1157" spans="4:4" x14ac:dyDescent="0.25">
      <c r="D1157" s="64"/>
    </row>
    <row r="1158" spans="4:4" x14ac:dyDescent="0.25">
      <c r="D1158" s="35"/>
    </row>
    <row r="1159" spans="4:4" x14ac:dyDescent="0.25">
      <c r="D1159" s="63"/>
    </row>
    <row r="1160" spans="4:4" x14ac:dyDescent="0.25">
      <c r="D1160" s="64"/>
    </row>
    <row r="1161" spans="4:4" x14ac:dyDescent="0.25">
      <c r="D1161" s="35"/>
    </row>
    <row r="1162" spans="4:4" x14ac:dyDescent="0.25">
      <c r="D1162" s="63"/>
    </row>
    <row r="1163" spans="4:4" x14ac:dyDescent="0.25">
      <c r="D1163" s="64"/>
    </row>
    <row r="1164" spans="4:4" x14ac:dyDescent="0.25">
      <c r="D1164" s="35"/>
    </row>
    <row r="1165" spans="4:4" x14ac:dyDescent="0.25">
      <c r="D1165" s="63"/>
    </row>
    <row r="1166" spans="4:4" x14ac:dyDescent="0.25">
      <c r="D1166" s="64"/>
    </row>
    <row r="1167" spans="4:4" x14ac:dyDescent="0.25">
      <c r="D1167" s="35"/>
    </row>
    <row r="1168" spans="4:4" x14ac:dyDescent="0.25">
      <c r="D1168" s="63"/>
    </row>
    <row r="1169" spans="4:4" x14ac:dyDescent="0.25">
      <c r="D1169" s="64"/>
    </row>
    <row r="1170" spans="4:4" x14ac:dyDescent="0.25">
      <c r="D1170" s="35"/>
    </row>
    <row r="1171" spans="4:4" x14ac:dyDescent="0.25">
      <c r="D1171" s="63"/>
    </row>
    <row r="1172" spans="4:4" x14ac:dyDescent="0.25">
      <c r="D1172" s="64"/>
    </row>
    <row r="1173" spans="4:4" x14ac:dyDescent="0.25">
      <c r="D1173" s="35"/>
    </row>
    <row r="1174" spans="4:4" x14ac:dyDescent="0.25">
      <c r="D1174" s="63"/>
    </row>
    <row r="1175" spans="4:4" x14ac:dyDescent="0.25">
      <c r="D1175" s="64"/>
    </row>
    <row r="1176" spans="4:4" x14ac:dyDescent="0.25">
      <c r="D1176" s="35"/>
    </row>
    <row r="1177" spans="4:4" x14ac:dyDescent="0.25">
      <c r="D1177" s="63"/>
    </row>
    <row r="1178" spans="4:4" x14ac:dyDescent="0.25">
      <c r="D1178" s="64"/>
    </row>
    <row r="1179" spans="4:4" x14ac:dyDescent="0.25">
      <c r="D1179" s="35"/>
    </row>
    <row r="1180" spans="4:4" x14ac:dyDescent="0.25">
      <c r="D1180" s="63"/>
    </row>
    <row r="1181" spans="4:4" x14ac:dyDescent="0.25">
      <c r="D1181" s="64"/>
    </row>
    <row r="1182" spans="4:4" x14ac:dyDescent="0.25">
      <c r="D1182" s="35"/>
    </row>
    <row r="1183" spans="4:4" x14ac:dyDescent="0.25">
      <c r="D1183" s="63"/>
    </row>
    <row r="1184" spans="4:4" x14ac:dyDescent="0.25">
      <c r="D1184" s="64"/>
    </row>
    <row r="1185" spans="4:4" x14ac:dyDescent="0.25">
      <c r="D1185" s="35"/>
    </row>
    <row r="1186" spans="4:4" x14ac:dyDescent="0.25">
      <c r="D1186" s="63"/>
    </row>
    <row r="1187" spans="4:4" x14ac:dyDescent="0.25">
      <c r="D1187" s="64"/>
    </row>
    <row r="1188" spans="4:4" x14ac:dyDescent="0.25">
      <c r="D1188" s="35"/>
    </row>
    <row r="1189" spans="4:4" x14ac:dyDescent="0.25">
      <c r="D1189" s="63"/>
    </row>
    <row r="1190" spans="4:4" x14ac:dyDescent="0.25">
      <c r="D1190" s="64"/>
    </row>
    <row r="1191" spans="4:4" x14ac:dyDescent="0.25">
      <c r="D1191" s="35"/>
    </row>
    <row r="1192" spans="4:4" x14ac:dyDescent="0.25">
      <c r="D1192" s="63"/>
    </row>
    <row r="1193" spans="4:4" x14ac:dyDescent="0.25">
      <c r="D1193" s="64"/>
    </row>
    <row r="1194" spans="4:4" x14ac:dyDescent="0.25">
      <c r="D1194" s="35"/>
    </row>
    <row r="1195" spans="4:4" x14ac:dyDescent="0.25">
      <c r="D1195" s="63"/>
    </row>
    <row r="1196" spans="4:4" x14ac:dyDescent="0.25">
      <c r="D1196" s="64"/>
    </row>
    <row r="1197" spans="4:4" x14ac:dyDescent="0.25">
      <c r="D1197" s="35"/>
    </row>
    <row r="1198" spans="4:4" x14ac:dyDescent="0.25">
      <c r="D1198" s="63"/>
    </row>
    <row r="1199" spans="4:4" x14ac:dyDescent="0.25">
      <c r="D1199" s="64"/>
    </row>
    <row r="1200" spans="4:4" x14ac:dyDescent="0.25">
      <c r="D1200" s="35"/>
    </row>
    <row r="1201" spans="4:4" x14ac:dyDescent="0.25">
      <c r="D1201" s="63"/>
    </row>
    <row r="1202" spans="4:4" x14ac:dyDescent="0.25">
      <c r="D1202" s="64"/>
    </row>
    <row r="1203" spans="4:4" x14ac:dyDescent="0.25">
      <c r="D1203" s="35"/>
    </row>
    <row r="1204" spans="4:4" x14ac:dyDescent="0.25">
      <c r="D1204" s="63"/>
    </row>
    <row r="1205" spans="4:4" x14ac:dyDescent="0.25">
      <c r="D1205" s="64"/>
    </row>
    <row r="1206" spans="4:4" x14ac:dyDescent="0.25">
      <c r="D1206" s="35"/>
    </row>
    <row r="1207" spans="4:4" x14ac:dyDescent="0.25">
      <c r="D1207" s="63"/>
    </row>
    <row r="1208" spans="4:4" x14ac:dyDescent="0.25">
      <c r="D1208" s="64"/>
    </row>
    <row r="1209" spans="4:4" x14ac:dyDescent="0.25">
      <c r="D1209" s="35"/>
    </row>
    <row r="1210" spans="4:4" x14ac:dyDescent="0.25">
      <c r="D1210" s="63"/>
    </row>
    <row r="1211" spans="4:4" x14ac:dyDescent="0.25">
      <c r="D1211" s="64"/>
    </row>
    <row r="1212" spans="4:4" x14ac:dyDescent="0.25">
      <c r="D1212" s="35"/>
    </row>
    <row r="1213" spans="4:4" x14ac:dyDescent="0.25">
      <c r="D1213" s="63"/>
    </row>
    <row r="1214" spans="4:4" x14ac:dyDescent="0.25">
      <c r="D1214" s="64"/>
    </row>
    <row r="1215" spans="4:4" x14ac:dyDescent="0.25">
      <c r="D1215" s="35"/>
    </row>
    <row r="1216" spans="4:4" x14ac:dyDescent="0.25">
      <c r="D1216" s="63"/>
    </row>
    <row r="1217" spans="4:4" x14ac:dyDescent="0.25">
      <c r="D1217" s="64"/>
    </row>
    <row r="1218" spans="4:4" x14ac:dyDescent="0.25">
      <c r="D1218" s="35"/>
    </row>
    <row r="1219" spans="4:4" x14ac:dyDescent="0.25">
      <c r="D1219" s="63"/>
    </row>
    <row r="1220" spans="4:4" x14ac:dyDescent="0.25">
      <c r="D1220" s="64"/>
    </row>
    <row r="1221" spans="4:4" x14ac:dyDescent="0.25">
      <c r="D1221" s="35"/>
    </row>
    <row r="1222" spans="4:4" x14ac:dyDescent="0.25">
      <c r="D1222" s="63"/>
    </row>
    <row r="1223" spans="4:4" x14ac:dyDescent="0.25">
      <c r="D1223" s="64"/>
    </row>
    <row r="1224" spans="4:4" x14ac:dyDescent="0.25">
      <c r="D1224" s="35"/>
    </row>
    <row r="1225" spans="4:4" x14ac:dyDescent="0.25">
      <c r="D1225" s="63"/>
    </row>
    <row r="1226" spans="4:4" x14ac:dyDescent="0.25">
      <c r="D1226" s="64"/>
    </row>
    <row r="1227" spans="4:4" x14ac:dyDescent="0.25">
      <c r="D1227" s="35"/>
    </row>
    <row r="1228" spans="4:4" x14ac:dyDescent="0.25">
      <c r="D1228" s="63"/>
    </row>
    <row r="1229" spans="4:4" x14ac:dyDescent="0.25">
      <c r="D1229" s="64"/>
    </row>
    <row r="1230" spans="4:4" x14ac:dyDescent="0.25">
      <c r="D1230" s="35"/>
    </row>
    <row r="1231" spans="4:4" x14ac:dyDescent="0.25">
      <c r="D1231" s="63"/>
    </row>
    <row r="1232" spans="4:4" x14ac:dyDescent="0.25">
      <c r="D1232" s="64"/>
    </row>
    <row r="1233" spans="4:4" x14ac:dyDescent="0.25">
      <c r="D1233" s="35"/>
    </row>
    <row r="1234" spans="4:4" x14ac:dyDescent="0.25">
      <c r="D1234" s="63"/>
    </row>
    <row r="1235" spans="4:4" x14ac:dyDescent="0.25">
      <c r="D1235" s="64"/>
    </row>
    <row r="1236" spans="4:4" x14ac:dyDescent="0.25">
      <c r="D1236" s="35"/>
    </row>
    <row r="1237" spans="4:4" x14ac:dyDescent="0.25">
      <c r="D1237" s="63"/>
    </row>
    <row r="1238" spans="4:4" x14ac:dyDescent="0.25">
      <c r="D1238" s="64"/>
    </row>
    <row r="1239" spans="4:4" x14ac:dyDescent="0.25">
      <c r="D1239" s="35"/>
    </row>
    <row r="1240" spans="4:4" x14ac:dyDescent="0.25">
      <c r="D1240" s="63"/>
    </row>
    <row r="1241" spans="4:4" x14ac:dyDescent="0.25">
      <c r="D1241" s="64"/>
    </row>
    <row r="1242" spans="4:4" x14ac:dyDescent="0.25">
      <c r="D1242" s="35"/>
    </row>
    <row r="1243" spans="4:4" x14ac:dyDescent="0.25">
      <c r="D1243" s="63"/>
    </row>
    <row r="1244" spans="4:4" x14ac:dyDescent="0.25">
      <c r="D1244" s="64"/>
    </row>
    <row r="1245" spans="4:4" x14ac:dyDescent="0.25">
      <c r="D1245" s="35"/>
    </row>
    <row r="1246" spans="4:4" x14ac:dyDescent="0.25">
      <c r="D1246" s="63"/>
    </row>
    <row r="1247" spans="4:4" x14ac:dyDescent="0.25">
      <c r="D1247" s="64"/>
    </row>
    <row r="1248" spans="4:4" x14ac:dyDescent="0.25">
      <c r="D1248" s="35"/>
    </row>
    <row r="1249" spans="4:4" x14ac:dyDescent="0.25">
      <c r="D1249" s="63"/>
    </row>
    <row r="1250" spans="4:4" x14ac:dyDescent="0.25">
      <c r="D1250" s="64"/>
    </row>
    <row r="1251" spans="4:4" x14ac:dyDescent="0.25">
      <c r="D1251" s="35"/>
    </row>
    <row r="1252" spans="4:4" x14ac:dyDescent="0.25">
      <c r="D1252" s="63"/>
    </row>
    <row r="1253" spans="4:4" x14ac:dyDescent="0.25">
      <c r="D1253" s="64"/>
    </row>
    <row r="1254" spans="4:4" x14ac:dyDescent="0.25">
      <c r="D1254" s="35"/>
    </row>
    <row r="1255" spans="4:4" x14ac:dyDescent="0.25">
      <c r="D1255" s="63"/>
    </row>
    <row r="1256" spans="4:4" x14ac:dyDescent="0.25">
      <c r="D1256" s="64"/>
    </row>
    <row r="1257" spans="4:4" x14ac:dyDescent="0.25">
      <c r="D1257" s="35"/>
    </row>
    <row r="1258" spans="4:4" x14ac:dyDescent="0.25">
      <c r="D1258" s="63"/>
    </row>
    <row r="1259" spans="4:4" x14ac:dyDescent="0.25">
      <c r="D1259" s="64"/>
    </row>
    <row r="1260" spans="4:4" x14ac:dyDescent="0.25">
      <c r="D1260" s="35"/>
    </row>
    <row r="1261" spans="4:4" x14ac:dyDescent="0.25">
      <c r="D1261" s="63"/>
    </row>
    <row r="1262" spans="4:4" x14ac:dyDescent="0.25">
      <c r="D1262" s="64"/>
    </row>
    <row r="1263" spans="4:4" x14ac:dyDescent="0.25">
      <c r="D1263" s="35"/>
    </row>
    <row r="1264" spans="4:4" x14ac:dyDescent="0.25">
      <c r="D1264" s="63"/>
    </row>
    <row r="1265" spans="4:4" x14ac:dyDescent="0.25">
      <c r="D1265" s="64"/>
    </row>
    <row r="1266" spans="4:4" x14ac:dyDescent="0.25">
      <c r="D1266" s="35"/>
    </row>
    <row r="1267" spans="4:4" x14ac:dyDescent="0.25">
      <c r="D1267" s="63"/>
    </row>
    <row r="1268" spans="4:4" x14ac:dyDescent="0.25">
      <c r="D1268" s="64"/>
    </row>
    <row r="1269" spans="4:4" x14ac:dyDescent="0.25">
      <c r="D1269" s="35"/>
    </row>
    <row r="1270" spans="4:4" x14ac:dyDescent="0.25">
      <c r="D1270" s="63"/>
    </row>
    <row r="1271" spans="4:4" x14ac:dyDescent="0.25">
      <c r="D1271" s="64"/>
    </row>
    <row r="1272" spans="4:4" x14ac:dyDescent="0.25">
      <c r="D1272" s="35"/>
    </row>
    <row r="1273" spans="4:4" x14ac:dyDescent="0.25">
      <c r="D1273" s="63"/>
    </row>
    <row r="1274" spans="4:4" x14ac:dyDescent="0.25">
      <c r="D1274" s="64"/>
    </row>
    <row r="1275" spans="4:4" x14ac:dyDescent="0.25">
      <c r="D1275" s="35"/>
    </row>
    <row r="1276" spans="4:4" x14ac:dyDescent="0.25">
      <c r="D1276" s="63"/>
    </row>
    <row r="1277" spans="4:4" x14ac:dyDescent="0.25">
      <c r="D1277" s="64"/>
    </row>
    <row r="1278" spans="4:4" x14ac:dyDescent="0.25">
      <c r="D1278" s="35"/>
    </row>
    <row r="1279" spans="4:4" x14ac:dyDescent="0.25">
      <c r="D1279" s="63"/>
    </row>
    <row r="1280" spans="4:4" x14ac:dyDescent="0.25">
      <c r="D1280" s="64"/>
    </row>
    <row r="1281" spans="4:4" x14ac:dyDescent="0.25">
      <c r="D1281" s="35"/>
    </row>
    <row r="1282" spans="4:4" x14ac:dyDescent="0.25">
      <c r="D1282" s="63"/>
    </row>
    <row r="1283" spans="4:4" x14ac:dyDescent="0.25">
      <c r="D1283" s="64"/>
    </row>
    <row r="1284" spans="4:4" x14ac:dyDescent="0.25">
      <c r="D1284" s="35"/>
    </row>
    <row r="1285" spans="4:4" x14ac:dyDescent="0.25">
      <c r="D1285" s="63"/>
    </row>
    <row r="1286" spans="4:4" x14ac:dyDescent="0.25">
      <c r="D1286" s="64"/>
    </row>
    <row r="1287" spans="4:4" x14ac:dyDescent="0.25">
      <c r="D1287" s="35"/>
    </row>
    <row r="1288" spans="4:4" x14ac:dyDescent="0.25">
      <c r="D1288" s="63"/>
    </row>
    <row r="1289" spans="4:4" x14ac:dyDescent="0.25">
      <c r="D1289" s="64"/>
    </row>
    <row r="1290" spans="4:4" x14ac:dyDescent="0.25">
      <c r="D1290" s="35"/>
    </row>
    <row r="1291" spans="4:4" x14ac:dyDescent="0.25">
      <c r="D1291" s="63"/>
    </row>
    <row r="1292" spans="4:4" x14ac:dyDescent="0.25">
      <c r="D1292" s="64"/>
    </row>
    <row r="1293" spans="4:4" x14ac:dyDescent="0.25">
      <c r="D1293" s="35"/>
    </row>
    <row r="1294" spans="4:4" x14ac:dyDescent="0.25">
      <c r="D1294" s="63"/>
    </row>
    <row r="1295" spans="4:4" x14ac:dyDescent="0.25">
      <c r="D1295" s="64"/>
    </row>
    <row r="1296" spans="4:4" x14ac:dyDescent="0.25">
      <c r="D1296" s="35"/>
    </row>
    <row r="1297" spans="4:4" x14ac:dyDescent="0.25">
      <c r="D1297" s="63"/>
    </row>
    <row r="1298" spans="4:4" x14ac:dyDescent="0.25">
      <c r="D1298" s="64"/>
    </row>
    <row r="1299" spans="4:4" x14ac:dyDescent="0.25">
      <c r="D1299" s="35"/>
    </row>
    <row r="1300" spans="4:4" x14ac:dyDescent="0.25">
      <c r="D1300" s="63"/>
    </row>
    <row r="1301" spans="4:4" x14ac:dyDescent="0.25">
      <c r="D1301" s="64"/>
    </row>
    <row r="1302" spans="4:4" x14ac:dyDescent="0.25">
      <c r="D1302" s="35"/>
    </row>
    <row r="1303" spans="4:4" x14ac:dyDescent="0.25">
      <c r="D1303" s="63"/>
    </row>
    <row r="1304" spans="4:4" x14ac:dyDescent="0.25">
      <c r="D1304" s="64"/>
    </row>
    <row r="1305" spans="4:4" x14ac:dyDescent="0.25">
      <c r="D1305" s="35"/>
    </row>
    <row r="1306" spans="4:4" x14ac:dyDescent="0.25">
      <c r="D1306" s="63"/>
    </row>
    <row r="1307" spans="4:4" x14ac:dyDescent="0.25">
      <c r="D1307" s="64"/>
    </row>
    <row r="1308" spans="4:4" x14ac:dyDescent="0.25">
      <c r="D1308" s="35"/>
    </row>
    <row r="1309" spans="4:4" x14ac:dyDescent="0.25">
      <c r="D1309" s="63"/>
    </row>
    <row r="1310" spans="4:4" x14ac:dyDescent="0.25">
      <c r="D1310" s="64"/>
    </row>
    <row r="1311" spans="4:4" x14ac:dyDescent="0.25">
      <c r="D1311" s="35"/>
    </row>
    <row r="1312" spans="4:4" x14ac:dyDescent="0.25">
      <c r="D1312" s="63"/>
    </row>
    <row r="1313" spans="4:4" x14ac:dyDescent="0.25">
      <c r="D1313" s="64"/>
    </row>
    <row r="1314" spans="4:4" x14ac:dyDescent="0.25">
      <c r="D1314" s="35"/>
    </row>
    <row r="1315" spans="4:4" x14ac:dyDescent="0.25">
      <c r="D1315" s="63"/>
    </row>
    <row r="1316" spans="4:4" x14ac:dyDescent="0.25">
      <c r="D1316" s="64"/>
    </row>
    <row r="1317" spans="4:4" x14ac:dyDescent="0.25">
      <c r="D1317" s="35"/>
    </row>
    <row r="1318" spans="4:4" x14ac:dyDescent="0.25">
      <c r="D1318" s="63"/>
    </row>
    <row r="1319" spans="4:4" x14ac:dyDescent="0.25">
      <c r="D1319" s="64"/>
    </row>
    <row r="1320" spans="4:4" x14ac:dyDescent="0.25">
      <c r="D1320" s="35"/>
    </row>
    <row r="1321" spans="4:4" x14ac:dyDescent="0.25">
      <c r="D1321" s="63"/>
    </row>
    <row r="1322" spans="4:4" x14ac:dyDescent="0.25">
      <c r="D1322" s="64"/>
    </row>
    <row r="1323" spans="4:4" x14ac:dyDescent="0.25">
      <c r="D1323" s="35"/>
    </row>
    <row r="1324" spans="4:4" x14ac:dyDescent="0.25">
      <c r="D1324" s="63"/>
    </row>
    <row r="1325" spans="4:4" x14ac:dyDescent="0.25">
      <c r="D1325" s="64"/>
    </row>
    <row r="1326" spans="4:4" x14ac:dyDescent="0.25">
      <c r="D1326" s="35"/>
    </row>
    <row r="1327" spans="4:4" x14ac:dyDescent="0.25">
      <c r="D1327" s="63"/>
    </row>
    <row r="1328" spans="4:4" x14ac:dyDescent="0.25">
      <c r="D1328" s="64"/>
    </row>
    <row r="1329" spans="4:4" x14ac:dyDescent="0.25">
      <c r="D1329" s="35"/>
    </row>
    <row r="1330" spans="4:4" x14ac:dyDescent="0.25">
      <c r="D1330" s="63"/>
    </row>
    <row r="1331" spans="4:4" x14ac:dyDescent="0.25">
      <c r="D1331" s="64"/>
    </row>
    <row r="1332" spans="4:4" x14ac:dyDescent="0.25">
      <c r="D1332" s="35"/>
    </row>
    <row r="1333" spans="4:4" x14ac:dyDescent="0.25">
      <c r="D1333" s="63"/>
    </row>
    <row r="1334" spans="4:4" x14ac:dyDescent="0.25">
      <c r="D1334" s="64"/>
    </row>
    <row r="1335" spans="4:4" x14ac:dyDescent="0.25">
      <c r="D1335" s="35"/>
    </row>
    <row r="1336" spans="4:4" x14ac:dyDescent="0.25">
      <c r="D1336" s="63"/>
    </row>
    <row r="1337" spans="4:4" x14ac:dyDescent="0.25">
      <c r="D1337" s="64"/>
    </row>
    <row r="1338" spans="4:4" x14ac:dyDescent="0.25">
      <c r="D1338" s="35"/>
    </row>
    <row r="1339" spans="4:4" x14ac:dyDescent="0.25">
      <c r="D1339" s="63"/>
    </row>
    <row r="1340" spans="4:4" x14ac:dyDescent="0.25">
      <c r="D1340" s="64"/>
    </row>
    <row r="1341" spans="4:4" x14ac:dyDescent="0.25">
      <c r="D1341" s="35"/>
    </row>
    <row r="1342" spans="4:4" x14ac:dyDescent="0.25">
      <c r="D1342" s="63"/>
    </row>
    <row r="1343" spans="4:4" x14ac:dyDescent="0.25">
      <c r="D1343" s="64"/>
    </row>
    <row r="1344" spans="4:4" x14ac:dyDescent="0.25">
      <c r="D1344" s="35"/>
    </row>
    <row r="1345" spans="4:4" x14ac:dyDescent="0.25">
      <c r="D1345" s="63"/>
    </row>
    <row r="1346" spans="4:4" x14ac:dyDescent="0.25">
      <c r="D1346" s="64"/>
    </row>
    <row r="1347" spans="4:4" x14ac:dyDescent="0.25">
      <c r="D1347" s="35"/>
    </row>
    <row r="1348" spans="4:4" x14ac:dyDescent="0.25">
      <c r="D1348" s="63"/>
    </row>
    <row r="1349" spans="4:4" x14ac:dyDescent="0.25">
      <c r="D1349" s="64"/>
    </row>
    <row r="1350" spans="4:4" x14ac:dyDescent="0.25">
      <c r="D1350" s="35"/>
    </row>
    <row r="1351" spans="4:4" x14ac:dyDescent="0.25">
      <c r="D1351" s="63"/>
    </row>
    <row r="1352" spans="4:4" x14ac:dyDescent="0.25">
      <c r="D1352" s="64"/>
    </row>
    <row r="1353" spans="4:4" x14ac:dyDescent="0.25">
      <c r="D1353" s="35"/>
    </row>
    <row r="1354" spans="4:4" x14ac:dyDescent="0.25">
      <c r="D1354" s="63"/>
    </row>
    <row r="1355" spans="4:4" x14ac:dyDescent="0.25">
      <c r="D1355" s="64"/>
    </row>
    <row r="1356" spans="4:4" x14ac:dyDescent="0.25">
      <c r="D1356" s="35"/>
    </row>
    <row r="1357" spans="4:4" x14ac:dyDescent="0.25">
      <c r="D1357" s="63"/>
    </row>
    <row r="1358" spans="4:4" x14ac:dyDescent="0.25">
      <c r="D1358" s="64"/>
    </row>
    <row r="1359" spans="4:4" x14ac:dyDescent="0.25">
      <c r="D1359" s="35"/>
    </row>
    <row r="1360" spans="4:4" x14ac:dyDescent="0.25">
      <c r="D1360" s="63"/>
    </row>
    <row r="1361" spans="4:4" x14ac:dyDescent="0.25">
      <c r="D1361" s="64"/>
    </row>
    <row r="1362" spans="4:4" x14ac:dyDescent="0.25">
      <c r="D1362" s="35"/>
    </row>
    <row r="1363" spans="4:4" x14ac:dyDescent="0.25">
      <c r="D1363" s="63"/>
    </row>
    <row r="1364" spans="4:4" x14ac:dyDescent="0.25">
      <c r="D1364" s="64"/>
    </row>
    <row r="1365" spans="4:4" x14ac:dyDescent="0.25">
      <c r="D1365" s="35"/>
    </row>
    <row r="1366" spans="4:4" x14ac:dyDescent="0.25">
      <c r="D1366" s="63"/>
    </row>
    <row r="1367" spans="4:4" x14ac:dyDescent="0.25">
      <c r="D1367" s="64"/>
    </row>
    <row r="1368" spans="4:4" x14ac:dyDescent="0.25">
      <c r="D1368" s="35"/>
    </row>
    <row r="1369" spans="4:4" x14ac:dyDescent="0.25">
      <c r="D1369" s="63"/>
    </row>
    <row r="1370" spans="4:4" x14ac:dyDescent="0.25">
      <c r="D1370" s="64"/>
    </row>
    <row r="1371" spans="4:4" x14ac:dyDescent="0.25">
      <c r="D1371" s="35"/>
    </row>
    <row r="1372" spans="4:4" x14ac:dyDescent="0.25">
      <c r="D1372" s="63"/>
    </row>
    <row r="1373" spans="4:4" x14ac:dyDescent="0.25">
      <c r="D1373" s="64"/>
    </row>
    <row r="1374" spans="4:4" x14ac:dyDescent="0.25">
      <c r="D1374" s="35"/>
    </row>
    <row r="1375" spans="4:4" x14ac:dyDescent="0.25">
      <c r="D1375" s="63"/>
    </row>
    <row r="1376" spans="4:4" x14ac:dyDescent="0.25">
      <c r="D1376" s="64"/>
    </row>
    <row r="1377" spans="4:4" x14ac:dyDescent="0.25">
      <c r="D1377" s="35"/>
    </row>
    <row r="1378" spans="4:4" x14ac:dyDescent="0.25">
      <c r="D1378" s="63"/>
    </row>
    <row r="1379" spans="4:4" x14ac:dyDescent="0.25">
      <c r="D1379" s="64"/>
    </row>
    <row r="1380" spans="4:4" x14ac:dyDescent="0.25">
      <c r="D1380" s="35"/>
    </row>
    <row r="1381" spans="4:4" x14ac:dyDescent="0.25">
      <c r="D1381" s="63"/>
    </row>
    <row r="1382" spans="4:4" x14ac:dyDescent="0.25">
      <c r="D1382" s="64"/>
    </row>
    <row r="1383" spans="4:4" x14ac:dyDescent="0.25">
      <c r="D1383" s="35"/>
    </row>
    <row r="1384" spans="4:4" x14ac:dyDescent="0.25">
      <c r="D1384" s="63"/>
    </row>
    <row r="1385" spans="4:4" x14ac:dyDescent="0.25">
      <c r="D1385" s="64"/>
    </row>
    <row r="1386" spans="4:4" x14ac:dyDescent="0.25">
      <c r="D1386" s="35"/>
    </row>
    <row r="1387" spans="4:4" x14ac:dyDescent="0.25">
      <c r="D1387" s="63"/>
    </row>
    <row r="1388" spans="4:4" x14ac:dyDescent="0.25">
      <c r="D1388" s="64"/>
    </row>
    <row r="1389" spans="4:4" x14ac:dyDescent="0.25">
      <c r="D1389" s="35"/>
    </row>
    <row r="1390" spans="4:4" x14ac:dyDescent="0.25">
      <c r="D1390" s="63"/>
    </row>
    <row r="1391" spans="4:4" x14ac:dyDescent="0.25">
      <c r="D1391" s="64"/>
    </row>
    <row r="1392" spans="4:4" x14ac:dyDescent="0.25">
      <c r="D1392" s="35"/>
    </row>
    <row r="1393" spans="4:4" x14ac:dyDescent="0.25">
      <c r="D1393" s="63"/>
    </row>
    <row r="1394" spans="4:4" x14ac:dyDescent="0.25">
      <c r="D1394" s="64"/>
    </row>
    <row r="1395" spans="4:4" x14ac:dyDescent="0.25">
      <c r="D1395" s="35"/>
    </row>
    <row r="1396" spans="4:4" x14ac:dyDescent="0.25">
      <c r="D1396" s="63"/>
    </row>
    <row r="1397" spans="4:4" x14ac:dyDescent="0.25">
      <c r="D1397" s="64"/>
    </row>
    <row r="1398" spans="4:4" x14ac:dyDescent="0.25">
      <c r="D1398" s="35"/>
    </row>
    <row r="1399" spans="4:4" x14ac:dyDescent="0.25">
      <c r="D1399" s="63"/>
    </row>
    <row r="1400" spans="4:4" x14ac:dyDescent="0.25">
      <c r="D1400" s="64"/>
    </row>
    <row r="1401" spans="4:4" x14ac:dyDescent="0.25">
      <c r="D1401" s="35"/>
    </row>
    <row r="1402" spans="4:4" x14ac:dyDescent="0.25">
      <c r="D1402" s="63"/>
    </row>
    <row r="1403" spans="4:4" x14ac:dyDescent="0.25">
      <c r="D1403" s="64"/>
    </row>
    <row r="1404" spans="4:4" x14ac:dyDescent="0.25">
      <c r="D1404" s="35"/>
    </row>
    <row r="1405" spans="4:4" x14ac:dyDescent="0.25">
      <c r="D1405" s="63"/>
    </row>
    <row r="1406" spans="4:4" x14ac:dyDescent="0.25">
      <c r="D1406" s="64"/>
    </row>
    <row r="1407" spans="4:4" x14ac:dyDescent="0.25">
      <c r="D1407" s="35"/>
    </row>
    <row r="1408" spans="4:4" x14ac:dyDescent="0.25">
      <c r="D1408" s="63"/>
    </row>
    <row r="1409" spans="4:4" x14ac:dyDescent="0.25">
      <c r="D1409" s="64"/>
    </row>
    <row r="1410" spans="4:4" x14ac:dyDescent="0.25">
      <c r="D1410" s="35"/>
    </row>
    <row r="1411" spans="4:4" x14ac:dyDescent="0.25">
      <c r="D1411" s="63"/>
    </row>
    <row r="1412" spans="4:4" x14ac:dyDescent="0.25">
      <c r="D1412" s="64"/>
    </row>
    <row r="1413" spans="4:4" x14ac:dyDescent="0.25">
      <c r="D1413" s="35"/>
    </row>
    <row r="1414" spans="4:4" x14ac:dyDescent="0.25">
      <c r="D1414" s="63"/>
    </row>
    <row r="1415" spans="4:4" x14ac:dyDescent="0.25">
      <c r="D1415" s="64"/>
    </row>
    <row r="1416" spans="4:4" x14ac:dyDescent="0.25">
      <c r="D1416" s="35"/>
    </row>
    <row r="1417" spans="4:4" x14ac:dyDescent="0.25">
      <c r="D1417" s="63"/>
    </row>
    <row r="1418" spans="4:4" x14ac:dyDescent="0.25">
      <c r="D1418" s="64"/>
    </row>
    <row r="1419" spans="4:4" x14ac:dyDescent="0.25">
      <c r="D1419" s="35"/>
    </row>
    <row r="1420" spans="4:4" x14ac:dyDescent="0.25">
      <c r="D1420" s="63"/>
    </row>
    <row r="1421" spans="4:4" x14ac:dyDescent="0.25">
      <c r="D1421" s="64"/>
    </row>
    <row r="1422" spans="4:4" x14ac:dyDescent="0.25">
      <c r="D1422" s="35"/>
    </row>
    <row r="1423" spans="4:4" x14ac:dyDescent="0.25">
      <c r="D1423" s="63"/>
    </row>
    <row r="1424" spans="4:4" x14ac:dyDescent="0.25">
      <c r="D1424" s="64"/>
    </row>
    <row r="1425" spans="4:4" x14ac:dyDescent="0.25">
      <c r="D1425" s="35"/>
    </row>
    <row r="1426" spans="4:4" x14ac:dyDescent="0.25">
      <c r="D1426" s="63"/>
    </row>
    <row r="1427" spans="4:4" x14ac:dyDescent="0.25">
      <c r="D1427" s="64"/>
    </row>
    <row r="1428" spans="4:4" x14ac:dyDescent="0.25">
      <c r="D1428" s="35"/>
    </row>
    <row r="1429" spans="4:4" x14ac:dyDescent="0.25">
      <c r="D1429" s="63"/>
    </row>
    <row r="1430" spans="4:4" x14ac:dyDescent="0.25">
      <c r="D1430" s="64"/>
    </row>
    <row r="1431" spans="4:4" x14ac:dyDescent="0.25">
      <c r="D1431" s="35"/>
    </row>
    <row r="1432" spans="4:4" x14ac:dyDescent="0.25">
      <c r="D1432" s="63"/>
    </row>
    <row r="1433" spans="4:4" x14ac:dyDescent="0.25">
      <c r="D1433" s="64"/>
    </row>
    <row r="1434" spans="4:4" x14ac:dyDescent="0.25">
      <c r="D1434" s="35"/>
    </row>
    <row r="1435" spans="4:4" x14ac:dyDescent="0.25">
      <c r="D1435" s="63"/>
    </row>
    <row r="1436" spans="4:4" x14ac:dyDescent="0.25">
      <c r="D1436" s="64"/>
    </row>
    <row r="1437" spans="4:4" x14ac:dyDescent="0.25">
      <c r="D1437" s="35"/>
    </row>
    <row r="1438" spans="4:4" x14ac:dyDescent="0.25">
      <c r="D1438" s="63"/>
    </row>
    <row r="1439" spans="4:4" x14ac:dyDescent="0.25">
      <c r="D1439" s="64"/>
    </row>
    <row r="1440" spans="4:4" x14ac:dyDescent="0.25">
      <c r="D1440" s="35"/>
    </row>
    <row r="1441" spans="4:4" x14ac:dyDescent="0.25">
      <c r="D1441" s="63"/>
    </row>
    <row r="1442" spans="4:4" x14ac:dyDescent="0.25">
      <c r="D1442" s="64"/>
    </row>
    <row r="1443" spans="4:4" x14ac:dyDescent="0.25">
      <c r="D1443" s="35"/>
    </row>
    <row r="1444" spans="4:4" x14ac:dyDescent="0.25">
      <c r="D1444" s="63"/>
    </row>
    <row r="1445" spans="4:4" x14ac:dyDescent="0.25">
      <c r="D1445" s="64"/>
    </row>
    <row r="1446" spans="4:4" x14ac:dyDescent="0.25">
      <c r="D1446" s="35"/>
    </row>
    <row r="1447" spans="4:4" x14ac:dyDescent="0.25">
      <c r="D1447" s="63"/>
    </row>
    <row r="1448" spans="4:4" x14ac:dyDescent="0.25">
      <c r="D1448" s="64"/>
    </row>
    <row r="1449" spans="4:4" x14ac:dyDescent="0.25">
      <c r="D1449" s="35"/>
    </row>
    <row r="1450" spans="4:4" x14ac:dyDescent="0.25">
      <c r="D1450" s="63"/>
    </row>
    <row r="1451" spans="4:4" x14ac:dyDescent="0.25">
      <c r="D1451" s="64"/>
    </row>
    <row r="1452" spans="4:4" x14ac:dyDescent="0.25">
      <c r="D1452" s="35"/>
    </row>
    <row r="1453" spans="4:4" x14ac:dyDescent="0.25">
      <c r="D1453" s="63"/>
    </row>
    <row r="1454" spans="4:4" x14ac:dyDescent="0.25">
      <c r="D1454" s="64"/>
    </row>
    <row r="1455" spans="4:4" x14ac:dyDescent="0.25">
      <c r="D1455" s="35"/>
    </row>
    <row r="1456" spans="4:4" x14ac:dyDescent="0.25">
      <c r="D1456" s="63"/>
    </row>
    <row r="1457" spans="4:4" x14ac:dyDescent="0.25">
      <c r="D1457" s="64"/>
    </row>
    <row r="1458" spans="4:4" x14ac:dyDescent="0.25">
      <c r="D1458" s="35"/>
    </row>
    <row r="1459" spans="4:4" x14ac:dyDescent="0.25">
      <c r="D1459" s="63"/>
    </row>
    <row r="1460" spans="4:4" x14ac:dyDescent="0.25">
      <c r="D1460" s="64"/>
    </row>
    <row r="1461" spans="4:4" x14ac:dyDescent="0.25">
      <c r="D1461" s="35"/>
    </row>
    <row r="1462" spans="4:4" x14ac:dyDescent="0.25">
      <c r="D1462" s="63"/>
    </row>
    <row r="1463" spans="4:4" x14ac:dyDescent="0.25">
      <c r="D1463" s="64"/>
    </row>
    <row r="1464" spans="4:4" x14ac:dyDescent="0.25">
      <c r="D1464" s="35"/>
    </row>
    <row r="1465" spans="4:4" x14ac:dyDescent="0.25">
      <c r="D1465" s="63"/>
    </row>
    <row r="1466" spans="4:4" x14ac:dyDescent="0.25">
      <c r="D1466" s="64"/>
    </row>
    <row r="1467" spans="4:4" x14ac:dyDescent="0.25">
      <c r="D1467" s="35"/>
    </row>
    <row r="1468" spans="4:4" x14ac:dyDescent="0.25">
      <c r="D1468" s="63"/>
    </row>
    <row r="1469" spans="4:4" x14ac:dyDescent="0.25">
      <c r="D1469" s="64"/>
    </row>
    <row r="1470" spans="4:4" x14ac:dyDescent="0.25">
      <c r="D1470" s="35"/>
    </row>
    <row r="1471" spans="4:4" x14ac:dyDescent="0.25">
      <c r="D1471" s="63"/>
    </row>
    <row r="1472" spans="4:4" x14ac:dyDescent="0.25">
      <c r="D1472" s="64"/>
    </row>
    <row r="1473" spans="4:4" x14ac:dyDescent="0.25">
      <c r="D1473" s="35"/>
    </row>
    <row r="1474" spans="4:4" x14ac:dyDescent="0.25">
      <c r="D1474" s="63"/>
    </row>
    <row r="1475" spans="4:4" x14ac:dyDescent="0.25">
      <c r="D1475" s="64"/>
    </row>
    <row r="1476" spans="4:4" x14ac:dyDescent="0.25">
      <c r="D1476" s="35"/>
    </row>
    <row r="1477" spans="4:4" x14ac:dyDescent="0.25">
      <c r="D1477" s="63"/>
    </row>
    <row r="1478" spans="4:4" x14ac:dyDescent="0.25">
      <c r="D1478" s="64"/>
    </row>
    <row r="1479" spans="4:4" x14ac:dyDescent="0.25">
      <c r="D1479" s="35"/>
    </row>
    <row r="1480" spans="4:4" x14ac:dyDescent="0.25">
      <c r="D1480" s="63"/>
    </row>
    <row r="1481" spans="4:4" x14ac:dyDescent="0.25">
      <c r="D1481" s="64"/>
    </row>
    <row r="1482" spans="4:4" x14ac:dyDescent="0.25">
      <c r="D1482" s="35"/>
    </row>
    <row r="1483" spans="4:4" x14ac:dyDescent="0.25">
      <c r="D1483" s="63"/>
    </row>
    <row r="1484" spans="4:4" x14ac:dyDescent="0.25">
      <c r="D1484" s="64"/>
    </row>
    <row r="1485" spans="4:4" x14ac:dyDescent="0.25">
      <c r="D1485" s="35"/>
    </row>
    <row r="1486" spans="4:4" x14ac:dyDescent="0.25">
      <c r="D1486" s="63"/>
    </row>
    <row r="1487" spans="4:4" x14ac:dyDescent="0.25">
      <c r="D1487" s="64"/>
    </row>
    <row r="1488" spans="4:4" x14ac:dyDescent="0.25">
      <c r="D1488" s="35"/>
    </row>
    <row r="1489" spans="4:4" x14ac:dyDescent="0.25">
      <c r="D1489" s="63"/>
    </row>
    <row r="1490" spans="4:4" x14ac:dyDescent="0.25">
      <c r="D1490" s="64"/>
    </row>
    <row r="1491" spans="4:4" x14ac:dyDescent="0.25">
      <c r="D1491" s="35"/>
    </row>
    <row r="1492" spans="4:4" x14ac:dyDescent="0.25">
      <c r="D1492" s="63"/>
    </row>
    <row r="1493" spans="4:4" x14ac:dyDescent="0.25">
      <c r="D1493" s="64"/>
    </row>
    <row r="1494" spans="4:4" x14ac:dyDescent="0.25">
      <c r="D1494" s="35"/>
    </row>
    <row r="1495" spans="4:4" x14ac:dyDescent="0.25">
      <c r="D1495" s="63"/>
    </row>
    <row r="1496" spans="4:4" x14ac:dyDescent="0.25">
      <c r="D1496" s="64"/>
    </row>
    <row r="1497" spans="4:4" x14ac:dyDescent="0.25">
      <c r="D1497" s="35"/>
    </row>
    <row r="1498" spans="4:4" x14ac:dyDescent="0.25">
      <c r="D1498" s="63"/>
    </row>
    <row r="1499" spans="4:4" x14ac:dyDescent="0.25">
      <c r="D1499" s="64"/>
    </row>
    <row r="1500" spans="4:4" x14ac:dyDescent="0.25">
      <c r="D1500" s="35"/>
    </row>
    <row r="1501" spans="4:4" x14ac:dyDescent="0.25">
      <c r="D1501" s="63"/>
    </row>
    <row r="1502" spans="4:4" x14ac:dyDescent="0.25">
      <c r="D1502" s="64"/>
    </row>
    <row r="1503" spans="4:4" x14ac:dyDescent="0.25">
      <c r="D1503" s="35"/>
    </row>
    <row r="1504" spans="4:4" x14ac:dyDescent="0.25">
      <c r="D1504" s="63"/>
    </row>
    <row r="1505" spans="4:4" x14ac:dyDescent="0.25">
      <c r="D1505" s="64"/>
    </row>
    <row r="1506" spans="4:4" x14ac:dyDescent="0.25">
      <c r="D1506" s="35"/>
    </row>
    <row r="1507" spans="4:4" x14ac:dyDescent="0.25">
      <c r="D1507" s="63"/>
    </row>
    <row r="1508" spans="4:4" x14ac:dyDescent="0.25">
      <c r="D1508" s="64"/>
    </row>
    <row r="1509" spans="4:4" x14ac:dyDescent="0.25">
      <c r="D1509" s="35"/>
    </row>
    <row r="1510" spans="4:4" x14ac:dyDescent="0.25">
      <c r="D1510" s="63"/>
    </row>
    <row r="1511" spans="4:4" x14ac:dyDescent="0.25">
      <c r="D1511" s="64"/>
    </row>
    <row r="1512" spans="4:4" x14ac:dyDescent="0.25">
      <c r="D1512" s="35"/>
    </row>
    <row r="1513" spans="4:4" x14ac:dyDescent="0.25">
      <c r="D1513" s="63"/>
    </row>
    <row r="1514" spans="4:4" x14ac:dyDescent="0.25">
      <c r="D1514" s="64"/>
    </row>
    <row r="1515" spans="4:4" x14ac:dyDescent="0.25">
      <c r="D1515" s="35"/>
    </row>
    <row r="1516" spans="4:4" x14ac:dyDescent="0.25">
      <c r="D1516" s="63"/>
    </row>
    <row r="1517" spans="4:4" x14ac:dyDescent="0.25">
      <c r="D1517" s="64"/>
    </row>
    <row r="1518" spans="4:4" x14ac:dyDescent="0.25">
      <c r="D1518" s="35"/>
    </row>
    <row r="1519" spans="4:4" x14ac:dyDescent="0.25">
      <c r="D1519" s="63"/>
    </row>
    <row r="1520" spans="4:4" x14ac:dyDescent="0.25">
      <c r="D1520" s="64"/>
    </row>
    <row r="1521" spans="4:4" x14ac:dyDescent="0.25">
      <c r="D1521" s="35"/>
    </row>
    <row r="1522" spans="4:4" x14ac:dyDescent="0.25">
      <c r="D1522" s="63"/>
    </row>
    <row r="1523" spans="4:4" x14ac:dyDescent="0.25">
      <c r="D1523" s="64"/>
    </row>
    <row r="1524" spans="4:4" x14ac:dyDescent="0.25">
      <c r="D1524" s="35"/>
    </row>
    <row r="1525" spans="4:4" x14ac:dyDescent="0.25">
      <c r="D1525" s="63"/>
    </row>
    <row r="1526" spans="4:4" x14ac:dyDescent="0.25">
      <c r="D1526" s="64"/>
    </row>
    <row r="1527" spans="4:4" x14ac:dyDescent="0.25">
      <c r="D1527" s="35"/>
    </row>
    <row r="1528" spans="4:4" x14ac:dyDescent="0.25">
      <c r="D1528" s="63"/>
    </row>
    <row r="1529" spans="4:4" x14ac:dyDescent="0.25">
      <c r="D1529" s="64"/>
    </row>
    <row r="1530" spans="4:4" x14ac:dyDescent="0.25">
      <c r="D1530" s="35"/>
    </row>
    <row r="1531" spans="4:4" x14ac:dyDescent="0.25">
      <c r="D1531" s="63"/>
    </row>
    <row r="1532" spans="4:4" x14ac:dyDescent="0.25">
      <c r="D1532" s="64"/>
    </row>
    <row r="1533" spans="4:4" x14ac:dyDescent="0.25">
      <c r="D1533" s="35"/>
    </row>
    <row r="1534" spans="4:4" x14ac:dyDescent="0.25">
      <c r="D1534" s="63"/>
    </row>
    <row r="1535" spans="4:4" x14ac:dyDescent="0.25">
      <c r="D1535" s="64"/>
    </row>
    <row r="1536" spans="4:4" x14ac:dyDescent="0.25">
      <c r="D1536" s="35"/>
    </row>
    <row r="1537" spans="4:4" x14ac:dyDescent="0.25">
      <c r="D1537" s="63"/>
    </row>
    <row r="1538" spans="4:4" x14ac:dyDescent="0.25">
      <c r="D1538" s="64"/>
    </row>
    <row r="1539" spans="4:4" x14ac:dyDescent="0.25">
      <c r="D1539" s="35"/>
    </row>
    <row r="1540" spans="4:4" x14ac:dyDescent="0.25">
      <c r="D1540" s="63"/>
    </row>
    <row r="1541" spans="4:4" x14ac:dyDescent="0.25">
      <c r="D1541" s="64"/>
    </row>
    <row r="1542" spans="4:4" x14ac:dyDescent="0.25">
      <c r="D1542" s="35"/>
    </row>
    <row r="1543" spans="4:4" x14ac:dyDescent="0.25">
      <c r="D1543" s="63"/>
    </row>
    <row r="1544" spans="4:4" x14ac:dyDescent="0.25">
      <c r="D1544" s="64"/>
    </row>
    <row r="1545" spans="4:4" x14ac:dyDescent="0.25">
      <c r="D1545" s="35"/>
    </row>
    <row r="1546" spans="4:4" x14ac:dyDescent="0.25">
      <c r="D1546" s="63"/>
    </row>
    <row r="1547" spans="4:4" x14ac:dyDescent="0.25">
      <c r="D1547" s="64"/>
    </row>
    <row r="1548" spans="4:4" x14ac:dyDescent="0.25">
      <c r="D1548" s="35"/>
    </row>
    <row r="1549" spans="4:4" x14ac:dyDescent="0.25">
      <c r="D1549" s="63"/>
    </row>
    <row r="1550" spans="4:4" x14ac:dyDescent="0.25">
      <c r="D1550" s="64"/>
    </row>
    <row r="1551" spans="4:4" x14ac:dyDescent="0.25">
      <c r="D1551" s="35"/>
    </row>
    <row r="1552" spans="4:4" x14ac:dyDescent="0.25">
      <c r="D1552" s="63"/>
    </row>
    <row r="1553" spans="4:4" x14ac:dyDescent="0.25">
      <c r="D1553" s="64"/>
    </row>
    <row r="1554" spans="4:4" x14ac:dyDescent="0.25">
      <c r="D1554" s="35"/>
    </row>
    <row r="1555" spans="4:4" x14ac:dyDescent="0.25">
      <c r="D1555" s="63"/>
    </row>
    <row r="1556" spans="4:4" x14ac:dyDescent="0.25">
      <c r="D1556" s="64"/>
    </row>
    <row r="1557" spans="4:4" x14ac:dyDescent="0.25">
      <c r="D1557" s="35"/>
    </row>
    <row r="1558" spans="4:4" x14ac:dyDescent="0.25">
      <c r="D1558" s="63"/>
    </row>
    <row r="1559" spans="4:4" x14ac:dyDescent="0.25">
      <c r="D1559" s="64"/>
    </row>
    <row r="1560" spans="4:4" x14ac:dyDescent="0.25">
      <c r="D1560" s="35"/>
    </row>
    <row r="1561" spans="4:4" x14ac:dyDescent="0.25">
      <c r="D1561" s="63"/>
    </row>
    <row r="1562" spans="4:4" x14ac:dyDescent="0.25">
      <c r="D1562" s="64"/>
    </row>
    <row r="1563" spans="4:4" x14ac:dyDescent="0.25">
      <c r="D1563" s="35"/>
    </row>
    <row r="1564" spans="4:4" x14ac:dyDescent="0.25">
      <c r="D1564" s="63"/>
    </row>
    <row r="1565" spans="4:4" x14ac:dyDescent="0.25">
      <c r="D1565" s="64"/>
    </row>
    <row r="1566" spans="4:4" x14ac:dyDescent="0.25">
      <c r="D1566" s="35"/>
    </row>
    <row r="1567" spans="4:4" x14ac:dyDescent="0.25">
      <c r="D1567" s="63"/>
    </row>
    <row r="1568" spans="4:4" x14ac:dyDescent="0.25">
      <c r="D1568" s="64"/>
    </row>
    <row r="1569" spans="4:4" x14ac:dyDescent="0.25">
      <c r="D1569" s="35"/>
    </row>
    <row r="1570" spans="4:4" x14ac:dyDescent="0.25">
      <c r="D1570" s="63"/>
    </row>
    <row r="1571" spans="4:4" x14ac:dyDescent="0.25">
      <c r="D1571" s="64"/>
    </row>
    <row r="1572" spans="4:4" x14ac:dyDescent="0.25">
      <c r="D1572" s="35"/>
    </row>
    <row r="1573" spans="4:4" x14ac:dyDescent="0.25">
      <c r="D1573" s="63"/>
    </row>
    <row r="1574" spans="4:4" x14ac:dyDescent="0.25">
      <c r="D1574" s="64"/>
    </row>
    <row r="1575" spans="4:4" x14ac:dyDescent="0.25">
      <c r="D1575" s="35"/>
    </row>
    <row r="1576" spans="4:4" x14ac:dyDescent="0.25">
      <c r="D1576" s="63"/>
    </row>
    <row r="1577" spans="4:4" x14ac:dyDescent="0.25">
      <c r="D1577" s="64"/>
    </row>
    <row r="1578" spans="4:4" x14ac:dyDescent="0.25">
      <c r="D1578" s="35"/>
    </row>
    <row r="1579" spans="4:4" x14ac:dyDescent="0.25">
      <c r="D1579" s="63"/>
    </row>
    <row r="1580" spans="4:4" x14ac:dyDescent="0.25">
      <c r="D1580" s="64"/>
    </row>
    <row r="1581" spans="4:4" x14ac:dyDescent="0.25">
      <c r="D1581" s="35"/>
    </row>
    <row r="1582" spans="4:4" x14ac:dyDescent="0.25">
      <c r="D1582" s="63"/>
    </row>
    <row r="1583" spans="4:4" x14ac:dyDescent="0.25">
      <c r="D1583" s="64"/>
    </row>
    <row r="1584" spans="4:4" x14ac:dyDescent="0.25">
      <c r="D1584" s="35"/>
    </row>
    <row r="1585" spans="4:4" x14ac:dyDescent="0.25">
      <c r="D1585" s="63"/>
    </row>
    <row r="1586" spans="4:4" x14ac:dyDescent="0.25">
      <c r="D1586" s="64"/>
    </row>
    <row r="1587" spans="4:4" x14ac:dyDescent="0.25">
      <c r="D1587" s="35"/>
    </row>
    <row r="1588" spans="4:4" x14ac:dyDescent="0.25">
      <c r="D1588" s="63"/>
    </row>
    <row r="1589" spans="4:4" x14ac:dyDescent="0.25">
      <c r="D1589" s="64"/>
    </row>
    <row r="1590" spans="4:4" x14ac:dyDescent="0.25">
      <c r="D1590" s="35"/>
    </row>
    <row r="1591" spans="4:4" x14ac:dyDescent="0.25">
      <c r="D1591" s="63"/>
    </row>
    <row r="1592" spans="4:4" x14ac:dyDescent="0.25">
      <c r="D1592" s="64"/>
    </row>
    <row r="1593" spans="4:4" x14ac:dyDescent="0.25">
      <c r="D1593" s="35"/>
    </row>
    <row r="1594" spans="4:4" x14ac:dyDescent="0.25">
      <c r="D1594" s="63"/>
    </row>
    <row r="1595" spans="4:4" x14ac:dyDescent="0.25">
      <c r="D1595" s="64"/>
    </row>
    <row r="1596" spans="4:4" x14ac:dyDescent="0.25">
      <c r="D1596" s="35"/>
    </row>
    <row r="1597" spans="4:4" x14ac:dyDescent="0.25">
      <c r="D1597" s="63"/>
    </row>
    <row r="1598" spans="4:4" x14ac:dyDescent="0.25">
      <c r="D1598" s="64"/>
    </row>
    <row r="1599" spans="4:4" x14ac:dyDescent="0.25">
      <c r="D1599" s="35"/>
    </row>
    <row r="1600" spans="4:4" x14ac:dyDescent="0.25">
      <c r="D1600" s="63"/>
    </row>
    <row r="1601" spans="4:4" x14ac:dyDescent="0.25">
      <c r="D1601" s="64"/>
    </row>
    <row r="1602" spans="4:4" x14ac:dyDescent="0.25">
      <c r="D1602" s="35"/>
    </row>
    <row r="1603" spans="4:4" x14ac:dyDescent="0.25">
      <c r="D1603" s="63"/>
    </row>
    <row r="1604" spans="4:4" x14ac:dyDescent="0.25">
      <c r="D1604" s="64"/>
    </row>
    <row r="1605" spans="4:4" x14ac:dyDescent="0.25">
      <c r="D1605" s="35"/>
    </row>
    <row r="1606" spans="4:4" x14ac:dyDescent="0.25">
      <c r="D1606" s="63"/>
    </row>
    <row r="1607" spans="4:4" x14ac:dyDescent="0.25">
      <c r="D1607" s="64"/>
    </row>
    <row r="1608" spans="4:4" x14ac:dyDescent="0.25">
      <c r="D1608" s="35"/>
    </row>
    <row r="1609" spans="4:4" x14ac:dyDescent="0.25">
      <c r="D1609" s="63"/>
    </row>
    <row r="1610" spans="4:4" x14ac:dyDescent="0.25">
      <c r="D1610" s="64"/>
    </row>
    <row r="1611" spans="4:4" x14ac:dyDescent="0.25">
      <c r="D1611" s="35"/>
    </row>
    <row r="1612" spans="4:4" x14ac:dyDescent="0.25">
      <c r="D1612" s="63"/>
    </row>
    <row r="1613" spans="4:4" x14ac:dyDescent="0.25">
      <c r="D1613" s="64"/>
    </row>
    <row r="1614" spans="4:4" x14ac:dyDescent="0.25">
      <c r="D1614" s="35"/>
    </row>
    <row r="1615" spans="4:4" x14ac:dyDescent="0.25">
      <c r="D1615" s="63"/>
    </row>
    <row r="1616" spans="4:4" x14ac:dyDescent="0.25">
      <c r="D1616" s="64"/>
    </row>
    <row r="1617" spans="4:4" x14ac:dyDescent="0.25">
      <c r="D1617" s="35"/>
    </row>
    <row r="1618" spans="4:4" x14ac:dyDescent="0.25">
      <c r="D1618" s="63"/>
    </row>
    <row r="1619" spans="4:4" x14ac:dyDescent="0.25">
      <c r="D1619" s="64"/>
    </row>
    <row r="1620" spans="4:4" x14ac:dyDescent="0.25">
      <c r="D1620" s="35"/>
    </row>
    <row r="1621" spans="4:4" x14ac:dyDescent="0.25">
      <c r="D1621" s="63"/>
    </row>
    <row r="1622" spans="4:4" x14ac:dyDescent="0.25">
      <c r="D1622" s="64"/>
    </row>
    <row r="1623" spans="4:4" x14ac:dyDescent="0.25">
      <c r="D1623" s="35"/>
    </row>
    <row r="1624" spans="4:4" x14ac:dyDescent="0.25">
      <c r="D1624" s="63"/>
    </row>
    <row r="1625" spans="4:4" x14ac:dyDescent="0.25">
      <c r="D1625" s="64"/>
    </row>
    <row r="1626" spans="4:4" x14ac:dyDescent="0.25">
      <c r="D1626" s="35"/>
    </row>
    <row r="1627" spans="4:4" x14ac:dyDescent="0.25">
      <c r="D1627" s="63"/>
    </row>
    <row r="1628" spans="4:4" x14ac:dyDescent="0.25">
      <c r="D1628" s="64"/>
    </row>
    <row r="1629" spans="4:4" x14ac:dyDescent="0.25">
      <c r="D1629" s="35"/>
    </row>
    <row r="1630" spans="4:4" x14ac:dyDescent="0.25">
      <c r="D1630" s="63"/>
    </row>
    <row r="1631" spans="4:4" x14ac:dyDescent="0.25">
      <c r="D1631" s="64"/>
    </row>
    <row r="1632" spans="4:4" x14ac:dyDescent="0.25">
      <c r="D1632" s="35"/>
    </row>
    <row r="1633" spans="4:4" x14ac:dyDescent="0.25">
      <c r="D1633" s="63"/>
    </row>
    <row r="1634" spans="4:4" x14ac:dyDescent="0.25">
      <c r="D1634" s="64"/>
    </row>
    <row r="1635" spans="4:4" x14ac:dyDescent="0.25">
      <c r="D1635" s="35"/>
    </row>
    <row r="1636" spans="4:4" x14ac:dyDescent="0.25">
      <c r="D1636" s="63"/>
    </row>
    <row r="1637" spans="4:4" x14ac:dyDescent="0.25">
      <c r="D1637" s="64"/>
    </row>
    <row r="1638" spans="4:4" x14ac:dyDescent="0.25">
      <c r="D1638" s="35"/>
    </row>
    <row r="1639" spans="4:4" x14ac:dyDescent="0.25">
      <c r="D1639" s="63"/>
    </row>
    <row r="1640" spans="4:4" x14ac:dyDescent="0.25">
      <c r="D1640" s="64"/>
    </row>
    <row r="1641" spans="4:4" x14ac:dyDescent="0.25">
      <c r="D1641" s="35"/>
    </row>
    <row r="1642" spans="4:4" x14ac:dyDescent="0.25">
      <c r="D1642" s="63"/>
    </row>
    <row r="1643" spans="4:4" x14ac:dyDescent="0.25">
      <c r="D1643" s="64"/>
    </row>
    <row r="1644" spans="4:4" x14ac:dyDescent="0.25">
      <c r="D1644" s="35"/>
    </row>
    <row r="1645" spans="4:4" x14ac:dyDescent="0.25">
      <c r="D1645" s="63"/>
    </row>
    <row r="1646" spans="4:4" x14ac:dyDescent="0.25">
      <c r="D1646" s="64"/>
    </row>
    <row r="1647" spans="4:4" x14ac:dyDescent="0.25">
      <c r="D1647" s="35"/>
    </row>
    <row r="1648" spans="4:4" x14ac:dyDescent="0.25">
      <c r="D1648" s="63"/>
    </row>
    <row r="1649" spans="4:4" x14ac:dyDescent="0.25">
      <c r="D1649" s="64"/>
    </row>
    <row r="1650" spans="4:4" x14ac:dyDescent="0.25">
      <c r="D1650" s="35"/>
    </row>
    <row r="1651" spans="4:4" x14ac:dyDescent="0.25">
      <c r="D1651" s="63"/>
    </row>
    <row r="1652" spans="4:4" x14ac:dyDescent="0.25">
      <c r="D1652" s="64"/>
    </row>
    <row r="1653" spans="4:4" x14ac:dyDescent="0.25">
      <c r="D1653" s="35"/>
    </row>
    <row r="1654" spans="4:4" x14ac:dyDescent="0.25">
      <c r="D1654" s="63"/>
    </row>
    <row r="1655" spans="4:4" x14ac:dyDescent="0.25">
      <c r="D1655" s="64"/>
    </row>
    <row r="1656" spans="4:4" x14ac:dyDescent="0.25">
      <c r="D1656" s="35"/>
    </row>
    <row r="1657" spans="4:4" x14ac:dyDescent="0.25">
      <c r="D1657" s="63"/>
    </row>
    <row r="1658" spans="4:4" x14ac:dyDescent="0.25">
      <c r="D1658" s="64"/>
    </row>
    <row r="1659" spans="4:4" x14ac:dyDescent="0.25">
      <c r="D1659" s="35"/>
    </row>
    <row r="1660" spans="4:4" x14ac:dyDescent="0.25">
      <c r="D1660" s="63"/>
    </row>
    <row r="1661" spans="4:4" x14ac:dyDescent="0.25">
      <c r="D1661" s="64"/>
    </row>
    <row r="1662" spans="4:4" x14ac:dyDescent="0.25">
      <c r="D1662" s="35"/>
    </row>
    <row r="1663" spans="4:4" x14ac:dyDescent="0.25">
      <c r="D1663" s="63"/>
    </row>
    <row r="1664" spans="4:4" x14ac:dyDescent="0.25">
      <c r="D1664" s="64"/>
    </row>
    <row r="1665" spans="4:4" x14ac:dyDescent="0.25">
      <c r="D1665" s="35"/>
    </row>
    <row r="1666" spans="4:4" x14ac:dyDescent="0.25">
      <c r="D1666" s="63"/>
    </row>
    <row r="1667" spans="4:4" x14ac:dyDescent="0.25">
      <c r="D1667" s="64"/>
    </row>
    <row r="1668" spans="4:4" x14ac:dyDescent="0.25">
      <c r="D1668" s="35"/>
    </row>
    <row r="1669" spans="4:4" x14ac:dyDescent="0.25">
      <c r="D1669" s="63"/>
    </row>
    <row r="1670" spans="4:4" x14ac:dyDescent="0.25">
      <c r="D1670" s="64"/>
    </row>
    <row r="1671" spans="4:4" x14ac:dyDescent="0.25">
      <c r="D1671" s="35"/>
    </row>
    <row r="1672" spans="4:4" x14ac:dyDescent="0.25">
      <c r="D1672" s="63"/>
    </row>
    <row r="1673" spans="4:4" x14ac:dyDescent="0.25">
      <c r="D1673" s="64"/>
    </row>
    <row r="1674" spans="4:4" x14ac:dyDescent="0.25">
      <c r="D1674" s="35"/>
    </row>
    <row r="1675" spans="4:4" x14ac:dyDescent="0.25">
      <c r="D1675" s="63"/>
    </row>
    <row r="1676" spans="4:4" x14ac:dyDescent="0.25">
      <c r="D1676" s="64"/>
    </row>
    <row r="1677" spans="4:4" x14ac:dyDescent="0.25">
      <c r="D1677" s="35"/>
    </row>
    <row r="1678" spans="4:4" x14ac:dyDescent="0.25">
      <c r="D1678" s="63"/>
    </row>
    <row r="1679" spans="4:4" x14ac:dyDescent="0.25">
      <c r="D1679" s="64"/>
    </row>
    <row r="1680" spans="4:4" x14ac:dyDescent="0.25">
      <c r="D1680" s="35"/>
    </row>
    <row r="1681" spans="4:4" x14ac:dyDescent="0.25">
      <c r="D1681" s="63"/>
    </row>
    <row r="1682" spans="4:4" x14ac:dyDescent="0.25">
      <c r="D1682" s="64"/>
    </row>
    <row r="1683" spans="4:4" x14ac:dyDescent="0.25">
      <c r="D1683" s="35"/>
    </row>
    <row r="1684" spans="4:4" x14ac:dyDescent="0.25">
      <c r="D1684" s="63"/>
    </row>
    <row r="1685" spans="4:4" x14ac:dyDescent="0.25">
      <c r="D1685" s="64"/>
    </row>
    <row r="1686" spans="4:4" x14ac:dyDescent="0.25">
      <c r="D1686" s="35"/>
    </row>
    <row r="1687" spans="4:4" x14ac:dyDescent="0.25">
      <c r="D1687" s="63"/>
    </row>
    <row r="1688" spans="4:4" x14ac:dyDescent="0.25">
      <c r="D1688" s="64"/>
    </row>
    <row r="1689" spans="4:4" x14ac:dyDescent="0.25">
      <c r="D1689" s="35"/>
    </row>
    <row r="1690" spans="4:4" x14ac:dyDescent="0.25">
      <c r="D1690" s="63"/>
    </row>
    <row r="1691" spans="4:4" x14ac:dyDescent="0.25">
      <c r="D1691" s="64"/>
    </row>
    <row r="1692" spans="4:4" x14ac:dyDescent="0.25">
      <c r="D1692" s="35"/>
    </row>
    <row r="1693" spans="4:4" x14ac:dyDescent="0.25">
      <c r="D1693" s="63"/>
    </row>
    <row r="1694" spans="4:4" x14ac:dyDescent="0.25">
      <c r="D1694" s="64"/>
    </row>
    <row r="1695" spans="4:4" x14ac:dyDescent="0.25">
      <c r="D1695" s="35"/>
    </row>
    <row r="1696" spans="4:4" x14ac:dyDescent="0.25">
      <c r="D1696" s="63"/>
    </row>
    <row r="1697" spans="4:4" x14ac:dyDescent="0.25">
      <c r="D1697" s="64"/>
    </row>
    <row r="1698" spans="4:4" x14ac:dyDescent="0.25">
      <c r="D1698" s="35"/>
    </row>
    <row r="1699" spans="4:4" x14ac:dyDescent="0.25">
      <c r="D1699" s="63"/>
    </row>
    <row r="1700" spans="4:4" x14ac:dyDescent="0.25">
      <c r="D1700" s="64"/>
    </row>
    <row r="1701" spans="4:4" x14ac:dyDescent="0.25">
      <c r="D1701" s="35"/>
    </row>
    <row r="1702" spans="4:4" x14ac:dyDescent="0.25">
      <c r="D1702" s="63"/>
    </row>
    <row r="1703" spans="4:4" x14ac:dyDescent="0.25">
      <c r="D1703" s="64"/>
    </row>
    <row r="1704" spans="4:4" x14ac:dyDescent="0.25">
      <c r="D1704" s="35"/>
    </row>
    <row r="1705" spans="4:4" x14ac:dyDescent="0.25">
      <c r="D1705" s="63"/>
    </row>
    <row r="1706" spans="4:4" x14ac:dyDescent="0.25">
      <c r="D1706" s="64"/>
    </row>
    <row r="1707" spans="4:4" x14ac:dyDescent="0.25">
      <c r="D1707" s="35"/>
    </row>
    <row r="1708" spans="4:4" x14ac:dyDescent="0.25">
      <c r="D1708" s="63"/>
    </row>
    <row r="1709" spans="4:4" x14ac:dyDescent="0.25">
      <c r="D1709" s="64"/>
    </row>
    <row r="1710" spans="4:4" x14ac:dyDescent="0.25">
      <c r="D1710" s="35"/>
    </row>
    <row r="1711" spans="4:4" x14ac:dyDescent="0.25">
      <c r="D1711" s="63"/>
    </row>
    <row r="1712" spans="4:4" x14ac:dyDescent="0.25">
      <c r="D1712" s="64"/>
    </row>
    <row r="1713" spans="4:4" x14ac:dyDescent="0.25">
      <c r="D1713" s="35"/>
    </row>
    <row r="1714" spans="4:4" x14ac:dyDescent="0.25">
      <c r="D1714" s="63"/>
    </row>
    <row r="1715" spans="4:4" x14ac:dyDescent="0.25">
      <c r="D1715" s="64"/>
    </row>
    <row r="1716" spans="4:4" x14ac:dyDescent="0.25">
      <c r="D1716" s="35"/>
    </row>
    <row r="1717" spans="4:4" x14ac:dyDescent="0.25">
      <c r="D1717" s="63"/>
    </row>
    <row r="1718" spans="4:4" x14ac:dyDescent="0.25">
      <c r="D1718" s="64"/>
    </row>
    <row r="1719" spans="4:4" x14ac:dyDescent="0.25">
      <c r="D1719" s="35"/>
    </row>
    <row r="1720" spans="4:4" x14ac:dyDescent="0.25">
      <c r="D1720" s="63"/>
    </row>
    <row r="1721" spans="4:4" x14ac:dyDescent="0.25">
      <c r="D1721" s="64"/>
    </row>
    <row r="1722" spans="4:4" x14ac:dyDescent="0.25">
      <c r="D1722" s="35"/>
    </row>
    <row r="1723" spans="4:4" x14ac:dyDescent="0.25">
      <c r="D1723" s="63"/>
    </row>
    <row r="1724" spans="4:4" x14ac:dyDescent="0.25">
      <c r="D1724" s="64"/>
    </row>
    <row r="1725" spans="4:4" x14ac:dyDescent="0.25">
      <c r="D1725" s="35"/>
    </row>
    <row r="1726" spans="4:4" x14ac:dyDescent="0.25">
      <c r="D1726" s="63"/>
    </row>
    <row r="1727" spans="4:4" x14ac:dyDescent="0.25">
      <c r="D1727" s="64"/>
    </row>
    <row r="1728" spans="4:4" x14ac:dyDescent="0.25">
      <c r="D1728" s="35"/>
    </row>
    <row r="1729" spans="4:4" x14ac:dyDescent="0.25">
      <c r="D1729" s="63"/>
    </row>
    <row r="1730" spans="4:4" x14ac:dyDescent="0.25">
      <c r="D1730" s="64"/>
    </row>
    <row r="1731" spans="4:4" x14ac:dyDescent="0.25">
      <c r="D1731" s="35"/>
    </row>
    <row r="1732" spans="4:4" x14ac:dyDescent="0.25">
      <c r="D1732" s="63"/>
    </row>
    <row r="1733" spans="4:4" x14ac:dyDescent="0.25">
      <c r="D1733" s="64"/>
    </row>
    <row r="1734" spans="4:4" x14ac:dyDescent="0.25">
      <c r="D1734" s="35"/>
    </row>
    <row r="1735" spans="4:4" x14ac:dyDescent="0.25">
      <c r="D1735" s="63"/>
    </row>
    <row r="1736" spans="4:4" x14ac:dyDescent="0.25">
      <c r="D1736" s="64"/>
    </row>
    <row r="1737" spans="4:4" x14ac:dyDescent="0.25">
      <c r="D1737" s="35"/>
    </row>
    <row r="1738" spans="4:4" x14ac:dyDescent="0.25">
      <c r="D1738" s="63"/>
    </row>
    <row r="1739" spans="4:4" x14ac:dyDescent="0.25">
      <c r="D1739" s="64"/>
    </row>
    <row r="1740" spans="4:4" x14ac:dyDescent="0.25">
      <c r="D1740" s="35"/>
    </row>
    <row r="1741" spans="4:4" x14ac:dyDescent="0.25">
      <c r="D1741" s="63"/>
    </row>
    <row r="1742" spans="4:4" x14ac:dyDescent="0.25">
      <c r="D1742" s="64"/>
    </row>
    <row r="1743" spans="4:4" x14ac:dyDescent="0.25">
      <c r="D1743" s="35"/>
    </row>
    <row r="1744" spans="4:4" x14ac:dyDescent="0.25">
      <c r="D1744" s="63"/>
    </row>
    <row r="1745" spans="4:4" x14ac:dyDescent="0.25">
      <c r="D1745" s="64"/>
    </row>
    <row r="1746" spans="4:4" x14ac:dyDescent="0.25">
      <c r="D1746" s="35"/>
    </row>
    <row r="1747" spans="4:4" x14ac:dyDescent="0.25">
      <c r="D1747" s="63"/>
    </row>
    <row r="1748" spans="4:4" x14ac:dyDescent="0.25">
      <c r="D1748" s="64"/>
    </row>
    <row r="1749" spans="4:4" x14ac:dyDescent="0.25">
      <c r="D1749" s="35"/>
    </row>
    <row r="1750" spans="4:4" x14ac:dyDescent="0.25">
      <c r="D1750" s="63"/>
    </row>
    <row r="1751" spans="4:4" x14ac:dyDescent="0.25">
      <c r="D1751" s="64"/>
    </row>
    <row r="1752" spans="4:4" x14ac:dyDescent="0.25">
      <c r="D1752" s="35"/>
    </row>
    <row r="1753" spans="4:4" x14ac:dyDescent="0.25">
      <c r="D1753" s="63"/>
    </row>
    <row r="1754" spans="4:4" x14ac:dyDescent="0.25">
      <c r="D1754" s="64"/>
    </row>
    <row r="1755" spans="4:4" x14ac:dyDescent="0.25">
      <c r="D1755" s="35"/>
    </row>
    <row r="1756" spans="4:4" x14ac:dyDescent="0.25">
      <c r="D1756" s="63"/>
    </row>
    <row r="1757" spans="4:4" x14ac:dyDescent="0.25">
      <c r="D1757" s="64"/>
    </row>
    <row r="1758" spans="4:4" x14ac:dyDescent="0.25">
      <c r="D1758" s="35"/>
    </row>
    <row r="1759" spans="4:4" x14ac:dyDescent="0.25">
      <c r="D1759" s="63"/>
    </row>
    <row r="1760" spans="4:4" x14ac:dyDescent="0.25">
      <c r="D1760" s="64"/>
    </row>
    <row r="1761" spans="4:4" x14ac:dyDescent="0.25">
      <c r="D1761" s="35"/>
    </row>
    <row r="1762" spans="4:4" x14ac:dyDescent="0.25">
      <c r="D1762" s="63"/>
    </row>
    <row r="1763" spans="4:4" x14ac:dyDescent="0.25">
      <c r="D1763" s="64"/>
    </row>
    <row r="1764" spans="4:4" x14ac:dyDescent="0.25">
      <c r="D1764" s="35"/>
    </row>
    <row r="1765" spans="4:4" x14ac:dyDescent="0.25">
      <c r="D1765" s="63"/>
    </row>
    <row r="1766" spans="4:4" x14ac:dyDescent="0.25">
      <c r="D1766" s="64"/>
    </row>
    <row r="1767" spans="4:4" x14ac:dyDescent="0.25">
      <c r="D1767" s="35"/>
    </row>
    <row r="1768" spans="4:4" x14ac:dyDescent="0.25">
      <c r="D1768" s="63"/>
    </row>
    <row r="1769" spans="4:4" x14ac:dyDescent="0.25">
      <c r="D1769" s="64"/>
    </row>
    <row r="1770" spans="4:4" x14ac:dyDescent="0.25">
      <c r="D1770" s="35"/>
    </row>
    <row r="1771" spans="4:4" x14ac:dyDescent="0.25">
      <c r="D1771" s="63"/>
    </row>
    <row r="1772" spans="4:4" x14ac:dyDescent="0.25">
      <c r="D1772" s="64"/>
    </row>
    <row r="1773" spans="4:4" x14ac:dyDescent="0.25">
      <c r="D1773" s="35"/>
    </row>
    <row r="1774" spans="4:4" x14ac:dyDescent="0.25">
      <c r="D1774" s="63"/>
    </row>
    <row r="1775" spans="4:4" x14ac:dyDescent="0.25">
      <c r="D1775" s="64"/>
    </row>
    <row r="1776" spans="4:4" x14ac:dyDescent="0.25">
      <c r="D1776" s="35"/>
    </row>
    <row r="1777" spans="4:4" x14ac:dyDescent="0.25">
      <c r="D1777" s="63"/>
    </row>
    <row r="1778" spans="4:4" x14ac:dyDescent="0.25">
      <c r="D1778" s="64"/>
    </row>
    <row r="1779" spans="4:4" x14ac:dyDescent="0.25">
      <c r="D1779" s="35"/>
    </row>
    <row r="1780" spans="4:4" x14ac:dyDescent="0.25">
      <c r="D1780" s="63"/>
    </row>
    <row r="1781" spans="4:4" x14ac:dyDescent="0.25">
      <c r="D1781" s="64"/>
    </row>
    <row r="1782" spans="4:4" x14ac:dyDescent="0.25">
      <c r="D1782" s="35"/>
    </row>
    <row r="1783" spans="4:4" x14ac:dyDescent="0.25">
      <c r="D1783" s="63"/>
    </row>
    <row r="1784" spans="4:4" x14ac:dyDescent="0.25">
      <c r="D1784" s="64"/>
    </row>
    <row r="1785" spans="4:4" x14ac:dyDescent="0.25">
      <c r="D1785" s="35"/>
    </row>
    <row r="1786" spans="4:4" x14ac:dyDescent="0.25">
      <c r="D1786" s="63"/>
    </row>
    <row r="1787" spans="4:4" x14ac:dyDescent="0.25">
      <c r="D1787" s="64"/>
    </row>
    <row r="1788" spans="4:4" x14ac:dyDescent="0.25">
      <c r="D1788" s="35"/>
    </row>
    <row r="1789" spans="4:4" x14ac:dyDescent="0.25">
      <c r="D1789" s="63"/>
    </row>
    <row r="1790" spans="4:4" x14ac:dyDescent="0.25">
      <c r="D1790" s="64"/>
    </row>
    <row r="1791" spans="4:4" x14ac:dyDescent="0.25">
      <c r="D1791" s="35"/>
    </row>
    <row r="1792" spans="4:4" x14ac:dyDescent="0.25">
      <c r="D1792" s="63"/>
    </row>
    <row r="1793" spans="4:4" x14ac:dyDescent="0.25">
      <c r="D1793" s="64"/>
    </row>
    <row r="1794" spans="4:4" x14ac:dyDescent="0.25">
      <c r="D1794" s="35"/>
    </row>
    <row r="1795" spans="4:4" x14ac:dyDescent="0.25">
      <c r="D1795" s="63"/>
    </row>
    <row r="1796" spans="4:4" x14ac:dyDescent="0.25">
      <c r="D1796" s="64"/>
    </row>
    <row r="1797" spans="4:4" x14ac:dyDescent="0.25">
      <c r="D1797" s="35"/>
    </row>
    <row r="1798" spans="4:4" x14ac:dyDescent="0.25">
      <c r="D1798" s="63"/>
    </row>
    <row r="1799" spans="4:4" x14ac:dyDescent="0.25">
      <c r="D1799" s="64"/>
    </row>
    <row r="1800" spans="4:4" x14ac:dyDescent="0.25">
      <c r="D1800" s="35"/>
    </row>
    <row r="1801" spans="4:4" x14ac:dyDescent="0.25">
      <c r="D1801" s="63"/>
    </row>
    <row r="1802" spans="4:4" x14ac:dyDescent="0.25">
      <c r="D1802" s="64"/>
    </row>
    <row r="1803" spans="4:4" x14ac:dyDescent="0.25">
      <c r="D1803" s="35"/>
    </row>
    <row r="1804" spans="4:4" x14ac:dyDescent="0.25">
      <c r="D1804" s="63"/>
    </row>
    <row r="1805" spans="4:4" x14ac:dyDescent="0.25">
      <c r="D1805" s="64"/>
    </row>
    <row r="1806" spans="4:4" x14ac:dyDescent="0.25">
      <c r="D1806" s="35"/>
    </row>
    <row r="1807" spans="4:4" x14ac:dyDescent="0.25">
      <c r="D1807" s="63"/>
    </row>
    <row r="1808" spans="4:4" x14ac:dyDescent="0.25">
      <c r="D1808" s="64"/>
    </row>
    <row r="1809" spans="4:4" x14ac:dyDescent="0.25">
      <c r="D1809" s="35"/>
    </row>
    <row r="1810" spans="4:4" x14ac:dyDescent="0.25">
      <c r="D1810" s="63"/>
    </row>
    <row r="1811" spans="4:4" x14ac:dyDescent="0.25">
      <c r="D1811" s="64"/>
    </row>
    <row r="1812" spans="4:4" x14ac:dyDescent="0.25">
      <c r="D1812" s="35"/>
    </row>
    <row r="1813" spans="4:4" x14ac:dyDescent="0.25">
      <c r="D1813" s="63"/>
    </row>
    <row r="1814" spans="4:4" x14ac:dyDescent="0.25">
      <c r="D1814" s="64"/>
    </row>
    <row r="1815" spans="4:4" x14ac:dyDescent="0.25">
      <c r="D1815" s="35"/>
    </row>
    <row r="1816" spans="4:4" x14ac:dyDescent="0.25">
      <c r="D1816" s="63"/>
    </row>
    <row r="1817" spans="4:4" x14ac:dyDescent="0.25">
      <c r="D1817" s="64"/>
    </row>
    <row r="1818" spans="4:4" x14ac:dyDescent="0.25">
      <c r="D1818" s="35"/>
    </row>
    <row r="1819" spans="4:4" x14ac:dyDescent="0.25">
      <c r="D1819" s="63"/>
    </row>
    <row r="1820" spans="4:4" x14ac:dyDescent="0.25">
      <c r="D1820" s="64"/>
    </row>
    <row r="1821" spans="4:4" x14ac:dyDescent="0.25">
      <c r="D1821" s="35"/>
    </row>
    <row r="1822" spans="4:4" x14ac:dyDescent="0.25">
      <c r="D1822" s="63"/>
    </row>
    <row r="1823" spans="4:4" x14ac:dyDescent="0.25">
      <c r="D1823" s="64"/>
    </row>
    <row r="1824" spans="4:4" x14ac:dyDescent="0.25">
      <c r="D1824" s="35"/>
    </row>
    <row r="1825" spans="4:4" x14ac:dyDescent="0.25">
      <c r="D1825" s="63"/>
    </row>
    <row r="1826" spans="4:4" x14ac:dyDescent="0.25">
      <c r="D1826" s="64"/>
    </row>
    <row r="1827" spans="4:4" x14ac:dyDescent="0.25">
      <c r="D1827" s="35"/>
    </row>
    <row r="1828" spans="4:4" x14ac:dyDescent="0.25">
      <c r="D1828" s="63"/>
    </row>
    <row r="1829" spans="4:4" x14ac:dyDescent="0.25">
      <c r="D1829" s="64"/>
    </row>
    <row r="1830" spans="4:4" x14ac:dyDescent="0.25">
      <c r="D1830" s="35"/>
    </row>
    <row r="1831" spans="4:4" x14ac:dyDescent="0.25">
      <c r="D1831" s="63"/>
    </row>
    <row r="1832" spans="4:4" x14ac:dyDescent="0.25">
      <c r="D1832" s="64"/>
    </row>
    <row r="1833" spans="4:4" x14ac:dyDescent="0.25">
      <c r="D1833" s="35"/>
    </row>
    <row r="1834" spans="4:4" x14ac:dyDescent="0.25">
      <c r="D1834" s="63"/>
    </row>
    <row r="1835" spans="4:4" x14ac:dyDescent="0.25">
      <c r="D1835" s="64"/>
    </row>
    <row r="1836" spans="4:4" x14ac:dyDescent="0.25">
      <c r="D1836" s="35"/>
    </row>
    <row r="1837" spans="4:4" x14ac:dyDescent="0.25">
      <c r="D1837" s="63"/>
    </row>
    <row r="1838" spans="4:4" x14ac:dyDescent="0.25">
      <c r="D1838" s="64"/>
    </row>
    <row r="1839" spans="4:4" x14ac:dyDescent="0.25">
      <c r="D1839" s="35"/>
    </row>
    <row r="1840" spans="4:4" x14ac:dyDescent="0.25">
      <c r="D1840" s="63"/>
    </row>
    <row r="1841" spans="4:4" x14ac:dyDescent="0.25">
      <c r="D1841" s="64"/>
    </row>
    <row r="1842" spans="4:4" x14ac:dyDescent="0.25">
      <c r="D1842" s="35"/>
    </row>
    <row r="1843" spans="4:4" x14ac:dyDescent="0.25">
      <c r="D1843" s="63"/>
    </row>
    <row r="1844" spans="4:4" x14ac:dyDescent="0.25">
      <c r="D1844" s="64"/>
    </row>
    <row r="1845" spans="4:4" x14ac:dyDescent="0.25">
      <c r="D1845" s="35"/>
    </row>
    <row r="1846" spans="4:4" x14ac:dyDescent="0.25">
      <c r="D1846" s="63"/>
    </row>
    <row r="1847" spans="4:4" x14ac:dyDescent="0.25">
      <c r="D1847" s="64"/>
    </row>
    <row r="1848" spans="4:4" x14ac:dyDescent="0.25">
      <c r="D1848" s="35"/>
    </row>
    <row r="1849" spans="4:4" x14ac:dyDescent="0.25">
      <c r="D1849" s="63"/>
    </row>
    <row r="1850" spans="4:4" x14ac:dyDescent="0.25">
      <c r="D1850" s="64"/>
    </row>
    <row r="1851" spans="4:4" x14ac:dyDescent="0.25">
      <c r="D1851" s="35"/>
    </row>
    <row r="1852" spans="4:4" x14ac:dyDescent="0.25">
      <c r="D1852" s="63"/>
    </row>
    <row r="1853" spans="4:4" x14ac:dyDescent="0.25">
      <c r="D1853" s="64"/>
    </row>
    <row r="1854" spans="4:4" x14ac:dyDescent="0.25">
      <c r="D1854" s="35"/>
    </row>
    <row r="1855" spans="4:4" x14ac:dyDescent="0.25">
      <c r="D1855" s="63"/>
    </row>
    <row r="1856" spans="4:4" x14ac:dyDescent="0.25">
      <c r="D1856" s="64"/>
    </row>
    <row r="1857" spans="4:4" x14ac:dyDescent="0.25">
      <c r="D1857" s="35"/>
    </row>
    <row r="1858" spans="4:4" x14ac:dyDescent="0.25">
      <c r="D1858" s="63"/>
    </row>
    <row r="1859" spans="4:4" x14ac:dyDescent="0.25">
      <c r="D1859" s="64"/>
    </row>
    <row r="1860" spans="4:4" x14ac:dyDescent="0.25">
      <c r="D1860" s="35"/>
    </row>
    <row r="1861" spans="4:4" x14ac:dyDescent="0.25">
      <c r="D1861" s="63"/>
    </row>
    <row r="1862" spans="4:4" x14ac:dyDescent="0.25">
      <c r="D1862" s="64"/>
    </row>
    <row r="1863" spans="4:4" x14ac:dyDescent="0.25">
      <c r="D1863" s="35"/>
    </row>
    <row r="1864" spans="4:4" x14ac:dyDescent="0.25">
      <c r="D1864" s="63"/>
    </row>
    <row r="1865" spans="4:4" x14ac:dyDescent="0.25">
      <c r="D1865" s="64"/>
    </row>
    <row r="1866" spans="4:4" x14ac:dyDescent="0.25">
      <c r="D1866" s="35"/>
    </row>
    <row r="1867" spans="4:4" x14ac:dyDescent="0.25">
      <c r="D1867" s="63"/>
    </row>
    <row r="1868" spans="4:4" x14ac:dyDescent="0.25">
      <c r="D1868" s="64"/>
    </row>
    <row r="1869" spans="4:4" x14ac:dyDescent="0.25">
      <c r="D1869" s="35"/>
    </row>
    <row r="1870" spans="4:4" x14ac:dyDescent="0.25">
      <c r="D1870" s="63"/>
    </row>
    <row r="1871" spans="4:4" x14ac:dyDescent="0.25">
      <c r="D1871" s="64"/>
    </row>
    <row r="1872" spans="4:4" x14ac:dyDescent="0.25">
      <c r="D1872" s="35"/>
    </row>
    <row r="1873" spans="4:4" x14ac:dyDescent="0.25">
      <c r="D1873" s="63"/>
    </row>
    <row r="1874" spans="4:4" x14ac:dyDescent="0.25">
      <c r="D1874" s="64"/>
    </row>
    <row r="1875" spans="4:4" x14ac:dyDescent="0.25">
      <c r="D1875" s="35"/>
    </row>
    <row r="1876" spans="4:4" x14ac:dyDescent="0.25">
      <c r="D1876" s="63"/>
    </row>
    <row r="1877" spans="4:4" x14ac:dyDescent="0.25">
      <c r="D1877" s="64"/>
    </row>
    <row r="1878" spans="4:4" x14ac:dyDescent="0.25">
      <c r="D1878" s="35"/>
    </row>
    <row r="1879" spans="4:4" x14ac:dyDescent="0.25">
      <c r="D1879" s="63"/>
    </row>
    <row r="1880" spans="4:4" x14ac:dyDescent="0.25">
      <c r="D1880" s="64"/>
    </row>
    <row r="1881" spans="4:4" x14ac:dyDescent="0.25">
      <c r="D1881" s="35"/>
    </row>
    <row r="1882" spans="4:4" x14ac:dyDescent="0.25">
      <c r="D1882" s="63"/>
    </row>
    <row r="1883" spans="4:4" x14ac:dyDescent="0.25">
      <c r="D1883" s="64"/>
    </row>
    <row r="1884" spans="4:4" x14ac:dyDescent="0.25">
      <c r="D1884" s="35"/>
    </row>
    <row r="1885" spans="4:4" x14ac:dyDescent="0.25">
      <c r="D1885" s="63"/>
    </row>
    <row r="1886" spans="4:4" x14ac:dyDescent="0.25">
      <c r="D1886" s="64"/>
    </row>
    <row r="1887" spans="4:4" x14ac:dyDescent="0.25">
      <c r="D1887" s="35"/>
    </row>
    <row r="1888" spans="4:4" x14ac:dyDescent="0.25">
      <c r="D1888" s="63"/>
    </row>
    <row r="1889" spans="4:4" x14ac:dyDescent="0.25">
      <c r="D1889" s="64"/>
    </row>
    <row r="1890" spans="4:4" x14ac:dyDescent="0.25">
      <c r="D1890" s="35"/>
    </row>
    <row r="1891" spans="4:4" x14ac:dyDescent="0.25">
      <c r="D1891" s="63"/>
    </row>
    <row r="1892" spans="4:4" x14ac:dyDescent="0.25">
      <c r="D1892" s="64"/>
    </row>
    <row r="1893" spans="4:4" x14ac:dyDescent="0.25">
      <c r="D1893" s="35"/>
    </row>
    <row r="1894" spans="4:4" x14ac:dyDescent="0.25">
      <c r="D1894" s="63"/>
    </row>
    <row r="1895" spans="4:4" x14ac:dyDescent="0.25">
      <c r="D1895" s="64"/>
    </row>
    <row r="1896" spans="4:4" x14ac:dyDescent="0.25">
      <c r="D1896" s="35"/>
    </row>
    <row r="1897" spans="4:4" x14ac:dyDescent="0.25">
      <c r="D1897" s="63"/>
    </row>
    <row r="1898" spans="4:4" x14ac:dyDescent="0.25">
      <c r="D1898" s="64"/>
    </row>
    <row r="1899" spans="4:4" x14ac:dyDescent="0.25">
      <c r="D1899" s="35"/>
    </row>
    <row r="1900" spans="4:4" x14ac:dyDescent="0.25">
      <c r="D1900" s="63"/>
    </row>
    <row r="1901" spans="4:4" x14ac:dyDescent="0.25">
      <c r="D1901" s="64"/>
    </row>
    <row r="1902" spans="4:4" x14ac:dyDescent="0.25">
      <c r="D1902" s="35"/>
    </row>
    <row r="1903" spans="4:4" x14ac:dyDescent="0.25">
      <c r="D1903" s="63"/>
    </row>
    <row r="1904" spans="4:4" x14ac:dyDescent="0.25">
      <c r="D1904" s="64"/>
    </row>
    <row r="1905" spans="4:4" x14ac:dyDescent="0.25">
      <c r="D1905" s="35"/>
    </row>
    <row r="1906" spans="4:4" x14ac:dyDescent="0.25">
      <c r="D1906" s="63"/>
    </row>
    <row r="1907" spans="4:4" x14ac:dyDescent="0.25">
      <c r="D1907" s="64"/>
    </row>
    <row r="1908" spans="4:4" x14ac:dyDescent="0.25">
      <c r="D1908" s="35"/>
    </row>
    <row r="1909" spans="4:4" x14ac:dyDescent="0.25">
      <c r="D1909" s="63"/>
    </row>
    <row r="1910" spans="4:4" x14ac:dyDescent="0.25">
      <c r="D1910" s="64"/>
    </row>
    <row r="1911" spans="4:4" x14ac:dyDescent="0.25">
      <c r="D1911" s="35"/>
    </row>
    <row r="1912" spans="4:4" x14ac:dyDescent="0.25">
      <c r="D1912" s="63"/>
    </row>
    <row r="1913" spans="4:4" x14ac:dyDescent="0.25">
      <c r="D1913" s="64"/>
    </row>
    <row r="1914" spans="4:4" x14ac:dyDescent="0.25">
      <c r="D1914" s="35"/>
    </row>
    <row r="1915" spans="4:4" x14ac:dyDescent="0.25">
      <c r="D1915" s="63"/>
    </row>
    <row r="1916" spans="4:4" x14ac:dyDescent="0.25">
      <c r="D1916" s="64"/>
    </row>
    <row r="1917" spans="4:4" x14ac:dyDescent="0.25">
      <c r="D1917" s="35"/>
    </row>
    <row r="1918" spans="4:4" x14ac:dyDescent="0.25">
      <c r="D1918" s="63"/>
    </row>
    <row r="1919" spans="4:4" x14ac:dyDescent="0.25">
      <c r="D1919" s="64"/>
    </row>
    <row r="1920" spans="4:4" x14ac:dyDescent="0.25">
      <c r="D1920" s="35"/>
    </row>
    <row r="1921" spans="4:4" x14ac:dyDescent="0.25">
      <c r="D1921" s="63"/>
    </row>
    <row r="1922" spans="4:4" x14ac:dyDescent="0.25">
      <c r="D1922" s="64"/>
    </row>
    <row r="1923" spans="4:4" x14ac:dyDescent="0.25">
      <c r="D1923" s="35"/>
    </row>
    <row r="1924" spans="4:4" x14ac:dyDescent="0.25">
      <c r="D1924" s="63"/>
    </row>
    <row r="1925" spans="4:4" x14ac:dyDescent="0.25">
      <c r="D1925" s="64"/>
    </row>
    <row r="1926" spans="4:4" x14ac:dyDescent="0.25">
      <c r="D1926" s="35"/>
    </row>
    <row r="1927" spans="4:4" x14ac:dyDescent="0.25">
      <c r="D1927" s="63"/>
    </row>
    <row r="1928" spans="4:4" x14ac:dyDescent="0.25">
      <c r="D1928" s="64"/>
    </row>
    <row r="1929" spans="4:4" x14ac:dyDescent="0.25">
      <c r="D1929" s="35"/>
    </row>
    <row r="1930" spans="4:4" x14ac:dyDescent="0.25">
      <c r="D1930" s="63"/>
    </row>
    <row r="1931" spans="4:4" x14ac:dyDescent="0.25">
      <c r="D1931" s="64"/>
    </row>
    <row r="1932" spans="4:4" x14ac:dyDescent="0.25">
      <c r="D1932" s="35"/>
    </row>
    <row r="1933" spans="4:4" x14ac:dyDescent="0.25">
      <c r="D1933" s="63"/>
    </row>
    <row r="1934" spans="4:4" x14ac:dyDescent="0.25">
      <c r="D1934" s="64"/>
    </row>
    <row r="1935" spans="4:4" x14ac:dyDescent="0.25">
      <c r="D1935" s="35"/>
    </row>
    <row r="1936" spans="4:4" x14ac:dyDescent="0.25">
      <c r="D1936" s="63"/>
    </row>
    <row r="1937" spans="4:4" x14ac:dyDescent="0.25">
      <c r="D1937" s="64"/>
    </row>
    <row r="1938" spans="4:4" x14ac:dyDescent="0.25">
      <c r="D1938" s="35"/>
    </row>
    <row r="1939" spans="4:4" x14ac:dyDescent="0.25">
      <c r="D1939" s="63"/>
    </row>
    <row r="1940" spans="4:4" x14ac:dyDescent="0.25">
      <c r="D1940" s="64"/>
    </row>
    <row r="1941" spans="4:4" x14ac:dyDescent="0.25">
      <c r="D1941" s="35"/>
    </row>
    <row r="1942" spans="4:4" x14ac:dyDescent="0.25">
      <c r="D1942" s="63"/>
    </row>
    <row r="1943" spans="4:4" x14ac:dyDescent="0.25">
      <c r="D1943" s="64"/>
    </row>
    <row r="1944" spans="4:4" x14ac:dyDescent="0.25">
      <c r="D1944" s="35"/>
    </row>
    <row r="1945" spans="4:4" x14ac:dyDescent="0.25">
      <c r="D1945" s="63"/>
    </row>
    <row r="1946" spans="4:4" x14ac:dyDescent="0.25">
      <c r="D1946" s="64"/>
    </row>
    <row r="1947" spans="4:4" x14ac:dyDescent="0.25">
      <c r="D1947" s="35"/>
    </row>
    <row r="1948" spans="4:4" x14ac:dyDescent="0.25">
      <c r="D1948" s="63"/>
    </row>
    <row r="1949" spans="4:4" x14ac:dyDescent="0.25">
      <c r="D1949" s="64"/>
    </row>
    <row r="1950" spans="4:4" x14ac:dyDescent="0.25">
      <c r="D1950" s="35"/>
    </row>
    <row r="1951" spans="4:4" x14ac:dyDescent="0.25">
      <c r="D1951" s="63"/>
    </row>
    <row r="1952" spans="4:4" x14ac:dyDescent="0.25">
      <c r="D1952" s="64"/>
    </row>
    <row r="1953" spans="4:4" x14ac:dyDescent="0.25">
      <c r="D1953" s="35"/>
    </row>
    <row r="1954" spans="4:4" x14ac:dyDescent="0.25">
      <c r="D1954" s="63"/>
    </row>
    <row r="1955" spans="4:4" x14ac:dyDescent="0.25">
      <c r="D1955" s="64"/>
    </row>
    <row r="1956" spans="4:4" x14ac:dyDescent="0.25">
      <c r="D1956" s="35"/>
    </row>
    <row r="1957" spans="4:4" x14ac:dyDescent="0.25">
      <c r="D1957" s="63"/>
    </row>
    <row r="1958" spans="4:4" x14ac:dyDescent="0.25">
      <c r="D1958" s="64"/>
    </row>
    <row r="1959" spans="4:4" x14ac:dyDescent="0.25">
      <c r="D1959" s="35"/>
    </row>
    <row r="1960" spans="4:4" x14ac:dyDescent="0.25">
      <c r="D1960" s="63"/>
    </row>
    <row r="1961" spans="4:4" x14ac:dyDescent="0.25">
      <c r="D1961" s="64"/>
    </row>
    <row r="1962" spans="4:4" x14ac:dyDescent="0.25">
      <c r="D1962" s="35"/>
    </row>
    <row r="1963" spans="4:4" x14ac:dyDescent="0.25">
      <c r="D1963" s="63"/>
    </row>
    <row r="1964" spans="4:4" x14ac:dyDescent="0.25">
      <c r="D1964" s="64"/>
    </row>
    <row r="1965" spans="4:4" x14ac:dyDescent="0.25">
      <c r="D1965" s="35"/>
    </row>
    <row r="1966" spans="4:4" x14ac:dyDescent="0.25">
      <c r="D1966" s="63"/>
    </row>
    <row r="1967" spans="4:4" x14ac:dyDescent="0.25">
      <c r="D1967" s="64"/>
    </row>
    <row r="1968" spans="4:4" x14ac:dyDescent="0.25">
      <c r="D1968" s="35"/>
    </row>
    <row r="1969" spans="4:4" x14ac:dyDescent="0.25">
      <c r="D1969" s="63"/>
    </row>
    <row r="1970" spans="4:4" x14ac:dyDescent="0.25">
      <c r="D1970" s="64"/>
    </row>
    <row r="1971" spans="4:4" x14ac:dyDescent="0.25">
      <c r="D1971" s="35"/>
    </row>
    <row r="1972" spans="4:4" x14ac:dyDescent="0.25">
      <c r="D1972" s="63"/>
    </row>
    <row r="1973" spans="4:4" x14ac:dyDescent="0.25">
      <c r="D1973" s="64"/>
    </row>
    <row r="1974" spans="4:4" x14ac:dyDescent="0.25">
      <c r="D1974" s="35"/>
    </row>
    <row r="1975" spans="4:4" x14ac:dyDescent="0.25">
      <c r="D1975" s="63"/>
    </row>
    <row r="1976" spans="4:4" x14ac:dyDescent="0.25">
      <c r="D1976" s="64"/>
    </row>
    <row r="1977" spans="4:4" x14ac:dyDescent="0.25">
      <c r="D1977" s="35"/>
    </row>
    <row r="1978" spans="4:4" x14ac:dyDescent="0.25">
      <c r="D1978" s="63"/>
    </row>
    <row r="1979" spans="4:4" x14ac:dyDescent="0.25">
      <c r="D1979" s="64"/>
    </row>
    <row r="1980" spans="4:4" x14ac:dyDescent="0.25">
      <c r="D1980" s="35"/>
    </row>
    <row r="1981" spans="4:4" x14ac:dyDescent="0.25">
      <c r="D1981" s="63"/>
    </row>
    <row r="1982" spans="4:4" x14ac:dyDescent="0.25">
      <c r="D1982" s="64"/>
    </row>
    <row r="1983" spans="4:4" x14ac:dyDescent="0.25">
      <c r="D1983" s="35"/>
    </row>
    <row r="1984" spans="4:4" x14ac:dyDescent="0.25">
      <c r="D1984" s="63"/>
    </row>
    <row r="1985" spans="4:4" x14ac:dyDescent="0.25">
      <c r="D1985" s="64"/>
    </row>
    <row r="1986" spans="4:4" x14ac:dyDescent="0.25">
      <c r="D1986" s="35"/>
    </row>
    <row r="1987" spans="4:4" x14ac:dyDescent="0.25">
      <c r="D1987" s="63"/>
    </row>
    <row r="1988" spans="4:4" x14ac:dyDescent="0.25">
      <c r="D1988" s="64"/>
    </row>
    <row r="1989" spans="4:4" x14ac:dyDescent="0.25">
      <c r="D1989" s="35"/>
    </row>
    <row r="1990" spans="4:4" x14ac:dyDescent="0.25">
      <c r="D1990" s="63"/>
    </row>
    <row r="1991" spans="4:4" x14ac:dyDescent="0.25">
      <c r="D1991" s="64"/>
    </row>
    <row r="1992" spans="4:4" x14ac:dyDescent="0.25">
      <c r="D1992" s="35"/>
    </row>
    <row r="1993" spans="4:4" x14ac:dyDescent="0.25">
      <c r="D1993" s="63"/>
    </row>
    <row r="1994" spans="4:4" x14ac:dyDescent="0.25">
      <c r="D1994" s="64"/>
    </row>
    <row r="1995" spans="4:4" x14ac:dyDescent="0.25">
      <c r="D1995" s="35"/>
    </row>
    <row r="1996" spans="4:4" x14ac:dyDescent="0.25">
      <c r="D1996" s="63"/>
    </row>
    <row r="1997" spans="4:4" x14ac:dyDescent="0.25">
      <c r="D1997" s="64"/>
    </row>
    <row r="1998" spans="4:4" x14ac:dyDescent="0.25">
      <c r="D1998" s="35"/>
    </row>
    <row r="1999" spans="4:4" x14ac:dyDescent="0.25">
      <c r="D1999" s="63"/>
    </row>
    <row r="2000" spans="4:4" x14ac:dyDescent="0.25">
      <c r="D2000" s="64"/>
    </row>
    <row r="2001" spans="4:4" x14ac:dyDescent="0.25">
      <c r="D2001" s="35"/>
    </row>
    <row r="2002" spans="4:4" x14ac:dyDescent="0.25">
      <c r="D2002" s="63"/>
    </row>
    <row r="2003" spans="4:4" x14ac:dyDescent="0.25">
      <c r="D2003" s="64"/>
    </row>
    <row r="2004" spans="4:4" x14ac:dyDescent="0.25">
      <c r="D2004" s="35"/>
    </row>
    <row r="2005" spans="4:4" x14ac:dyDescent="0.25">
      <c r="D2005" s="63"/>
    </row>
    <row r="2006" spans="4:4" x14ac:dyDescent="0.25">
      <c r="D2006" s="64"/>
    </row>
    <row r="2007" spans="4:4" x14ac:dyDescent="0.25">
      <c r="D2007" s="35"/>
    </row>
    <row r="2008" spans="4:4" x14ac:dyDescent="0.25">
      <c r="D2008" s="63"/>
    </row>
    <row r="2009" spans="4:4" x14ac:dyDescent="0.25">
      <c r="D2009" s="64"/>
    </row>
    <row r="2010" spans="4:4" x14ac:dyDescent="0.25">
      <c r="D2010" s="35"/>
    </row>
    <row r="2011" spans="4:4" x14ac:dyDescent="0.25">
      <c r="D2011" s="63"/>
    </row>
    <row r="2012" spans="4:4" x14ac:dyDescent="0.25">
      <c r="D2012" s="64"/>
    </row>
    <row r="2013" spans="4:4" x14ac:dyDescent="0.25">
      <c r="D2013" s="35"/>
    </row>
    <row r="2014" spans="4:4" x14ac:dyDescent="0.25">
      <c r="D2014" s="63"/>
    </row>
    <row r="2015" spans="4:4" x14ac:dyDescent="0.25">
      <c r="D2015" s="64"/>
    </row>
    <row r="2016" spans="4:4" x14ac:dyDescent="0.25">
      <c r="D2016" s="35"/>
    </row>
    <row r="2017" spans="4:4" x14ac:dyDescent="0.25">
      <c r="D2017" s="63"/>
    </row>
    <row r="2018" spans="4:4" x14ac:dyDescent="0.25">
      <c r="D2018" s="64"/>
    </row>
    <row r="2019" spans="4:4" x14ac:dyDescent="0.25">
      <c r="D2019" s="35"/>
    </row>
    <row r="2020" spans="4:4" x14ac:dyDescent="0.25">
      <c r="D2020" s="63"/>
    </row>
    <row r="2021" spans="4:4" x14ac:dyDescent="0.25">
      <c r="D2021" s="64"/>
    </row>
    <row r="2022" spans="4:4" x14ac:dyDescent="0.25">
      <c r="D2022" s="35"/>
    </row>
    <row r="2023" spans="4:4" x14ac:dyDescent="0.25">
      <c r="D2023" s="63"/>
    </row>
    <row r="2024" spans="4:4" x14ac:dyDescent="0.25">
      <c r="D2024" s="64"/>
    </row>
    <row r="2025" spans="4:4" x14ac:dyDescent="0.25">
      <c r="D2025" s="35"/>
    </row>
    <row r="2026" spans="4:4" x14ac:dyDescent="0.25">
      <c r="D2026" s="63"/>
    </row>
    <row r="2027" spans="4:4" x14ac:dyDescent="0.25">
      <c r="D2027" s="64"/>
    </row>
    <row r="2028" spans="4:4" x14ac:dyDescent="0.25">
      <c r="D2028" s="35"/>
    </row>
    <row r="2029" spans="4:4" x14ac:dyDescent="0.25">
      <c r="D2029" s="63"/>
    </row>
    <row r="2030" spans="4:4" x14ac:dyDescent="0.25">
      <c r="D2030" s="64"/>
    </row>
    <row r="2031" spans="4:4" x14ac:dyDescent="0.25">
      <c r="D2031" s="35"/>
    </row>
    <row r="2032" spans="4:4" x14ac:dyDescent="0.25">
      <c r="D2032" s="63"/>
    </row>
    <row r="2033" spans="4:4" x14ac:dyDescent="0.25">
      <c r="D2033" s="64"/>
    </row>
    <row r="2034" spans="4:4" x14ac:dyDescent="0.25">
      <c r="D2034" s="35"/>
    </row>
    <row r="2035" spans="4:4" x14ac:dyDescent="0.25">
      <c r="D2035" s="63"/>
    </row>
    <row r="2036" spans="4:4" x14ac:dyDescent="0.25">
      <c r="D2036" s="64"/>
    </row>
    <row r="2037" spans="4:4" x14ac:dyDescent="0.25">
      <c r="D2037" s="35"/>
    </row>
    <row r="2038" spans="4:4" x14ac:dyDescent="0.25">
      <c r="D2038" s="63"/>
    </row>
    <row r="2039" spans="4:4" x14ac:dyDescent="0.25">
      <c r="D2039" s="64"/>
    </row>
    <row r="2040" spans="4:4" x14ac:dyDescent="0.25">
      <c r="D2040" s="35"/>
    </row>
    <row r="2041" spans="4:4" x14ac:dyDescent="0.25">
      <c r="D2041" s="63"/>
    </row>
    <row r="2042" spans="4:4" x14ac:dyDescent="0.25">
      <c r="D2042" s="64"/>
    </row>
    <row r="2043" spans="4:4" x14ac:dyDescent="0.25">
      <c r="D2043" s="35"/>
    </row>
    <row r="2044" spans="4:4" x14ac:dyDescent="0.25">
      <c r="D2044" s="63"/>
    </row>
    <row r="2045" spans="4:4" x14ac:dyDescent="0.25">
      <c r="D2045" s="64"/>
    </row>
    <row r="2046" spans="4:4" x14ac:dyDescent="0.25">
      <c r="D2046" s="35"/>
    </row>
    <row r="2047" spans="4:4" x14ac:dyDescent="0.25">
      <c r="D2047" s="63"/>
    </row>
    <row r="2048" spans="4:4" x14ac:dyDescent="0.25">
      <c r="D2048" s="64"/>
    </row>
    <row r="2049" spans="4:4" x14ac:dyDescent="0.25">
      <c r="D2049" s="35"/>
    </row>
    <row r="2050" spans="4:4" x14ac:dyDescent="0.25">
      <c r="D2050" s="63"/>
    </row>
    <row r="2051" spans="4:4" x14ac:dyDescent="0.25">
      <c r="D2051" s="64"/>
    </row>
    <row r="2052" spans="4:4" x14ac:dyDescent="0.25">
      <c r="D2052" s="35"/>
    </row>
    <row r="2053" spans="4:4" x14ac:dyDescent="0.25">
      <c r="D2053" s="63"/>
    </row>
    <row r="2054" spans="4:4" x14ac:dyDescent="0.25">
      <c r="D2054" s="64"/>
    </row>
    <row r="2055" spans="4:4" x14ac:dyDescent="0.25">
      <c r="D2055" s="35"/>
    </row>
    <row r="2056" spans="4:4" x14ac:dyDescent="0.25">
      <c r="D2056" s="63"/>
    </row>
    <row r="2057" spans="4:4" x14ac:dyDescent="0.25">
      <c r="D2057" s="64"/>
    </row>
    <row r="2058" spans="4:4" x14ac:dyDescent="0.25">
      <c r="D2058" s="35"/>
    </row>
    <row r="2059" spans="4:4" x14ac:dyDescent="0.25">
      <c r="D2059" s="63"/>
    </row>
    <row r="2060" spans="4:4" x14ac:dyDescent="0.25">
      <c r="D2060" s="64"/>
    </row>
    <row r="2061" spans="4:4" x14ac:dyDescent="0.25">
      <c r="D2061" s="35"/>
    </row>
    <row r="2062" spans="4:4" x14ac:dyDescent="0.25">
      <c r="D2062" s="63"/>
    </row>
    <row r="2063" spans="4:4" x14ac:dyDescent="0.25">
      <c r="D2063" s="64"/>
    </row>
    <row r="2064" spans="4:4" x14ac:dyDescent="0.25">
      <c r="D2064" s="35"/>
    </row>
    <row r="2065" spans="4:4" x14ac:dyDescent="0.25">
      <c r="D2065" s="63"/>
    </row>
    <row r="2066" spans="4:4" x14ac:dyDescent="0.25">
      <c r="D2066" s="64"/>
    </row>
    <row r="2067" spans="4:4" x14ac:dyDescent="0.25">
      <c r="D2067" s="35"/>
    </row>
    <row r="2068" spans="4:4" x14ac:dyDescent="0.25">
      <c r="D2068" s="63"/>
    </row>
    <row r="2069" spans="4:4" x14ac:dyDescent="0.25">
      <c r="D2069" s="64"/>
    </row>
    <row r="2070" spans="4:4" x14ac:dyDescent="0.25">
      <c r="D2070" s="35"/>
    </row>
    <row r="2071" spans="4:4" x14ac:dyDescent="0.25">
      <c r="D2071" s="63"/>
    </row>
    <row r="2072" spans="4:4" x14ac:dyDescent="0.25">
      <c r="D2072" s="64"/>
    </row>
    <row r="2073" spans="4:4" x14ac:dyDescent="0.25">
      <c r="D2073" s="35"/>
    </row>
    <row r="2074" spans="4:4" x14ac:dyDescent="0.25">
      <c r="D2074" s="63"/>
    </row>
    <row r="2075" spans="4:4" x14ac:dyDescent="0.25">
      <c r="D2075" s="64"/>
    </row>
    <row r="2076" spans="4:4" x14ac:dyDescent="0.25">
      <c r="D2076" s="35"/>
    </row>
    <row r="2077" spans="4:4" x14ac:dyDescent="0.25">
      <c r="D2077" s="63"/>
    </row>
    <row r="2078" spans="4:4" x14ac:dyDescent="0.25">
      <c r="D2078" s="64"/>
    </row>
    <row r="2079" spans="4:4" x14ac:dyDescent="0.25">
      <c r="D2079" s="35"/>
    </row>
    <row r="2080" spans="4:4" x14ac:dyDescent="0.25">
      <c r="D2080" s="63"/>
    </row>
    <row r="2081" spans="4:4" x14ac:dyDescent="0.25">
      <c r="D2081" s="64"/>
    </row>
    <row r="2082" spans="4:4" x14ac:dyDescent="0.25">
      <c r="D2082" s="35"/>
    </row>
    <row r="2083" spans="4:4" x14ac:dyDescent="0.25">
      <c r="D2083" s="63"/>
    </row>
    <row r="2084" spans="4:4" x14ac:dyDescent="0.25">
      <c r="D2084" s="64"/>
    </row>
    <row r="2085" spans="4:4" x14ac:dyDescent="0.25">
      <c r="D2085" s="35"/>
    </row>
    <row r="2086" spans="4:4" x14ac:dyDescent="0.25">
      <c r="D2086" s="63"/>
    </row>
    <row r="2087" spans="4:4" x14ac:dyDescent="0.25">
      <c r="D2087" s="64"/>
    </row>
    <row r="2088" spans="4:4" x14ac:dyDescent="0.25">
      <c r="D2088" s="35"/>
    </row>
    <row r="2089" spans="4:4" x14ac:dyDescent="0.25">
      <c r="D2089" s="63"/>
    </row>
    <row r="2090" spans="4:4" x14ac:dyDescent="0.25">
      <c r="D2090" s="64"/>
    </row>
    <row r="2091" spans="4:4" x14ac:dyDescent="0.25">
      <c r="D2091" s="35"/>
    </row>
    <row r="2092" spans="4:4" x14ac:dyDescent="0.25">
      <c r="D2092" s="63"/>
    </row>
    <row r="2093" spans="4:4" x14ac:dyDescent="0.25">
      <c r="D2093" s="64"/>
    </row>
    <row r="2094" spans="4:4" x14ac:dyDescent="0.25">
      <c r="D2094" s="35"/>
    </row>
    <row r="2095" spans="4:4" x14ac:dyDescent="0.25">
      <c r="D2095" s="63"/>
    </row>
    <row r="2096" spans="4:4" x14ac:dyDescent="0.25">
      <c r="D2096" s="64"/>
    </row>
    <row r="2097" spans="4:4" x14ac:dyDescent="0.25">
      <c r="D2097" s="35"/>
    </row>
    <row r="2098" spans="4:4" x14ac:dyDescent="0.25">
      <c r="D2098" s="63"/>
    </row>
    <row r="2099" spans="4:4" x14ac:dyDescent="0.25">
      <c r="D2099" s="64"/>
    </row>
    <row r="2100" spans="4:4" x14ac:dyDescent="0.25">
      <c r="D2100" s="35"/>
    </row>
    <row r="2101" spans="4:4" x14ac:dyDescent="0.25">
      <c r="D2101" s="63"/>
    </row>
    <row r="2102" spans="4:4" x14ac:dyDescent="0.25">
      <c r="D2102" s="64"/>
    </row>
    <row r="2103" spans="4:4" x14ac:dyDescent="0.25">
      <c r="D2103" s="35"/>
    </row>
    <row r="2104" spans="4:4" x14ac:dyDescent="0.25">
      <c r="D2104" s="63"/>
    </row>
    <row r="2105" spans="4:4" x14ac:dyDescent="0.25">
      <c r="D2105" s="64"/>
    </row>
    <row r="2106" spans="4:4" x14ac:dyDescent="0.25">
      <c r="D2106" s="35"/>
    </row>
    <row r="2107" spans="4:4" x14ac:dyDescent="0.25">
      <c r="D2107" s="63"/>
    </row>
    <row r="2108" spans="4:4" x14ac:dyDescent="0.25">
      <c r="D2108" s="64"/>
    </row>
    <row r="2109" spans="4:4" x14ac:dyDescent="0.25">
      <c r="D2109" s="35"/>
    </row>
    <row r="2110" spans="4:4" x14ac:dyDescent="0.25">
      <c r="D2110" s="63"/>
    </row>
    <row r="2111" spans="4:4" x14ac:dyDescent="0.25">
      <c r="D2111" s="64"/>
    </row>
    <row r="2112" spans="4:4" x14ac:dyDescent="0.25">
      <c r="D2112" s="35"/>
    </row>
    <row r="2113" spans="4:4" x14ac:dyDescent="0.25">
      <c r="D2113" s="63"/>
    </row>
    <row r="2114" spans="4:4" x14ac:dyDescent="0.25">
      <c r="D2114" s="64"/>
    </row>
    <row r="2115" spans="4:4" x14ac:dyDescent="0.25">
      <c r="D2115" s="35"/>
    </row>
    <row r="2116" spans="4:4" x14ac:dyDescent="0.25">
      <c r="D2116" s="63"/>
    </row>
    <row r="2117" spans="4:4" x14ac:dyDescent="0.25">
      <c r="D2117" s="64"/>
    </row>
    <row r="2118" spans="4:4" x14ac:dyDescent="0.25">
      <c r="D2118" s="35"/>
    </row>
    <row r="2119" spans="4:4" x14ac:dyDescent="0.25">
      <c r="D2119" s="63"/>
    </row>
    <row r="2120" spans="4:4" x14ac:dyDescent="0.25">
      <c r="D2120" s="64"/>
    </row>
    <row r="2121" spans="4:4" x14ac:dyDescent="0.25">
      <c r="D2121" s="35"/>
    </row>
    <row r="2122" spans="4:4" x14ac:dyDescent="0.25">
      <c r="D2122" s="63"/>
    </row>
    <row r="2123" spans="4:4" x14ac:dyDescent="0.25">
      <c r="D2123" s="64"/>
    </row>
    <row r="2124" spans="4:4" x14ac:dyDescent="0.25">
      <c r="D2124" s="35"/>
    </row>
    <row r="2125" spans="4:4" x14ac:dyDescent="0.25">
      <c r="D2125" s="63"/>
    </row>
    <row r="2126" spans="4:4" x14ac:dyDescent="0.25">
      <c r="D2126" s="64"/>
    </row>
    <row r="2127" spans="4:4" x14ac:dyDescent="0.25">
      <c r="D2127" s="35"/>
    </row>
    <row r="2128" spans="4:4" x14ac:dyDescent="0.25">
      <c r="D2128" s="63"/>
    </row>
    <row r="2129" spans="4:4" x14ac:dyDescent="0.25">
      <c r="D2129" s="64"/>
    </row>
    <row r="2130" spans="4:4" x14ac:dyDescent="0.25">
      <c r="D2130" s="35"/>
    </row>
    <row r="2131" spans="4:4" x14ac:dyDescent="0.25">
      <c r="D2131" s="63"/>
    </row>
    <row r="2132" spans="4:4" x14ac:dyDescent="0.25">
      <c r="D2132" s="64"/>
    </row>
    <row r="2133" spans="4:4" x14ac:dyDescent="0.25">
      <c r="D2133" s="35"/>
    </row>
    <row r="2134" spans="4:4" x14ac:dyDescent="0.25">
      <c r="D2134" s="64"/>
    </row>
    <row r="2135" spans="4:4" x14ac:dyDescent="0.25">
      <c r="D2135" s="35"/>
    </row>
    <row r="2136" spans="4:4" x14ac:dyDescent="0.25">
      <c r="D2136" s="63"/>
    </row>
    <row r="2137" spans="4:4" x14ac:dyDescent="0.25">
      <c r="D2137" s="64"/>
    </row>
    <row r="2138" spans="4:4" x14ac:dyDescent="0.25">
      <c r="D2138" s="35"/>
    </row>
    <row r="2139" spans="4:4" x14ac:dyDescent="0.25">
      <c r="D2139" s="63"/>
    </row>
    <row r="2140" spans="4:4" x14ac:dyDescent="0.25">
      <c r="D2140" s="64"/>
    </row>
    <row r="2141" spans="4:4" x14ac:dyDescent="0.25">
      <c r="D2141" s="35"/>
    </row>
    <row r="2142" spans="4:4" x14ac:dyDescent="0.25">
      <c r="D2142" s="63"/>
    </row>
    <row r="2143" spans="4:4" x14ac:dyDescent="0.25">
      <c r="D2143" s="64"/>
    </row>
    <row r="2144" spans="4:4" x14ac:dyDescent="0.25">
      <c r="D2144" s="35"/>
    </row>
    <row r="2145" spans="4:4" x14ac:dyDescent="0.25">
      <c r="D2145" s="63"/>
    </row>
    <row r="2146" spans="4:4" x14ac:dyDescent="0.25">
      <c r="D2146" s="64"/>
    </row>
    <row r="2147" spans="4:4" x14ac:dyDescent="0.25">
      <c r="D2147" s="35"/>
    </row>
    <row r="2148" spans="4:4" x14ac:dyDescent="0.25">
      <c r="D2148" s="63"/>
    </row>
    <row r="2149" spans="4:4" x14ac:dyDescent="0.25">
      <c r="D2149" s="64"/>
    </row>
    <row r="2150" spans="4:4" x14ac:dyDescent="0.25">
      <c r="D2150" s="35"/>
    </row>
    <row r="2151" spans="4:4" x14ac:dyDescent="0.25">
      <c r="D2151" s="63"/>
    </row>
    <row r="2152" spans="4:4" x14ac:dyDescent="0.25">
      <c r="D2152" s="64"/>
    </row>
    <row r="2153" spans="4:4" x14ac:dyDescent="0.25">
      <c r="D2153" s="35"/>
    </row>
    <row r="2154" spans="4:4" x14ac:dyDescent="0.25">
      <c r="D2154" s="63"/>
    </row>
    <row r="2155" spans="4:4" x14ac:dyDescent="0.25">
      <c r="D2155" s="64"/>
    </row>
    <row r="2156" spans="4:4" x14ac:dyDescent="0.25">
      <c r="D2156" s="35"/>
    </row>
    <row r="2157" spans="4:4" x14ac:dyDescent="0.25">
      <c r="D2157" s="63"/>
    </row>
    <row r="2158" spans="4:4" x14ac:dyDescent="0.25">
      <c r="D2158" s="64"/>
    </row>
    <row r="2159" spans="4:4" x14ac:dyDescent="0.25">
      <c r="D2159" s="35"/>
    </row>
    <row r="2160" spans="4:4" x14ac:dyDescent="0.25">
      <c r="D2160" s="63"/>
    </row>
    <row r="2161" spans="4:4" x14ac:dyDescent="0.25">
      <c r="D2161" s="64"/>
    </row>
    <row r="2162" spans="4:4" x14ac:dyDescent="0.25">
      <c r="D2162" s="35"/>
    </row>
    <row r="2163" spans="4:4" x14ac:dyDescent="0.25">
      <c r="D2163" s="63"/>
    </row>
    <row r="2164" spans="4:4" x14ac:dyDescent="0.25">
      <c r="D2164" s="64"/>
    </row>
    <row r="2165" spans="4:4" x14ac:dyDescent="0.25">
      <c r="D2165" s="35"/>
    </row>
    <row r="2166" spans="4:4" x14ac:dyDescent="0.25">
      <c r="D2166" s="63"/>
    </row>
    <row r="2167" spans="4:4" x14ac:dyDescent="0.25">
      <c r="D2167" s="64"/>
    </row>
    <row r="2168" spans="4:4" x14ac:dyDescent="0.25">
      <c r="D2168" s="35"/>
    </row>
    <row r="2169" spans="4:4" x14ac:dyDescent="0.25">
      <c r="D2169" s="63"/>
    </row>
    <row r="2170" spans="4:4" x14ac:dyDescent="0.25">
      <c r="D2170" s="64"/>
    </row>
    <row r="2171" spans="4:4" x14ac:dyDescent="0.25">
      <c r="D2171" s="35"/>
    </row>
    <row r="2172" spans="4:4" x14ac:dyDescent="0.25">
      <c r="D2172" s="63"/>
    </row>
    <row r="2173" spans="4:4" x14ac:dyDescent="0.25">
      <c r="D2173" s="64"/>
    </row>
    <row r="2174" spans="4:4" x14ac:dyDescent="0.25">
      <c r="D2174" s="35"/>
    </row>
    <row r="2175" spans="4:4" x14ac:dyDescent="0.25">
      <c r="D2175" s="63"/>
    </row>
    <row r="2176" spans="4:4" x14ac:dyDescent="0.25">
      <c r="D2176" s="64"/>
    </row>
    <row r="2177" spans="4:4" x14ac:dyDescent="0.25">
      <c r="D2177" s="35"/>
    </row>
    <row r="2178" spans="4:4" x14ac:dyDescent="0.25">
      <c r="D2178" s="63"/>
    </row>
    <row r="2179" spans="4:4" x14ac:dyDescent="0.25">
      <c r="D2179" s="64"/>
    </row>
    <row r="2180" spans="4:4" x14ac:dyDescent="0.25">
      <c r="D2180" s="35"/>
    </row>
    <row r="2181" spans="4:4" x14ac:dyDescent="0.25">
      <c r="D2181" s="63"/>
    </row>
    <row r="2182" spans="4:4" x14ac:dyDescent="0.25">
      <c r="D2182" s="64"/>
    </row>
    <row r="2183" spans="4:4" x14ac:dyDescent="0.25">
      <c r="D2183" s="35"/>
    </row>
    <row r="2184" spans="4:4" x14ac:dyDescent="0.25">
      <c r="D2184" s="63"/>
    </row>
    <row r="2185" spans="4:4" x14ac:dyDescent="0.25">
      <c r="D2185" s="64"/>
    </row>
    <row r="2186" spans="4:4" x14ac:dyDescent="0.25">
      <c r="D2186" s="35"/>
    </row>
    <row r="2187" spans="4:4" x14ac:dyDescent="0.25">
      <c r="D2187" s="63"/>
    </row>
    <row r="2188" spans="4:4" x14ac:dyDescent="0.25">
      <c r="D2188" s="64"/>
    </row>
    <row r="2189" spans="4:4" x14ac:dyDescent="0.25">
      <c r="D2189" s="35"/>
    </row>
    <row r="2190" spans="4:4" x14ac:dyDescent="0.25">
      <c r="D2190" s="63"/>
    </row>
    <row r="2191" spans="4:4" x14ac:dyDescent="0.25">
      <c r="D2191" s="64"/>
    </row>
    <row r="2192" spans="4:4" x14ac:dyDescent="0.25">
      <c r="D2192" s="35"/>
    </row>
    <row r="2193" spans="4:4" x14ac:dyDescent="0.25">
      <c r="D2193" s="63"/>
    </row>
    <row r="2194" spans="4:4" x14ac:dyDescent="0.25">
      <c r="D2194" s="64"/>
    </row>
    <row r="2195" spans="4:4" x14ac:dyDescent="0.25">
      <c r="D2195" s="35"/>
    </row>
    <row r="2196" spans="4:4" x14ac:dyDescent="0.25">
      <c r="D2196" s="63"/>
    </row>
    <row r="2197" spans="4:4" x14ac:dyDescent="0.25">
      <c r="D2197" s="64"/>
    </row>
    <row r="2198" spans="4:4" x14ac:dyDescent="0.25">
      <c r="D2198" s="35"/>
    </row>
    <row r="2199" spans="4:4" x14ac:dyDescent="0.25">
      <c r="D2199" s="63"/>
    </row>
    <row r="2200" spans="4:4" x14ac:dyDescent="0.25">
      <c r="D2200" s="64"/>
    </row>
    <row r="2201" spans="4:4" x14ac:dyDescent="0.25">
      <c r="D2201" s="35"/>
    </row>
    <row r="2202" spans="4:4" x14ac:dyDescent="0.25">
      <c r="D2202" s="63"/>
    </row>
    <row r="2203" spans="4:4" x14ac:dyDescent="0.25">
      <c r="D2203" s="64"/>
    </row>
    <row r="2204" spans="4:4" x14ac:dyDescent="0.25">
      <c r="D2204" s="35"/>
    </row>
    <row r="2205" spans="4:4" x14ac:dyDescent="0.25">
      <c r="D2205" s="63"/>
    </row>
    <row r="2206" spans="4:4" x14ac:dyDescent="0.25">
      <c r="D2206" s="64"/>
    </row>
    <row r="2207" spans="4:4" x14ac:dyDescent="0.25">
      <c r="D2207" s="35"/>
    </row>
    <row r="2208" spans="4:4" x14ac:dyDescent="0.25">
      <c r="D2208" s="63"/>
    </row>
    <row r="2209" spans="4:4" x14ac:dyDescent="0.25">
      <c r="D2209" s="64"/>
    </row>
    <row r="2210" spans="4:4" x14ac:dyDescent="0.25">
      <c r="D2210" s="35"/>
    </row>
    <row r="2211" spans="4:4" x14ac:dyDescent="0.25">
      <c r="D2211" s="63"/>
    </row>
    <row r="2212" spans="4:4" x14ac:dyDescent="0.25">
      <c r="D2212" s="64"/>
    </row>
    <row r="2213" spans="4:4" x14ac:dyDescent="0.25">
      <c r="D2213" s="35"/>
    </row>
    <row r="2214" spans="4:4" x14ac:dyDescent="0.25">
      <c r="D2214" s="63"/>
    </row>
    <row r="2215" spans="4:4" x14ac:dyDescent="0.25">
      <c r="D2215" s="64"/>
    </row>
    <row r="2216" spans="4:4" x14ac:dyDescent="0.25">
      <c r="D2216" s="35"/>
    </row>
    <row r="2217" spans="4:4" x14ac:dyDescent="0.25">
      <c r="D2217" s="63"/>
    </row>
    <row r="2218" spans="4:4" x14ac:dyDescent="0.25">
      <c r="D2218" s="64"/>
    </row>
    <row r="2219" spans="4:4" x14ac:dyDescent="0.25">
      <c r="D2219" s="35"/>
    </row>
    <row r="2220" spans="4:4" x14ac:dyDescent="0.25">
      <c r="D2220" s="63"/>
    </row>
    <row r="2221" spans="4:4" x14ac:dyDescent="0.25">
      <c r="D2221" s="64"/>
    </row>
    <row r="2222" spans="4:4" x14ac:dyDescent="0.25">
      <c r="D2222" s="35"/>
    </row>
    <row r="2223" spans="4:4" x14ac:dyDescent="0.25">
      <c r="D2223" s="63"/>
    </row>
    <row r="2224" spans="4:4" x14ac:dyDescent="0.25">
      <c r="D2224" s="64"/>
    </row>
    <row r="2225" spans="4:4" x14ac:dyDescent="0.25">
      <c r="D2225" s="35"/>
    </row>
    <row r="2226" spans="4:4" x14ac:dyDescent="0.25">
      <c r="D2226" s="63"/>
    </row>
    <row r="2227" spans="4:4" x14ac:dyDescent="0.25">
      <c r="D2227" s="64"/>
    </row>
    <row r="2228" spans="4:4" x14ac:dyDescent="0.25">
      <c r="D2228" s="35"/>
    </row>
    <row r="2229" spans="4:4" x14ac:dyDescent="0.25">
      <c r="D2229" s="63"/>
    </row>
    <row r="2230" spans="4:4" x14ac:dyDescent="0.25">
      <c r="D2230" s="64"/>
    </row>
    <row r="2231" spans="4:4" x14ac:dyDescent="0.25">
      <c r="D2231" s="35"/>
    </row>
    <row r="2232" spans="4:4" x14ac:dyDescent="0.25">
      <c r="D2232" s="63"/>
    </row>
    <row r="2233" spans="4:4" x14ac:dyDescent="0.25">
      <c r="D2233" s="64"/>
    </row>
    <row r="2234" spans="4:4" x14ac:dyDescent="0.25">
      <c r="D2234" s="35"/>
    </row>
    <row r="2235" spans="4:4" x14ac:dyDescent="0.25">
      <c r="D2235" s="63"/>
    </row>
    <row r="2236" spans="4:4" x14ac:dyDescent="0.25">
      <c r="D2236" s="64"/>
    </row>
    <row r="2237" spans="4:4" x14ac:dyDescent="0.25">
      <c r="D2237" s="35"/>
    </row>
    <row r="2238" spans="4:4" x14ac:dyDescent="0.25">
      <c r="D2238" s="63"/>
    </row>
    <row r="2239" spans="4:4" x14ac:dyDescent="0.25">
      <c r="D2239" s="64"/>
    </row>
    <row r="2240" spans="4:4" x14ac:dyDescent="0.25">
      <c r="D2240" s="35"/>
    </row>
    <row r="2241" spans="4:4" x14ac:dyDescent="0.25">
      <c r="D2241" s="63"/>
    </row>
    <row r="2242" spans="4:4" x14ac:dyDescent="0.25">
      <c r="D2242" s="64"/>
    </row>
    <row r="2243" spans="4:4" x14ac:dyDescent="0.25">
      <c r="D2243" s="35"/>
    </row>
    <row r="2244" spans="4:4" x14ac:dyDescent="0.25">
      <c r="D2244" s="63"/>
    </row>
    <row r="2245" spans="4:4" x14ac:dyDescent="0.25">
      <c r="D2245" s="64"/>
    </row>
    <row r="2246" spans="4:4" x14ac:dyDescent="0.25">
      <c r="D2246" s="35"/>
    </row>
    <row r="2247" spans="4:4" x14ac:dyDescent="0.25">
      <c r="D2247" s="63"/>
    </row>
    <row r="2248" spans="4:4" x14ac:dyDescent="0.25">
      <c r="D2248" s="64"/>
    </row>
    <row r="2249" spans="4:4" x14ac:dyDescent="0.25">
      <c r="D2249" s="35"/>
    </row>
    <row r="2250" spans="4:4" x14ac:dyDescent="0.25">
      <c r="D2250" s="63"/>
    </row>
    <row r="2251" spans="4:4" x14ac:dyDescent="0.25">
      <c r="D2251" s="64"/>
    </row>
    <row r="2252" spans="4:4" x14ac:dyDescent="0.25">
      <c r="D2252" s="35"/>
    </row>
    <row r="2253" spans="4:4" x14ac:dyDescent="0.25">
      <c r="D2253" s="63"/>
    </row>
    <row r="2254" spans="4:4" x14ac:dyDescent="0.25">
      <c r="D2254" s="64"/>
    </row>
    <row r="2255" spans="4:4" x14ac:dyDescent="0.25">
      <c r="D2255" s="35"/>
    </row>
    <row r="2256" spans="4:4" x14ac:dyDescent="0.25">
      <c r="D2256" s="63"/>
    </row>
    <row r="2257" spans="4:4" x14ac:dyDescent="0.25">
      <c r="D2257" s="64"/>
    </row>
    <row r="2258" spans="4:4" x14ac:dyDescent="0.25">
      <c r="D2258" s="35"/>
    </row>
    <row r="2259" spans="4:4" x14ac:dyDescent="0.25">
      <c r="D2259" s="63"/>
    </row>
    <row r="2260" spans="4:4" x14ac:dyDescent="0.25">
      <c r="D2260" s="64"/>
    </row>
    <row r="2261" spans="4:4" x14ac:dyDescent="0.25">
      <c r="D2261" s="35"/>
    </row>
    <row r="2262" spans="4:4" x14ac:dyDescent="0.25">
      <c r="D2262" s="63"/>
    </row>
    <row r="2263" spans="4:4" x14ac:dyDescent="0.25">
      <c r="D2263" s="64"/>
    </row>
    <row r="2264" spans="4:4" x14ac:dyDescent="0.25">
      <c r="D2264" s="35"/>
    </row>
    <row r="2265" spans="4:4" x14ac:dyDescent="0.25">
      <c r="D2265" s="63"/>
    </row>
    <row r="2266" spans="4:4" x14ac:dyDescent="0.25">
      <c r="D2266" s="64"/>
    </row>
    <row r="2267" spans="4:4" x14ac:dyDescent="0.25">
      <c r="D2267" s="35"/>
    </row>
    <row r="2268" spans="4:4" x14ac:dyDescent="0.25">
      <c r="D2268" s="63"/>
    </row>
    <row r="2269" spans="4:4" x14ac:dyDescent="0.25">
      <c r="D2269" s="64"/>
    </row>
    <row r="2270" spans="4:4" x14ac:dyDescent="0.25">
      <c r="D2270" s="35"/>
    </row>
    <row r="2271" spans="4:4" x14ac:dyDescent="0.25">
      <c r="D2271" s="63"/>
    </row>
    <row r="2272" spans="4:4" x14ac:dyDescent="0.25">
      <c r="D2272" s="64"/>
    </row>
    <row r="2273" spans="4:4" x14ac:dyDescent="0.25">
      <c r="D2273" s="35"/>
    </row>
    <row r="2274" spans="4:4" x14ac:dyDescent="0.25">
      <c r="D2274" s="63"/>
    </row>
    <row r="2275" spans="4:4" x14ac:dyDescent="0.25">
      <c r="D2275" s="64"/>
    </row>
    <row r="2276" spans="4:4" x14ac:dyDescent="0.25">
      <c r="D2276" s="35"/>
    </row>
    <row r="2277" spans="4:4" x14ac:dyDescent="0.25">
      <c r="D2277" s="63"/>
    </row>
    <row r="2278" spans="4:4" x14ac:dyDescent="0.25">
      <c r="D2278" s="64"/>
    </row>
    <row r="2279" spans="4:4" x14ac:dyDescent="0.25">
      <c r="D2279" s="35"/>
    </row>
    <row r="2280" spans="4:4" x14ac:dyDescent="0.25">
      <c r="D2280" s="63"/>
    </row>
    <row r="2281" spans="4:4" x14ac:dyDescent="0.25">
      <c r="D2281" s="64"/>
    </row>
    <row r="2282" spans="4:4" x14ac:dyDescent="0.25">
      <c r="D2282" s="35"/>
    </row>
    <row r="2283" spans="4:4" x14ac:dyDescent="0.25">
      <c r="D2283" s="63"/>
    </row>
    <row r="2284" spans="4:4" x14ac:dyDescent="0.25">
      <c r="D2284" s="64"/>
    </row>
    <row r="2285" spans="4:4" x14ac:dyDescent="0.25">
      <c r="D2285" s="35"/>
    </row>
    <row r="2286" spans="4:4" x14ac:dyDescent="0.25">
      <c r="D2286" s="63"/>
    </row>
    <row r="2287" spans="4:4" x14ac:dyDescent="0.25">
      <c r="D2287" s="64"/>
    </row>
    <row r="2288" spans="4:4" x14ac:dyDescent="0.25">
      <c r="D2288" s="35"/>
    </row>
    <row r="2289" spans="4:4" x14ac:dyDescent="0.25">
      <c r="D2289" s="63"/>
    </row>
    <row r="2290" spans="4:4" x14ac:dyDescent="0.25">
      <c r="D2290" s="64"/>
    </row>
    <row r="2291" spans="4:4" x14ac:dyDescent="0.25">
      <c r="D2291" s="35"/>
    </row>
    <row r="2292" spans="4:4" x14ac:dyDescent="0.25">
      <c r="D2292" s="63"/>
    </row>
    <row r="2293" spans="4:4" x14ac:dyDescent="0.25">
      <c r="D2293" s="64"/>
    </row>
    <row r="2294" spans="4:4" x14ac:dyDescent="0.25">
      <c r="D2294" s="35"/>
    </row>
    <row r="2295" spans="4:4" x14ac:dyDescent="0.25">
      <c r="D2295" s="63"/>
    </row>
    <row r="2296" spans="4:4" x14ac:dyDescent="0.25">
      <c r="D2296" s="64"/>
    </row>
    <row r="2297" spans="4:4" x14ac:dyDescent="0.25">
      <c r="D2297" s="35"/>
    </row>
    <row r="2298" spans="4:4" x14ac:dyDescent="0.25">
      <c r="D2298" s="63"/>
    </row>
    <row r="2299" spans="4:4" x14ac:dyDescent="0.25">
      <c r="D2299" s="64"/>
    </row>
    <row r="2300" spans="4:4" x14ac:dyDescent="0.25">
      <c r="D2300" s="35"/>
    </row>
    <row r="2301" spans="4:4" x14ac:dyDescent="0.25">
      <c r="D2301" s="63"/>
    </row>
    <row r="2302" spans="4:4" x14ac:dyDescent="0.25">
      <c r="D2302" s="64"/>
    </row>
    <row r="2303" spans="4:4" x14ac:dyDescent="0.25">
      <c r="D2303" s="35"/>
    </row>
    <row r="2304" spans="4:4" x14ac:dyDescent="0.25">
      <c r="D2304" s="63"/>
    </row>
    <row r="2305" spans="4:4" x14ac:dyDescent="0.25">
      <c r="D2305" s="64"/>
    </row>
    <row r="2306" spans="4:4" x14ac:dyDescent="0.25">
      <c r="D2306" s="35"/>
    </row>
    <row r="2307" spans="4:4" x14ac:dyDescent="0.25">
      <c r="D2307" s="63"/>
    </row>
    <row r="2308" spans="4:4" x14ac:dyDescent="0.25">
      <c r="D2308" s="64"/>
    </row>
    <row r="2309" spans="4:4" x14ac:dyDescent="0.25">
      <c r="D2309" s="35"/>
    </row>
    <row r="2310" spans="4:4" x14ac:dyDescent="0.25">
      <c r="D2310" s="63"/>
    </row>
    <row r="2311" spans="4:4" x14ac:dyDescent="0.25">
      <c r="D2311" s="64"/>
    </row>
    <row r="2312" spans="4:4" x14ac:dyDescent="0.25">
      <c r="D2312" s="35"/>
    </row>
    <row r="2313" spans="4:4" x14ac:dyDescent="0.25">
      <c r="D2313" s="63"/>
    </row>
    <row r="2314" spans="4:4" x14ac:dyDescent="0.25">
      <c r="D2314" s="64"/>
    </row>
    <row r="2315" spans="4:4" x14ac:dyDescent="0.25">
      <c r="D2315" s="35"/>
    </row>
    <row r="2316" spans="4:4" x14ac:dyDescent="0.25">
      <c r="D2316" s="63"/>
    </row>
    <row r="2317" spans="4:4" x14ac:dyDescent="0.25">
      <c r="D2317" s="64"/>
    </row>
    <row r="2318" spans="4:4" x14ac:dyDescent="0.25">
      <c r="D2318" s="35"/>
    </row>
    <row r="2319" spans="4:4" x14ac:dyDescent="0.25">
      <c r="D2319" s="63"/>
    </row>
    <row r="2320" spans="4:4" x14ac:dyDescent="0.25">
      <c r="D2320" s="64"/>
    </row>
    <row r="2321" spans="4:4" x14ac:dyDescent="0.25">
      <c r="D2321" s="35"/>
    </row>
    <row r="2322" spans="4:4" x14ac:dyDescent="0.25">
      <c r="D2322" s="63"/>
    </row>
    <row r="2323" spans="4:4" x14ac:dyDescent="0.25">
      <c r="D2323" s="64"/>
    </row>
    <row r="2324" spans="4:4" x14ac:dyDescent="0.25">
      <c r="D2324" s="35"/>
    </row>
    <row r="2325" spans="4:4" x14ac:dyDescent="0.25">
      <c r="D2325" s="63"/>
    </row>
    <row r="2326" spans="4:4" x14ac:dyDescent="0.25">
      <c r="D2326" s="64"/>
    </row>
    <row r="2327" spans="4:4" x14ac:dyDescent="0.25">
      <c r="D2327" s="35"/>
    </row>
    <row r="2328" spans="4:4" x14ac:dyDescent="0.25">
      <c r="D2328" s="63"/>
    </row>
    <row r="2329" spans="4:4" x14ac:dyDescent="0.25">
      <c r="D2329" s="64"/>
    </row>
    <row r="2330" spans="4:4" x14ac:dyDescent="0.25">
      <c r="D2330" s="35"/>
    </row>
    <row r="2331" spans="4:4" x14ac:dyDescent="0.25">
      <c r="D2331" s="63"/>
    </row>
    <row r="2332" spans="4:4" x14ac:dyDescent="0.25">
      <c r="D2332" s="64"/>
    </row>
    <row r="2333" spans="4:4" x14ac:dyDescent="0.25">
      <c r="D2333" s="35"/>
    </row>
    <row r="2334" spans="4:4" x14ac:dyDescent="0.25">
      <c r="D2334" s="63"/>
    </row>
    <row r="2335" spans="4:4" x14ac:dyDescent="0.25">
      <c r="D2335" s="64"/>
    </row>
    <row r="2336" spans="4:4" x14ac:dyDescent="0.25">
      <c r="D2336" s="35"/>
    </row>
    <row r="2337" spans="4:4" x14ac:dyDescent="0.25">
      <c r="D2337" s="63"/>
    </row>
    <row r="2338" spans="4:4" x14ac:dyDescent="0.25">
      <c r="D2338" s="64"/>
    </row>
    <row r="2339" spans="4:4" x14ac:dyDescent="0.25">
      <c r="D2339" s="35"/>
    </row>
    <row r="2340" spans="4:4" x14ac:dyDescent="0.25">
      <c r="D2340" s="63"/>
    </row>
    <row r="2341" spans="4:4" x14ac:dyDescent="0.25">
      <c r="D2341" s="64"/>
    </row>
    <row r="2342" spans="4:4" x14ac:dyDescent="0.25">
      <c r="D2342" s="35"/>
    </row>
    <row r="2343" spans="4:4" x14ac:dyDescent="0.25">
      <c r="D2343" s="63"/>
    </row>
    <row r="2344" spans="4:4" x14ac:dyDescent="0.25">
      <c r="D2344" s="64"/>
    </row>
    <row r="2345" spans="4:4" x14ac:dyDescent="0.25">
      <c r="D2345" s="35"/>
    </row>
    <row r="2346" spans="4:4" x14ac:dyDescent="0.25">
      <c r="D2346" s="63"/>
    </row>
    <row r="2347" spans="4:4" x14ac:dyDescent="0.25">
      <c r="D2347" s="64"/>
    </row>
    <row r="2348" spans="4:4" x14ac:dyDescent="0.25">
      <c r="D2348" s="35"/>
    </row>
    <row r="2349" spans="4:4" x14ac:dyDescent="0.25">
      <c r="D2349" s="63"/>
    </row>
    <row r="2350" spans="4:4" x14ac:dyDescent="0.25">
      <c r="D2350" s="64"/>
    </row>
    <row r="2351" spans="4:4" x14ac:dyDescent="0.25">
      <c r="D2351" s="35"/>
    </row>
    <row r="2352" spans="4:4" x14ac:dyDescent="0.25">
      <c r="D2352" s="63"/>
    </row>
    <row r="2353" spans="4:4" x14ac:dyDescent="0.25">
      <c r="D2353" s="64"/>
    </row>
    <row r="2354" spans="4:4" x14ac:dyDescent="0.25">
      <c r="D2354" s="35"/>
    </row>
    <row r="2355" spans="4:4" x14ac:dyDescent="0.25">
      <c r="D2355" s="63"/>
    </row>
    <row r="2356" spans="4:4" x14ac:dyDescent="0.25">
      <c r="D2356" s="64"/>
    </row>
    <row r="2357" spans="4:4" x14ac:dyDescent="0.25">
      <c r="D2357" s="35"/>
    </row>
    <row r="2358" spans="4:4" x14ac:dyDescent="0.25">
      <c r="D2358" s="63"/>
    </row>
    <row r="2359" spans="4:4" x14ac:dyDescent="0.25">
      <c r="D2359" s="64"/>
    </row>
    <row r="2360" spans="4:4" x14ac:dyDescent="0.25">
      <c r="D2360" s="35"/>
    </row>
    <row r="2361" spans="4:4" x14ac:dyDescent="0.25">
      <c r="D2361" s="63"/>
    </row>
    <row r="2362" spans="4:4" x14ac:dyDescent="0.25">
      <c r="D2362" s="64"/>
    </row>
    <row r="2363" spans="4:4" x14ac:dyDescent="0.25">
      <c r="D2363" s="35"/>
    </row>
    <row r="2364" spans="4:4" x14ac:dyDescent="0.25">
      <c r="D2364" s="63"/>
    </row>
    <row r="2365" spans="4:4" x14ac:dyDescent="0.25">
      <c r="D2365" s="64"/>
    </row>
    <row r="2366" spans="4:4" x14ac:dyDescent="0.25">
      <c r="D2366" s="35"/>
    </row>
    <row r="2367" spans="4:4" x14ac:dyDescent="0.25">
      <c r="D2367" s="63"/>
    </row>
    <row r="2368" spans="4:4" x14ac:dyDescent="0.25">
      <c r="D2368" s="64"/>
    </row>
    <row r="2369" spans="4:4" x14ac:dyDescent="0.25">
      <c r="D2369" s="35"/>
    </row>
    <row r="2370" spans="4:4" x14ac:dyDescent="0.25">
      <c r="D2370" s="63"/>
    </row>
    <row r="2371" spans="4:4" x14ac:dyDescent="0.25">
      <c r="D2371" s="64"/>
    </row>
    <row r="2372" spans="4:4" x14ac:dyDescent="0.25">
      <c r="D2372" s="35"/>
    </row>
    <row r="2373" spans="4:4" x14ac:dyDescent="0.25">
      <c r="D2373" s="63"/>
    </row>
    <row r="2374" spans="4:4" x14ac:dyDescent="0.25">
      <c r="D2374" s="64"/>
    </row>
    <row r="2375" spans="4:4" x14ac:dyDescent="0.25">
      <c r="D2375" s="35"/>
    </row>
    <row r="2376" spans="4:4" x14ac:dyDescent="0.25">
      <c r="D2376" s="63"/>
    </row>
    <row r="2377" spans="4:4" x14ac:dyDescent="0.25">
      <c r="D2377" s="64"/>
    </row>
    <row r="2378" spans="4:4" x14ac:dyDescent="0.25">
      <c r="D2378" s="35"/>
    </row>
    <row r="2379" spans="4:4" x14ac:dyDescent="0.25">
      <c r="D2379" s="63"/>
    </row>
    <row r="2380" spans="4:4" x14ac:dyDescent="0.25">
      <c r="D2380" s="64"/>
    </row>
    <row r="2381" spans="4:4" x14ac:dyDescent="0.25">
      <c r="D2381" s="35"/>
    </row>
    <row r="2382" spans="4:4" x14ac:dyDescent="0.25">
      <c r="D2382" s="63"/>
    </row>
    <row r="2383" spans="4:4" x14ac:dyDescent="0.25">
      <c r="D2383" s="64"/>
    </row>
    <row r="2384" spans="4:4" x14ac:dyDescent="0.25">
      <c r="D2384" s="35"/>
    </row>
    <row r="2385" spans="4:4" x14ac:dyDescent="0.25">
      <c r="D2385" s="63"/>
    </row>
    <row r="2386" spans="4:4" x14ac:dyDescent="0.25">
      <c r="D2386" s="64"/>
    </row>
    <row r="2387" spans="4:4" x14ac:dyDescent="0.25">
      <c r="D2387" s="35"/>
    </row>
    <row r="2388" spans="4:4" x14ac:dyDescent="0.25">
      <c r="D2388" s="63"/>
    </row>
    <row r="2389" spans="4:4" x14ac:dyDescent="0.25">
      <c r="D2389" s="64"/>
    </row>
    <row r="2390" spans="4:4" x14ac:dyDescent="0.25">
      <c r="D2390" s="35"/>
    </row>
    <row r="2391" spans="4:4" x14ac:dyDescent="0.25">
      <c r="D2391" s="63"/>
    </row>
    <row r="2392" spans="4:4" x14ac:dyDescent="0.25">
      <c r="D2392" s="64"/>
    </row>
    <row r="2393" spans="4:4" x14ac:dyDescent="0.25">
      <c r="D2393" s="35"/>
    </row>
    <row r="2394" spans="4:4" x14ac:dyDescent="0.25">
      <c r="D2394" s="63"/>
    </row>
    <row r="2395" spans="4:4" x14ac:dyDescent="0.25">
      <c r="D2395" s="64"/>
    </row>
    <row r="2396" spans="4:4" x14ac:dyDescent="0.25">
      <c r="D2396" s="35"/>
    </row>
    <row r="2397" spans="4:4" x14ac:dyDescent="0.25">
      <c r="D2397" s="63"/>
    </row>
    <row r="2398" spans="4:4" x14ac:dyDescent="0.25">
      <c r="D2398" s="64"/>
    </row>
    <row r="2399" spans="4:4" x14ac:dyDescent="0.25">
      <c r="D2399" s="35"/>
    </row>
    <row r="2400" spans="4:4" x14ac:dyDescent="0.25">
      <c r="D2400" s="63"/>
    </row>
    <row r="2401" spans="4:4" x14ac:dyDescent="0.25">
      <c r="D2401" s="64"/>
    </row>
    <row r="2402" spans="4:4" x14ac:dyDescent="0.25">
      <c r="D2402" s="35"/>
    </row>
    <row r="2403" spans="4:4" x14ac:dyDescent="0.25">
      <c r="D2403" s="63"/>
    </row>
    <row r="2404" spans="4:4" x14ac:dyDescent="0.25">
      <c r="D2404" s="64"/>
    </row>
    <row r="2405" spans="4:4" x14ac:dyDescent="0.25">
      <c r="D2405" s="35"/>
    </row>
    <row r="2406" spans="4:4" x14ac:dyDescent="0.25">
      <c r="D2406" s="63"/>
    </row>
    <row r="2407" spans="4:4" x14ac:dyDescent="0.25">
      <c r="D2407" s="64"/>
    </row>
    <row r="2408" spans="4:4" x14ac:dyDescent="0.25">
      <c r="D2408" s="35"/>
    </row>
    <row r="2409" spans="4:4" x14ac:dyDescent="0.25">
      <c r="D2409" s="63"/>
    </row>
    <row r="2410" spans="4:4" x14ac:dyDescent="0.25">
      <c r="D2410" s="64"/>
    </row>
    <row r="2411" spans="4:4" x14ac:dyDescent="0.25">
      <c r="D2411" s="35"/>
    </row>
    <row r="2412" spans="4:4" x14ac:dyDescent="0.25">
      <c r="D2412" s="63"/>
    </row>
    <row r="2413" spans="4:4" x14ac:dyDescent="0.25">
      <c r="D2413" s="64"/>
    </row>
    <row r="2414" spans="4:4" x14ac:dyDescent="0.25">
      <c r="D2414" s="35"/>
    </row>
    <row r="2415" spans="4:4" x14ac:dyDescent="0.25">
      <c r="D2415" s="64"/>
    </row>
    <row r="2416" spans="4:4" x14ac:dyDescent="0.25">
      <c r="D2416" s="35"/>
    </row>
    <row r="2417" spans="4:4" x14ac:dyDescent="0.25">
      <c r="D2417" s="63"/>
    </row>
    <row r="2418" spans="4:4" x14ac:dyDescent="0.25">
      <c r="D2418" s="64"/>
    </row>
    <row r="2419" spans="4:4" x14ac:dyDescent="0.25">
      <c r="D2419" s="35"/>
    </row>
    <row r="2420" spans="4:4" x14ac:dyDescent="0.25">
      <c r="D2420" s="63"/>
    </row>
    <row r="2421" spans="4:4" x14ac:dyDescent="0.25">
      <c r="D2421" s="64"/>
    </row>
    <row r="2422" spans="4:4" x14ac:dyDescent="0.25">
      <c r="D2422" s="35"/>
    </row>
    <row r="2423" spans="4:4" x14ac:dyDescent="0.25">
      <c r="D2423" s="63"/>
    </row>
    <row r="2424" spans="4:4" x14ac:dyDescent="0.25">
      <c r="D2424" s="64"/>
    </row>
    <row r="2425" spans="4:4" x14ac:dyDescent="0.25">
      <c r="D2425" s="35"/>
    </row>
    <row r="2426" spans="4:4" x14ac:dyDescent="0.25">
      <c r="D2426" s="63"/>
    </row>
    <row r="2427" spans="4:4" x14ac:dyDescent="0.25">
      <c r="D2427" s="64"/>
    </row>
    <row r="2428" spans="4:4" x14ac:dyDescent="0.25">
      <c r="D2428" s="35"/>
    </row>
    <row r="2429" spans="4:4" x14ac:dyDescent="0.25">
      <c r="D2429" s="63"/>
    </row>
    <row r="2430" spans="4:4" x14ac:dyDescent="0.25">
      <c r="D2430" s="64"/>
    </row>
    <row r="2431" spans="4:4" x14ac:dyDescent="0.25">
      <c r="D2431" s="35"/>
    </row>
    <row r="2432" spans="4:4" x14ac:dyDescent="0.25">
      <c r="D2432" s="63"/>
    </row>
    <row r="2433" spans="4:4" x14ac:dyDescent="0.25">
      <c r="D2433" s="64"/>
    </row>
    <row r="2434" spans="4:4" x14ac:dyDescent="0.25">
      <c r="D2434" s="35"/>
    </row>
    <row r="2435" spans="4:4" x14ac:dyDescent="0.25">
      <c r="D2435" s="63"/>
    </row>
    <row r="2436" spans="4:4" x14ac:dyDescent="0.25">
      <c r="D2436" s="64"/>
    </row>
    <row r="2437" spans="4:4" x14ac:dyDescent="0.25">
      <c r="D2437" s="35"/>
    </row>
    <row r="2438" spans="4:4" x14ac:dyDescent="0.25">
      <c r="D2438" s="63"/>
    </row>
    <row r="2439" spans="4:4" x14ac:dyDescent="0.25">
      <c r="D2439" s="64"/>
    </row>
    <row r="2440" spans="4:4" x14ac:dyDescent="0.25">
      <c r="D2440" s="35"/>
    </row>
    <row r="2441" spans="4:4" x14ac:dyDescent="0.25">
      <c r="D2441" s="63"/>
    </row>
    <row r="2442" spans="4:4" x14ac:dyDescent="0.25">
      <c r="D2442" s="64"/>
    </row>
    <row r="2443" spans="4:4" x14ac:dyDescent="0.25">
      <c r="D2443" s="35"/>
    </row>
    <row r="2444" spans="4:4" x14ac:dyDescent="0.25">
      <c r="D2444" s="63"/>
    </row>
    <row r="2445" spans="4:4" x14ac:dyDescent="0.25">
      <c r="D2445" s="64"/>
    </row>
    <row r="2446" spans="4:4" x14ac:dyDescent="0.25">
      <c r="D2446" s="35"/>
    </row>
    <row r="2447" spans="4:4" x14ac:dyDescent="0.25">
      <c r="D2447" s="63"/>
    </row>
    <row r="2448" spans="4:4" x14ac:dyDescent="0.25">
      <c r="D2448" s="64"/>
    </row>
    <row r="2449" spans="4:4" x14ac:dyDescent="0.25">
      <c r="D2449" s="35"/>
    </row>
    <row r="2450" spans="4:4" x14ac:dyDescent="0.25">
      <c r="D2450" s="63"/>
    </row>
    <row r="2451" spans="4:4" x14ac:dyDescent="0.25">
      <c r="D2451" s="64"/>
    </row>
    <row r="2452" spans="4:4" x14ac:dyDescent="0.25">
      <c r="D2452" s="35"/>
    </row>
    <row r="2453" spans="4:4" x14ac:dyDescent="0.25">
      <c r="D2453" s="63"/>
    </row>
    <row r="2454" spans="4:4" x14ac:dyDescent="0.25">
      <c r="D2454" s="64"/>
    </row>
    <row r="2455" spans="4:4" x14ac:dyDescent="0.25">
      <c r="D2455" s="35"/>
    </row>
    <row r="2456" spans="4:4" x14ac:dyDescent="0.25">
      <c r="D2456" s="63"/>
    </row>
    <row r="2457" spans="4:4" x14ac:dyDescent="0.25">
      <c r="D2457" s="64"/>
    </row>
    <row r="2458" spans="4:4" x14ac:dyDescent="0.25">
      <c r="D2458" s="35"/>
    </row>
    <row r="2459" spans="4:4" x14ac:dyDescent="0.25">
      <c r="D2459" s="63"/>
    </row>
    <row r="2460" spans="4:4" x14ac:dyDescent="0.25">
      <c r="D2460" s="64"/>
    </row>
    <row r="2461" spans="4:4" x14ac:dyDescent="0.25">
      <c r="D2461" s="35"/>
    </row>
    <row r="2462" spans="4:4" x14ac:dyDescent="0.25">
      <c r="D2462" s="63"/>
    </row>
    <row r="2463" spans="4:4" x14ac:dyDescent="0.25">
      <c r="D2463" s="64"/>
    </row>
    <row r="2464" spans="4:4" x14ac:dyDescent="0.25">
      <c r="D2464" s="35"/>
    </row>
    <row r="2465" spans="4:4" x14ac:dyDescent="0.25">
      <c r="D2465" s="63"/>
    </row>
    <row r="2466" spans="4:4" x14ac:dyDescent="0.25">
      <c r="D2466" s="64"/>
    </row>
    <row r="2467" spans="4:4" x14ac:dyDescent="0.25">
      <c r="D2467" s="35"/>
    </row>
    <row r="2468" spans="4:4" x14ac:dyDescent="0.25">
      <c r="D2468" s="63"/>
    </row>
    <row r="2469" spans="4:4" x14ac:dyDescent="0.25">
      <c r="D2469" s="64"/>
    </row>
    <row r="2470" spans="4:4" x14ac:dyDescent="0.25">
      <c r="D2470" s="35"/>
    </row>
    <row r="2471" spans="4:4" x14ac:dyDescent="0.25">
      <c r="D2471" s="63"/>
    </row>
    <row r="2472" spans="4:4" x14ac:dyDescent="0.25">
      <c r="D2472" s="64"/>
    </row>
    <row r="2473" spans="4:4" x14ac:dyDescent="0.25">
      <c r="D2473" s="35"/>
    </row>
    <row r="2474" spans="4:4" x14ac:dyDescent="0.25">
      <c r="D2474" s="63"/>
    </row>
    <row r="2475" spans="4:4" x14ac:dyDescent="0.25">
      <c r="D2475" s="64"/>
    </row>
    <row r="2476" spans="4:4" x14ac:dyDescent="0.25">
      <c r="D2476" s="35"/>
    </row>
    <row r="2477" spans="4:4" x14ac:dyDescent="0.25">
      <c r="D2477" s="63"/>
    </row>
    <row r="2478" spans="4:4" x14ac:dyDescent="0.25">
      <c r="D2478" s="64"/>
    </row>
    <row r="2479" spans="4:4" x14ac:dyDescent="0.25">
      <c r="D2479" s="35"/>
    </row>
    <row r="2480" spans="4:4" x14ac:dyDescent="0.25">
      <c r="D2480" s="63"/>
    </row>
    <row r="2481" spans="4:4" x14ac:dyDescent="0.25">
      <c r="D2481" s="64"/>
    </row>
    <row r="2482" spans="4:4" x14ac:dyDescent="0.25">
      <c r="D2482" s="35"/>
    </row>
    <row r="2483" spans="4:4" x14ac:dyDescent="0.25">
      <c r="D2483" s="63"/>
    </row>
    <row r="2484" spans="4:4" x14ac:dyDescent="0.25">
      <c r="D2484" s="64"/>
    </row>
    <row r="2485" spans="4:4" x14ac:dyDescent="0.25">
      <c r="D2485" s="35"/>
    </row>
    <row r="2486" spans="4:4" x14ac:dyDescent="0.25">
      <c r="D2486" s="63"/>
    </row>
    <row r="2487" spans="4:4" x14ac:dyDescent="0.25">
      <c r="D2487" s="64"/>
    </row>
    <row r="2488" spans="4:4" x14ac:dyDescent="0.25">
      <c r="D2488" s="35"/>
    </row>
    <row r="2489" spans="4:4" x14ac:dyDescent="0.25">
      <c r="D2489" s="63"/>
    </row>
    <row r="2490" spans="4:4" x14ac:dyDescent="0.25">
      <c r="D2490" s="64"/>
    </row>
    <row r="2491" spans="4:4" x14ac:dyDescent="0.25">
      <c r="D2491" s="35"/>
    </row>
    <row r="2492" spans="4:4" x14ac:dyDescent="0.25">
      <c r="D2492" s="63"/>
    </row>
    <row r="2493" spans="4:4" x14ac:dyDescent="0.25">
      <c r="D2493" s="64"/>
    </row>
    <row r="2494" spans="4:4" x14ac:dyDescent="0.25">
      <c r="D2494" s="35"/>
    </row>
    <row r="2495" spans="4:4" x14ac:dyDescent="0.25">
      <c r="D2495" s="63"/>
    </row>
    <row r="2496" spans="4:4" x14ac:dyDescent="0.25">
      <c r="D2496" s="64"/>
    </row>
    <row r="2497" spans="4:4" x14ac:dyDescent="0.25">
      <c r="D2497" s="35"/>
    </row>
    <row r="2498" spans="4:4" x14ac:dyDescent="0.25">
      <c r="D2498" s="63"/>
    </row>
    <row r="2499" spans="4:4" x14ac:dyDescent="0.25">
      <c r="D2499" s="64"/>
    </row>
    <row r="2500" spans="4:4" x14ac:dyDescent="0.25">
      <c r="D2500" s="35"/>
    </row>
    <row r="2501" spans="4:4" x14ac:dyDescent="0.25">
      <c r="D2501" s="63"/>
    </row>
    <row r="2502" spans="4:4" x14ac:dyDescent="0.25">
      <c r="D2502" s="64"/>
    </row>
    <row r="2503" spans="4:4" x14ac:dyDescent="0.25">
      <c r="D2503" s="35"/>
    </row>
    <row r="2504" spans="4:4" x14ac:dyDescent="0.25">
      <c r="D2504" s="63"/>
    </row>
    <row r="2505" spans="4:4" x14ac:dyDescent="0.25">
      <c r="D2505" s="64"/>
    </row>
    <row r="2506" spans="4:4" x14ac:dyDescent="0.25">
      <c r="D2506" s="35"/>
    </row>
    <row r="2507" spans="4:4" x14ac:dyDescent="0.25">
      <c r="D2507" s="63"/>
    </row>
    <row r="2508" spans="4:4" x14ac:dyDescent="0.25">
      <c r="D2508" s="64"/>
    </row>
    <row r="2509" spans="4:4" x14ac:dyDescent="0.25">
      <c r="D2509" s="35"/>
    </row>
    <row r="2510" spans="4:4" x14ac:dyDescent="0.25">
      <c r="D2510" s="64"/>
    </row>
    <row r="2511" spans="4:4" x14ac:dyDescent="0.25">
      <c r="D2511" s="35"/>
    </row>
    <row r="2512" spans="4:4" x14ac:dyDescent="0.25">
      <c r="D2512" s="63"/>
    </row>
    <row r="2513" spans="4:4" x14ac:dyDescent="0.25">
      <c r="D2513" s="64"/>
    </row>
    <row r="2514" spans="4:4" x14ac:dyDescent="0.25">
      <c r="D2514" s="35"/>
    </row>
    <row r="2515" spans="4:4" x14ac:dyDescent="0.25">
      <c r="D2515" s="63"/>
    </row>
    <row r="2516" spans="4:4" x14ac:dyDescent="0.25">
      <c r="D2516" s="64"/>
    </row>
    <row r="2517" spans="4:4" x14ac:dyDescent="0.25">
      <c r="D2517" s="35"/>
    </row>
    <row r="2518" spans="4:4" x14ac:dyDescent="0.25">
      <c r="D2518" s="63"/>
    </row>
    <row r="2519" spans="4:4" x14ac:dyDescent="0.25">
      <c r="D2519" s="64"/>
    </row>
    <row r="2520" spans="4:4" x14ac:dyDescent="0.25">
      <c r="D2520" s="35"/>
    </row>
    <row r="2521" spans="4:4" x14ac:dyDescent="0.25">
      <c r="D2521" s="63"/>
    </row>
    <row r="2522" spans="4:4" x14ac:dyDescent="0.25">
      <c r="D2522" s="64"/>
    </row>
    <row r="2523" spans="4:4" x14ac:dyDescent="0.25">
      <c r="D2523" s="35"/>
    </row>
    <row r="2524" spans="4:4" x14ac:dyDescent="0.25">
      <c r="D2524" s="63"/>
    </row>
    <row r="2525" spans="4:4" x14ac:dyDescent="0.25">
      <c r="D2525" s="64"/>
    </row>
    <row r="2526" spans="4:4" x14ac:dyDescent="0.25">
      <c r="D2526" s="35"/>
    </row>
    <row r="2527" spans="4:4" x14ac:dyDescent="0.25">
      <c r="D2527" s="63"/>
    </row>
    <row r="2528" spans="4:4" x14ac:dyDescent="0.25">
      <c r="D2528" s="64"/>
    </row>
    <row r="2529" spans="4:4" x14ac:dyDescent="0.25">
      <c r="D2529" s="35"/>
    </row>
    <row r="2530" spans="4:4" x14ac:dyDescent="0.25">
      <c r="D2530" s="63"/>
    </row>
    <row r="2531" spans="4:4" x14ac:dyDescent="0.25">
      <c r="D2531" s="64"/>
    </row>
    <row r="2532" spans="4:4" x14ac:dyDescent="0.25">
      <c r="D2532" s="35"/>
    </row>
    <row r="2533" spans="4:4" x14ac:dyDescent="0.25">
      <c r="D2533" s="63"/>
    </row>
    <row r="2534" spans="4:4" x14ac:dyDescent="0.25">
      <c r="D2534" s="64"/>
    </row>
    <row r="2535" spans="4:4" x14ac:dyDescent="0.25">
      <c r="D2535" s="35"/>
    </row>
    <row r="2536" spans="4:4" x14ac:dyDescent="0.25">
      <c r="D2536" s="63"/>
    </row>
    <row r="2537" spans="4:4" x14ac:dyDescent="0.25">
      <c r="D2537" s="64"/>
    </row>
    <row r="2538" spans="4:4" x14ac:dyDescent="0.25">
      <c r="D2538" s="35"/>
    </row>
    <row r="2539" spans="4:4" x14ac:dyDescent="0.25">
      <c r="D2539" s="63"/>
    </row>
    <row r="2540" spans="4:4" x14ac:dyDescent="0.25">
      <c r="D2540" s="64"/>
    </row>
    <row r="2541" spans="4:4" x14ac:dyDescent="0.25">
      <c r="D2541" s="35"/>
    </row>
    <row r="2542" spans="4:4" x14ac:dyDescent="0.25">
      <c r="D2542" s="63"/>
    </row>
    <row r="2543" spans="4:4" x14ac:dyDescent="0.25">
      <c r="D2543" s="64"/>
    </row>
    <row r="2544" spans="4:4" x14ac:dyDescent="0.25">
      <c r="D2544" s="35"/>
    </row>
    <row r="2545" spans="4:4" x14ac:dyDescent="0.25">
      <c r="D2545" s="63"/>
    </row>
    <row r="2546" spans="4:4" x14ac:dyDescent="0.25">
      <c r="D2546" s="64"/>
    </row>
    <row r="2547" spans="4:4" x14ac:dyDescent="0.25">
      <c r="D2547" s="35"/>
    </row>
    <row r="2548" spans="4:4" x14ac:dyDescent="0.25">
      <c r="D2548" s="63"/>
    </row>
    <row r="2549" spans="4:4" x14ac:dyDescent="0.25">
      <c r="D2549" s="64"/>
    </row>
    <row r="2550" spans="4:4" x14ac:dyDescent="0.25">
      <c r="D2550" s="35"/>
    </row>
    <row r="2551" spans="4:4" x14ac:dyDescent="0.25">
      <c r="D2551" s="63"/>
    </row>
    <row r="2552" spans="4:4" x14ac:dyDescent="0.25">
      <c r="D2552" s="64"/>
    </row>
    <row r="2553" spans="4:4" x14ac:dyDescent="0.25">
      <c r="D2553" s="35"/>
    </row>
    <row r="2554" spans="4:4" x14ac:dyDescent="0.25">
      <c r="D2554" s="63"/>
    </row>
    <row r="2555" spans="4:4" x14ac:dyDescent="0.25">
      <c r="D2555" s="64"/>
    </row>
    <row r="2556" spans="4:4" x14ac:dyDescent="0.25">
      <c r="D2556" s="35"/>
    </row>
    <row r="2557" spans="4:4" x14ac:dyDescent="0.25">
      <c r="D2557" s="63"/>
    </row>
    <row r="2558" spans="4:4" x14ac:dyDescent="0.25">
      <c r="D2558" s="64"/>
    </row>
    <row r="2559" spans="4:4" x14ac:dyDescent="0.25">
      <c r="D2559" s="35"/>
    </row>
    <row r="2560" spans="4:4" x14ac:dyDescent="0.25">
      <c r="D2560" s="63"/>
    </row>
    <row r="2561" spans="4:4" x14ac:dyDescent="0.25">
      <c r="D2561" s="64"/>
    </row>
    <row r="2562" spans="4:4" x14ac:dyDescent="0.25">
      <c r="D2562" s="35"/>
    </row>
    <row r="2563" spans="4:4" x14ac:dyDescent="0.25">
      <c r="D2563" s="63"/>
    </row>
    <row r="2564" spans="4:4" x14ac:dyDescent="0.25">
      <c r="D2564" s="64"/>
    </row>
    <row r="2565" spans="4:4" x14ac:dyDescent="0.25">
      <c r="D2565" s="35"/>
    </row>
    <row r="2566" spans="4:4" x14ac:dyDescent="0.25">
      <c r="D2566" s="63"/>
    </row>
    <row r="2567" spans="4:4" x14ac:dyDescent="0.25">
      <c r="D2567" s="64"/>
    </row>
    <row r="2568" spans="4:4" x14ac:dyDescent="0.25">
      <c r="D2568" s="35"/>
    </row>
    <row r="2569" spans="4:4" x14ac:dyDescent="0.25">
      <c r="D2569" s="63"/>
    </row>
    <row r="2570" spans="4:4" x14ac:dyDescent="0.25">
      <c r="D2570" s="64"/>
    </row>
    <row r="2571" spans="4:4" x14ac:dyDescent="0.25">
      <c r="D2571" s="35"/>
    </row>
    <row r="2572" spans="4:4" x14ac:dyDescent="0.25">
      <c r="D2572" s="63"/>
    </row>
    <row r="2573" spans="4:4" x14ac:dyDescent="0.25">
      <c r="D2573" s="64"/>
    </row>
    <row r="2574" spans="4:4" x14ac:dyDescent="0.25">
      <c r="D2574" s="35"/>
    </row>
    <row r="2575" spans="4:4" x14ac:dyDescent="0.25">
      <c r="D2575" s="63"/>
    </row>
    <row r="2576" spans="4:4" x14ac:dyDescent="0.25">
      <c r="D2576" s="64"/>
    </row>
    <row r="2577" spans="4:4" x14ac:dyDescent="0.25">
      <c r="D2577" s="35"/>
    </row>
    <row r="2578" spans="4:4" x14ac:dyDescent="0.25">
      <c r="D2578" s="63"/>
    </row>
    <row r="2579" spans="4:4" x14ac:dyDescent="0.25">
      <c r="D2579" s="64"/>
    </row>
    <row r="2580" spans="4:4" x14ac:dyDescent="0.25">
      <c r="D2580" s="35"/>
    </row>
    <row r="2581" spans="4:4" x14ac:dyDescent="0.25">
      <c r="D2581" s="63"/>
    </row>
    <row r="2582" spans="4:4" x14ac:dyDescent="0.25">
      <c r="D2582" s="64"/>
    </row>
    <row r="2583" spans="4:4" x14ac:dyDescent="0.25">
      <c r="D2583" s="35"/>
    </row>
    <row r="2584" spans="4:4" x14ac:dyDescent="0.25">
      <c r="D2584" s="63"/>
    </row>
    <row r="2585" spans="4:4" x14ac:dyDescent="0.25">
      <c r="D2585" s="64"/>
    </row>
    <row r="2586" spans="4:4" x14ac:dyDescent="0.25">
      <c r="D2586" s="35"/>
    </row>
    <row r="2587" spans="4:4" x14ac:dyDescent="0.25">
      <c r="D2587" s="63"/>
    </row>
    <row r="2588" spans="4:4" x14ac:dyDescent="0.25">
      <c r="D2588" s="64"/>
    </row>
    <row r="2589" spans="4:4" x14ac:dyDescent="0.25">
      <c r="D2589" s="35"/>
    </row>
    <row r="2590" spans="4:4" x14ac:dyDescent="0.25">
      <c r="D2590" s="63"/>
    </row>
    <row r="2591" spans="4:4" x14ac:dyDescent="0.25">
      <c r="D2591" s="64"/>
    </row>
    <row r="2592" spans="4:4" x14ac:dyDescent="0.25">
      <c r="D2592" s="35"/>
    </row>
    <row r="2593" spans="4:4" x14ac:dyDescent="0.25">
      <c r="D2593" s="63"/>
    </row>
    <row r="2594" spans="4:4" x14ac:dyDescent="0.25">
      <c r="D2594" s="64"/>
    </row>
    <row r="2595" spans="4:4" x14ac:dyDescent="0.25">
      <c r="D2595" s="35"/>
    </row>
    <row r="2596" spans="4:4" x14ac:dyDescent="0.25">
      <c r="D2596" s="63"/>
    </row>
    <row r="2597" spans="4:4" x14ac:dyDescent="0.25">
      <c r="D2597" s="64"/>
    </row>
    <row r="2598" spans="4:4" x14ac:dyDescent="0.25">
      <c r="D2598" s="35"/>
    </row>
    <row r="2599" spans="4:4" x14ac:dyDescent="0.25">
      <c r="D2599" s="63"/>
    </row>
    <row r="2600" spans="4:4" x14ac:dyDescent="0.25">
      <c r="D2600" s="64"/>
    </row>
    <row r="2601" spans="4:4" x14ac:dyDescent="0.25">
      <c r="D2601" s="35"/>
    </row>
    <row r="2602" spans="4:4" x14ac:dyDescent="0.25">
      <c r="D2602" s="63"/>
    </row>
    <row r="2603" spans="4:4" x14ac:dyDescent="0.25">
      <c r="D2603" s="64"/>
    </row>
    <row r="2604" spans="4:4" x14ac:dyDescent="0.25">
      <c r="D2604" s="35"/>
    </row>
    <row r="2605" spans="4:4" x14ac:dyDescent="0.25">
      <c r="D2605" s="63"/>
    </row>
    <row r="2606" spans="4:4" x14ac:dyDescent="0.25">
      <c r="D2606" s="64"/>
    </row>
    <row r="2607" spans="4:4" x14ac:dyDescent="0.25">
      <c r="D2607" s="35"/>
    </row>
    <row r="2608" spans="4:4" x14ac:dyDescent="0.25">
      <c r="D2608" s="63"/>
    </row>
    <row r="2609" spans="4:4" x14ac:dyDescent="0.25">
      <c r="D2609" s="64"/>
    </row>
    <row r="2610" spans="4:4" x14ac:dyDescent="0.25">
      <c r="D2610" s="35"/>
    </row>
    <row r="2611" spans="4:4" x14ac:dyDescent="0.25">
      <c r="D2611" s="63"/>
    </row>
    <row r="2612" spans="4:4" x14ac:dyDescent="0.25">
      <c r="D2612" s="64"/>
    </row>
    <row r="2613" spans="4:4" x14ac:dyDescent="0.25">
      <c r="D2613" s="35"/>
    </row>
    <row r="2614" spans="4:4" x14ac:dyDescent="0.25">
      <c r="D2614" s="63"/>
    </row>
    <row r="2615" spans="4:4" x14ac:dyDescent="0.25">
      <c r="D2615" s="64"/>
    </row>
    <row r="2616" spans="4:4" x14ac:dyDescent="0.25">
      <c r="D2616" s="35"/>
    </row>
    <row r="2617" spans="4:4" x14ac:dyDescent="0.25">
      <c r="D2617" s="63"/>
    </row>
    <row r="2618" spans="4:4" x14ac:dyDescent="0.25">
      <c r="D2618" s="64"/>
    </row>
    <row r="2619" spans="4:4" x14ac:dyDescent="0.25">
      <c r="D2619" s="35"/>
    </row>
    <row r="2620" spans="4:4" x14ac:dyDescent="0.25">
      <c r="D2620" s="63"/>
    </row>
    <row r="2621" spans="4:4" x14ac:dyDescent="0.25">
      <c r="D2621" s="64"/>
    </row>
    <row r="2622" spans="4:4" x14ac:dyDescent="0.25">
      <c r="D2622" s="35"/>
    </row>
    <row r="2623" spans="4:4" x14ac:dyDescent="0.25">
      <c r="D2623" s="63"/>
    </row>
    <row r="2624" spans="4:4" x14ac:dyDescent="0.25">
      <c r="D2624" s="64"/>
    </row>
    <row r="2625" spans="4:4" x14ac:dyDescent="0.25">
      <c r="D2625" s="35"/>
    </row>
    <row r="2626" spans="4:4" x14ac:dyDescent="0.25">
      <c r="D2626" s="63"/>
    </row>
    <row r="2627" spans="4:4" x14ac:dyDescent="0.25">
      <c r="D2627" s="64"/>
    </row>
    <row r="2628" spans="4:4" x14ac:dyDescent="0.25">
      <c r="D2628" s="35"/>
    </row>
    <row r="2629" spans="4:4" x14ac:dyDescent="0.25">
      <c r="D2629" s="63"/>
    </row>
    <row r="2630" spans="4:4" x14ac:dyDescent="0.25">
      <c r="D2630" s="64"/>
    </row>
    <row r="2631" spans="4:4" x14ac:dyDescent="0.25">
      <c r="D2631" s="35"/>
    </row>
    <row r="2632" spans="4:4" x14ac:dyDescent="0.25">
      <c r="D2632" s="63"/>
    </row>
    <row r="2633" spans="4:4" x14ac:dyDescent="0.25">
      <c r="D2633" s="64"/>
    </row>
    <row r="2634" spans="4:4" x14ac:dyDescent="0.25">
      <c r="D2634" s="35"/>
    </row>
    <row r="2635" spans="4:4" x14ac:dyDescent="0.25">
      <c r="D2635" s="63"/>
    </row>
    <row r="2636" spans="4:4" x14ac:dyDescent="0.25">
      <c r="D2636" s="64"/>
    </row>
    <row r="2637" spans="4:4" x14ac:dyDescent="0.25">
      <c r="D2637" s="35"/>
    </row>
    <row r="2638" spans="4:4" x14ac:dyDescent="0.25">
      <c r="D2638" s="63"/>
    </row>
    <row r="2639" spans="4:4" x14ac:dyDescent="0.25">
      <c r="D2639" s="64"/>
    </row>
    <row r="2640" spans="4:4" x14ac:dyDescent="0.25">
      <c r="D2640" s="35"/>
    </row>
    <row r="2641" spans="4:4" x14ac:dyDescent="0.25">
      <c r="D2641" s="63"/>
    </row>
    <row r="2642" spans="4:4" x14ac:dyDescent="0.25">
      <c r="D2642" s="64"/>
    </row>
    <row r="2643" spans="4:4" x14ac:dyDescent="0.25">
      <c r="D2643" s="35"/>
    </row>
    <row r="2644" spans="4:4" x14ac:dyDescent="0.25">
      <c r="D2644" s="63"/>
    </row>
    <row r="2645" spans="4:4" x14ac:dyDescent="0.25">
      <c r="D2645" s="64"/>
    </row>
    <row r="2646" spans="4:4" x14ac:dyDescent="0.25">
      <c r="D2646" s="35"/>
    </row>
    <row r="2647" spans="4:4" x14ac:dyDescent="0.25">
      <c r="D2647" s="63"/>
    </row>
    <row r="2648" spans="4:4" x14ac:dyDescent="0.25">
      <c r="D2648" s="64"/>
    </row>
    <row r="2649" spans="4:4" x14ac:dyDescent="0.25">
      <c r="D2649" s="35"/>
    </row>
    <row r="2650" spans="4:4" x14ac:dyDescent="0.25">
      <c r="D2650" s="63"/>
    </row>
    <row r="2651" spans="4:4" x14ac:dyDescent="0.25">
      <c r="D2651" s="64"/>
    </row>
    <row r="2652" spans="4:4" x14ac:dyDescent="0.25">
      <c r="D2652" s="35"/>
    </row>
    <row r="2653" spans="4:4" x14ac:dyDescent="0.25">
      <c r="D2653" s="63"/>
    </row>
    <row r="2654" spans="4:4" x14ac:dyDescent="0.25">
      <c r="D2654" s="64"/>
    </row>
    <row r="2655" spans="4:4" x14ac:dyDescent="0.25">
      <c r="D2655" s="35"/>
    </row>
    <row r="2656" spans="4:4" x14ac:dyDescent="0.25">
      <c r="D2656" s="63"/>
    </row>
    <row r="2657" spans="4:4" x14ac:dyDescent="0.25">
      <c r="D2657" s="64"/>
    </row>
    <row r="2658" spans="4:4" x14ac:dyDescent="0.25">
      <c r="D2658" s="35"/>
    </row>
    <row r="2659" spans="4:4" x14ac:dyDescent="0.25">
      <c r="D2659" s="63"/>
    </row>
    <row r="2660" spans="4:4" x14ac:dyDescent="0.25">
      <c r="D2660" s="64"/>
    </row>
    <row r="2661" spans="4:4" x14ac:dyDescent="0.25">
      <c r="D2661" s="35"/>
    </row>
    <row r="2662" spans="4:4" x14ac:dyDescent="0.25">
      <c r="D2662" s="63"/>
    </row>
    <row r="2663" spans="4:4" x14ac:dyDescent="0.25">
      <c r="D2663" s="64"/>
    </row>
    <row r="2664" spans="4:4" x14ac:dyDescent="0.25">
      <c r="D2664" s="35"/>
    </row>
    <row r="2665" spans="4:4" x14ac:dyDescent="0.25">
      <c r="D2665" s="63"/>
    </row>
    <row r="2666" spans="4:4" x14ac:dyDescent="0.25">
      <c r="D2666" s="64"/>
    </row>
    <row r="2667" spans="4:4" x14ac:dyDescent="0.25">
      <c r="D2667" s="35"/>
    </row>
    <row r="2668" spans="4:4" x14ac:dyDescent="0.25">
      <c r="D2668" s="63"/>
    </row>
    <row r="2669" spans="4:4" x14ac:dyDescent="0.25">
      <c r="D2669" s="64"/>
    </row>
    <row r="2670" spans="4:4" x14ac:dyDescent="0.25">
      <c r="D2670" s="35"/>
    </row>
    <row r="2671" spans="4:4" x14ac:dyDescent="0.25">
      <c r="D2671" s="63"/>
    </row>
    <row r="2672" spans="4:4" x14ac:dyDescent="0.25">
      <c r="D2672" s="64"/>
    </row>
    <row r="2673" spans="4:4" x14ac:dyDescent="0.25">
      <c r="D2673" s="35"/>
    </row>
    <row r="2674" spans="4:4" x14ac:dyDescent="0.25">
      <c r="D2674" s="63"/>
    </row>
    <row r="2675" spans="4:4" x14ac:dyDescent="0.25">
      <c r="D2675" s="64"/>
    </row>
    <row r="2676" spans="4:4" x14ac:dyDescent="0.25">
      <c r="D2676" s="35"/>
    </row>
    <row r="2677" spans="4:4" x14ac:dyDescent="0.25">
      <c r="D2677" s="63"/>
    </row>
    <row r="2678" spans="4:4" x14ac:dyDescent="0.25">
      <c r="D2678" s="64"/>
    </row>
    <row r="2679" spans="4:4" x14ac:dyDescent="0.25">
      <c r="D2679" s="35"/>
    </row>
    <row r="2680" spans="4:4" x14ac:dyDescent="0.25">
      <c r="D2680" s="63"/>
    </row>
    <row r="2681" spans="4:4" x14ac:dyDescent="0.25">
      <c r="D2681" s="64"/>
    </row>
    <row r="2682" spans="4:4" x14ac:dyDescent="0.25">
      <c r="D2682" s="35"/>
    </row>
    <row r="2683" spans="4:4" x14ac:dyDescent="0.25">
      <c r="D2683" s="63"/>
    </row>
    <row r="2684" spans="4:4" x14ac:dyDescent="0.25">
      <c r="D2684" s="64"/>
    </row>
    <row r="2685" spans="4:4" x14ac:dyDescent="0.25">
      <c r="D2685" s="35"/>
    </row>
    <row r="2686" spans="4:4" x14ac:dyDescent="0.25">
      <c r="D2686" s="63"/>
    </row>
    <row r="2687" spans="4:4" x14ac:dyDescent="0.25">
      <c r="D2687" s="64"/>
    </row>
    <row r="2688" spans="4:4" x14ac:dyDescent="0.25">
      <c r="D2688" s="35"/>
    </row>
    <row r="2689" spans="4:4" x14ac:dyDescent="0.25">
      <c r="D2689" s="63"/>
    </row>
    <row r="2690" spans="4:4" x14ac:dyDescent="0.25">
      <c r="D2690" s="64"/>
    </row>
    <row r="2691" spans="4:4" x14ac:dyDescent="0.25">
      <c r="D2691" s="35"/>
    </row>
    <row r="2692" spans="4:4" x14ac:dyDescent="0.25">
      <c r="D2692" s="63"/>
    </row>
    <row r="2693" spans="4:4" x14ac:dyDescent="0.25">
      <c r="D2693" s="64"/>
    </row>
    <row r="2694" spans="4:4" x14ac:dyDescent="0.25">
      <c r="D2694" s="35"/>
    </row>
    <row r="2695" spans="4:4" x14ac:dyDescent="0.25">
      <c r="D2695" s="63"/>
    </row>
    <row r="2696" spans="4:4" x14ac:dyDescent="0.25">
      <c r="D2696" s="64"/>
    </row>
    <row r="2697" spans="4:4" x14ac:dyDescent="0.25">
      <c r="D2697" s="35"/>
    </row>
    <row r="2698" spans="4:4" x14ac:dyDescent="0.25">
      <c r="D2698" s="63"/>
    </row>
    <row r="2699" spans="4:4" x14ac:dyDescent="0.25">
      <c r="D2699" s="64"/>
    </row>
    <row r="2700" spans="4:4" x14ac:dyDescent="0.25">
      <c r="D2700" s="35"/>
    </row>
    <row r="2701" spans="4:4" x14ac:dyDescent="0.25">
      <c r="D2701" s="63"/>
    </row>
    <row r="2702" spans="4:4" x14ac:dyDescent="0.25">
      <c r="D2702" s="64"/>
    </row>
    <row r="2703" spans="4:4" x14ac:dyDescent="0.25">
      <c r="D2703" s="35"/>
    </row>
    <row r="2704" spans="4:4" x14ac:dyDescent="0.25">
      <c r="D2704" s="63"/>
    </row>
    <row r="2705" spans="4:4" x14ac:dyDescent="0.25">
      <c r="D2705" s="64"/>
    </row>
    <row r="2706" spans="4:4" x14ac:dyDescent="0.25">
      <c r="D2706" s="35"/>
    </row>
    <row r="2707" spans="4:4" x14ac:dyDescent="0.25">
      <c r="D2707" s="63"/>
    </row>
    <row r="2708" spans="4:4" x14ac:dyDescent="0.25">
      <c r="D2708" s="64"/>
    </row>
    <row r="2709" spans="4:4" x14ac:dyDescent="0.25">
      <c r="D2709" s="35"/>
    </row>
    <row r="2710" spans="4:4" x14ac:dyDescent="0.25">
      <c r="D2710" s="63"/>
    </row>
    <row r="2711" spans="4:4" x14ac:dyDescent="0.25">
      <c r="D2711" s="64"/>
    </row>
    <row r="2712" spans="4:4" x14ac:dyDescent="0.25">
      <c r="D2712" s="35"/>
    </row>
    <row r="2713" spans="4:4" x14ac:dyDescent="0.25">
      <c r="D2713" s="63"/>
    </row>
    <row r="2714" spans="4:4" x14ac:dyDescent="0.25">
      <c r="D2714" s="64"/>
    </row>
    <row r="2715" spans="4:4" x14ac:dyDescent="0.25">
      <c r="D2715" s="35"/>
    </row>
    <row r="2716" spans="4:4" x14ac:dyDescent="0.25">
      <c r="D2716" s="63"/>
    </row>
    <row r="2717" spans="4:4" x14ac:dyDescent="0.25">
      <c r="D2717" s="64"/>
    </row>
    <row r="2718" spans="4:4" x14ac:dyDescent="0.25">
      <c r="D2718" s="35"/>
    </row>
    <row r="2719" spans="4:4" x14ac:dyDescent="0.25">
      <c r="D2719" s="63"/>
    </row>
    <row r="2720" spans="4:4" x14ac:dyDescent="0.25">
      <c r="D2720" s="64"/>
    </row>
    <row r="2721" spans="4:4" x14ac:dyDescent="0.25">
      <c r="D2721" s="35"/>
    </row>
    <row r="2722" spans="4:4" x14ac:dyDescent="0.25">
      <c r="D2722" s="63"/>
    </row>
    <row r="2723" spans="4:4" x14ac:dyDescent="0.25">
      <c r="D2723" s="64"/>
    </row>
    <row r="2724" spans="4:4" x14ac:dyDescent="0.25">
      <c r="D2724" s="35"/>
    </row>
    <row r="2725" spans="4:4" x14ac:dyDescent="0.25">
      <c r="D2725" s="63"/>
    </row>
    <row r="2726" spans="4:4" x14ac:dyDescent="0.25">
      <c r="D2726" s="64"/>
    </row>
    <row r="2727" spans="4:4" x14ac:dyDescent="0.25">
      <c r="D2727" s="35"/>
    </row>
    <row r="2728" spans="4:4" x14ac:dyDescent="0.25">
      <c r="D2728" s="63"/>
    </row>
    <row r="2729" spans="4:4" x14ac:dyDescent="0.25">
      <c r="D2729" s="64"/>
    </row>
    <row r="2730" spans="4:4" x14ac:dyDescent="0.25">
      <c r="D2730" s="35"/>
    </row>
    <row r="2731" spans="4:4" x14ac:dyDescent="0.25">
      <c r="D2731" s="63"/>
    </row>
    <row r="2732" spans="4:4" x14ac:dyDescent="0.25">
      <c r="D2732" s="64"/>
    </row>
    <row r="2733" spans="4:4" x14ac:dyDescent="0.25">
      <c r="D2733" s="35"/>
    </row>
    <row r="2734" spans="4:4" x14ac:dyDescent="0.25">
      <c r="D2734" s="63"/>
    </row>
    <row r="2735" spans="4:4" x14ac:dyDescent="0.25">
      <c r="D2735" s="64"/>
    </row>
    <row r="2736" spans="4:4" x14ac:dyDescent="0.25">
      <c r="D2736" s="35"/>
    </row>
    <row r="2737" spans="4:4" x14ac:dyDescent="0.25">
      <c r="D2737" s="63"/>
    </row>
    <row r="2738" spans="4:4" x14ac:dyDescent="0.25">
      <c r="D2738" s="64"/>
    </row>
    <row r="2739" spans="4:4" x14ac:dyDescent="0.25">
      <c r="D2739" s="35"/>
    </row>
    <row r="2740" spans="4:4" x14ac:dyDescent="0.25">
      <c r="D2740" s="63"/>
    </row>
    <row r="2741" spans="4:4" x14ac:dyDescent="0.25">
      <c r="D2741" s="64"/>
    </row>
    <row r="2742" spans="4:4" x14ac:dyDescent="0.25">
      <c r="D2742" s="35"/>
    </row>
    <row r="2743" spans="4:4" x14ac:dyDescent="0.25">
      <c r="D2743" s="63"/>
    </row>
    <row r="2744" spans="4:4" x14ac:dyDescent="0.25">
      <c r="D2744" s="64"/>
    </row>
    <row r="2745" spans="4:4" x14ac:dyDescent="0.25">
      <c r="D2745" s="35"/>
    </row>
    <row r="2746" spans="4:4" x14ac:dyDescent="0.25">
      <c r="D2746" s="63"/>
    </row>
    <row r="2747" spans="4:4" x14ac:dyDescent="0.25">
      <c r="D2747" s="64"/>
    </row>
    <row r="2748" spans="4:4" x14ac:dyDescent="0.25">
      <c r="D2748" s="35"/>
    </row>
    <row r="2749" spans="4:4" x14ac:dyDescent="0.25">
      <c r="D2749" s="63"/>
    </row>
    <row r="2750" spans="4:4" x14ac:dyDescent="0.25">
      <c r="D2750" s="64"/>
    </row>
    <row r="2751" spans="4:4" x14ac:dyDescent="0.25">
      <c r="D2751" s="35"/>
    </row>
    <row r="2752" spans="4:4" x14ac:dyDescent="0.25">
      <c r="D2752" s="63"/>
    </row>
    <row r="2753" spans="4:4" x14ac:dyDescent="0.25">
      <c r="D2753" s="64"/>
    </row>
    <row r="2754" spans="4:4" x14ac:dyDescent="0.25">
      <c r="D2754" s="35"/>
    </row>
    <row r="2755" spans="4:4" x14ac:dyDescent="0.25">
      <c r="D2755" s="63"/>
    </row>
    <row r="2756" spans="4:4" x14ac:dyDescent="0.25">
      <c r="D2756" s="64"/>
    </row>
    <row r="2757" spans="4:4" x14ac:dyDescent="0.25">
      <c r="D2757" s="35"/>
    </row>
    <row r="2758" spans="4:4" x14ac:dyDescent="0.25">
      <c r="D2758" s="63"/>
    </row>
    <row r="2759" spans="4:4" x14ac:dyDescent="0.25">
      <c r="D2759" s="64"/>
    </row>
    <row r="2760" spans="4:4" x14ac:dyDescent="0.25">
      <c r="D2760" s="35"/>
    </row>
    <row r="2761" spans="4:4" x14ac:dyDescent="0.25">
      <c r="D2761" s="63"/>
    </row>
    <row r="2762" spans="4:4" x14ac:dyDescent="0.25">
      <c r="D2762" s="64"/>
    </row>
    <row r="2763" spans="4:4" x14ac:dyDescent="0.25">
      <c r="D2763" s="35"/>
    </row>
    <row r="2764" spans="4:4" x14ac:dyDescent="0.25">
      <c r="D2764" s="63"/>
    </row>
    <row r="2765" spans="4:4" x14ac:dyDescent="0.25">
      <c r="D2765" s="64"/>
    </row>
    <row r="2766" spans="4:4" x14ac:dyDescent="0.25">
      <c r="D2766" s="35"/>
    </row>
    <row r="2767" spans="4:4" x14ac:dyDescent="0.25">
      <c r="D2767" s="63"/>
    </row>
    <row r="2768" spans="4:4" x14ac:dyDescent="0.25">
      <c r="D2768" s="64"/>
    </row>
    <row r="2769" spans="4:4" x14ac:dyDescent="0.25">
      <c r="D2769" s="35"/>
    </row>
    <row r="2770" spans="4:4" x14ac:dyDescent="0.25">
      <c r="D2770" s="63"/>
    </row>
    <row r="2771" spans="4:4" x14ac:dyDescent="0.25">
      <c r="D2771" s="64"/>
    </row>
    <row r="2772" spans="4:4" x14ac:dyDescent="0.25">
      <c r="D2772" s="35"/>
    </row>
    <row r="2773" spans="4:4" x14ac:dyDescent="0.25">
      <c r="D2773" s="63"/>
    </row>
    <row r="2774" spans="4:4" x14ac:dyDescent="0.25">
      <c r="D2774" s="64"/>
    </row>
    <row r="2775" spans="4:4" x14ac:dyDescent="0.25">
      <c r="D2775" s="35"/>
    </row>
    <row r="2776" spans="4:4" x14ac:dyDescent="0.25">
      <c r="D2776" s="63"/>
    </row>
    <row r="2777" spans="4:4" x14ac:dyDescent="0.25">
      <c r="D2777" s="64"/>
    </row>
    <row r="2778" spans="4:4" x14ac:dyDescent="0.25">
      <c r="D2778" s="35"/>
    </row>
    <row r="2779" spans="4:4" x14ac:dyDescent="0.25">
      <c r="D2779" s="63"/>
    </row>
    <row r="2780" spans="4:4" x14ac:dyDescent="0.25">
      <c r="D2780" s="64"/>
    </row>
    <row r="2781" spans="4:4" x14ac:dyDescent="0.25">
      <c r="D2781" s="35"/>
    </row>
    <row r="2782" spans="4:4" x14ac:dyDescent="0.25">
      <c r="D2782" s="63"/>
    </row>
    <row r="2783" spans="4:4" x14ac:dyDescent="0.25">
      <c r="D2783" s="64"/>
    </row>
    <row r="2784" spans="4:4" x14ac:dyDescent="0.25">
      <c r="D2784" s="35"/>
    </row>
    <row r="2785" spans="4:4" x14ac:dyDescent="0.25">
      <c r="D2785" s="63"/>
    </row>
    <row r="2786" spans="4:4" x14ac:dyDescent="0.25">
      <c r="D2786" s="64"/>
    </row>
    <row r="2787" spans="4:4" x14ac:dyDescent="0.25">
      <c r="D2787" s="35"/>
    </row>
    <row r="2788" spans="4:4" x14ac:dyDescent="0.25">
      <c r="D2788" s="63"/>
    </row>
    <row r="2789" spans="4:4" x14ac:dyDescent="0.25">
      <c r="D2789" s="64"/>
    </row>
    <row r="2790" spans="4:4" x14ac:dyDescent="0.25">
      <c r="D2790" s="35"/>
    </row>
    <row r="2791" spans="4:4" x14ac:dyDescent="0.25">
      <c r="D2791" s="63"/>
    </row>
    <row r="2792" spans="4:4" x14ac:dyDescent="0.25">
      <c r="D2792" s="64"/>
    </row>
    <row r="2793" spans="4:4" x14ac:dyDescent="0.25">
      <c r="D2793" s="35"/>
    </row>
    <row r="2794" spans="4:4" x14ac:dyDescent="0.25">
      <c r="D2794" s="63"/>
    </row>
    <row r="2795" spans="4:4" x14ac:dyDescent="0.25">
      <c r="D2795" s="64"/>
    </row>
    <row r="2796" spans="4:4" x14ac:dyDescent="0.25">
      <c r="D2796" s="35"/>
    </row>
    <row r="2797" spans="4:4" x14ac:dyDescent="0.25">
      <c r="D2797" s="63"/>
    </row>
    <row r="2798" spans="4:4" x14ac:dyDescent="0.25">
      <c r="D2798" s="64"/>
    </row>
    <row r="2799" spans="4:4" x14ac:dyDescent="0.25">
      <c r="D2799" s="35"/>
    </row>
    <row r="2800" spans="4:4" x14ac:dyDescent="0.25">
      <c r="D2800" s="63"/>
    </row>
    <row r="2801" spans="4:4" x14ac:dyDescent="0.25">
      <c r="D2801" s="64"/>
    </row>
    <row r="2802" spans="4:4" x14ac:dyDescent="0.25">
      <c r="D2802" s="35"/>
    </row>
    <row r="2803" spans="4:4" x14ac:dyDescent="0.25">
      <c r="D2803" s="63"/>
    </row>
    <row r="2804" spans="4:4" x14ac:dyDescent="0.25">
      <c r="D2804" s="64"/>
    </row>
    <row r="2805" spans="4:4" x14ac:dyDescent="0.25">
      <c r="D2805" s="35"/>
    </row>
    <row r="2806" spans="4:4" x14ac:dyDescent="0.25">
      <c r="D2806" s="63"/>
    </row>
    <row r="2807" spans="4:4" x14ac:dyDescent="0.25">
      <c r="D2807" s="64"/>
    </row>
    <row r="2808" spans="4:4" x14ac:dyDescent="0.25">
      <c r="D2808" s="35"/>
    </row>
    <row r="2809" spans="4:4" x14ac:dyDescent="0.25">
      <c r="D2809" s="63"/>
    </row>
    <row r="2810" spans="4:4" x14ac:dyDescent="0.25">
      <c r="D2810" s="64"/>
    </row>
    <row r="2811" spans="4:4" x14ac:dyDescent="0.25">
      <c r="D2811" s="35"/>
    </row>
    <row r="2812" spans="4:4" x14ac:dyDescent="0.25">
      <c r="D2812" s="63"/>
    </row>
    <row r="2813" spans="4:4" x14ac:dyDescent="0.25">
      <c r="D2813" s="64"/>
    </row>
    <row r="2814" spans="4:4" x14ac:dyDescent="0.25">
      <c r="D2814" s="35"/>
    </row>
    <row r="2815" spans="4:4" x14ac:dyDescent="0.25">
      <c r="D2815" s="63"/>
    </row>
    <row r="2816" spans="4:4" x14ac:dyDescent="0.25">
      <c r="D2816" s="64"/>
    </row>
    <row r="2817" spans="4:4" x14ac:dyDescent="0.25">
      <c r="D2817" s="35"/>
    </row>
    <row r="2818" spans="4:4" x14ac:dyDescent="0.25">
      <c r="D2818" s="63"/>
    </row>
    <row r="2819" spans="4:4" x14ac:dyDescent="0.25">
      <c r="D2819" s="64"/>
    </row>
    <row r="2820" spans="4:4" x14ac:dyDescent="0.25">
      <c r="D2820" s="35"/>
    </row>
    <row r="2821" spans="4:4" x14ac:dyDescent="0.25">
      <c r="D2821" s="63"/>
    </row>
    <row r="2822" spans="4:4" x14ac:dyDescent="0.25">
      <c r="D2822" s="64"/>
    </row>
    <row r="2823" spans="4:4" x14ac:dyDescent="0.25">
      <c r="D2823" s="35"/>
    </row>
    <row r="2824" spans="4:4" x14ac:dyDescent="0.25">
      <c r="D2824" s="63"/>
    </row>
    <row r="2825" spans="4:4" x14ac:dyDescent="0.25">
      <c r="D2825" s="64"/>
    </row>
    <row r="2826" spans="4:4" x14ac:dyDescent="0.25">
      <c r="D2826" s="35"/>
    </row>
    <row r="2827" spans="4:4" x14ac:dyDescent="0.25">
      <c r="D2827" s="63"/>
    </row>
    <row r="2828" spans="4:4" x14ac:dyDescent="0.25">
      <c r="D2828" s="64"/>
    </row>
    <row r="2829" spans="4:4" x14ac:dyDescent="0.25">
      <c r="D2829" s="35"/>
    </row>
    <row r="2830" spans="4:4" x14ac:dyDescent="0.25">
      <c r="D2830" s="63"/>
    </row>
    <row r="2831" spans="4:4" x14ac:dyDescent="0.25">
      <c r="D2831" s="64"/>
    </row>
    <row r="2832" spans="4:4" x14ac:dyDescent="0.25">
      <c r="D2832" s="35"/>
    </row>
    <row r="2833" spans="4:4" x14ac:dyDescent="0.25">
      <c r="D2833" s="63"/>
    </row>
    <row r="2834" spans="4:4" x14ac:dyDescent="0.25">
      <c r="D2834" s="64"/>
    </row>
    <row r="2835" spans="4:4" x14ac:dyDescent="0.25">
      <c r="D2835" s="35"/>
    </row>
    <row r="2836" spans="4:4" x14ac:dyDescent="0.25">
      <c r="D2836" s="63"/>
    </row>
    <row r="2837" spans="4:4" x14ac:dyDescent="0.25">
      <c r="D2837" s="64"/>
    </row>
    <row r="2838" spans="4:4" x14ac:dyDescent="0.25">
      <c r="D2838" s="35"/>
    </row>
    <row r="2839" spans="4:4" x14ac:dyDescent="0.25">
      <c r="D2839" s="63"/>
    </row>
    <row r="2840" spans="4:4" x14ac:dyDescent="0.25">
      <c r="D2840" s="64"/>
    </row>
    <row r="2841" spans="4:4" x14ac:dyDescent="0.25">
      <c r="D2841" s="35"/>
    </row>
    <row r="2842" spans="4:4" x14ac:dyDescent="0.25">
      <c r="D2842" s="63"/>
    </row>
    <row r="2843" spans="4:4" x14ac:dyDescent="0.25">
      <c r="D2843" s="64"/>
    </row>
    <row r="2844" spans="4:4" x14ac:dyDescent="0.25">
      <c r="D2844" s="35"/>
    </row>
    <row r="2845" spans="4:4" x14ac:dyDescent="0.25">
      <c r="D2845" s="63"/>
    </row>
    <row r="2846" spans="4:4" x14ac:dyDescent="0.25">
      <c r="D2846" s="64"/>
    </row>
    <row r="2847" spans="4:4" x14ac:dyDescent="0.25">
      <c r="D2847" s="35"/>
    </row>
    <row r="2848" spans="4:4" x14ac:dyDescent="0.25">
      <c r="D2848" s="63"/>
    </row>
    <row r="2849" spans="4:4" x14ac:dyDescent="0.25">
      <c r="D2849" s="64"/>
    </row>
    <row r="2850" spans="4:4" x14ac:dyDescent="0.25">
      <c r="D2850" s="35"/>
    </row>
    <row r="2851" spans="4:4" x14ac:dyDescent="0.25">
      <c r="D2851" s="63"/>
    </row>
    <row r="2852" spans="4:4" x14ac:dyDescent="0.25">
      <c r="D2852" s="64"/>
    </row>
    <row r="2853" spans="4:4" x14ac:dyDescent="0.25">
      <c r="D2853" s="35"/>
    </row>
    <row r="2854" spans="4:4" x14ac:dyDescent="0.25">
      <c r="D2854" s="63"/>
    </row>
    <row r="2855" spans="4:4" x14ac:dyDescent="0.25">
      <c r="D2855" s="64"/>
    </row>
    <row r="2856" spans="4:4" x14ac:dyDescent="0.25">
      <c r="D2856" s="35"/>
    </row>
    <row r="2857" spans="4:4" x14ac:dyDescent="0.25">
      <c r="D2857" s="63"/>
    </row>
    <row r="2858" spans="4:4" x14ac:dyDescent="0.25">
      <c r="D2858" s="64"/>
    </row>
    <row r="2859" spans="4:4" x14ac:dyDescent="0.25">
      <c r="D2859" s="35"/>
    </row>
    <row r="2860" spans="4:4" x14ac:dyDescent="0.25">
      <c r="D2860" s="63"/>
    </row>
    <row r="2861" spans="4:4" x14ac:dyDescent="0.25">
      <c r="D2861" s="64"/>
    </row>
    <row r="2862" spans="4:4" x14ac:dyDescent="0.25">
      <c r="D2862" s="35"/>
    </row>
    <row r="2863" spans="4:4" x14ac:dyDescent="0.25">
      <c r="D2863" s="63"/>
    </row>
    <row r="2864" spans="4:4" x14ac:dyDescent="0.25">
      <c r="D2864" s="64"/>
    </row>
    <row r="2865" spans="4:4" x14ac:dyDescent="0.25">
      <c r="D2865" s="35"/>
    </row>
    <row r="2866" spans="4:4" x14ac:dyDescent="0.25">
      <c r="D2866" s="63"/>
    </row>
    <row r="2867" spans="4:4" x14ac:dyDescent="0.25">
      <c r="D2867" s="64"/>
    </row>
    <row r="2868" spans="4:4" x14ac:dyDescent="0.25">
      <c r="D2868" s="35"/>
    </row>
    <row r="2869" spans="4:4" x14ac:dyDescent="0.25">
      <c r="D2869" s="63"/>
    </row>
    <row r="2870" spans="4:4" x14ac:dyDescent="0.25">
      <c r="D2870" s="64"/>
    </row>
    <row r="2871" spans="4:4" x14ac:dyDescent="0.25">
      <c r="D2871" s="35"/>
    </row>
    <row r="2872" spans="4:4" x14ac:dyDescent="0.25">
      <c r="D2872" s="63"/>
    </row>
    <row r="2873" spans="4:4" x14ac:dyDescent="0.25">
      <c r="D2873" s="64"/>
    </row>
    <row r="2874" spans="4:4" x14ac:dyDescent="0.25">
      <c r="D2874" s="35"/>
    </row>
    <row r="2875" spans="4:4" x14ac:dyDescent="0.25">
      <c r="D2875" s="63"/>
    </row>
    <row r="2876" spans="4:4" x14ac:dyDescent="0.25">
      <c r="D2876" s="64"/>
    </row>
    <row r="2877" spans="4:4" x14ac:dyDescent="0.25">
      <c r="D2877" s="35"/>
    </row>
    <row r="2878" spans="4:4" x14ac:dyDescent="0.25">
      <c r="D2878" s="63"/>
    </row>
    <row r="2879" spans="4:4" x14ac:dyDescent="0.25">
      <c r="D2879" s="64"/>
    </row>
    <row r="2880" spans="4:4" x14ac:dyDescent="0.25">
      <c r="D2880" s="35"/>
    </row>
    <row r="2881" spans="4:4" x14ac:dyDescent="0.25">
      <c r="D2881" s="63"/>
    </row>
    <row r="2882" spans="4:4" x14ac:dyDescent="0.25">
      <c r="D2882" s="64"/>
    </row>
    <row r="2883" spans="4:4" x14ac:dyDescent="0.25">
      <c r="D2883" s="35"/>
    </row>
    <row r="2884" spans="4:4" x14ac:dyDescent="0.25">
      <c r="D2884" s="63"/>
    </row>
    <row r="2885" spans="4:4" x14ac:dyDescent="0.25">
      <c r="D2885" s="64"/>
    </row>
    <row r="2886" spans="4:4" x14ac:dyDescent="0.25">
      <c r="D2886" s="35"/>
    </row>
    <row r="2887" spans="4:4" x14ac:dyDescent="0.25">
      <c r="D2887" s="63"/>
    </row>
    <row r="2888" spans="4:4" x14ac:dyDescent="0.25">
      <c r="D2888" s="64"/>
    </row>
    <row r="2889" spans="4:4" x14ac:dyDescent="0.25">
      <c r="D2889" s="35"/>
    </row>
    <row r="2890" spans="4:4" x14ac:dyDescent="0.25">
      <c r="D2890" s="63"/>
    </row>
    <row r="2891" spans="4:4" x14ac:dyDescent="0.25">
      <c r="D2891" s="64"/>
    </row>
    <row r="2892" spans="4:4" x14ac:dyDescent="0.25">
      <c r="D2892" s="35"/>
    </row>
    <row r="2893" spans="4:4" x14ac:dyDescent="0.25">
      <c r="D2893" s="63"/>
    </row>
    <row r="2894" spans="4:4" x14ac:dyDescent="0.25">
      <c r="D2894" s="64"/>
    </row>
    <row r="2895" spans="4:4" x14ac:dyDescent="0.25">
      <c r="D2895" s="35"/>
    </row>
    <row r="2896" spans="4:4" x14ac:dyDescent="0.25">
      <c r="D2896" s="63"/>
    </row>
    <row r="2897" spans="4:4" x14ac:dyDescent="0.25">
      <c r="D2897" s="64"/>
    </row>
    <row r="2898" spans="4:4" x14ac:dyDescent="0.25">
      <c r="D2898" s="35"/>
    </row>
    <row r="2899" spans="4:4" x14ac:dyDescent="0.25">
      <c r="D2899" s="63"/>
    </row>
    <row r="2900" spans="4:4" x14ac:dyDescent="0.25">
      <c r="D2900" s="64"/>
    </row>
    <row r="2901" spans="4:4" x14ac:dyDescent="0.25">
      <c r="D2901" s="35"/>
    </row>
    <row r="2902" spans="4:4" x14ac:dyDescent="0.25">
      <c r="D2902" s="63"/>
    </row>
    <row r="2903" spans="4:4" x14ac:dyDescent="0.25">
      <c r="D2903" s="64"/>
    </row>
    <row r="2904" spans="4:4" x14ac:dyDescent="0.25">
      <c r="D2904" s="35"/>
    </row>
    <row r="2905" spans="4:4" x14ac:dyDescent="0.25">
      <c r="D2905" s="63"/>
    </row>
    <row r="2906" spans="4:4" x14ac:dyDescent="0.25">
      <c r="D2906" s="64"/>
    </row>
    <row r="2907" spans="4:4" x14ac:dyDescent="0.25">
      <c r="D2907" s="35"/>
    </row>
    <row r="2908" spans="4:4" x14ac:dyDescent="0.25">
      <c r="D2908" s="63"/>
    </row>
    <row r="2909" spans="4:4" x14ac:dyDescent="0.25">
      <c r="D2909" s="64"/>
    </row>
    <row r="2910" spans="4:4" x14ac:dyDescent="0.25">
      <c r="D2910" s="35"/>
    </row>
    <row r="2911" spans="4:4" x14ac:dyDescent="0.25">
      <c r="D2911" s="63"/>
    </row>
    <row r="2912" spans="4:4" x14ac:dyDescent="0.25">
      <c r="D2912" s="64"/>
    </row>
    <row r="2913" spans="4:4" x14ac:dyDescent="0.25">
      <c r="D2913" s="35"/>
    </row>
    <row r="2914" spans="4:4" x14ac:dyDescent="0.25">
      <c r="D2914" s="63"/>
    </row>
    <row r="2915" spans="4:4" x14ac:dyDescent="0.25">
      <c r="D2915" s="64"/>
    </row>
    <row r="2916" spans="4:4" x14ac:dyDescent="0.25">
      <c r="D2916" s="35"/>
    </row>
    <row r="2917" spans="4:4" x14ac:dyDescent="0.25">
      <c r="D2917" s="63"/>
    </row>
    <row r="2918" spans="4:4" x14ac:dyDescent="0.25">
      <c r="D2918" s="64"/>
    </row>
    <row r="2919" spans="4:4" x14ac:dyDescent="0.25">
      <c r="D2919" s="35"/>
    </row>
    <row r="2920" spans="4:4" x14ac:dyDescent="0.25">
      <c r="D2920" s="63"/>
    </row>
    <row r="2921" spans="4:4" x14ac:dyDescent="0.25">
      <c r="D2921" s="64"/>
    </row>
    <row r="2922" spans="4:4" x14ac:dyDescent="0.25">
      <c r="D2922" s="35"/>
    </row>
    <row r="2923" spans="4:4" x14ac:dyDescent="0.25">
      <c r="D2923" s="63"/>
    </row>
    <row r="2924" spans="4:4" x14ac:dyDescent="0.25">
      <c r="D2924" s="64"/>
    </row>
    <row r="2925" spans="4:4" x14ac:dyDescent="0.25">
      <c r="D2925" s="35"/>
    </row>
    <row r="2926" spans="4:4" x14ac:dyDescent="0.25">
      <c r="D2926" s="63"/>
    </row>
    <row r="2927" spans="4:4" x14ac:dyDescent="0.25">
      <c r="D2927" s="64"/>
    </row>
    <row r="2928" spans="4:4" x14ac:dyDescent="0.25">
      <c r="D2928" s="35"/>
    </row>
    <row r="2929" spans="4:4" x14ac:dyDescent="0.25">
      <c r="D2929" s="63"/>
    </row>
    <row r="2930" spans="4:4" x14ac:dyDescent="0.25">
      <c r="D2930" s="64"/>
    </row>
    <row r="2931" spans="4:4" x14ac:dyDescent="0.25">
      <c r="D2931" s="35"/>
    </row>
    <row r="2932" spans="4:4" x14ac:dyDescent="0.25">
      <c r="D2932" s="63"/>
    </row>
    <row r="2933" spans="4:4" x14ac:dyDescent="0.25">
      <c r="D2933" s="64"/>
    </row>
    <row r="2934" spans="4:4" x14ac:dyDescent="0.25">
      <c r="D2934" s="35"/>
    </row>
    <row r="2935" spans="4:4" x14ac:dyDescent="0.25">
      <c r="D2935" s="63"/>
    </row>
    <row r="2936" spans="4:4" x14ac:dyDescent="0.25">
      <c r="D2936" s="64"/>
    </row>
    <row r="2937" spans="4:4" x14ac:dyDescent="0.25">
      <c r="D2937" s="35"/>
    </row>
    <row r="2938" spans="4:4" x14ac:dyDescent="0.25">
      <c r="D2938" s="63"/>
    </row>
    <row r="2939" spans="4:4" x14ac:dyDescent="0.25">
      <c r="D2939" s="64"/>
    </row>
    <row r="2940" spans="4:4" x14ac:dyDescent="0.25">
      <c r="D2940" s="35"/>
    </row>
    <row r="2941" spans="4:4" x14ac:dyDescent="0.25">
      <c r="D2941" s="63"/>
    </row>
    <row r="2942" spans="4:4" x14ac:dyDescent="0.25">
      <c r="D2942" s="64"/>
    </row>
    <row r="2943" spans="4:4" x14ac:dyDescent="0.25">
      <c r="D2943" s="35"/>
    </row>
    <row r="2944" spans="4:4" x14ac:dyDescent="0.25">
      <c r="D2944" s="63"/>
    </row>
    <row r="2945" spans="4:4" x14ac:dyDescent="0.25">
      <c r="D2945" s="64"/>
    </row>
    <row r="2946" spans="4:4" x14ac:dyDescent="0.25">
      <c r="D2946" s="35"/>
    </row>
    <row r="2947" spans="4:4" x14ac:dyDescent="0.25">
      <c r="D2947" s="63"/>
    </row>
    <row r="2948" spans="4:4" x14ac:dyDescent="0.25">
      <c r="D2948" s="64"/>
    </row>
    <row r="2949" spans="4:4" x14ac:dyDescent="0.25">
      <c r="D2949" s="35"/>
    </row>
    <row r="2950" spans="4:4" x14ac:dyDescent="0.25">
      <c r="D2950" s="63"/>
    </row>
    <row r="2951" spans="4:4" x14ac:dyDescent="0.25">
      <c r="D2951" s="64"/>
    </row>
    <row r="2952" spans="4:4" x14ac:dyDescent="0.25">
      <c r="D2952" s="35"/>
    </row>
    <row r="2953" spans="4:4" x14ac:dyDescent="0.25">
      <c r="D2953" s="63"/>
    </row>
    <row r="2954" spans="4:4" x14ac:dyDescent="0.25">
      <c r="D2954" s="64"/>
    </row>
    <row r="2955" spans="4:4" x14ac:dyDescent="0.25">
      <c r="D2955" s="35"/>
    </row>
    <row r="2956" spans="4:4" x14ac:dyDescent="0.25">
      <c r="D2956" s="63"/>
    </row>
    <row r="2957" spans="4:4" x14ac:dyDescent="0.25">
      <c r="D2957" s="64"/>
    </row>
    <row r="2958" spans="4:4" x14ac:dyDescent="0.25">
      <c r="D2958" s="35"/>
    </row>
    <row r="2959" spans="4:4" x14ac:dyDescent="0.25">
      <c r="D2959" s="63"/>
    </row>
    <row r="2960" spans="4:4" x14ac:dyDescent="0.25">
      <c r="D2960" s="64"/>
    </row>
    <row r="2961" spans="4:4" x14ac:dyDescent="0.25">
      <c r="D2961" s="35"/>
    </row>
    <row r="2962" spans="4:4" x14ac:dyDescent="0.25">
      <c r="D2962" s="63"/>
    </row>
    <row r="2963" spans="4:4" x14ac:dyDescent="0.25">
      <c r="D2963" s="64"/>
    </row>
    <row r="2964" spans="4:4" x14ac:dyDescent="0.25">
      <c r="D2964" s="35"/>
    </row>
    <row r="2965" spans="4:4" x14ac:dyDescent="0.25">
      <c r="D2965" s="63"/>
    </row>
    <row r="2966" spans="4:4" x14ac:dyDescent="0.25">
      <c r="D2966" s="64"/>
    </row>
    <row r="2967" spans="4:4" x14ac:dyDescent="0.25">
      <c r="D2967" s="35"/>
    </row>
    <row r="2968" spans="4:4" x14ac:dyDescent="0.25">
      <c r="D2968" s="63"/>
    </row>
    <row r="2969" spans="4:4" x14ac:dyDescent="0.25">
      <c r="D2969" s="64"/>
    </row>
    <row r="2970" spans="4:4" x14ac:dyDescent="0.25">
      <c r="D2970" s="35"/>
    </row>
    <row r="2971" spans="4:4" x14ac:dyDescent="0.25">
      <c r="D2971" s="63"/>
    </row>
    <row r="2972" spans="4:4" x14ac:dyDescent="0.25">
      <c r="D2972" s="64"/>
    </row>
    <row r="2973" spans="4:4" x14ac:dyDescent="0.25">
      <c r="D2973" s="35"/>
    </row>
    <row r="2974" spans="4:4" x14ac:dyDescent="0.25">
      <c r="D2974" s="63"/>
    </row>
    <row r="2975" spans="4:4" x14ac:dyDescent="0.25">
      <c r="D2975" s="64"/>
    </row>
    <row r="2976" spans="4:4" x14ac:dyDescent="0.25">
      <c r="D2976" s="35"/>
    </row>
    <row r="2977" spans="4:4" x14ac:dyDescent="0.25">
      <c r="D2977" s="63"/>
    </row>
    <row r="2978" spans="4:4" x14ac:dyDescent="0.25">
      <c r="D2978" s="64"/>
    </row>
    <row r="2979" spans="4:4" x14ac:dyDescent="0.25">
      <c r="D2979" s="35"/>
    </row>
    <row r="2980" spans="4:4" x14ac:dyDescent="0.25">
      <c r="D2980" s="63"/>
    </row>
    <row r="2981" spans="4:4" x14ac:dyDescent="0.25">
      <c r="D2981" s="64"/>
    </row>
    <row r="2982" spans="4:4" x14ac:dyDescent="0.25">
      <c r="D2982" s="35"/>
    </row>
    <row r="2983" spans="4:4" x14ac:dyDescent="0.25">
      <c r="D2983" s="63"/>
    </row>
    <row r="2984" spans="4:4" x14ac:dyDescent="0.25">
      <c r="D2984" s="64"/>
    </row>
    <row r="2985" spans="4:4" x14ac:dyDescent="0.25">
      <c r="D2985" s="35"/>
    </row>
    <row r="2986" spans="4:4" x14ac:dyDescent="0.25">
      <c r="D2986" s="63"/>
    </row>
    <row r="2987" spans="4:4" x14ac:dyDescent="0.25">
      <c r="D2987" s="64"/>
    </row>
    <row r="2988" spans="4:4" x14ac:dyDescent="0.25">
      <c r="D2988" s="35"/>
    </row>
    <row r="2989" spans="4:4" x14ac:dyDescent="0.25">
      <c r="D2989" s="63"/>
    </row>
    <row r="2990" spans="4:4" x14ac:dyDescent="0.25">
      <c r="D2990" s="64"/>
    </row>
    <row r="2991" spans="4:4" x14ac:dyDescent="0.25">
      <c r="D2991" s="35"/>
    </row>
    <row r="2992" spans="4:4" x14ac:dyDescent="0.25">
      <c r="D2992" s="63"/>
    </row>
    <row r="2993" spans="4:4" x14ac:dyDescent="0.25">
      <c r="D2993" s="64"/>
    </row>
    <row r="2994" spans="4:4" x14ac:dyDescent="0.25">
      <c r="D2994" s="35"/>
    </row>
    <row r="2995" spans="4:4" x14ac:dyDescent="0.25">
      <c r="D2995" s="63"/>
    </row>
    <row r="2996" spans="4:4" x14ac:dyDescent="0.25">
      <c r="D2996" s="64"/>
    </row>
    <row r="2997" spans="4:4" x14ac:dyDescent="0.25">
      <c r="D2997" s="35"/>
    </row>
    <row r="2998" spans="4:4" x14ac:dyDescent="0.25">
      <c r="D2998" s="63"/>
    </row>
    <row r="2999" spans="4:4" x14ac:dyDescent="0.25">
      <c r="D2999" s="64"/>
    </row>
    <row r="3000" spans="4:4" x14ac:dyDescent="0.25">
      <c r="D3000" s="35"/>
    </row>
    <row r="3001" spans="4:4" x14ac:dyDescent="0.25">
      <c r="D3001" s="63"/>
    </row>
    <row r="3002" spans="4:4" x14ac:dyDescent="0.25">
      <c r="D3002" s="64"/>
    </row>
    <row r="3003" spans="4:4" x14ac:dyDescent="0.25">
      <c r="D3003" s="35"/>
    </row>
    <row r="3004" spans="4:4" x14ac:dyDescent="0.25">
      <c r="D3004" s="63"/>
    </row>
    <row r="3005" spans="4:4" x14ac:dyDescent="0.25">
      <c r="D3005" s="64"/>
    </row>
    <row r="3006" spans="4:4" x14ac:dyDescent="0.25">
      <c r="D3006" s="35"/>
    </row>
    <row r="3007" spans="4:4" x14ac:dyDescent="0.25">
      <c r="D3007" s="63"/>
    </row>
    <row r="3008" spans="4:4" x14ac:dyDescent="0.25">
      <c r="D3008" s="64"/>
    </row>
    <row r="3009" spans="4:4" x14ac:dyDescent="0.25">
      <c r="D3009" s="35"/>
    </row>
    <row r="3010" spans="4:4" x14ac:dyDescent="0.25">
      <c r="D3010" s="63"/>
    </row>
    <row r="3011" spans="4:4" x14ac:dyDescent="0.25">
      <c r="D3011" s="64"/>
    </row>
    <row r="3012" spans="4:4" x14ac:dyDescent="0.25">
      <c r="D3012" s="35"/>
    </row>
    <row r="3013" spans="4:4" x14ac:dyDescent="0.25">
      <c r="D3013" s="63"/>
    </row>
    <row r="3014" spans="4:4" x14ac:dyDescent="0.25">
      <c r="D3014" s="64"/>
    </row>
    <row r="3015" spans="4:4" x14ac:dyDescent="0.25">
      <c r="D3015" s="35"/>
    </row>
    <row r="3016" spans="4:4" x14ac:dyDescent="0.25">
      <c r="D3016" s="63"/>
    </row>
    <row r="3017" spans="4:4" x14ac:dyDescent="0.25">
      <c r="D3017" s="64"/>
    </row>
    <row r="3018" spans="4:4" x14ac:dyDescent="0.25">
      <c r="D3018" s="35"/>
    </row>
    <row r="3019" spans="4:4" x14ac:dyDescent="0.25">
      <c r="D3019" s="63"/>
    </row>
    <row r="3020" spans="4:4" x14ac:dyDescent="0.25">
      <c r="D3020" s="64"/>
    </row>
    <row r="3021" spans="4:4" x14ac:dyDescent="0.25">
      <c r="D3021" s="35"/>
    </row>
    <row r="3022" spans="4:4" x14ac:dyDescent="0.25">
      <c r="D3022" s="63"/>
    </row>
    <row r="3023" spans="4:4" x14ac:dyDescent="0.25">
      <c r="D3023" s="64"/>
    </row>
    <row r="3024" spans="4:4" x14ac:dyDescent="0.25">
      <c r="D3024" s="35"/>
    </row>
    <row r="3025" spans="4:4" x14ac:dyDescent="0.25">
      <c r="D3025" s="63"/>
    </row>
    <row r="3026" spans="4:4" x14ac:dyDescent="0.25">
      <c r="D3026" s="64"/>
    </row>
    <row r="3027" spans="4:4" x14ac:dyDescent="0.25">
      <c r="D3027" s="35"/>
    </row>
    <row r="3028" spans="4:4" x14ac:dyDescent="0.25">
      <c r="D3028" s="63"/>
    </row>
    <row r="3029" spans="4:4" x14ac:dyDescent="0.25">
      <c r="D3029" s="64"/>
    </row>
    <row r="3030" spans="4:4" x14ac:dyDescent="0.25">
      <c r="D3030" s="35"/>
    </row>
    <row r="3031" spans="4:4" x14ac:dyDescent="0.25">
      <c r="D3031" s="63"/>
    </row>
    <row r="3032" spans="4:4" x14ac:dyDescent="0.25">
      <c r="D3032" s="64"/>
    </row>
    <row r="3033" spans="4:4" x14ac:dyDescent="0.25">
      <c r="D3033" s="35"/>
    </row>
    <row r="3034" spans="4:4" x14ac:dyDescent="0.25">
      <c r="D3034" s="63"/>
    </row>
    <row r="3035" spans="4:4" x14ac:dyDescent="0.25">
      <c r="D3035" s="64"/>
    </row>
    <row r="3036" spans="4:4" x14ac:dyDescent="0.25">
      <c r="D3036" s="35"/>
    </row>
    <row r="3037" spans="4:4" x14ac:dyDescent="0.25">
      <c r="D3037" s="63"/>
    </row>
    <row r="3038" spans="4:4" x14ac:dyDescent="0.25">
      <c r="D3038" s="64"/>
    </row>
    <row r="3039" spans="4:4" x14ac:dyDescent="0.25">
      <c r="D3039" s="35"/>
    </row>
    <row r="3040" spans="4:4" x14ac:dyDescent="0.25">
      <c r="D3040" s="63"/>
    </row>
    <row r="3041" spans="4:4" x14ac:dyDescent="0.25">
      <c r="D3041" s="64"/>
    </row>
    <row r="3042" spans="4:4" x14ac:dyDescent="0.25">
      <c r="D3042" s="35"/>
    </row>
    <row r="3043" spans="4:4" x14ac:dyDescent="0.25">
      <c r="D3043" s="63"/>
    </row>
    <row r="3044" spans="4:4" x14ac:dyDescent="0.25">
      <c r="D3044" s="64"/>
    </row>
    <row r="3045" spans="4:4" x14ac:dyDescent="0.25">
      <c r="D3045" s="35"/>
    </row>
    <row r="3046" spans="4:4" x14ac:dyDescent="0.25">
      <c r="D3046" s="63"/>
    </row>
    <row r="3047" spans="4:4" x14ac:dyDescent="0.25">
      <c r="D3047" s="64"/>
    </row>
    <row r="3048" spans="4:4" x14ac:dyDescent="0.25">
      <c r="D3048" s="35"/>
    </row>
    <row r="3049" spans="4:4" x14ac:dyDescent="0.25">
      <c r="D3049" s="63"/>
    </row>
    <row r="3050" spans="4:4" x14ac:dyDescent="0.25">
      <c r="D3050" s="64"/>
    </row>
    <row r="3051" spans="4:4" x14ac:dyDescent="0.25">
      <c r="D3051" s="35"/>
    </row>
    <row r="3052" spans="4:4" x14ac:dyDescent="0.25">
      <c r="D3052" s="63"/>
    </row>
    <row r="3053" spans="4:4" x14ac:dyDescent="0.25">
      <c r="D3053" s="64"/>
    </row>
    <row r="3054" spans="4:4" x14ac:dyDescent="0.25">
      <c r="D3054" s="35"/>
    </row>
    <row r="3055" spans="4:4" x14ac:dyDescent="0.25">
      <c r="D3055" s="63"/>
    </row>
    <row r="3056" spans="4:4" x14ac:dyDescent="0.25">
      <c r="D3056" s="64"/>
    </row>
    <row r="3057" spans="4:4" x14ac:dyDescent="0.25">
      <c r="D3057" s="35"/>
    </row>
    <row r="3058" spans="4:4" x14ac:dyDescent="0.25">
      <c r="D3058" s="63"/>
    </row>
    <row r="3059" spans="4:4" x14ac:dyDescent="0.25">
      <c r="D3059" s="64"/>
    </row>
    <row r="3060" spans="4:4" x14ac:dyDescent="0.25">
      <c r="D3060" s="35"/>
    </row>
    <row r="3061" spans="4:4" x14ac:dyDescent="0.25">
      <c r="D3061" s="63"/>
    </row>
    <row r="3062" spans="4:4" x14ac:dyDescent="0.25">
      <c r="D3062" s="64"/>
    </row>
    <row r="3063" spans="4:4" x14ac:dyDescent="0.25">
      <c r="D3063" s="35"/>
    </row>
    <row r="3064" spans="4:4" x14ac:dyDescent="0.25">
      <c r="D3064" s="63"/>
    </row>
    <row r="3065" spans="4:4" x14ac:dyDescent="0.25">
      <c r="D3065" s="64"/>
    </row>
    <row r="3066" spans="4:4" x14ac:dyDescent="0.25">
      <c r="D3066" s="35"/>
    </row>
    <row r="3067" spans="4:4" x14ac:dyDescent="0.25">
      <c r="D3067" s="63"/>
    </row>
    <row r="3068" spans="4:4" x14ac:dyDescent="0.25">
      <c r="D3068" s="64"/>
    </row>
    <row r="3069" spans="4:4" x14ac:dyDescent="0.25">
      <c r="D3069" s="35"/>
    </row>
    <row r="3070" spans="4:4" x14ac:dyDescent="0.25">
      <c r="D3070" s="63"/>
    </row>
    <row r="3071" spans="4:4" x14ac:dyDescent="0.25">
      <c r="D3071" s="64"/>
    </row>
    <row r="3072" spans="4:4" x14ac:dyDescent="0.25">
      <c r="D3072" s="35"/>
    </row>
    <row r="3073" spans="4:4" x14ac:dyDescent="0.25">
      <c r="D3073" s="63"/>
    </row>
    <row r="3074" spans="4:4" x14ac:dyDescent="0.25">
      <c r="D3074" s="64"/>
    </row>
    <row r="3075" spans="4:4" x14ac:dyDescent="0.25">
      <c r="D3075" s="35"/>
    </row>
    <row r="3076" spans="4:4" x14ac:dyDescent="0.25">
      <c r="D3076" s="63"/>
    </row>
    <row r="3077" spans="4:4" x14ac:dyDescent="0.25">
      <c r="D3077" s="64"/>
    </row>
    <row r="3078" spans="4:4" x14ac:dyDescent="0.25">
      <c r="D3078" s="35"/>
    </row>
    <row r="3079" spans="4:4" x14ac:dyDescent="0.25">
      <c r="D3079" s="63"/>
    </row>
    <row r="3080" spans="4:4" x14ac:dyDescent="0.25">
      <c r="D3080" s="64"/>
    </row>
    <row r="3081" spans="4:4" x14ac:dyDescent="0.25">
      <c r="D3081" s="35"/>
    </row>
    <row r="3082" spans="4:4" x14ac:dyDescent="0.25">
      <c r="D3082" s="63"/>
    </row>
    <row r="3083" spans="4:4" x14ac:dyDescent="0.25">
      <c r="D3083" s="64"/>
    </row>
    <row r="3084" spans="4:4" x14ac:dyDescent="0.25">
      <c r="D3084" s="35"/>
    </row>
    <row r="3085" spans="4:4" x14ac:dyDescent="0.25">
      <c r="D3085" s="63"/>
    </row>
    <row r="3086" spans="4:4" x14ac:dyDescent="0.25">
      <c r="D3086" s="64"/>
    </row>
    <row r="3087" spans="4:4" x14ac:dyDescent="0.25">
      <c r="D3087" s="35"/>
    </row>
    <row r="3088" spans="4:4" x14ac:dyDescent="0.25">
      <c r="D3088" s="63"/>
    </row>
    <row r="3089" spans="4:4" x14ac:dyDescent="0.25">
      <c r="D3089" s="64"/>
    </row>
    <row r="3090" spans="4:4" x14ac:dyDescent="0.25">
      <c r="D3090" s="35"/>
    </row>
    <row r="3091" spans="4:4" x14ac:dyDescent="0.25">
      <c r="D3091" s="63"/>
    </row>
    <row r="3092" spans="4:4" x14ac:dyDescent="0.25">
      <c r="D3092" s="64"/>
    </row>
    <row r="3093" spans="4:4" x14ac:dyDescent="0.25">
      <c r="D3093" s="35"/>
    </row>
    <row r="3094" spans="4:4" x14ac:dyDescent="0.25">
      <c r="D3094" s="63"/>
    </row>
    <row r="3095" spans="4:4" x14ac:dyDescent="0.25">
      <c r="D3095" s="64"/>
    </row>
    <row r="3096" spans="4:4" x14ac:dyDescent="0.25">
      <c r="D3096" s="35"/>
    </row>
    <row r="3097" spans="4:4" x14ac:dyDescent="0.25">
      <c r="D3097" s="63"/>
    </row>
    <row r="3098" spans="4:4" x14ac:dyDescent="0.25">
      <c r="D3098" s="64"/>
    </row>
    <row r="3099" spans="4:4" x14ac:dyDescent="0.25">
      <c r="D3099" s="35"/>
    </row>
    <row r="3100" spans="4:4" x14ac:dyDescent="0.25">
      <c r="D3100" s="63"/>
    </row>
    <row r="3101" spans="4:4" x14ac:dyDescent="0.25">
      <c r="D3101" s="64"/>
    </row>
    <row r="3102" spans="4:4" x14ac:dyDescent="0.25">
      <c r="D3102" s="35"/>
    </row>
    <row r="3103" spans="4:4" x14ac:dyDescent="0.25">
      <c r="D3103" s="63"/>
    </row>
    <row r="3104" spans="4:4" x14ac:dyDescent="0.25">
      <c r="D3104" s="64"/>
    </row>
    <row r="3105" spans="4:4" x14ac:dyDescent="0.25">
      <c r="D3105" s="35"/>
    </row>
    <row r="3106" spans="4:4" x14ac:dyDescent="0.25">
      <c r="D3106" s="63"/>
    </row>
    <row r="3107" spans="4:4" x14ac:dyDescent="0.25">
      <c r="D3107" s="64"/>
    </row>
    <row r="3108" spans="4:4" x14ac:dyDescent="0.25">
      <c r="D3108" s="35"/>
    </row>
    <row r="3109" spans="4:4" x14ac:dyDescent="0.25">
      <c r="D3109" s="63"/>
    </row>
    <row r="3110" spans="4:4" x14ac:dyDescent="0.25">
      <c r="D3110" s="64"/>
    </row>
    <row r="3111" spans="4:4" x14ac:dyDescent="0.25">
      <c r="D3111" s="35"/>
    </row>
    <row r="3112" spans="4:4" x14ac:dyDescent="0.25">
      <c r="D3112" s="63"/>
    </row>
    <row r="3113" spans="4:4" x14ac:dyDescent="0.25">
      <c r="D3113" s="64"/>
    </row>
    <row r="3114" spans="4:4" x14ac:dyDescent="0.25">
      <c r="D3114" s="35"/>
    </row>
    <row r="3115" spans="4:4" x14ac:dyDescent="0.25">
      <c r="D3115" s="63"/>
    </row>
    <row r="3116" spans="4:4" x14ac:dyDescent="0.25">
      <c r="D3116" s="64"/>
    </row>
    <row r="3117" spans="4:4" x14ac:dyDescent="0.25">
      <c r="D3117" s="35"/>
    </row>
    <row r="3118" spans="4:4" x14ac:dyDescent="0.25">
      <c r="D3118" s="63"/>
    </row>
    <row r="3119" spans="4:4" x14ac:dyDescent="0.25">
      <c r="D3119" s="64"/>
    </row>
    <row r="3120" spans="4:4" x14ac:dyDescent="0.25">
      <c r="D3120" s="35"/>
    </row>
    <row r="3121" spans="4:4" x14ac:dyDescent="0.25">
      <c r="D3121" s="63"/>
    </row>
    <row r="3122" spans="4:4" x14ac:dyDescent="0.25">
      <c r="D3122" s="64"/>
    </row>
    <row r="3123" spans="4:4" x14ac:dyDescent="0.25">
      <c r="D3123" s="35"/>
    </row>
    <row r="3124" spans="4:4" x14ac:dyDescent="0.25">
      <c r="D3124" s="63"/>
    </row>
    <row r="3125" spans="4:4" x14ac:dyDescent="0.25">
      <c r="D3125" s="64"/>
    </row>
    <row r="3126" spans="4:4" x14ac:dyDescent="0.25">
      <c r="D3126" s="35"/>
    </row>
    <row r="3127" spans="4:4" x14ac:dyDescent="0.25">
      <c r="D3127" s="63"/>
    </row>
    <row r="3128" spans="4:4" x14ac:dyDescent="0.25">
      <c r="D3128" s="64"/>
    </row>
    <row r="3129" spans="4:4" x14ac:dyDescent="0.25">
      <c r="D3129" s="35"/>
    </row>
    <row r="3130" spans="4:4" x14ac:dyDescent="0.25">
      <c r="D3130" s="63"/>
    </row>
    <row r="3131" spans="4:4" x14ac:dyDescent="0.25">
      <c r="D3131" s="64"/>
    </row>
    <row r="3132" spans="4:4" x14ac:dyDescent="0.25">
      <c r="D3132" s="35"/>
    </row>
    <row r="3133" spans="4:4" x14ac:dyDescent="0.25">
      <c r="D3133" s="63"/>
    </row>
    <row r="3134" spans="4:4" x14ac:dyDescent="0.25">
      <c r="D3134" s="64"/>
    </row>
    <row r="3135" spans="4:4" x14ac:dyDescent="0.25">
      <c r="D3135" s="35"/>
    </row>
    <row r="3136" spans="4:4" x14ac:dyDescent="0.25">
      <c r="D3136" s="63"/>
    </row>
    <row r="3137" spans="4:4" x14ac:dyDescent="0.25">
      <c r="D3137" s="64"/>
    </row>
    <row r="3138" spans="4:4" x14ac:dyDescent="0.25">
      <c r="D3138" s="35"/>
    </row>
    <row r="3139" spans="4:4" x14ac:dyDescent="0.25">
      <c r="D3139" s="63"/>
    </row>
    <row r="3140" spans="4:4" x14ac:dyDescent="0.25">
      <c r="D3140" s="64"/>
    </row>
    <row r="3141" spans="4:4" x14ac:dyDescent="0.25">
      <c r="D3141" s="35"/>
    </row>
    <row r="3142" spans="4:4" x14ac:dyDescent="0.25">
      <c r="D3142" s="63"/>
    </row>
    <row r="3143" spans="4:4" x14ac:dyDescent="0.25">
      <c r="D3143" s="64"/>
    </row>
    <row r="3144" spans="4:4" x14ac:dyDescent="0.25">
      <c r="D3144" s="35"/>
    </row>
    <row r="3145" spans="4:4" x14ac:dyDescent="0.25">
      <c r="D3145" s="63"/>
    </row>
    <row r="3146" spans="4:4" x14ac:dyDescent="0.25">
      <c r="D3146" s="64"/>
    </row>
    <row r="3147" spans="4:4" x14ac:dyDescent="0.25">
      <c r="D3147" s="35"/>
    </row>
    <row r="3148" spans="4:4" x14ac:dyDescent="0.25">
      <c r="D3148" s="63"/>
    </row>
    <row r="3149" spans="4:4" x14ac:dyDescent="0.25">
      <c r="D3149" s="64"/>
    </row>
    <row r="3150" spans="4:4" x14ac:dyDescent="0.25">
      <c r="D3150" s="35"/>
    </row>
    <row r="3151" spans="4:4" x14ac:dyDescent="0.25">
      <c r="D3151" s="63"/>
    </row>
    <row r="3152" spans="4:4" x14ac:dyDescent="0.25">
      <c r="D3152" s="64"/>
    </row>
    <row r="3153" spans="4:4" x14ac:dyDescent="0.25">
      <c r="D3153" s="35"/>
    </row>
    <row r="3154" spans="4:4" x14ac:dyDescent="0.25">
      <c r="D3154" s="63"/>
    </row>
    <row r="3155" spans="4:4" x14ac:dyDescent="0.25">
      <c r="D3155" s="64"/>
    </row>
    <row r="3156" spans="4:4" x14ac:dyDescent="0.25">
      <c r="D3156" s="35"/>
    </row>
    <row r="3157" spans="4:4" x14ac:dyDescent="0.25">
      <c r="D3157" s="63"/>
    </row>
    <row r="3158" spans="4:4" x14ac:dyDescent="0.25">
      <c r="D3158" s="64"/>
    </row>
    <row r="3159" spans="4:4" x14ac:dyDescent="0.25">
      <c r="D3159" s="35"/>
    </row>
    <row r="3160" spans="4:4" x14ac:dyDescent="0.25">
      <c r="D3160" s="63"/>
    </row>
    <row r="3161" spans="4:4" x14ac:dyDescent="0.25">
      <c r="D3161" s="64"/>
    </row>
    <row r="3162" spans="4:4" x14ac:dyDescent="0.25">
      <c r="D3162" s="35"/>
    </row>
    <row r="3163" spans="4:4" x14ac:dyDescent="0.25">
      <c r="D3163" s="63"/>
    </row>
    <row r="3164" spans="4:4" x14ac:dyDescent="0.25">
      <c r="D3164" s="64"/>
    </row>
    <row r="3165" spans="4:4" x14ac:dyDescent="0.25">
      <c r="D3165" s="35"/>
    </row>
    <row r="3166" spans="4:4" x14ac:dyDescent="0.25">
      <c r="D3166" s="63"/>
    </row>
    <row r="3167" spans="4:4" x14ac:dyDescent="0.25">
      <c r="D3167" s="64"/>
    </row>
    <row r="3168" spans="4:4" x14ac:dyDescent="0.25">
      <c r="D3168" s="35"/>
    </row>
    <row r="3169" spans="4:4" x14ac:dyDescent="0.25">
      <c r="D3169" s="63"/>
    </row>
    <row r="3170" spans="4:4" x14ac:dyDescent="0.25">
      <c r="D3170" s="64"/>
    </row>
    <row r="3171" spans="4:4" x14ac:dyDescent="0.25">
      <c r="D3171" s="35"/>
    </row>
    <row r="3172" spans="4:4" x14ac:dyDescent="0.25">
      <c r="D3172" s="63"/>
    </row>
    <row r="3173" spans="4:4" x14ac:dyDescent="0.25">
      <c r="D3173" s="64"/>
    </row>
    <row r="3174" spans="4:4" x14ac:dyDescent="0.25">
      <c r="D3174" s="35"/>
    </row>
    <row r="3175" spans="4:4" x14ac:dyDescent="0.25">
      <c r="D3175" s="63"/>
    </row>
    <row r="3176" spans="4:4" x14ac:dyDescent="0.25">
      <c r="D3176" s="64"/>
    </row>
    <row r="3177" spans="4:4" x14ac:dyDescent="0.25">
      <c r="D3177" s="35"/>
    </row>
    <row r="3178" spans="4:4" x14ac:dyDescent="0.25">
      <c r="D3178" s="63"/>
    </row>
    <row r="3179" spans="4:4" x14ac:dyDescent="0.25">
      <c r="D3179" s="64"/>
    </row>
    <row r="3180" spans="4:4" x14ac:dyDescent="0.25">
      <c r="D3180" s="35"/>
    </row>
    <row r="3181" spans="4:4" x14ac:dyDescent="0.25">
      <c r="D3181" s="63"/>
    </row>
    <row r="3182" spans="4:4" x14ac:dyDescent="0.25">
      <c r="D3182" s="64"/>
    </row>
    <row r="3183" spans="4:4" x14ac:dyDescent="0.25">
      <c r="D3183" s="35"/>
    </row>
    <row r="3184" spans="4:4" x14ac:dyDescent="0.25">
      <c r="D3184" s="63"/>
    </row>
    <row r="3185" spans="4:4" x14ac:dyDescent="0.25">
      <c r="D3185" s="64"/>
    </row>
    <row r="3186" spans="4:4" x14ac:dyDescent="0.25">
      <c r="D3186" s="35"/>
    </row>
    <row r="3187" spans="4:4" x14ac:dyDescent="0.25">
      <c r="D3187" s="63"/>
    </row>
    <row r="3188" spans="4:4" x14ac:dyDescent="0.25">
      <c r="D3188" s="64"/>
    </row>
    <row r="3189" spans="4:4" x14ac:dyDescent="0.25">
      <c r="D3189" s="35"/>
    </row>
    <row r="3190" spans="4:4" x14ac:dyDescent="0.25">
      <c r="D3190" s="63"/>
    </row>
    <row r="3191" spans="4:4" x14ac:dyDescent="0.25">
      <c r="D3191" s="64"/>
    </row>
    <row r="3192" spans="4:4" x14ac:dyDescent="0.25">
      <c r="D3192" s="35"/>
    </row>
    <row r="3193" spans="4:4" x14ac:dyDescent="0.25">
      <c r="D3193" s="63"/>
    </row>
    <row r="3194" spans="4:4" x14ac:dyDescent="0.25">
      <c r="D3194" s="64"/>
    </row>
    <row r="3195" spans="4:4" x14ac:dyDescent="0.25">
      <c r="D3195" s="35"/>
    </row>
    <row r="3196" spans="4:4" x14ac:dyDescent="0.25">
      <c r="D3196" s="63"/>
    </row>
    <row r="3197" spans="4:4" x14ac:dyDescent="0.25">
      <c r="D3197" s="64"/>
    </row>
    <row r="3198" spans="4:4" x14ac:dyDescent="0.25">
      <c r="D3198" s="35"/>
    </row>
    <row r="3199" spans="4:4" x14ac:dyDescent="0.25">
      <c r="D3199" s="63"/>
    </row>
    <row r="3200" spans="4:4" x14ac:dyDescent="0.25">
      <c r="D3200" s="64"/>
    </row>
    <row r="3201" spans="4:4" x14ac:dyDescent="0.25">
      <c r="D3201" s="35"/>
    </row>
    <row r="3202" spans="4:4" x14ac:dyDescent="0.25">
      <c r="D3202" s="63"/>
    </row>
    <row r="3203" spans="4:4" x14ac:dyDescent="0.25">
      <c r="D3203" s="64"/>
    </row>
    <row r="3204" spans="4:4" x14ac:dyDescent="0.25">
      <c r="D3204" s="35"/>
    </row>
    <row r="3205" spans="4:4" x14ac:dyDescent="0.25">
      <c r="D3205" s="63"/>
    </row>
    <row r="3206" spans="4:4" x14ac:dyDescent="0.25">
      <c r="D3206" s="64"/>
    </row>
    <row r="3207" spans="4:4" x14ac:dyDescent="0.25">
      <c r="D3207" s="35"/>
    </row>
    <row r="3208" spans="4:4" x14ac:dyDescent="0.25">
      <c r="D3208" s="63"/>
    </row>
    <row r="3209" spans="4:4" x14ac:dyDescent="0.25">
      <c r="D3209" s="64"/>
    </row>
    <row r="3210" spans="4:4" x14ac:dyDescent="0.25">
      <c r="D3210" s="35"/>
    </row>
    <row r="3211" spans="4:4" x14ac:dyDescent="0.25">
      <c r="D3211" s="63"/>
    </row>
    <row r="3212" spans="4:4" x14ac:dyDescent="0.25">
      <c r="D3212" s="64"/>
    </row>
    <row r="3213" spans="4:4" x14ac:dyDescent="0.25">
      <c r="D3213" s="35"/>
    </row>
    <row r="3214" spans="4:4" x14ac:dyDescent="0.25">
      <c r="D3214" s="63"/>
    </row>
    <row r="3215" spans="4:4" x14ac:dyDescent="0.25">
      <c r="D3215" s="64"/>
    </row>
    <row r="3216" spans="4:4" x14ac:dyDescent="0.25">
      <c r="D3216" s="35"/>
    </row>
    <row r="3217" spans="4:4" x14ac:dyDescent="0.25">
      <c r="D3217" s="63"/>
    </row>
    <row r="3218" spans="4:4" x14ac:dyDescent="0.25">
      <c r="D3218" s="64"/>
    </row>
    <row r="3219" spans="4:4" x14ac:dyDescent="0.25">
      <c r="D3219" s="35"/>
    </row>
    <row r="3220" spans="4:4" x14ac:dyDescent="0.25">
      <c r="D3220" s="63"/>
    </row>
    <row r="3221" spans="4:4" x14ac:dyDescent="0.25">
      <c r="D3221" s="64"/>
    </row>
    <row r="3222" spans="4:4" x14ac:dyDescent="0.25">
      <c r="D3222" s="35"/>
    </row>
    <row r="3223" spans="4:4" x14ac:dyDescent="0.25">
      <c r="D3223" s="63"/>
    </row>
    <row r="3224" spans="4:4" x14ac:dyDescent="0.25">
      <c r="D3224" s="64"/>
    </row>
    <row r="3225" spans="4:4" x14ac:dyDescent="0.25">
      <c r="D3225" s="35"/>
    </row>
    <row r="3226" spans="4:4" x14ac:dyDescent="0.25">
      <c r="D3226" s="63"/>
    </row>
    <row r="3227" spans="4:4" x14ac:dyDescent="0.25">
      <c r="D3227" s="64"/>
    </row>
    <row r="3228" spans="4:4" x14ac:dyDescent="0.25">
      <c r="D3228" s="35"/>
    </row>
    <row r="3229" spans="4:4" x14ac:dyDescent="0.25">
      <c r="D3229" s="63"/>
    </row>
    <row r="3230" spans="4:4" x14ac:dyDescent="0.25">
      <c r="D3230" s="64"/>
    </row>
    <row r="3231" spans="4:4" x14ac:dyDescent="0.25">
      <c r="D3231" s="35"/>
    </row>
    <row r="3232" spans="4:4" x14ac:dyDescent="0.25">
      <c r="D3232" s="63"/>
    </row>
    <row r="3233" spans="4:4" x14ac:dyDescent="0.25">
      <c r="D3233" s="64"/>
    </row>
    <row r="3234" spans="4:4" x14ac:dyDescent="0.25">
      <c r="D3234" s="35"/>
    </row>
    <row r="3235" spans="4:4" x14ac:dyDescent="0.25">
      <c r="D3235" s="63"/>
    </row>
    <row r="3236" spans="4:4" x14ac:dyDescent="0.25">
      <c r="D3236" s="64"/>
    </row>
    <row r="3237" spans="4:4" x14ac:dyDescent="0.25">
      <c r="D3237" s="35"/>
    </row>
    <row r="3238" spans="4:4" x14ac:dyDescent="0.25">
      <c r="D3238" s="63"/>
    </row>
    <row r="3239" spans="4:4" x14ac:dyDescent="0.25">
      <c r="D3239" s="64"/>
    </row>
    <row r="3240" spans="4:4" x14ac:dyDescent="0.25">
      <c r="D3240" s="35"/>
    </row>
    <row r="3241" spans="4:4" x14ac:dyDescent="0.25">
      <c r="D3241" s="63"/>
    </row>
    <row r="3242" spans="4:4" x14ac:dyDescent="0.25">
      <c r="D3242" s="64"/>
    </row>
    <row r="3243" spans="4:4" x14ac:dyDescent="0.25">
      <c r="D3243" s="35"/>
    </row>
    <row r="3244" spans="4:4" x14ac:dyDescent="0.25">
      <c r="D3244" s="63"/>
    </row>
    <row r="3245" spans="4:4" x14ac:dyDescent="0.25">
      <c r="D3245" s="64"/>
    </row>
    <row r="3246" spans="4:4" x14ac:dyDescent="0.25">
      <c r="D3246" s="35"/>
    </row>
    <row r="3247" spans="4:4" x14ac:dyDescent="0.25">
      <c r="D3247" s="63"/>
    </row>
    <row r="3248" spans="4:4" x14ac:dyDescent="0.25">
      <c r="D3248" s="64"/>
    </row>
    <row r="3249" spans="4:4" x14ac:dyDescent="0.25">
      <c r="D3249" s="35"/>
    </row>
    <row r="3250" spans="4:4" x14ac:dyDescent="0.25">
      <c r="D3250" s="63"/>
    </row>
    <row r="3251" spans="4:4" x14ac:dyDescent="0.25">
      <c r="D3251" s="64"/>
    </row>
    <row r="3252" spans="4:4" x14ac:dyDescent="0.25">
      <c r="D3252" s="35"/>
    </row>
    <row r="3253" spans="4:4" x14ac:dyDescent="0.25">
      <c r="D3253" s="63"/>
    </row>
    <row r="3254" spans="4:4" x14ac:dyDescent="0.25">
      <c r="D3254" s="64"/>
    </row>
    <row r="3255" spans="4:4" x14ac:dyDescent="0.25">
      <c r="D3255" s="35"/>
    </row>
    <row r="3256" spans="4:4" x14ac:dyDescent="0.25">
      <c r="D3256" s="63"/>
    </row>
    <row r="3257" spans="4:4" x14ac:dyDescent="0.25">
      <c r="D3257" s="64"/>
    </row>
    <row r="3258" spans="4:4" x14ac:dyDescent="0.25">
      <c r="D3258" s="35"/>
    </row>
    <row r="3259" spans="4:4" x14ac:dyDescent="0.25">
      <c r="D3259" s="63"/>
    </row>
    <row r="3260" spans="4:4" x14ac:dyDescent="0.25">
      <c r="D3260" s="64"/>
    </row>
    <row r="3261" spans="4:4" x14ac:dyDescent="0.25">
      <c r="D3261" s="35"/>
    </row>
    <row r="3262" spans="4:4" x14ac:dyDescent="0.25">
      <c r="D3262" s="63"/>
    </row>
    <row r="3263" spans="4:4" x14ac:dyDescent="0.25">
      <c r="D3263" s="64"/>
    </row>
    <row r="3264" spans="4:4" x14ac:dyDescent="0.25">
      <c r="D3264" s="35"/>
    </row>
    <row r="3265" spans="4:4" x14ac:dyDescent="0.25">
      <c r="D3265" s="63"/>
    </row>
    <row r="3266" spans="4:4" x14ac:dyDescent="0.25">
      <c r="D3266" s="64"/>
    </row>
    <row r="3267" spans="4:4" x14ac:dyDescent="0.25">
      <c r="D3267" s="35"/>
    </row>
    <row r="3268" spans="4:4" x14ac:dyDescent="0.25">
      <c r="D3268" s="63"/>
    </row>
    <row r="3269" spans="4:4" x14ac:dyDescent="0.25">
      <c r="D3269" s="64"/>
    </row>
    <row r="3270" spans="4:4" x14ac:dyDescent="0.25">
      <c r="D3270" s="35"/>
    </row>
    <row r="3271" spans="4:4" x14ac:dyDescent="0.25">
      <c r="D3271" s="63"/>
    </row>
    <row r="3272" spans="4:4" x14ac:dyDescent="0.25">
      <c r="D3272" s="64"/>
    </row>
    <row r="3273" spans="4:4" x14ac:dyDescent="0.25">
      <c r="D3273" s="35"/>
    </row>
    <row r="3274" spans="4:4" x14ac:dyDescent="0.25">
      <c r="D3274" s="63"/>
    </row>
    <row r="3275" spans="4:4" x14ac:dyDescent="0.25">
      <c r="D3275" s="64"/>
    </row>
    <row r="3276" spans="4:4" x14ac:dyDescent="0.25">
      <c r="D3276" s="35"/>
    </row>
    <row r="3277" spans="4:4" x14ac:dyDescent="0.25">
      <c r="D3277" s="63"/>
    </row>
    <row r="3278" spans="4:4" x14ac:dyDescent="0.25">
      <c r="D3278" s="64"/>
    </row>
    <row r="3279" spans="4:4" x14ac:dyDescent="0.25">
      <c r="D3279" s="35"/>
    </row>
    <row r="3280" spans="4:4" x14ac:dyDescent="0.25">
      <c r="D3280" s="63"/>
    </row>
    <row r="3281" spans="4:4" x14ac:dyDescent="0.25">
      <c r="D3281" s="64"/>
    </row>
    <row r="3282" spans="4:4" x14ac:dyDescent="0.25">
      <c r="D3282" s="35"/>
    </row>
    <row r="3283" spans="4:4" x14ac:dyDescent="0.25">
      <c r="D3283" s="63"/>
    </row>
    <row r="3284" spans="4:4" x14ac:dyDescent="0.25">
      <c r="D3284" s="64"/>
    </row>
    <row r="3285" spans="4:4" x14ac:dyDescent="0.25">
      <c r="D3285" s="35"/>
    </row>
    <row r="3286" spans="4:4" x14ac:dyDescent="0.25">
      <c r="D3286" s="63"/>
    </row>
    <row r="3287" spans="4:4" x14ac:dyDescent="0.25">
      <c r="D3287" s="64"/>
    </row>
    <row r="3288" spans="4:4" x14ac:dyDescent="0.25">
      <c r="D3288" s="35"/>
    </row>
    <row r="3289" spans="4:4" x14ac:dyDescent="0.25">
      <c r="D3289" s="63"/>
    </row>
    <row r="3290" spans="4:4" x14ac:dyDescent="0.25">
      <c r="D3290" s="64"/>
    </row>
    <row r="3291" spans="4:4" x14ac:dyDescent="0.25">
      <c r="D3291" s="35"/>
    </row>
    <row r="3292" spans="4:4" x14ac:dyDescent="0.25">
      <c r="D3292" s="63"/>
    </row>
    <row r="3293" spans="4:4" x14ac:dyDescent="0.25">
      <c r="D3293" s="64"/>
    </row>
    <row r="3294" spans="4:4" x14ac:dyDescent="0.25">
      <c r="D3294" s="35"/>
    </row>
    <row r="3295" spans="4:4" x14ac:dyDescent="0.25">
      <c r="D3295" s="63"/>
    </row>
    <row r="3296" spans="4:4" x14ac:dyDescent="0.25">
      <c r="D3296" s="64"/>
    </row>
    <row r="3297" spans="4:4" x14ac:dyDescent="0.25">
      <c r="D3297" s="35"/>
    </row>
    <row r="3298" spans="4:4" x14ac:dyDescent="0.25">
      <c r="D3298" s="63"/>
    </row>
    <row r="3299" spans="4:4" x14ac:dyDescent="0.25">
      <c r="D3299" s="64"/>
    </row>
    <row r="3300" spans="4:4" x14ac:dyDescent="0.25">
      <c r="D3300" s="35"/>
    </row>
    <row r="3301" spans="4:4" x14ac:dyDescent="0.25">
      <c r="D3301" s="63"/>
    </row>
    <row r="3302" spans="4:4" x14ac:dyDescent="0.25">
      <c r="D3302" s="64"/>
    </row>
    <row r="3303" spans="4:4" x14ac:dyDescent="0.25">
      <c r="D3303" s="35"/>
    </row>
    <row r="3304" spans="4:4" x14ac:dyDescent="0.25">
      <c r="D3304" s="63"/>
    </row>
    <row r="3305" spans="4:4" x14ac:dyDescent="0.25">
      <c r="D3305" s="64"/>
    </row>
    <row r="3306" spans="4:4" x14ac:dyDescent="0.25">
      <c r="D3306" s="35"/>
    </row>
    <row r="3307" spans="4:4" x14ac:dyDescent="0.25">
      <c r="D3307" s="63"/>
    </row>
    <row r="3308" spans="4:4" x14ac:dyDescent="0.25">
      <c r="D3308" s="64"/>
    </row>
    <row r="3309" spans="4:4" x14ac:dyDescent="0.25">
      <c r="D3309" s="35"/>
    </row>
    <row r="3310" spans="4:4" x14ac:dyDescent="0.25">
      <c r="D3310" s="63"/>
    </row>
    <row r="3311" spans="4:4" x14ac:dyDescent="0.25">
      <c r="D3311" s="64"/>
    </row>
    <row r="3312" spans="4:4" x14ac:dyDescent="0.25">
      <c r="D3312" s="35"/>
    </row>
    <row r="3313" spans="4:4" x14ac:dyDescent="0.25">
      <c r="D3313" s="63"/>
    </row>
    <row r="3314" spans="4:4" x14ac:dyDescent="0.25">
      <c r="D3314" s="64"/>
    </row>
    <row r="3315" spans="4:4" x14ac:dyDescent="0.25">
      <c r="D3315" s="35"/>
    </row>
    <row r="3316" spans="4:4" x14ac:dyDescent="0.25">
      <c r="D3316" s="63"/>
    </row>
    <row r="3317" spans="4:4" x14ac:dyDescent="0.25">
      <c r="D3317" s="64"/>
    </row>
    <row r="3318" spans="4:4" x14ac:dyDescent="0.25">
      <c r="D3318" s="35"/>
    </row>
    <row r="3319" spans="4:4" x14ac:dyDescent="0.25">
      <c r="D3319" s="63"/>
    </row>
    <row r="3320" spans="4:4" x14ac:dyDescent="0.25">
      <c r="D3320" s="64"/>
    </row>
    <row r="3321" spans="4:4" x14ac:dyDescent="0.25">
      <c r="D3321" s="35"/>
    </row>
    <row r="3322" spans="4:4" x14ac:dyDescent="0.25">
      <c r="D3322" s="63"/>
    </row>
    <row r="3323" spans="4:4" x14ac:dyDescent="0.25">
      <c r="D3323" s="64"/>
    </row>
    <row r="3324" spans="4:4" x14ac:dyDescent="0.25">
      <c r="D3324" s="35"/>
    </row>
    <row r="3325" spans="4:4" x14ac:dyDescent="0.25">
      <c r="D3325" s="63"/>
    </row>
    <row r="3326" spans="4:4" x14ac:dyDescent="0.25">
      <c r="D3326" s="64"/>
    </row>
    <row r="3327" spans="4:4" x14ac:dyDescent="0.25">
      <c r="D3327" s="35"/>
    </row>
    <row r="3328" spans="4:4" x14ac:dyDescent="0.25">
      <c r="D3328" s="63"/>
    </row>
    <row r="3329" spans="4:4" x14ac:dyDescent="0.25">
      <c r="D3329" s="64"/>
    </row>
    <row r="3330" spans="4:4" x14ac:dyDescent="0.25">
      <c r="D3330" s="35"/>
    </row>
    <row r="3331" spans="4:4" x14ac:dyDescent="0.25">
      <c r="D3331" s="63"/>
    </row>
    <row r="3332" spans="4:4" x14ac:dyDescent="0.25">
      <c r="D3332" s="64"/>
    </row>
    <row r="3333" spans="4:4" x14ac:dyDescent="0.25">
      <c r="D3333" s="35"/>
    </row>
    <row r="3334" spans="4:4" x14ac:dyDescent="0.25">
      <c r="D3334" s="63"/>
    </row>
    <row r="3335" spans="4:4" x14ac:dyDescent="0.25">
      <c r="D3335" s="64"/>
    </row>
    <row r="3336" spans="4:4" x14ac:dyDescent="0.25">
      <c r="D3336" s="35"/>
    </row>
    <row r="3337" spans="4:4" x14ac:dyDescent="0.25">
      <c r="D3337" s="63"/>
    </row>
    <row r="3338" spans="4:4" x14ac:dyDescent="0.25">
      <c r="D3338" s="64"/>
    </row>
    <row r="3339" spans="4:4" x14ac:dyDescent="0.25">
      <c r="D3339" s="35"/>
    </row>
    <row r="3340" spans="4:4" x14ac:dyDescent="0.25">
      <c r="D3340" s="63"/>
    </row>
    <row r="3341" spans="4:4" x14ac:dyDescent="0.25">
      <c r="D3341" s="64"/>
    </row>
    <row r="3342" spans="4:4" x14ac:dyDescent="0.25">
      <c r="D3342" s="35"/>
    </row>
    <row r="3343" spans="4:4" x14ac:dyDescent="0.25">
      <c r="D3343" s="63"/>
    </row>
    <row r="3344" spans="4:4" x14ac:dyDescent="0.25">
      <c r="D3344" s="64"/>
    </row>
    <row r="3345" spans="4:4" x14ac:dyDescent="0.25">
      <c r="D3345" s="35"/>
    </row>
    <row r="3346" spans="4:4" x14ac:dyDescent="0.25">
      <c r="D3346" s="63"/>
    </row>
    <row r="3347" spans="4:4" x14ac:dyDescent="0.25">
      <c r="D3347" s="64"/>
    </row>
    <row r="3348" spans="4:4" x14ac:dyDescent="0.25">
      <c r="D3348" s="35"/>
    </row>
    <row r="3349" spans="4:4" x14ac:dyDescent="0.25">
      <c r="D3349" s="63"/>
    </row>
    <row r="3350" spans="4:4" x14ac:dyDescent="0.25">
      <c r="D3350" s="64"/>
    </row>
    <row r="3351" spans="4:4" x14ac:dyDescent="0.25">
      <c r="D3351" s="35"/>
    </row>
    <row r="3352" spans="4:4" x14ac:dyDescent="0.25">
      <c r="D3352" s="63"/>
    </row>
    <row r="3353" spans="4:4" x14ac:dyDescent="0.25">
      <c r="D3353" s="64"/>
    </row>
    <row r="3354" spans="4:4" x14ac:dyDescent="0.25">
      <c r="D3354" s="35"/>
    </row>
    <row r="3355" spans="4:4" x14ac:dyDescent="0.25">
      <c r="D3355" s="63"/>
    </row>
    <row r="3356" spans="4:4" x14ac:dyDescent="0.25">
      <c r="D3356" s="64"/>
    </row>
    <row r="3357" spans="4:4" x14ac:dyDescent="0.25">
      <c r="D3357" s="35"/>
    </row>
    <row r="3358" spans="4:4" x14ac:dyDescent="0.25">
      <c r="D3358" s="63"/>
    </row>
    <row r="3359" spans="4:4" x14ac:dyDescent="0.25">
      <c r="D3359" s="64"/>
    </row>
    <row r="3360" spans="4:4" x14ac:dyDescent="0.25">
      <c r="D3360" s="35"/>
    </row>
    <row r="3361" spans="4:4" x14ac:dyDescent="0.25">
      <c r="D3361" s="63"/>
    </row>
    <row r="3362" spans="4:4" x14ac:dyDescent="0.25">
      <c r="D3362" s="64"/>
    </row>
    <row r="3363" spans="4:4" x14ac:dyDescent="0.25">
      <c r="D3363" s="35"/>
    </row>
    <row r="3364" spans="4:4" x14ac:dyDescent="0.25">
      <c r="D3364" s="63"/>
    </row>
    <row r="3365" spans="4:4" x14ac:dyDescent="0.25">
      <c r="D3365" s="64"/>
    </row>
    <row r="3366" spans="4:4" x14ac:dyDescent="0.25">
      <c r="D3366" s="35"/>
    </row>
    <row r="3367" spans="4:4" x14ac:dyDescent="0.25">
      <c r="D3367" s="63"/>
    </row>
    <row r="3368" spans="4:4" x14ac:dyDescent="0.25">
      <c r="D3368" s="64"/>
    </row>
    <row r="3369" spans="4:4" x14ac:dyDescent="0.25">
      <c r="D3369" s="35"/>
    </row>
    <row r="3370" spans="4:4" x14ac:dyDescent="0.25">
      <c r="D3370" s="63"/>
    </row>
    <row r="3371" spans="4:4" x14ac:dyDescent="0.25">
      <c r="D3371" s="64"/>
    </row>
    <row r="3372" spans="4:4" x14ac:dyDescent="0.25">
      <c r="D3372" s="35"/>
    </row>
    <row r="3373" spans="4:4" x14ac:dyDescent="0.25">
      <c r="D3373" s="63"/>
    </row>
    <row r="3374" spans="4:4" x14ac:dyDescent="0.25">
      <c r="D3374" s="64"/>
    </row>
    <row r="3375" spans="4:4" x14ac:dyDescent="0.25">
      <c r="D3375" s="35"/>
    </row>
    <row r="3376" spans="4:4" x14ac:dyDescent="0.25">
      <c r="D3376" s="63"/>
    </row>
    <row r="3377" spans="4:4" x14ac:dyDescent="0.25">
      <c r="D3377" s="64"/>
    </row>
    <row r="3378" spans="4:4" x14ac:dyDescent="0.25">
      <c r="D3378" s="35"/>
    </row>
    <row r="3379" spans="4:4" x14ac:dyDescent="0.25">
      <c r="D3379" s="63"/>
    </row>
    <row r="3380" spans="4:4" x14ac:dyDescent="0.25">
      <c r="D3380" s="64"/>
    </row>
    <row r="3381" spans="4:4" x14ac:dyDescent="0.25">
      <c r="D3381" s="35"/>
    </row>
    <row r="3382" spans="4:4" x14ac:dyDescent="0.25">
      <c r="D3382" s="63"/>
    </row>
    <row r="3383" spans="4:4" x14ac:dyDescent="0.25">
      <c r="D3383" s="64"/>
    </row>
    <row r="3384" spans="4:4" x14ac:dyDescent="0.25">
      <c r="D3384" s="35"/>
    </row>
    <row r="3385" spans="4:4" x14ac:dyDescent="0.25">
      <c r="D3385" s="63"/>
    </row>
    <row r="3386" spans="4:4" x14ac:dyDescent="0.25">
      <c r="D3386" s="64"/>
    </row>
    <row r="3387" spans="4:4" x14ac:dyDescent="0.25">
      <c r="D3387" s="35"/>
    </row>
    <row r="3388" spans="4:4" x14ac:dyDescent="0.25">
      <c r="D3388" s="63"/>
    </row>
    <row r="3389" spans="4:4" x14ac:dyDescent="0.25">
      <c r="D3389" s="64"/>
    </row>
    <row r="3390" spans="4:4" x14ac:dyDescent="0.25">
      <c r="D3390" s="35"/>
    </row>
    <row r="3391" spans="4:4" x14ac:dyDescent="0.25">
      <c r="D3391" s="63"/>
    </row>
    <row r="3392" spans="4:4" x14ac:dyDescent="0.25">
      <c r="D3392" s="64"/>
    </row>
    <row r="3393" spans="4:4" x14ac:dyDescent="0.25">
      <c r="D3393" s="35"/>
    </row>
    <row r="3394" spans="4:4" x14ac:dyDescent="0.25">
      <c r="D3394" s="63"/>
    </row>
    <row r="3395" spans="4:4" x14ac:dyDescent="0.25">
      <c r="D3395" s="64"/>
    </row>
    <row r="3396" spans="4:4" x14ac:dyDescent="0.25">
      <c r="D3396" s="35"/>
    </row>
    <row r="3397" spans="4:4" x14ac:dyDescent="0.25">
      <c r="D3397" s="63"/>
    </row>
    <row r="3398" spans="4:4" x14ac:dyDescent="0.25">
      <c r="D3398" s="64"/>
    </row>
    <row r="3399" spans="4:4" x14ac:dyDescent="0.25">
      <c r="D3399" s="35"/>
    </row>
    <row r="3400" spans="4:4" x14ac:dyDescent="0.25">
      <c r="D3400" s="63"/>
    </row>
    <row r="3401" spans="4:4" x14ac:dyDescent="0.25">
      <c r="D3401" s="64"/>
    </row>
    <row r="3402" spans="4:4" x14ac:dyDescent="0.25">
      <c r="D3402" s="35"/>
    </row>
    <row r="3403" spans="4:4" x14ac:dyDescent="0.25">
      <c r="D3403" s="63"/>
    </row>
    <row r="3404" spans="4:4" x14ac:dyDescent="0.25">
      <c r="D3404" s="64"/>
    </row>
    <row r="3405" spans="4:4" x14ac:dyDescent="0.25">
      <c r="D3405" s="35"/>
    </row>
    <row r="3406" spans="4:4" x14ac:dyDescent="0.25">
      <c r="D3406" s="63"/>
    </row>
    <row r="3407" spans="4:4" x14ac:dyDescent="0.25">
      <c r="D3407" s="64"/>
    </row>
    <row r="3408" spans="4:4" x14ac:dyDescent="0.25">
      <c r="D3408" s="35"/>
    </row>
    <row r="3409" spans="4:4" x14ac:dyDescent="0.25">
      <c r="D3409" s="63"/>
    </row>
    <row r="3410" spans="4:4" x14ac:dyDescent="0.25">
      <c r="D3410" s="64"/>
    </row>
    <row r="3411" spans="4:4" x14ac:dyDescent="0.25">
      <c r="D3411" s="35"/>
    </row>
    <row r="3412" spans="4:4" x14ac:dyDescent="0.25">
      <c r="D3412" s="63"/>
    </row>
    <row r="3413" spans="4:4" x14ac:dyDescent="0.25">
      <c r="D3413" s="64"/>
    </row>
    <row r="3414" spans="4:4" x14ac:dyDescent="0.25">
      <c r="D3414" s="35"/>
    </row>
    <row r="3415" spans="4:4" x14ac:dyDescent="0.25">
      <c r="D3415" s="63"/>
    </row>
    <row r="3416" spans="4:4" x14ac:dyDescent="0.25">
      <c r="D3416" s="64"/>
    </row>
    <row r="3417" spans="4:4" x14ac:dyDescent="0.25">
      <c r="D3417" s="35"/>
    </row>
    <row r="3418" spans="4:4" x14ac:dyDescent="0.25">
      <c r="D3418" s="63"/>
    </row>
    <row r="3419" spans="4:4" x14ac:dyDescent="0.25">
      <c r="D3419" s="64"/>
    </row>
    <row r="3420" spans="4:4" x14ac:dyDescent="0.25">
      <c r="D3420" s="35"/>
    </row>
    <row r="3421" spans="4:4" x14ac:dyDescent="0.25">
      <c r="D3421" s="63"/>
    </row>
    <row r="3422" spans="4:4" x14ac:dyDescent="0.25">
      <c r="D3422" s="64"/>
    </row>
    <row r="3423" spans="4:4" x14ac:dyDescent="0.25">
      <c r="D3423" s="35"/>
    </row>
    <row r="3424" spans="4:4" x14ac:dyDescent="0.25">
      <c r="D3424" s="63"/>
    </row>
    <row r="3425" spans="4:4" x14ac:dyDescent="0.25">
      <c r="D3425" s="64"/>
    </row>
    <row r="3426" spans="4:4" x14ac:dyDescent="0.25">
      <c r="D3426" s="35"/>
    </row>
    <row r="3427" spans="4:4" x14ac:dyDescent="0.25">
      <c r="D3427" s="63"/>
    </row>
    <row r="3428" spans="4:4" x14ac:dyDescent="0.25">
      <c r="D3428" s="64"/>
    </row>
    <row r="3429" spans="4:4" x14ac:dyDescent="0.25">
      <c r="D3429" s="35"/>
    </row>
    <row r="3430" spans="4:4" x14ac:dyDescent="0.25">
      <c r="D3430" s="63"/>
    </row>
    <row r="3431" spans="4:4" x14ac:dyDescent="0.25">
      <c r="D3431" s="64"/>
    </row>
    <row r="3432" spans="4:4" x14ac:dyDescent="0.25">
      <c r="D3432" s="35"/>
    </row>
    <row r="3433" spans="4:4" x14ac:dyDescent="0.25">
      <c r="D3433" s="63"/>
    </row>
    <row r="3434" spans="4:4" x14ac:dyDescent="0.25">
      <c r="D3434" s="64"/>
    </row>
    <row r="3435" spans="4:4" x14ac:dyDescent="0.25">
      <c r="D3435" s="35"/>
    </row>
    <row r="3436" spans="4:4" x14ac:dyDescent="0.25">
      <c r="D3436" s="63"/>
    </row>
    <row r="3437" spans="4:4" x14ac:dyDescent="0.25">
      <c r="D3437" s="64"/>
    </row>
    <row r="3438" spans="4:4" x14ac:dyDescent="0.25">
      <c r="D3438" s="35"/>
    </row>
    <row r="3439" spans="4:4" x14ac:dyDescent="0.25">
      <c r="D3439" s="63"/>
    </row>
    <row r="3440" spans="4:4" x14ac:dyDescent="0.25">
      <c r="D3440" s="64"/>
    </row>
    <row r="3441" spans="4:4" x14ac:dyDescent="0.25">
      <c r="D3441" s="35"/>
    </row>
    <row r="3442" spans="4:4" x14ac:dyDescent="0.25">
      <c r="D3442" s="63"/>
    </row>
    <row r="3443" spans="4:4" x14ac:dyDescent="0.25">
      <c r="D3443" s="64"/>
    </row>
    <row r="3444" spans="4:4" x14ac:dyDescent="0.25">
      <c r="D3444" s="35"/>
    </row>
    <row r="3445" spans="4:4" x14ac:dyDescent="0.25">
      <c r="D3445" s="63"/>
    </row>
    <row r="3446" spans="4:4" x14ac:dyDescent="0.25">
      <c r="D3446" s="64"/>
    </row>
    <row r="3447" spans="4:4" x14ac:dyDescent="0.25">
      <c r="D3447" s="35"/>
    </row>
    <row r="3448" spans="4:4" x14ac:dyDescent="0.25">
      <c r="D3448" s="63"/>
    </row>
    <row r="3449" spans="4:4" x14ac:dyDescent="0.25">
      <c r="D3449" s="64"/>
    </row>
    <row r="3450" spans="4:4" x14ac:dyDescent="0.25">
      <c r="D3450" s="35"/>
    </row>
    <row r="3451" spans="4:4" x14ac:dyDescent="0.25">
      <c r="D3451" s="63"/>
    </row>
    <row r="3452" spans="4:4" x14ac:dyDescent="0.25">
      <c r="D3452" s="64"/>
    </row>
    <row r="3453" spans="4:4" x14ac:dyDescent="0.25">
      <c r="D3453" s="35"/>
    </row>
    <row r="3454" spans="4:4" x14ac:dyDescent="0.25">
      <c r="D3454" s="63"/>
    </row>
    <row r="3455" spans="4:4" x14ac:dyDescent="0.25">
      <c r="D3455" s="64"/>
    </row>
    <row r="3456" spans="4:4" x14ac:dyDescent="0.25">
      <c r="D3456" s="35"/>
    </row>
    <row r="3457" spans="4:4" x14ac:dyDescent="0.25">
      <c r="D3457" s="63"/>
    </row>
    <row r="3458" spans="4:4" x14ac:dyDescent="0.25">
      <c r="D3458" s="64"/>
    </row>
    <row r="3459" spans="4:4" x14ac:dyDescent="0.25">
      <c r="D3459" s="35"/>
    </row>
    <row r="3460" spans="4:4" x14ac:dyDescent="0.25">
      <c r="D3460" s="63"/>
    </row>
    <row r="3461" spans="4:4" x14ac:dyDescent="0.25">
      <c r="D3461" s="64"/>
    </row>
    <row r="3462" spans="4:4" x14ac:dyDescent="0.25">
      <c r="D3462" s="35"/>
    </row>
    <row r="3463" spans="4:4" x14ac:dyDescent="0.25">
      <c r="D3463" s="63"/>
    </row>
    <row r="3464" spans="4:4" x14ac:dyDescent="0.25">
      <c r="D3464" s="64"/>
    </row>
    <row r="3465" spans="4:4" x14ac:dyDescent="0.25">
      <c r="D3465" s="35"/>
    </row>
    <row r="3466" spans="4:4" x14ac:dyDescent="0.25">
      <c r="D3466" s="63"/>
    </row>
    <row r="3467" spans="4:4" x14ac:dyDescent="0.25">
      <c r="D3467" s="64"/>
    </row>
    <row r="3468" spans="4:4" x14ac:dyDescent="0.25">
      <c r="D3468" s="35"/>
    </row>
    <row r="3469" spans="4:4" x14ac:dyDescent="0.25">
      <c r="D3469" s="63"/>
    </row>
    <row r="3470" spans="4:4" x14ac:dyDescent="0.25">
      <c r="D3470" s="64"/>
    </row>
    <row r="3471" spans="4:4" x14ac:dyDescent="0.25">
      <c r="D3471" s="35"/>
    </row>
    <row r="3472" spans="4:4" x14ac:dyDescent="0.25">
      <c r="D3472" s="63"/>
    </row>
    <row r="3473" spans="4:4" x14ac:dyDescent="0.25">
      <c r="D3473" s="64"/>
    </row>
    <row r="3474" spans="4:4" x14ac:dyDescent="0.25">
      <c r="D3474" s="35"/>
    </row>
    <row r="3475" spans="4:4" x14ac:dyDescent="0.25">
      <c r="D3475" s="63"/>
    </row>
    <row r="3476" spans="4:4" x14ac:dyDescent="0.25">
      <c r="D3476" s="64"/>
    </row>
    <row r="3477" spans="4:4" x14ac:dyDescent="0.25">
      <c r="D3477" s="35"/>
    </row>
    <row r="3478" spans="4:4" x14ac:dyDescent="0.25">
      <c r="D3478" s="63"/>
    </row>
    <row r="3479" spans="4:4" x14ac:dyDescent="0.25">
      <c r="D3479" s="64"/>
    </row>
    <row r="3480" spans="4:4" x14ac:dyDescent="0.25">
      <c r="D3480" s="35"/>
    </row>
    <row r="3481" spans="4:4" x14ac:dyDescent="0.25">
      <c r="D3481" s="63"/>
    </row>
    <row r="3482" spans="4:4" x14ac:dyDescent="0.25">
      <c r="D3482" s="64"/>
    </row>
    <row r="3483" spans="4:4" x14ac:dyDescent="0.25">
      <c r="D3483" s="35"/>
    </row>
    <row r="3484" spans="4:4" x14ac:dyDescent="0.25">
      <c r="D3484" s="63"/>
    </row>
    <row r="3485" spans="4:4" x14ac:dyDescent="0.25">
      <c r="D3485" s="64"/>
    </row>
    <row r="3486" spans="4:4" x14ac:dyDescent="0.25">
      <c r="D3486" s="35"/>
    </row>
    <row r="3487" spans="4:4" x14ac:dyDescent="0.25">
      <c r="D3487" s="63"/>
    </row>
    <row r="3488" spans="4:4" x14ac:dyDescent="0.25">
      <c r="D3488" s="64"/>
    </row>
    <row r="3489" spans="4:4" x14ac:dyDescent="0.25">
      <c r="D3489" s="35"/>
    </row>
    <row r="3490" spans="4:4" x14ac:dyDescent="0.25">
      <c r="D3490" s="63"/>
    </row>
    <row r="3491" spans="4:4" x14ac:dyDescent="0.25">
      <c r="D3491" s="64"/>
    </row>
    <row r="3492" spans="4:4" x14ac:dyDescent="0.25">
      <c r="D3492" s="35"/>
    </row>
    <row r="3493" spans="4:4" x14ac:dyDescent="0.25">
      <c r="D3493" s="63"/>
    </row>
    <row r="3494" spans="4:4" x14ac:dyDescent="0.25">
      <c r="D3494" s="64"/>
    </row>
    <row r="3495" spans="4:4" x14ac:dyDescent="0.25">
      <c r="D3495" s="35"/>
    </row>
    <row r="3496" spans="4:4" x14ac:dyDescent="0.25">
      <c r="D3496" s="63"/>
    </row>
    <row r="3497" spans="4:4" x14ac:dyDescent="0.25">
      <c r="D3497" s="64"/>
    </row>
    <row r="3498" spans="4:4" x14ac:dyDescent="0.25">
      <c r="D3498" s="35"/>
    </row>
    <row r="3499" spans="4:4" x14ac:dyDescent="0.25">
      <c r="D3499" s="63"/>
    </row>
    <row r="3500" spans="4:4" x14ac:dyDescent="0.25">
      <c r="D3500" s="64"/>
    </row>
    <row r="3501" spans="4:4" x14ac:dyDescent="0.25">
      <c r="D3501" s="35"/>
    </row>
    <row r="3502" spans="4:4" x14ac:dyDescent="0.25">
      <c r="D3502" s="63"/>
    </row>
    <row r="3503" spans="4:4" x14ac:dyDescent="0.25">
      <c r="D3503" s="64"/>
    </row>
    <row r="3504" spans="4:4" x14ac:dyDescent="0.25">
      <c r="D3504" s="35"/>
    </row>
    <row r="3505" spans="4:4" x14ac:dyDescent="0.25">
      <c r="D3505" s="63"/>
    </row>
    <row r="3506" spans="4:4" x14ac:dyDescent="0.25">
      <c r="D3506" s="64"/>
    </row>
    <row r="3507" spans="4:4" x14ac:dyDescent="0.25">
      <c r="D3507" s="35"/>
    </row>
    <row r="3508" spans="4:4" x14ac:dyDescent="0.25">
      <c r="D3508" s="63"/>
    </row>
    <row r="3509" spans="4:4" x14ac:dyDescent="0.25">
      <c r="D3509" s="64"/>
    </row>
    <row r="3510" spans="4:4" x14ac:dyDescent="0.25">
      <c r="D3510" s="35"/>
    </row>
    <row r="3511" spans="4:4" x14ac:dyDescent="0.25">
      <c r="D3511" s="63"/>
    </row>
    <row r="3512" spans="4:4" x14ac:dyDescent="0.25">
      <c r="D3512" s="64"/>
    </row>
    <row r="3513" spans="4:4" x14ac:dyDescent="0.25">
      <c r="D3513" s="35"/>
    </row>
    <row r="3514" spans="4:4" x14ac:dyDescent="0.25">
      <c r="D3514" s="63"/>
    </row>
    <row r="3515" spans="4:4" x14ac:dyDescent="0.25">
      <c r="D3515" s="64"/>
    </row>
    <row r="3516" spans="4:4" x14ac:dyDescent="0.25">
      <c r="D3516" s="35"/>
    </row>
    <row r="3517" spans="4:4" x14ac:dyDescent="0.25">
      <c r="D3517" s="63"/>
    </row>
    <row r="3518" spans="4:4" x14ac:dyDescent="0.25">
      <c r="D3518" s="64"/>
    </row>
    <row r="3519" spans="4:4" x14ac:dyDescent="0.25">
      <c r="D3519" s="35"/>
    </row>
    <row r="3520" spans="4:4" x14ac:dyDescent="0.25">
      <c r="D3520" s="63"/>
    </row>
    <row r="3521" spans="4:4" x14ac:dyDescent="0.25">
      <c r="D3521" s="64"/>
    </row>
    <row r="3522" spans="4:4" x14ac:dyDescent="0.25">
      <c r="D3522" s="35"/>
    </row>
    <row r="3523" spans="4:4" x14ac:dyDescent="0.25">
      <c r="D3523" s="63"/>
    </row>
    <row r="3524" spans="4:4" x14ac:dyDescent="0.25">
      <c r="D3524" s="64"/>
    </row>
    <row r="3525" spans="4:4" x14ac:dyDescent="0.25">
      <c r="D3525" s="35"/>
    </row>
    <row r="3526" spans="4:4" x14ac:dyDescent="0.25">
      <c r="D3526" s="63"/>
    </row>
    <row r="3527" spans="4:4" x14ac:dyDescent="0.25">
      <c r="D3527" s="64"/>
    </row>
    <row r="3528" spans="4:4" x14ac:dyDescent="0.25">
      <c r="D3528" s="35"/>
    </row>
    <row r="3529" spans="4:4" x14ac:dyDescent="0.25">
      <c r="D3529" s="63"/>
    </row>
    <row r="3530" spans="4:4" x14ac:dyDescent="0.25">
      <c r="D3530" s="64"/>
    </row>
    <row r="3531" spans="4:4" x14ac:dyDescent="0.25">
      <c r="D3531" s="35"/>
    </row>
    <row r="3532" spans="4:4" x14ac:dyDescent="0.25">
      <c r="D3532" s="63"/>
    </row>
    <row r="3533" spans="4:4" x14ac:dyDescent="0.25">
      <c r="D3533" s="64"/>
    </row>
    <row r="3534" spans="4:4" x14ac:dyDescent="0.25">
      <c r="D3534" s="35"/>
    </row>
    <row r="3535" spans="4:4" x14ac:dyDescent="0.25">
      <c r="D3535" s="63"/>
    </row>
    <row r="3536" spans="4:4" x14ac:dyDescent="0.25">
      <c r="D3536" s="64"/>
    </row>
    <row r="3537" spans="4:4" x14ac:dyDescent="0.25">
      <c r="D3537" s="35"/>
    </row>
    <row r="3538" spans="4:4" x14ac:dyDescent="0.25">
      <c r="D3538" s="63"/>
    </row>
    <row r="3539" spans="4:4" x14ac:dyDescent="0.25">
      <c r="D3539" s="64"/>
    </row>
    <row r="3540" spans="4:4" x14ac:dyDescent="0.25">
      <c r="D3540" s="35"/>
    </row>
    <row r="3541" spans="4:4" x14ac:dyDescent="0.25">
      <c r="D3541" s="63"/>
    </row>
    <row r="3542" spans="4:4" x14ac:dyDescent="0.25">
      <c r="D3542" s="64"/>
    </row>
    <row r="3543" spans="4:4" x14ac:dyDescent="0.25">
      <c r="D3543" s="35"/>
    </row>
    <row r="3544" spans="4:4" x14ac:dyDescent="0.25">
      <c r="D3544" s="63"/>
    </row>
    <row r="3545" spans="4:4" x14ac:dyDescent="0.25">
      <c r="D3545" s="64"/>
    </row>
    <row r="3546" spans="4:4" x14ac:dyDescent="0.25">
      <c r="D3546" s="35"/>
    </row>
    <row r="3547" spans="4:4" x14ac:dyDescent="0.25">
      <c r="D3547" s="63"/>
    </row>
    <row r="3548" spans="4:4" x14ac:dyDescent="0.25">
      <c r="D3548" s="64"/>
    </row>
    <row r="3549" spans="4:4" x14ac:dyDescent="0.25">
      <c r="D3549" s="35"/>
    </row>
    <row r="3550" spans="4:4" x14ac:dyDescent="0.25">
      <c r="D3550" s="63"/>
    </row>
    <row r="3551" spans="4:4" x14ac:dyDescent="0.25">
      <c r="D3551" s="64"/>
    </row>
    <row r="3552" spans="4:4" x14ac:dyDescent="0.25">
      <c r="D3552" s="35"/>
    </row>
    <row r="3553" spans="4:4" x14ac:dyDescent="0.25">
      <c r="D3553" s="63"/>
    </row>
    <row r="3554" spans="4:4" x14ac:dyDescent="0.25">
      <c r="D3554" s="64"/>
    </row>
    <row r="3555" spans="4:4" x14ac:dyDescent="0.25">
      <c r="D3555" s="35"/>
    </row>
    <row r="3556" spans="4:4" x14ac:dyDescent="0.25">
      <c r="D3556" s="63"/>
    </row>
    <row r="3557" spans="4:4" x14ac:dyDescent="0.25">
      <c r="D3557" s="64"/>
    </row>
    <row r="3558" spans="4:4" x14ac:dyDescent="0.25">
      <c r="D3558" s="35"/>
    </row>
    <row r="3559" spans="4:4" x14ac:dyDescent="0.25">
      <c r="D3559" s="63"/>
    </row>
    <row r="3560" spans="4:4" x14ac:dyDescent="0.25">
      <c r="D3560" s="64"/>
    </row>
    <row r="3561" spans="4:4" x14ac:dyDescent="0.25">
      <c r="D3561" s="35"/>
    </row>
    <row r="3562" spans="4:4" x14ac:dyDescent="0.25">
      <c r="D3562" s="63"/>
    </row>
    <row r="3563" spans="4:4" x14ac:dyDescent="0.25">
      <c r="D3563" s="64"/>
    </row>
    <row r="3564" spans="4:4" x14ac:dyDescent="0.25">
      <c r="D3564" s="35"/>
    </row>
    <row r="3565" spans="4:4" x14ac:dyDescent="0.25">
      <c r="D3565" s="63"/>
    </row>
    <row r="3566" spans="4:4" x14ac:dyDescent="0.25">
      <c r="D3566" s="64"/>
    </row>
    <row r="3567" spans="4:4" x14ac:dyDescent="0.25">
      <c r="D3567" s="35"/>
    </row>
    <row r="3568" spans="4:4" x14ac:dyDescent="0.25">
      <c r="D3568" s="63"/>
    </row>
    <row r="3569" spans="4:4" x14ac:dyDescent="0.25">
      <c r="D3569" s="64"/>
    </row>
    <row r="3570" spans="4:4" x14ac:dyDescent="0.25">
      <c r="D3570" s="35"/>
    </row>
    <row r="3571" spans="4:4" x14ac:dyDescent="0.25">
      <c r="D3571" s="63"/>
    </row>
    <row r="3572" spans="4:4" x14ac:dyDescent="0.25">
      <c r="D3572" s="64"/>
    </row>
    <row r="3573" spans="4:4" x14ac:dyDescent="0.25">
      <c r="D3573" s="35"/>
    </row>
    <row r="3574" spans="4:4" x14ac:dyDescent="0.25">
      <c r="D3574" s="63"/>
    </row>
    <row r="3575" spans="4:4" x14ac:dyDescent="0.25">
      <c r="D3575" s="64"/>
    </row>
    <row r="3576" spans="4:4" x14ac:dyDescent="0.25">
      <c r="D3576" s="35"/>
    </row>
    <row r="3577" spans="4:4" x14ac:dyDescent="0.25">
      <c r="D3577" s="63"/>
    </row>
    <row r="3578" spans="4:4" x14ac:dyDescent="0.25">
      <c r="D3578" s="64"/>
    </row>
    <row r="3579" spans="4:4" x14ac:dyDescent="0.25">
      <c r="D3579" s="35"/>
    </row>
    <row r="3580" spans="4:4" x14ac:dyDescent="0.25">
      <c r="D3580" s="63"/>
    </row>
    <row r="3581" spans="4:4" x14ac:dyDescent="0.25">
      <c r="D3581" s="64"/>
    </row>
    <row r="3582" spans="4:4" x14ac:dyDescent="0.25">
      <c r="D3582" s="35"/>
    </row>
    <row r="3583" spans="4:4" x14ac:dyDescent="0.25">
      <c r="D3583" s="63"/>
    </row>
    <row r="3584" spans="4:4" x14ac:dyDescent="0.25">
      <c r="D3584" s="64"/>
    </row>
    <row r="3585" spans="4:4" x14ac:dyDescent="0.25">
      <c r="D3585" s="35"/>
    </row>
    <row r="3586" spans="4:4" x14ac:dyDescent="0.25">
      <c r="D3586" s="63"/>
    </row>
    <row r="3587" spans="4:4" x14ac:dyDescent="0.25">
      <c r="D3587" s="64"/>
    </row>
    <row r="3588" spans="4:4" x14ac:dyDescent="0.25">
      <c r="D3588" s="35"/>
    </row>
    <row r="3589" spans="4:4" x14ac:dyDescent="0.25">
      <c r="D3589" s="63"/>
    </row>
    <row r="3590" spans="4:4" x14ac:dyDescent="0.25">
      <c r="D3590" s="64"/>
    </row>
    <row r="3591" spans="4:4" x14ac:dyDescent="0.25">
      <c r="D3591" s="35"/>
    </row>
    <row r="3592" spans="4:4" x14ac:dyDescent="0.25">
      <c r="D3592" s="63"/>
    </row>
    <row r="3593" spans="4:4" x14ac:dyDescent="0.25">
      <c r="D3593" s="64"/>
    </row>
    <row r="3594" spans="4:4" x14ac:dyDescent="0.25">
      <c r="D3594" s="35"/>
    </row>
    <row r="3595" spans="4:4" x14ac:dyDescent="0.25">
      <c r="D3595" s="63"/>
    </row>
    <row r="3596" spans="4:4" x14ac:dyDescent="0.25">
      <c r="D3596" s="64"/>
    </row>
    <row r="3597" spans="4:4" x14ac:dyDescent="0.25">
      <c r="D3597" s="35"/>
    </row>
    <row r="3598" spans="4:4" x14ac:dyDescent="0.25">
      <c r="D3598" s="63"/>
    </row>
    <row r="3599" spans="4:4" x14ac:dyDescent="0.25">
      <c r="D3599" s="64"/>
    </row>
    <row r="3600" spans="4:4" x14ac:dyDescent="0.25">
      <c r="D3600" s="35"/>
    </row>
    <row r="3601" spans="4:4" x14ac:dyDescent="0.25">
      <c r="D3601" s="63"/>
    </row>
    <row r="3602" spans="4:4" x14ac:dyDescent="0.25">
      <c r="D3602" s="64"/>
    </row>
    <row r="3603" spans="4:4" x14ac:dyDescent="0.25">
      <c r="D3603" s="35"/>
    </row>
    <row r="3604" spans="4:4" x14ac:dyDescent="0.25">
      <c r="D3604" s="63"/>
    </row>
    <row r="3605" spans="4:4" x14ac:dyDescent="0.25">
      <c r="D3605" s="64"/>
    </row>
    <row r="3606" spans="4:4" x14ac:dyDescent="0.25">
      <c r="D3606" s="35"/>
    </row>
    <row r="3607" spans="4:4" x14ac:dyDescent="0.25">
      <c r="D3607" s="63"/>
    </row>
    <row r="3608" spans="4:4" x14ac:dyDescent="0.25">
      <c r="D3608" s="64"/>
    </row>
    <row r="3609" spans="4:4" x14ac:dyDescent="0.25">
      <c r="D3609" s="35"/>
    </row>
    <row r="3610" spans="4:4" x14ac:dyDescent="0.25">
      <c r="D3610" s="63"/>
    </row>
    <row r="3611" spans="4:4" x14ac:dyDescent="0.25">
      <c r="D3611" s="64"/>
    </row>
    <row r="3612" spans="4:4" x14ac:dyDescent="0.25">
      <c r="D3612" s="35"/>
    </row>
    <row r="3613" spans="4:4" x14ac:dyDescent="0.25">
      <c r="D3613" s="63"/>
    </row>
    <row r="3614" spans="4:4" x14ac:dyDescent="0.25">
      <c r="D3614" s="64"/>
    </row>
    <row r="3615" spans="4:4" x14ac:dyDescent="0.25">
      <c r="D3615" s="35"/>
    </row>
    <row r="3616" spans="4:4" x14ac:dyDescent="0.25">
      <c r="D3616" s="63"/>
    </row>
    <row r="3617" spans="4:4" x14ac:dyDescent="0.25">
      <c r="D3617" s="64"/>
    </row>
    <row r="3618" spans="4:4" x14ac:dyDescent="0.25">
      <c r="D3618" s="35"/>
    </row>
    <row r="3619" spans="4:4" x14ac:dyDescent="0.25">
      <c r="D3619" s="63"/>
    </row>
    <row r="3620" spans="4:4" x14ac:dyDescent="0.25">
      <c r="D3620" s="64"/>
    </row>
    <row r="3621" spans="4:4" x14ac:dyDescent="0.25">
      <c r="D3621" s="35"/>
    </row>
    <row r="3622" spans="4:4" x14ac:dyDescent="0.25">
      <c r="D3622" s="63"/>
    </row>
    <row r="3623" spans="4:4" x14ac:dyDescent="0.25">
      <c r="D3623" s="64"/>
    </row>
    <row r="3624" spans="4:4" x14ac:dyDescent="0.25">
      <c r="D3624" s="35"/>
    </row>
    <row r="3625" spans="4:4" x14ac:dyDescent="0.25">
      <c r="D3625" s="63"/>
    </row>
    <row r="3626" spans="4:4" x14ac:dyDescent="0.25">
      <c r="D3626" s="64"/>
    </row>
    <row r="3627" spans="4:4" x14ac:dyDescent="0.25">
      <c r="D3627" s="35"/>
    </row>
    <row r="3628" spans="4:4" x14ac:dyDescent="0.25">
      <c r="D3628" s="63"/>
    </row>
    <row r="3629" spans="4:4" x14ac:dyDescent="0.25">
      <c r="D3629" s="64"/>
    </row>
    <row r="3630" spans="4:4" x14ac:dyDescent="0.25">
      <c r="D3630" s="35"/>
    </row>
    <row r="3631" spans="4:4" x14ac:dyDescent="0.25">
      <c r="D3631" s="63"/>
    </row>
    <row r="3632" spans="4:4" x14ac:dyDescent="0.25">
      <c r="D3632" s="64"/>
    </row>
    <row r="3633" spans="4:4" x14ac:dyDescent="0.25">
      <c r="D3633" s="35"/>
    </row>
    <row r="3634" spans="4:4" x14ac:dyDescent="0.25">
      <c r="D3634" s="63"/>
    </row>
    <row r="3635" spans="4:4" x14ac:dyDescent="0.25">
      <c r="D3635" s="64"/>
    </row>
    <row r="3636" spans="4:4" x14ac:dyDescent="0.25">
      <c r="D3636" s="35"/>
    </row>
    <row r="3637" spans="4:4" x14ac:dyDescent="0.25">
      <c r="D3637" s="63"/>
    </row>
    <row r="3638" spans="4:4" x14ac:dyDescent="0.25">
      <c r="D3638" s="64"/>
    </row>
    <row r="3639" spans="4:4" x14ac:dyDescent="0.25">
      <c r="D3639" s="35"/>
    </row>
    <row r="3640" spans="4:4" x14ac:dyDescent="0.25">
      <c r="D3640" s="63"/>
    </row>
    <row r="3641" spans="4:4" x14ac:dyDescent="0.25">
      <c r="D3641" s="64"/>
    </row>
    <row r="3642" spans="4:4" x14ac:dyDescent="0.25">
      <c r="D3642" s="35"/>
    </row>
    <row r="3643" spans="4:4" x14ac:dyDescent="0.25">
      <c r="D3643" s="63"/>
    </row>
    <row r="3644" spans="4:4" x14ac:dyDescent="0.25">
      <c r="D3644" s="64"/>
    </row>
    <row r="3645" spans="4:4" x14ac:dyDescent="0.25">
      <c r="D3645" s="35"/>
    </row>
    <row r="3646" spans="4:4" x14ac:dyDescent="0.25">
      <c r="D3646" s="63"/>
    </row>
    <row r="3647" spans="4:4" x14ac:dyDescent="0.25">
      <c r="D3647" s="64"/>
    </row>
    <row r="3648" spans="4:4" x14ac:dyDescent="0.25">
      <c r="D3648" s="35"/>
    </row>
    <row r="3649" spans="4:4" x14ac:dyDescent="0.25">
      <c r="D3649" s="63"/>
    </row>
    <row r="3650" spans="4:4" x14ac:dyDescent="0.25">
      <c r="D3650" s="64"/>
    </row>
    <row r="3651" spans="4:4" x14ac:dyDescent="0.25">
      <c r="D3651" s="35"/>
    </row>
    <row r="3652" spans="4:4" x14ac:dyDescent="0.25">
      <c r="D3652" s="63"/>
    </row>
    <row r="3653" spans="4:4" x14ac:dyDescent="0.25">
      <c r="D3653" s="64"/>
    </row>
    <row r="3654" spans="4:4" x14ac:dyDescent="0.25">
      <c r="D3654" s="35"/>
    </row>
    <row r="3655" spans="4:4" x14ac:dyDescent="0.25">
      <c r="D3655" s="63"/>
    </row>
    <row r="3656" spans="4:4" x14ac:dyDescent="0.25">
      <c r="D3656" s="64"/>
    </row>
    <row r="3657" spans="4:4" x14ac:dyDescent="0.25">
      <c r="D3657" s="35"/>
    </row>
    <row r="3658" spans="4:4" x14ac:dyDescent="0.25">
      <c r="D3658" s="63"/>
    </row>
    <row r="3659" spans="4:4" x14ac:dyDescent="0.25">
      <c r="D3659" s="64"/>
    </row>
    <row r="3660" spans="4:4" x14ac:dyDescent="0.25">
      <c r="D3660" s="35"/>
    </row>
    <row r="3661" spans="4:4" x14ac:dyDescent="0.25">
      <c r="D3661" s="63"/>
    </row>
    <row r="3662" spans="4:4" x14ac:dyDescent="0.25">
      <c r="D3662" s="64"/>
    </row>
    <row r="3663" spans="4:4" x14ac:dyDescent="0.25">
      <c r="D3663" s="35"/>
    </row>
    <row r="3664" spans="4:4" x14ac:dyDescent="0.25">
      <c r="D3664" s="63"/>
    </row>
    <row r="3665" spans="4:4" x14ac:dyDescent="0.25">
      <c r="D3665" s="64"/>
    </row>
    <row r="3666" spans="4:4" x14ac:dyDescent="0.25">
      <c r="D3666" s="35"/>
    </row>
    <row r="3667" spans="4:4" x14ac:dyDescent="0.25">
      <c r="D3667" s="63"/>
    </row>
    <row r="3668" spans="4:4" x14ac:dyDescent="0.25">
      <c r="D3668" s="64"/>
    </row>
    <row r="3669" spans="4:4" x14ac:dyDescent="0.25">
      <c r="D3669" s="35"/>
    </row>
    <row r="3670" spans="4:4" x14ac:dyDescent="0.25">
      <c r="D3670" s="63"/>
    </row>
    <row r="3671" spans="4:4" x14ac:dyDescent="0.25">
      <c r="D3671" s="64"/>
    </row>
    <row r="3672" spans="4:4" x14ac:dyDescent="0.25">
      <c r="D3672" s="35"/>
    </row>
    <row r="3673" spans="4:4" x14ac:dyDescent="0.25">
      <c r="D3673" s="63"/>
    </row>
    <row r="3674" spans="4:4" x14ac:dyDescent="0.25">
      <c r="D3674" s="64"/>
    </row>
    <row r="3675" spans="4:4" x14ac:dyDescent="0.25">
      <c r="D3675" s="35"/>
    </row>
    <row r="3676" spans="4:4" x14ac:dyDescent="0.25">
      <c r="D3676" s="63"/>
    </row>
    <row r="3677" spans="4:4" x14ac:dyDescent="0.25">
      <c r="D3677" s="64"/>
    </row>
    <row r="3678" spans="4:4" x14ac:dyDescent="0.25">
      <c r="D3678" s="35"/>
    </row>
    <row r="3679" spans="4:4" x14ac:dyDescent="0.25">
      <c r="D3679" s="63"/>
    </row>
    <row r="3680" spans="4:4" x14ac:dyDescent="0.25">
      <c r="D3680" s="64"/>
    </row>
    <row r="3681" spans="4:4" x14ac:dyDescent="0.25">
      <c r="D3681" s="35"/>
    </row>
    <row r="3682" spans="4:4" x14ac:dyDescent="0.25">
      <c r="D3682" s="63"/>
    </row>
    <row r="3683" spans="4:4" x14ac:dyDescent="0.25">
      <c r="D3683" s="64"/>
    </row>
    <row r="3684" spans="4:4" x14ac:dyDescent="0.25">
      <c r="D3684" s="35"/>
    </row>
    <row r="3685" spans="4:4" x14ac:dyDescent="0.25">
      <c r="D3685" s="63"/>
    </row>
    <row r="3686" spans="4:4" x14ac:dyDescent="0.25">
      <c r="D3686" s="64"/>
    </row>
    <row r="3687" spans="4:4" x14ac:dyDescent="0.25">
      <c r="D3687" s="35"/>
    </row>
    <row r="3688" spans="4:4" x14ac:dyDescent="0.25">
      <c r="D3688" s="63"/>
    </row>
    <row r="3689" spans="4:4" x14ac:dyDescent="0.25">
      <c r="D3689" s="64"/>
    </row>
    <row r="3690" spans="4:4" x14ac:dyDescent="0.25">
      <c r="D3690" s="35"/>
    </row>
    <row r="3691" spans="4:4" x14ac:dyDescent="0.25">
      <c r="D3691" s="63"/>
    </row>
    <row r="3692" spans="4:4" x14ac:dyDescent="0.25">
      <c r="D3692" s="64"/>
    </row>
    <row r="3693" spans="4:4" x14ac:dyDescent="0.25">
      <c r="D3693" s="35"/>
    </row>
    <row r="3694" spans="4:4" x14ac:dyDescent="0.25">
      <c r="D3694" s="63"/>
    </row>
    <row r="3695" spans="4:4" x14ac:dyDescent="0.25">
      <c r="D3695" s="64"/>
    </row>
    <row r="3696" spans="4:4" x14ac:dyDescent="0.25">
      <c r="D3696" s="35"/>
    </row>
    <row r="3697" spans="4:4" x14ac:dyDescent="0.25">
      <c r="D3697" s="63"/>
    </row>
    <row r="3698" spans="4:4" x14ac:dyDescent="0.25">
      <c r="D3698" s="64"/>
    </row>
    <row r="3699" spans="4:4" x14ac:dyDescent="0.25">
      <c r="D3699" s="35"/>
    </row>
    <row r="3700" spans="4:4" x14ac:dyDescent="0.25">
      <c r="D3700" s="63"/>
    </row>
    <row r="3701" spans="4:4" x14ac:dyDescent="0.25">
      <c r="D3701" s="64"/>
    </row>
    <row r="3702" spans="4:4" x14ac:dyDescent="0.25">
      <c r="D3702" s="35"/>
    </row>
    <row r="3703" spans="4:4" x14ac:dyDescent="0.25">
      <c r="D3703" s="63"/>
    </row>
    <row r="3704" spans="4:4" x14ac:dyDescent="0.25">
      <c r="D3704" s="64"/>
    </row>
    <row r="3705" spans="4:4" x14ac:dyDescent="0.25">
      <c r="D3705" s="35"/>
    </row>
    <row r="3706" spans="4:4" x14ac:dyDescent="0.25">
      <c r="D3706" s="63"/>
    </row>
    <row r="3707" spans="4:4" x14ac:dyDescent="0.25">
      <c r="D3707" s="64"/>
    </row>
    <row r="3708" spans="4:4" x14ac:dyDescent="0.25">
      <c r="D3708" s="35"/>
    </row>
    <row r="3709" spans="4:4" x14ac:dyDescent="0.25">
      <c r="D3709" s="63"/>
    </row>
    <row r="3710" spans="4:4" x14ac:dyDescent="0.25">
      <c r="D3710" s="64"/>
    </row>
    <row r="3711" spans="4:4" x14ac:dyDescent="0.25">
      <c r="D3711" s="35"/>
    </row>
    <row r="3712" spans="4:4" x14ac:dyDescent="0.25">
      <c r="D3712" s="63"/>
    </row>
    <row r="3713" spans="4:4" x14ac:dyDescent="0.25">
      <c r="D3713" s="64"/>
    </row>
    <row r="3714" spans="4:4" x14ac:dyDescent="0.25">
      <c r="D3714" s="35"/>
    </row>
    <row r="3715" spans="4:4" x14ac:dyDescent="0.25">
      <c r="D3715" s="63"/>
    </row>
    <row r="3716" spans="4:4" x14ac:dyDescent="0.25">
      <c r="D3716" s="64"/>
    </row>
    <row r="3717" spans="4:4" x14ac:dyDescent="0.25">
      <c r="D3717" s="35"/>
    </row>
    <row r="3718" spans="4:4" x14ac:dyDescent="0.25">
      <c r="D3718" s="63"/>
    </row>
    <row r="3719" spans="4:4" x14ac:dyDescent="0.25">
      <c r="D3719" s="64"/>
    </row>
    <row r="3720" spans="4:4" x14ac:dyDescent="0.25">
      <c r="D3720" s="35"/>
    </row>
    <row r="3721" spans="4:4" x14ac:dyDescent="0.25">
      <c r="D3721" s="63"/>
    </row>
    <row r="3722" spans="4:4" x14ac:dyDescent="0.25">
      <c r="D3722" s="64"/>
    </row>
    <row r="3723" spans="4:4" x14ac:dyDescent="0.25">
      <c r="D3723" s="35"/>
    </row>
    <row r="3724" spans="4:4" x14ac:dyDescent="0.25">
      <c r="D3724" s="63"/>
    </row>
    <row r="3725" spans="4:4" x14ac:dyDescent="0.25">
      <c r="D3725" s="64"/>
    </row>
    <row r="3726" spans="4:4" x14ac:dyDescent="0.25">
      <c r="D3726" s="35"/>
    </row>
    <row r="3727" spans="4:4" x14ac:dyDescent="0.25">
      <c r="D3727" s="63"/>
    </row>
    <row r="3728" spans="4:4" x14ac:dyDescent="0.25">
      <c r="D3728" s="64"/>
    </row>
    <row r="3729" spans="4:4" x14ac:dyDescent="0.25">
      <c r="D3729" s="35"/>
    </row>
    <row r="3730" spans="4:4" x14ac:dyDescent="0.25">
      <c r="D3730" s="63"/>
    </row>
    <row r="3731" spans="4:4" x14ac:dyDescent="0.25">
      <c r="D3731" s="64"/>
    </row>
    <row r="3732" spans="4:4" x14ac:dyDescent="0.25">
      <c r="D3732" s="35"/>
    </row>
    <row r="3733" spans="4:4" x14ac:dyDescent="0.25">
      <c r="D3733" s="63"/>
    </row>
    <row r="3734" spans="4:4" x14ac:dyDescent="0.25">
      <c r="D3734" s="64"/>
    </row>
    <row r="3735" spans="4:4" x14ac:dyDescent="0.25">
      <c r="D3735" s="35"/>
    </row>
    <row r="3736" spans="4:4" x14ac:dyDescent="0.25">
      <c r="D3736" s="63"/>
    </row>
    <row r="3737" spans="4:4" x14ac:dyDescent="0.25">
      <c r="D3737" s="64"/>
    </row>
    <row r="3738" spans="4:4" x14ac:dyDescent="0.25">
      <c r="D3738" s="35"/>
    </row>
    <row r="3739" spans="4:4" x14ac:dyDescent="0.25">
      <c r="D3739" s="63"/>
    </row>
    <row r="3740" spans="4:4" x14ac:dyDescent="0.25">
      <c r="D3740" s="64"/>
    </row>
    <row r="3741" spans="4:4" x14ac:dyDescent="0.25">
      <c r="D3741" s="35"/>
    </row>
    <row r="3742" spans="4:4" x14ac:dyDescent="0.25">
      <c r="D3742" s="63"/>
    </row>
    <row r="3743" spans="4:4" x14ac:dyDescent="0.25">
      <c r="D3743" s="64"/>
    </row>
    <row r="3744" spans="4:4" x14ac:dyDescent="0.25">
      <c r="D3744" s="35"/>
    </row>
    <row r="3745" spans="4:4" x14ac:dyDescent="0.25">
      <c r="D3745" s="63"/>
    </row>
    <row r="3746" spans="4:4" x14ac:dyDescent="0.25">
      <c r="D3746" s="64"/>
    </row>
    <row r="3747" spans="4:4" x14ac:dyDescent="0.25">
      <c r="D3747" s="35"/>
    </row>
    <row r="3748" spans="4:4" x14ac:dyDescent="0.25">
      <c r="D3748" s="63"/>
    </row>
    <row r="3749" spans="4:4" x14ac:dyDescent="0.25">
      <c r="D3749" s="64"/>
    </row>
    <row r="3750" spans="4:4" x14ac:dyDescent="0.25">
      <c r="D3750" s="35"/>
    </row>
    <row r="3751" spans="4:4" x14ac:dyDescent="0.25">
      <c r="D3751" s="63"/>
    </row>
    <row r="3752" spans="4:4" x14ac:dyDescent="0.25">
      <c r="D3752" s="64"/>
    </row>
    <row r="3753" spans="4:4" x14ac:dyDescent="0.25">
      <c r="D3753" s="35"/>
    </row>
    <row r="3754" spans="4:4" x14ac:dyDescent="0.25">
      <c r="D3754" s="63"/>
    </row>
    <row r="3755" spans="4:4" x14ac:dyDescent="0.25">
      <c r="D3755" s="64"/>
    </row>
    <row r="3756" spans="4:4" x14ac:dyDescent="0.25">
      <c r="D3756" s="35"/>
    </row>
    <row r="3757" spans="4:4" x14ac:dyDescent="0.25">
      <c r="D3757" s="63"/>
    </row>
    <row r="3758" spans="4:4" x14ac:dyDescent="0.25">
      <c r="D3758" s="64"/>
    </row>
    <row r="3759" spans="4:4" x14ac:dyDescent="0.25">
      <c r="D3759" s="35"/>
    </row>
    <row r="3760" spans="4:4" x14ac:dyDescent="0.25">
      <c r="D3760" s="63"/>
    </row>
    <row r="3761" spans="4:4" x14ac:dyDescent="0.25">
      <c r="D3761" s="64"/>
    </row>
    <row r="3762" spans="4:4" x14ac:dyDescent="0.25">
      <c r="D3762" s="35"/>
    </row>
    <row r="3763" spans="4:4" x14ac:dyDescent="0.25">
      <c r="D3763" s="63"/>
    </row>
    <row r="3764" spans="4:4" x14ac:dyDescent="0.25">
      <c r="D3764" s="64"/>
    </row>
    <row r="3765" spans="4:4" x14ac:dyDescent="0.25">
      <c r="D3765" s="35"/>
    </row>
    <row r="3766" spans="4:4" x14ac:dyDescent="0.25">
      <c r="D3766" s="63"/>
    </row>
    <row r="3767" spans="4:4" x14ac:dyDescent="0.25">
      <c r="D3767" s="64"/>
    </row>
    <row r="3768" spans="4:4" x14ac:dyDescent="0.25">
      <c r="D3768" s="35"/>
    </row>
    <row r="3769" spans="4:4" x14ac:dyDescent="0.25">
      <c r="D3769" s="63"/>
    </row>
    <row r="3770" spans="4:4" x14ac:dyDescent="0.25">
      <c r="D3770" s="64"/>
    </row>
    <row r="3771" spans="4:4" x14ac:dyDescent="0.25">
      <c r="D3771" s="35"/>
    </row>
    <row r="3772" spans="4:4" x14ac:dyDescent="0.25">
      <c r="D3772" s="63"/>
    </row>
    <row r="3773" spans="4:4" x14ac:dyDescent="0.25">
      <c r="D3773" s="64"/>
    </row>
    <row r="3774" spans="4:4" x14ac:dyDescent="0.25">
      <c r="D3774" s="35"/>
    </row>
    <row r="3775" spans="4:4" x14ac:dyDescent="0.25">
      <c r="D3775" s="63"/>
    </row>
    <row r="3776" spans="4:4" x14ac:dyDescent="0.25">
      <c r="D3776" s="64"/>
    </row>
    <row r="3777" spans="4:4" x14ac:dyDescent="0.25">
      <c r="D3777" s="35"/>
    </row>
    <row r="3778" spans="4:4" x14ac:dyDescent="0.25">
      <c r="D3778" s="63"/>
    </row>
    <row r="3779" spans="4:4" x14ac:dyDescent="0.25">
      <c r="D3779" s="64"/>
    </row>
    <row r="3780" spans="4:4" x14ac:dyDescent="0.25">
      <c r="D3780" s="35"/>
    </row>
    <row r="3781" spans="4:4" x14ac:dyDescent="0.25">
      <c r="D3781" s="63"/>
    </row>
    <row r="3782" spans="4:4" x14ac:dyDescent="0.25">
      <c r="D3782" s="64"/>
    </row>
    <row r="3783" spans="4:4" x14ac:dyDescent="0.25">
      <c r="D3783" s="35"/>
    </row>
    <row r="3784" spans="4:4" x14ac:dyDescent="0.25">
      <c r="D3784" s="63"/>
    </row>
    <row r="3785" spans="4:4" x14ac:dyDescent="0.25">
      <c r="D3785" s="64"/>
    </row>
    <row r="3786" spans="4:4" x14ac:dyDescent="0.25">
      <c r="D3786" s="35"/>
    </row>
    <row r="3787" spans="4:4" x14ac:dyDescent="0.25">
      <c r="D3787" s="63"/>
    </row>
    <row r="3788" spans="4:4" x14ac:dyDescent="0.25">
      <c r="D3788" s="64"/>
    </row>
    <row r="3789" spans="4:4" x14ac:dyDescent="0.25">
      <c r="D3789" s="35"/>
    </row>
    <row r="3790" spans="4:4" x14ac:dyDescent="0.25">
      <c r="D3790" s="63"/>
    </row>
    <row r="3791" spans="4:4" x14ac:dyDescent="0.25">
      <c r="D3791" s="64"/>
    </row>
    <row r="3792" spans="4:4" x14ac:dyDescent="0.25">
      <c r="D3792" s="35"/>
    </row>
    <row r="3793" spans="4:4" x14ac:dyDescent="0.25">
      <c r="D3793" s="63"/>
    </row>
    <row r="3794" spans="4:4" x14ac:dyDescent="0.25">
      <c r="D3794" s="64"/>
    </row>
    <row r="3795" spans="4:4" x14ac:dyDescent="0.25">
      <c r="D3795" s="35"/>
    </row>
    <row r="3796" spans="4:4" x14ac:dyDescent="0.25">
      <c r="D3796" s="63"/>
    </row>
    <row r="3797" spans="4:4" x14ac:dyDescent="0.25">
      <c r="D3797" s="64"/>
    </row>
    <row r="3798" spans="4:4" x14ac:dyDescent="0.25">
      <c r="D3798" s="35"/>
    </row>
    <row r="3799" spans="4:4" x14ac:dyDescent="0.25">
      <c r="D3799" s="63"/>
    </row>
    <row r="3800" spans="4:4" x14ac:dyDescent="0.25">
      <c r="D3800" s="64"/>
    </row>
    <row r="3801" spans="4:4" x14ac:dyDescent="0.25">
      <c r="D3801" s="35"/>
    </row>
    <row r="3802" spans="4:4" x14ac:dyDescent="0.25">
      <c r="D3802" s="63"/>
    </row>
    <row r="3803" spans="4:4" x14ac:dyDescent="0.25">
      <c r="D3803" s="64"/>
    </row>
    <row r="3804" spans="4:4" x14ac:dyDescent="0.25">
      <c r="D3804" s="35"/>
    </row>
    <row r="3805" spans="4:4" x14ac:dyDescent="0.25">
      <c r="D3805" s="63"/>
    </row>
    <row r="3806" spans="4:4" x14ac:dyDescent="0.25">
      <c r="D3806" s="64"/>
    </row>
    <row r="3807" spans="4:4" x14ac:dyDescent="0.25">
      <c r="D3807" s="35"/>
    </row>
    <row r="3808" spans="4:4" x14ac:dyDescent="0.25">
      <c r="D3808" s="63"/>
    </row>
    <row r="3809" spans="4:4" x14ac:dyDescent="0.25">
      <c r="D3809" s="64"/>
    </row>
    <row r="3810" spans="4:4" x14ac:dyDescent="0.25">
      <c r="D3810" s="35"/>
    </row>
    <row r="3811" spans="4:4" x14ac:dyDescent="0.25">
      <c r="D3811" s="63"/>
    </row>
    <row r="3812" spans="4:4" x14ac:dyDescent="0.25">
      <c r="D3812" s="64"/>
    </row>
    <row r="3813" spans="4:4" x14ac:dyDescent="0.25">
      <c r="D3813" s="35"/>
    </row>
    <row r="3814" spans="4:4" x14ac:dyDescent="0.25">
      <c r="D3814" s="63"/>
    </row>
    <row r="3815" spans="4:4" x14ac:dyDescent="0.25">
      <c r="D3815" s="64"/>
    </row>
    <row r="3816" spans="4:4" x14ac:dyDescent="0.25">
      <c r="D3816" s="35"/>
    </row>
    <row r="3817" spans="4:4" x14ac:dyDescent="0.25">
      <c r="D3817" s="63"/>
    </row>
    <row r="3818" spans="4:4" x14ac:dyDescent="0.25">
      <c r="D3818" s="64"/>
    </row>
    <row r="3819" spans="4:4" x14ac:dyDescent="0.25">
      <c r="D3819" s="35"/>
    </row>
    <row r="3820" spans="4:4" x14ac:dyDescent="0.25">
      <c r="D3820" s="63"/>
    </row>
    <row r="3821" spans="4:4" x14ac:dyDescent="0.25">
      <c r="D3821" s="64"/>
    </row>
    <row r="3822" spans="4:4" x14ac:dyDescent="0.25">
      <c r="D3822" s="35"/>
    </row>
    <row r="3823" spans="4:4" x14ac:dyDescent="0.25">
      <c r="D3823" s="63"/>
    </row>
    <row r="3824" spans="4:4" x14ac:dyDescent="0.25">
      <c r="D3824" s="64"/>
    </row>
    <row r="3825" spans="4:4" x14ac:dyDescent="0.25">
      <c r="D3825" s="35"/>
    </row>
    <row r="3826" spans="4:4" x14ac:dyDescent="0.25">
      <c r="D3826" s="63"/>
    </row>
    <row r="3827" spans="4:4" x14ac:dyDescent="0.25">
      <c r="D3827" s="64"/>
    </row>
    <row r="3828" spans="4:4" x14ac:dyDescent="0.25">
      <c r="D3828" s="35"/>
    </row>
    <row r="3829" spans="4:4" x14ac:dyDescent="0.25">
      <c r="D3829" s="63"/>
    </row>
    <row r="3830" spans="4:4" x14ac:dyDescent="0.25">
      <c r="D3830" s="64"/>
    </row>
    <row r="3831" spans="4:4" x14ac:dyDescent="0.25">
      <c r="D3831" s="35"/>
    </row>
    <row r="3832" spans="4:4" x14ac:dyDescent="0.25">
      <c r="D3832" s="63"/>
    </row>
    <row r="3833" spans="4:4" x14ac:dyDescent="0.25">
      <c r="D3833" s="64"/>
    </row>
    <row r="3834" spans="4:4" x14ac:dyDescent="0.25">
      <c r="D3834" s="35"/>
    </row>
    <row r="3835" spans="4:4" x14ac:dyDescent="0.25">
      <c r="D3835" s="63"/>
    </row>
    <row r="3836" spans="4:4" x14ac:dyDescent="0.25">
      <c r="D3836" s="64"/>
    </row>
    <row r="3837" spans="4:4" x14ac:dyDescent="0.25">
      <c r="D3837" s="35"/>
    </row>
    <row r="3838" spans="4:4" x14ac:dyDescent="0.25">
      <c r="D3838" s="63"/>
    </row>
    <row r="3839" spans="4:4" x14ac:dyDescent="0.25">
      <c r="D3839" s="64"/>
    </row>
    <row r="3840" spans="4:4" x14ac:dyDescent="0.25">
      <c r="D3840" s="35"/>
    </row>
    <row r="3841" spans="4:4" x14ac:dyDescent="0.25">
      <c r="D3841" s="63"/>
    </row>
    <row r="3842" spans="4:4" x14ac:dyDescent="0.25">
      <c r="D3842" s="64"/>
    </row>
    <row r="3843" spans="4:4" x14ac:dyDescent="0.25">
      <c r="D3843" s="35"/>
    </row>
    <row r="3844" spans="4:4" x14ac:dyDescent="0.25">
      <c r="D3844" s="63"/>
    </row>
    <row r="3845" spans="4:4" x14ac:dyDescent="0.25">
      <c r="D3845" s="64"/>
    </row>
    <row r="3846" spans="4:4" x14ac:dyDescent="0.25">
      <c r="D3846" s="35"/>
    </row>
    <row r="3847" spans="4:4" x14ac:dyDescent="0.25">
      <c r="D3847" s="63"/>
    </row>
    <row r="3848" spans="4:4" x14ac:dyDescent="0.25">
      <c r="D3848" s="64"/>
    </row>
    <row r="3849" spans="4:4" x14ac:dyDescent="0.25">
      <c r="D3849" s="35"/>
    </row>
    <row r="3850" spans="4:4" x14ac:dyDescent="0.25">
      <c r="D3850" s="63"/>
    </row>
    <row r="3851" spans="4:4" x14ac:dyDescent="0.25">
      <c r="D3851" s="64"/>
    </row>
    <row r="3852" spans="4:4" x14ac:dyDescent="0.25">
      <c r="D3852" s="35"/>
    </row>
    <row r="3853" spans="4:4" x14ac:dyDescent="0.25">
      <c r="D3853" s="63"/>
    </row>
    <row r="3854" spans="4:4" x14ac:dyDescent="0.25">
      <c r="D3854" s="64"/>
    </row>
    <row r="3855" spans="4:4" x14ac:dyDescent="0.25">
      <c r="D3855" s="35"/>
    </row>
    <row r="3856" spans="4:4" x14ac:dyDescent="0.25">
      <c r="D3856" s="63"/>
    </row>
    <row r="3857" spans="4:4" x14ac:dyDescent="0.25">
      <c r="D3857" s="64"/>
    </row>
    <row r="3858" spans="4:4" x14ac:dyDescent="0.25">
      <c r="D3858" s="35"/>
    </row>
    <row r="3859" spans="4:4" x14ac:dyDescent="0.25">
      <c r="D3859" s="63"/>
    </row>
    <row r="3860" spans="4:4" x14ac:dyDescent="0.25">
      <c r="D3860" s="64"/>
    </row>
    <row r="3861" spans="4:4" x14ac:dyDescent="0.25">
      <c r="D3861" s="35"/>
    </row>
    <row r="3862" spans="4:4" x14ac:dyDescent="0.25">
      <c r="D3862" s="63"/>
    </row>
    <row r="3863" spans="4:4" x14ac:dyDescent="0.25">
      <c r="D3863" s="64"/>
    </row>
    <row r="3864" spans="4:4" x14ac:dyDescent="0.25">
      <c r="D3864" s="35"/>
    </row>
    <row r="3865" spans="4:4" x14ac:dyDescent="0.25">
      <c r="D3865" s="63"/>
    </row>
    <row r="3866" spans="4:4" x14ac:dyDescent="0.25">
      <c r="D3866" s="64"/>
    </row>
    <row r="3867" spans="4:4" x14ac:dyDescent="0.25">
      <c r="D3867" s="35"/>
    </row>
    <row r="3868" spans="4:4" x14ac:dyDescent="0.25">
      <c r="D3868" s="63"/>
    </row>
    <row r="3869" spans="4:4" x14ac:dyDescent="0.25">
      <c r="D3869" s="64"/>
    </row>
    <row r="3870" spans="4:4" x14ac:dyDescent="0.25">
      <c r="D3870" s="35"/>
    </row>
    <row r="3871" spans="4:4" x14ac:dyDescent="0.25">
      <c r="D3871" s="63"/>
    </row>
    <row r="3872" spans="4:4" x14ac:dyDescent="0.25">
      <c r="D3872" s="64"/>
    </row>
    <row r="3873" spans="4:4" x14ac:dyDescent="0.25">
      <c r="D3873" s="35"/>
    </row>
    <row r="3874" spans="4:4" x14ac:dyDescent="0.25">
      <c r="D3874" s="63"/>
    </row>
    <row r="3875" spans="4:4" x14ac:dyDescent="0.25">
      <c r="D3875" s="64"/>
    </row>
    <row r="3876" spans="4:4" x14ac:dyDescent="0.25">
      <c r="D3876" s="35"/>
    </row>
    <row r="3877" spans="4:4" x14ac:dyDescent="0.25">
      <c r="D3877" s="63"/>
    </row>
    <row r="3878" spans="4:4" x14ac:dyDescent="0.25">
      <c r="D3878" s="64"/>
    </row>
    <row r="3879" spans="4:4" x14ac:dyDescent="0.25">
      <c r="D3879" s="35"/>
    </row>
    <row r="3880" spans="4:4" x14ac:dyDescent="0.25">
      <c r="D3880" s="63"/>
    </row>
    <row r="3881" spans="4:4" x14ac:dyDescent="0.25">
      <c r="D3881" s="64"/>
    </row>
    <row r="3882" spans="4:4" x14ac:dyDescent="0.25">
      <c r="D3882" s="35"/>
    </row>
    <row r="3883" spans="4:4" x14ac:dyDescent="0.25">
      <c r="D3883" s="63"/>
    </row>
    <row r="3884" spans="4:4" x14ac:dyDescent="0.25">
      <c r="D3884" s="64"/>
    </row>
    <row r="3885" spans="4:4" x14ac:dyDescent="0.25">
      <c r="D3885" s="35"/>
    </row>
    <row r="3886" spans="4:4" x14ac:dyDescent="0.25">
      <c r="D3886" s="63"/>
    </row>
    <row r="3887" spans="4:4" x14ac:dyDescent="0.25">
      <c r="D3887" s="64"/>
    </row>
    <row r="3888" spans="4:4" x14ac:dyDescent="0.25">
      <c r="D3888" s="35"/>
    </row>
    <row r="3889" spans="4:4" x14ac:dyDescent="0.25">
      <c r="D3889" s="63"/>
    </row>
    <row r="3890" spans="4:4" x14ac:dyDescent="0.25">
      <c r="D3890" s="64"/>
    </row>
    <row r="3891" spans="4:4" x14ac:dyDescent="0.25">
      <c r="D3891" s="35"/>
    </row>
    <row r="3892" spans="4:4" x14ac:dyDescent="0.25">
      <c r="D3892" s="63"/>
    </row>
    <row r="3893" spans="4:4" x14ac:dyDescent="0.25">
      <c r="D3893" s="64"/>
    </row>
    <row r="3894" spans="4:4" x14ac:dyDescent="0.25">
      <c r="D3894" s="35"/>
    </row>
    <row r="3895" spans="4:4" x14ac:dyDescent="0.25">
      <c r="D3895" s="63"/>
    </row>
    <row r="3896" spans="4:4" x14ac:dyDescent="0.25">
      <c r="D3896" s="64"/>
    </row>
    <row r="3897" spans="4:4" x14ac:dyDescent="0.25">
      <c r="D3897" s="35"/>
    </row>
    <row r="3898" spans="4:4" x14ac:dyDescent="0.25">
      <c r="D3898" s="63"/>
    </row>
    <row r="3899" spans="4:4" x14ac:dyDescent="0.25">
      <c r="D3899" s="64"/>
    </row>
    <row r="3900" spans="4:4" x14ac:dyDescent="0.25">
      <c r="D3900" s="35"/>
    </row>
    <row r="3901" spans="4:4" x14ac:dyDescent="0.25">
      <c r="D3901" s="63"/>
    </row>
    <row r="3902" spans="4:4" x14ac:dyDescent="0.25">
      <c r="D3902" s="64"/>
    </row>
    <row r="3903" spans="4:4" x14ac:dyDescent="0.25">
      <c r="D3903" s="35"/>
    </row>
    <row r="3904" spans="4:4" x14ac:dyDescent="0.25">
      <c r="D3904" s="63"/>
    </row>
    <row r="3905" spans="4:4" x14ac:dyDescent="0.25">
      <c r="D3905" s="64"/>
    </row>
    <row r="3906" spans="4:4" x14ac:dyDescent="0.25">
      <c r="D3906" s="35"/>
    </row>
    <row r="3907" spans="4:4" x14ac:dyDescent="0.25">
      <c r="D3907" s="63"/>
    </row>
    <row r="3908" spans="4:4" x14ac:dyDescent="0.25">
      <c r="D3908" s="64"/>
    </row>
    <row r="3909" spans="4:4" x14ac:dyDescent="0.25">
      <c r="D3909" s="35"/>
    </row>
    <row r="3910" spans="4:4" x14ac:dyDescent="0.25">
      <c r="D3910" s="63"/>
    </row>
    <row r="3911" spans="4:4" x14ac:dyDescent="0.25">
      <c r="D3911" s="64"/>
    </row>
    <row r="3912" spans="4:4" x14ac:dyDescent="0.25">
      <c r="D3912" s="35"/>
    </row>
    <row r="3913" spans="4:4" x14ac:dyDescent="0.25">
      <c r="D3913" s="63"/>
    </row>
    <row r="3914" spans="4:4" x14ac:dyDescent="0.25">
      <c r="D3914" s="64"/>
    </row>
    <row r="3915" spans="4:4" x14ac:dyDescent="0.25">
      <c r="D3915" s="35"/>
    </row>
    <row r="3916" spans="4:4" x14ac:dyDescent="0.25">
      <c r="D3916" s="63"/>
    </row>
    <row r="3917" spans="4:4" x14ac:dyDescent="0.25">
      <c r="D3917" s="64"/>
    </row>
    <row r="3918" spans="4:4" x14ac:dyDescent="0.25">
      <c r="D3918" s="35"/>
    </row>
    <row r="3919" spans="4:4" x14ac:dyDescent="0.25">
      <c r="D3919" s="63"/>
    </row>
    <row r="3920" spans="4:4" x14ac:dyDescent="0.25">
      <c r="D3920" s="64"/>
    </row>
    <row r="3921" spans="4:4" x14ac:dyDescent="0.25">
      <c r="D3921" s="35"/>
    </row>
    <row r="3922" spans="4:4" x14ac:dyDescent="0.25">
      <c r="D3922" s="63"/>
    </row>
    <row r="3923" spans="4:4" x14ac:dyDescent="0.25">
      <c r="D3923" s="64"/>
    </row>
    <row r="3924" spans="4:4" x14ac:dyDescent="0.25">
      <c r="D3924" s="35"/>
    </row>
    <row r="3925" spans="4:4" x14ac:dyDescent="0.25">
      <c r="D3925" s="63"/>
    </row>
    <row r="3926" spans="4:4" x14ac:dyDescent="0.25">
      <c r="D3926" s="64"/>
    </row>
    <row r="3927" spans="4:4" x14ac:dyDescent="0.25">
      <c r="D3927" s="35"/>
    </row>
    <row r="3928" spans="4:4" x14ac:dyDescent="0.25">
      <c r="D3928" s="63"/>
    </row>
    <row r="3929" spans="4:4" x14ac:dyDescent="0.25">
      <c r="D3929" s="64"/>
    </row>
    <row r="3930" spans="4:4" x14ac:dyDescent="0.25">
      <c r="D3930" s="35"/>
    </row>
    <row r="3931" spans="4:4" x14ac:dyDescent="0.25">
      <c r="D3931" s="63"/>
    </row>
    <row r="3932" spans="4:4" x14ac:dyDescent="0.25">
      <c r="D3932" s="64"/>
    </row>
    <row r="3933" spans="4:4" x14ac:dyDescent="0.25">
      <c r="D3933" s="35"/>
    </row>
    <row r="3934" spans="4:4" x14ac:dyDescent="0.25">
      <c r="D3934" s="63"/>
    </row>
    <row r="3935" spans="4:4" x14ac:dyDescent="0.25">
      <c r="D3935" s="64"/>
    </row>
    <row r="3936" spans="4:4" x14ac:dyDescent="0.25">
      <c r="D3936" s="35"/>
    </row>
    <row r="3937" spans="4:4" x14ac:dyDescent="0.25">
      <c r="D3937" s="63"/>
    </row>
    <row r="3938" spans="4:4" x14ac:dyDescent="0.25">
      <c r="D3938" s="64"/>
    </row>
    <row r="3939" spans="4:4" x14ac:dyDescent="0.25">
      <c r="D3939" s="35"/>
    </row>
    <row r="3940" spans="4:4" x14ac:dyDescent="0.25">
      <c r="D3940" s="63"/>
    </row>
    <row r="3941" spans="4:4" x14ac:dyDescent="0.25">
      <c r="D3941" s="64"/>
    </row>
    <row r="3942" spans="4:4" x14ac:dyDescent="0.25">
      <c r="D3942" s="35"/>
    </row>
    <row r="3943" spans="4:4" x14ac:dyDescent="0.25">
      <c r="D3943" s="63"/>
    </row>
    <row r="3944" spans="4:4" x14ac:dyDescent="0.25">
      <c r="D3944" s="64"/>
    </row>
    <row r="3945" spans="4:4" x14ac:dyDescent="0.25">
      <c r="D3945" s="35"/>
    </row>
    <row r="3946" spans="4:4" x14ac:dyDescent="0.25">
      <c r="D3946" s="63"/>
    </row>
    <row r="3947" spans="4:4" x14ac:dyDescent="0.25">
      <c r="D3947" s="64"/>
    </row>
    <row r="3948" spans="4:4" x14ac:dyDescent="0.25">
      <c r="D3948" s="35"/>
    </row>
    <row r="3949" spans="4:4" x14ac:dyDescent="0.25">
      <c r="D3949" s="63"/>
    </row>
    <row r="3950" spans="4:4" x14ac:dyDescent="0.25">
      <c r="D3950" s="64"/>
    </row>
    <row r="3951" spans="4:4" x14ac:dyDescent="0.25">
      <c r="D3951" s="35"/>
    </row>
    <row r="3952" spans="4:4" x14ac:dyDescent="0.25">
      <c r="D3952" s="63"/>
    </row>
    <row r="3953" spans="4:4" x14ac:dyDescent="0.25">
      <c r="D3953" s="64"/>
    </row>
    <row r="3954" spans="4:4" x14ac:dyDescent="0.25">
      <c r="D3954" s="35"/>
    </row>
    <row r="3955" spans="4:4" x14ac:dyDescent="0.25">
      <c r="D3955" s="63"/>
    </row>
    <row r="3956" spans="4:4" x14ac:dyDescent="0.25">
      <c r="D3956" s="64"/>
    </row>
    <row r="3957" spans="4:4" x14ac:dyDescent="0.25">
      <c r="D3957" s="35"/>
    </row>
    <row r="3958" spans="4:4" x14ac:dyDescent="0.25">
      <c r="D3958" s="63"/>
    </row>
    <row r="3959" spans="4:4" x14ac:dyDescent="0.25">
      <c r="D3959" s="64"/>
    </row>
    <row r="3960" spans="4:4" x14ac:dyDescent="0.25">
      <c r="D3960" s="35"/>
    </row>
    <row r="3961" spans="4:4" x14ac:dyDescent="0.25">
      <c r="D3961" s="63"/>
    </row>
    <row r="3962" spans="4:4" x14ac:dyDescent="0.25">
      <c r="D3962" s="64"/>
    </row>
    <row r="3963" spans="4:4" x14ac:dyDescent="0.25">
      <c r="D3963" s="35"/>
    </row>
    <row r="3964" spans="4:4" x14ac:dyDescent="0.25">
      <c r="D3964" s="63"/>
    </row>
    <row r="3965" spans="4:4" x14ac:dyDescent="0.25">
      <c r="D3965" s="64"/>
    </row>
    <row r="3966" spans="4:4" x14ac:dyDescent="0.25">
      <c r="D3966" s="35"/>
    </row>
    <row r="3967" spans="4:4" x14ac:dyDescent="0.25">
      <c r="D3967" s="63"/>
    </row>
    <row r="3968" spans="4:4" x14ac:dyDescent="0.25">
      <c r="D3968" s="64"/>
    </row>
    <row r="3969" spans="4:4" x14ac:dyDescent="0.25">
      <c r="D3969" s="35"/>
    </row>
    <row r="3970" spans="4:4" x14ac:dyDescent="0.25">
      <c r="D3970" s="63"/>
    </row>
    <row r="3971" spans="4:4" x14ac:dyDescent="0.25">
      <c r="D3971" s="64"/>
    </row>
    <row r="3972" spans="4:4" x14ac:dyDescent="0.25">
      <c r="D3972" s="35"/>
    </row>
    <row r="3973" spans="4:4" x14ac:dyDescent="0.25">
      <c r="D3973" s="63"/>
    </row>
    <row r="3974" spans="4:4" x14ac:dyDescent="0.25">
      <c r="D3974" s="64"/>
    </row>
    <row r="3975" spans="4:4" x14ac:dyDescent="0.25">
      <c r="D3975" s="35"/>
    </row>
    <row r="3976" spans="4:4" x14ac:dyDescent="0.25">
      <c r="D3976" s="63"/>
    </row>
    <row r="3977" spans="4:4" x14ac:dyDescent="0.25">
      <c r="D3977" s="64"/>
    </row>
    <row r="3978" spans="4:4" x14ac:dyDescent="0.25">
      <c r="D3978" s="35"/>
    </row>
    <row r="3979" spans="4:4" x14ac:dyDescent="0.25">
      <c r="D3979" s="63"/>
    </row>
    <row r="3980" spans="4:4" x14ac:dyDescent="0.25">
      <c r="D3980" s="64"/>
    </row>
    <row r="3981" spans="4:4" x14ac:dyDescent="0.25">
      <c r="D3981" s="35"/>
    </row>
    <row r="3982" spans="4:4" x14ac:dyDescent="0.25">
      <c r="D3982" s="63"/>
    </row>
    <row r="3983" spans="4:4" x14ac:dyDescent="0.25">
      <c r="D3983" s="64"/>
    </row>
    <row r="3984" spans="4:4" x14ac:dyDescent="0.25">
      <c r="D3984" s="35"/>
    </row>
    <row r="3985" spans="4:4" x14ac:dyDescent="0.25">
      <c r="D3985" s="63"/>
    </row>
    <row r="3986" spans="4:4" x14ac:dyDescent="0.25">
      <c r="D3986" s="64"/>
    </row>
    <row r="3987" spans="4:4" x14ac:dyDescent="0.25">
      <c r="D3987" s="35"/>
    </row>
    <row r="3988" spans="4:4" x14ac:dyDescent="0.25">
      <c r="D3988" s="63"/>
    </row>
    <row r="3989" spans="4:4" x14ac:dyDescent="0.25">
      <c r="D3989" s="64"/>
    </row>
    <row r="3990" spans="4:4" x14ac:dyDescent="0.25">
      <c r="D3990" s="35"/>
    </row>
    <row r="3991" spans="4:4" x14ac:dyDescent="0.25">
      <c r="D3991" s="63"/>
    </row>
    <row r="3992" spans="4:4" x14ac:dyDescent="0.25">
      <c r="D3992" s="64"/>
    </row>
    <row r="3993" spans="4:4" x14ac:dyDescent="0.25">
      <c r="D3993" s="35"/>
    </row>
    <row r="3994" spans="4:4" x14ac:dyDescent="0.25">
      <c r="D3994" s="63"/>
    </row>
    <row r="3995" spans="4:4" x14ac:dyDescent="0.25">
      <c r="D3995" s="64"/>
    </row>
    <row r="3996" spans="4:4" x14ac:dyDescent="0.25">
      <c r="D3996" s="35"/>
    </row>
    <row r="3997" spans="4:4" x14ac:dyDescent="0.25">
      <c r="D3997" s="63"/>
    </row>
    <row r="3998" spans="4:4" x14ac:dyDescent="0.25">
      <c r="D3998" s="64"/>
    </row>
    <row r="3999" spans="4:4" x14ac:dyDescent="0.25">
      <c r="D3999" s="35"/>
    </row>
    <row r="4000" spans="4:4" x14ac:dyDescent="0.25">
      <c r="D4000" s="63"/>
    </row>
    <row r="4001" spans="4:4" x14ac:dyDescent="0.25">
      <c r="D4001" s="64"/>
    </row>
    <row r="4002" spans="4:4" x14ac:dyDescent="0.25">
      <c r="D4002" s="35"/>
    </row>
    <row r="4003" spans="4:4" x14ac:dyDescent="0.25">
      <c r="D4003" s="63"/>
    </row>
    <row r="4004" spans="4:4" x14ac:dyDescent="0.25">
      <c r="D4004" s="64"/>
    </row>
    <row r="4005" spans="4:4" x14ac:dyDescent="0.25">
      <c r="D4005" s="35"/>
    </row>
    <row r="4006" spans="4:4" x14ac:dyDescent="0.25">
      <c r="D4006" s="63"/>
    </row>
    <row r="4007" spans="4:4" x14ac:dyDescent="0.25">
      <c r="D4007" s="64"/>
    </row>
    <row r="4008" spans="4:4" x14ac:dyDescent="0.25">
      <c r="D4008" s="35"/>
    </row>
    <row r="4009" spans="4:4" x14ac:dyDescent="0.25">
      <c r="D4009" s="63"/>
    </row>
    <row r="4010" spans="4:4" x14ac:dyDescent="0.25">
      <c r="D4010" s="64"/>
    </row>
    <row r="4011" spans="4:4" x14ac:dyDescent="0.25">
      <c r="D4011" s="35"/>
    </row>
    <row r="4012" spans="4:4" x14ac:dyDescent="0.25">
      <c r="D4012" s="63"/>
    </row>
    <row r="4013" spans="4:4" x14ac:dyDescent="0.25">
      <c r="D4013" s="64"/>
    </row>
    <row r="4014" spans="4:4" x14ac:dyDescent="0.25">
      <c r="D4014" s="35"/>
    </row>
    <row r="4015" spans="4:4" x14ac:dyDescent="0.25">
      <c r="D4015" s="63"/>
    </row>
    <row r="4016" spans="4:4" x14ac:dyDescent="0.25">
      <c r="D4016" s="64"/>
    </row>
    <row r="4017" spans="4:4" x14ac:dyDescent="0.25">
      <c r="D4017" s="35"/>
    </row>
    <row r="4018" spans="4:4" x14ac:dyDescent="0.25">
      <c r="D4018" s="63"/>
    </row>
    <row r="4019" spans="4:4" x14ac:dyDescent="0.25">
      <c r="D4019" s="64"/>
    </row>
    <row r="4020" spans="4:4" x14ac:dyDescent="0.25">
      <c r="D4020" s="35"/>
    </row>
    <row r="4021" spans="4:4" x14ac:dyDescent="0.25">
      <c r="D4021" s="63"/>
    </row>
    <row r="4022" spans="4:4" x14ac:dyDescent="0.25">
      <c r="D4022" s="64"/>
    </row>
    <row r="4023" spans="4:4" x14ac:dyDescent="0.25">
      <c r="D4023" s="35"/>
    </row>
    <row r="4024" spans="4:4" x14ac:dyDescent="0.25">
      <c r="D4024" s="63"/>
    </row>
    <row r="4025" spans="4:4" x14ac:dyDescent="0.25">
      <c r="D4025" s="64"/>
    </row>
    <row r="4026" spans="4:4" x14ac:dyDescent="0.25">
      <c r="D4026" s="35"/>
    </row>
    <row r="4027" spans="4:4" x14ac:dyDescent="0.25">
      <c r="D4027" s="63"/>
    </row>
    <row r="4028" spans="4:4" x14ac:dyDescent="0.25">
      <c r="D4028" s="64"/>
    </row>
    <row r="4029" spans="4:4" x14ac:dyDescent="0.25">
      <c r="D4029" s="35"/>
    </row>
    <row r="4030" spans="4:4" x14ac:dyDescent="0.25">
      <c r="D4030" s="63"/>
    </row>
    <row r="4031" spans="4:4" x14ac:dyDescent="0.25">
      <c r="D4031" s="64"/>
    </row>
    <row r="4032" spans="4:4" x14ac:dyDescent="0.25">
      <c r="D4032" s="35"/>
    </row>
    <row r="4033" spans="4:4" x14ac:dyDescent="0.25">
      <c r="D4033" s="63"/>
    </row>
    <row r="4034" spans="4:4" x14ac:dyDescent="0.25">
      <c r="D4034" s="64"/>
    </row>
    <row r="4035" spans="4:4" x14ac:dyDescent="0.25">
      <c r="D4035" s="35"/>
    </row>
    <row r="4036" spans="4:4" x14ac:dyDescent="0.25">
      <c r="D4036" s="63"/>
    </row>
    <row r="4037" spans="4:4" x14ac:dyDescent="0.25">
      <c r="D4037" s="64"/>
    </row>
    <row r="4038" spans="4:4" x14ac:dyDescent="0.25">
      <c r="D4038" s="35"/>
    </row>
    <row r="4039" spans="4:4" x14ac:dyDescent="0.25">
      <c r="D4039" s="63"/>
    </row>
    <row r="4040" spans="4:4" x14ac:dyDescent="0.25">
      <c r="D4040" s="64"/>
    </row>
    <row r="4041" spans="4:4" x14ac:dyDescent="0.25">
      <c r="D4041" s="35"/>
    </row>
    <row r="4042" spans="4:4" x14ac:dyDescent="0.25">
      <c r="D4042" s="63"/>
    </row>
    <row r="4043" spans="4:4" x14ac:dyDescent="0.25">
      <c r="D4043" s="64"/>
    </row>
    <row r="4044" spans="4:4" x14ac:dyDescent="0.25">
      <c r="D4044" s="35"/>
    </row>
    <row r="4045" spans="4:4" x14ac:dyDescent="0.25">
      <c r="D4045" s="63"/>
    </row>
    <row r="4046" spans="4:4" x14ac:dyDescent="0.25">
      <c r="D4046" s="64"/>
    </row>
    <row r="4047" spans="4:4" x14ac:dyDescent="0.25">
      <c r="D4047" s="35"/>
    </row>
    <row r="4048" spans="4:4" x14ac:dyDescent="0.25">
      <c r="D4048" s="63"/>
    </row>
    <row r="4049" spans="4:4" x14ac:dyDescent="0.25">
      <c r="D4049" s="64"/>
    </row>
    <row r="4050" spans="4:4" x14ac:dyDescent="0.25">
      <c r="D4050" s="35"/>
    </row>
    <row r="4051" spans="4:4" x14ac:dyDescent="0.25">
      <c r="D4051" s="63"/>
    </row>
    <row r="4052" spans="4:4" x14ac:dyDescent="0.25">
      <c r="D4052" s="64"/>
    </row>
    <row r="4053" spans="4:4" x14ac:dyDescent="0.25">
      <c r="D4053" s="35"/>
    </row>
    <row r="4054" spans="4:4" x14ac:dyDescent="0.25">
      <c r="D4054" s="63"/>
    </row>
    <row r="4055" spans="4:4" x14ac:dyDescent="0.25">
      <c r="D4055" s="64"/>
    </row>
    <row r="4056" spans="4:4" x14ac:dyDescent="0.25">
      <c r="D4056" s="35"/>
    </row>
    <row r="4057" spans="4:4" x14ac:dyDescent="0.25">
      <c r="D4057" s="63"/>
    </row>
    <row r="4058" spans="4:4" x14ac:dyDescent="0.25">
      <c r="D4058" s="64"/>
    </row>
    <row r="4059" spans="4:4" x14ac:dyDescent="0.25">
      <c r="D4059" s="35"/>
    </row>
    <row r="4060" spans="4:4" x14ac:dyDescent="0.25">
      <c r="D4060" s="63"/>
    </row>
    <row r="4061" spans="4:4" x14ac:dyDescent="0.25">
      <c r="D4061" s="64"/>
    </row>
    <row r="4062" spans="4:4" x14ac:dyDescent="0.25">
      <c r="D4062" s="35"/>
    </row>
    <row r="4063" spans="4:4" x14ac:dyDescent="0.25">
      <c r="D4063" s="63"/>
    </row>
    <row r="4064" spans="4:4" x14ac:dyDescent="0.25">
      <c r="D4064" s="64"/>
    </row>
    <row r="4065" spans="4:4" x14ac:dyDescent="0.25">
      <c r="D4065" s="35"/>
    </row>
    <row r="4066" spans="4:4" x14ac:dyDescent="0.25">
      <c r="D4066" s="63"/>
    </row>
    <row r="4067" spans="4:4" x14ac:dyDescent="0.25">
      <c r="D4067" s="64"/>
    </row>
    <row r="4068" spans="4:4" x14ac:dyDescent="0.25">
      <c r="D4068" s="35"/>
    </row>
    <row r="4069" spans="4:4" x14ac:dyDescent="0.25">
      <c r="D4069" s="63"/>
    </row>
    <row r="4070" spans="4:4" x14ac:dyDescent="0.25">
      <c r="D4070" s="64"/>
    </row>
    <row r="4071" spans="4:4" x14ac:dyDescent="0.25">
      <c r="D4071" s="35"/>
    </row>
    <row r="4072" spans="4:4" x14ac:dyDescent="0.25">
      <c r="D4072" s="63"/>
    </row>
    <row r="4073" spans="4:4" x14ac:dyDescent="0.25">
      <c r="D4073" s="64"/>
    </row>
    <row r="4074" spans="4:4" x14ac:dyDescent="0.25">
      <c r="D4074" s="35"/>
    </row>
    <row r="4075" spans="4:4" x14ac:dyDescent="0.25">
      <c r="D4075" s="63"/>
    </row>
    <row r="4076" spans="4:4" x14ac:dyDescent="0.25">
      <c r="D4076" s="64"/>
    </row>
    <row r="4077" spans="4:4" x14ac:dyDescent="0.25">
      <c r="D4077" s="35"/>
    </row>
    <row r="4078" spans="4:4" x14ac:dyDescent="0.25">
      <c r="D4078" s="63"/>
    </row>
    <row r="4079" spans="4:4" x14ac:dyDescent="0.25">
      <c r="D4079" s="64"/>
    </row>
    <row r="4080" spans="4:4" x14ac:dyDescent="0.25">
      <c r="D4080" s="35"/>
    </row>
    <row r="4081" spans="4:4" x14ac:dyDescent="0.25">
      <c r="D4081" s="63"/>
    </row>
    <row r="4082" spans="4:4" x14ac:dyDescent="0.25">
      <c r="D4082" s="64"/>
    </row>
    <row r="4083" spans="4:4" x14ac:dyDescent="0.25">
      <c r="D4083" s="35"/>
    </row>
    <row r="4084" spans="4:4" x14ac:dyDescent="0.25">
      <c r="D4084" s="63"/>
    </row>
    <row r="4085" spans="4:4" x14ac:dyDescent="0.25">
      <c r="D4085" s="64"/>
    </row>
    <row r="4086" spans="4:4" x14ac:dyDescent="0.25">
      <c r="D4086" s="35"/>
    </row>
    <row r="4087" spans="4:4" x14ac:dyDescent="0.25">
      <c r="D4087" s="63"/>
    </row>
    <row r="4088" spans="4:4" x14ac:dyDescent="0.25">
      <c r="D4088" s="64"/>
    </row>
    <row r="4089" spans="4:4" x14ac:dyDescent="0.25">
      <c r="D4089" s="35"/>
    </row>
    <row r="4090" spans="4:4" x14ac:dyDescent="0.25">
      <c r="D4090" s="63"/>
    </row>
    <row r="4091" spans="4:4" x14ac:dyDescent="0.25">
      <c r="D4091" s="64"/>
    </row>
    <row r="4092" spans="4:4" x14ac:dyDescent="0.25">
      <c r="D4092" s="35"/>
    </row>
    <row r="4093" spans="4:4" x14ac:dyDescent="0.25">
      <c r="D4093" s="63"/>
    </row>
    <row r="4094" spans="4:4" x14ac:dyDescent="0.25">
      <c r="D4094" s="64"/>
    </row>
    <row r="4095" spans="4:4" x14ac:dyDescent="0.25">
      <c r="D4095" s="35"/>
    </row>
    <row r="4096" spans="4:4" x14ac:dyDescent="0.25">
      <c r="D4096" s="63"/>
    </row>
    <row r="4097" spans="4:4" x14ac:dyDescent="0.25">
      <c r="D4097" s="64"/>
    </row>
    <row r="4098" spans="4:4" x14ac:dyDescent="0.25">
      <c r="D4098" s="35"/>
    </row>
    <row r="4099" spans="4:4" x14ac:dyDescent="0.25">
      <c r="D4099" s="63"/>
    </row>
    <row r="4100" spans="4:4" x14ac:dyDescent="0.25">
      <c r="D4100" s="64"/>
    </row>
    <row r="4101" spans="4:4" x14ac:dyDescent="0.25">
      <c r="D4101" s="35"/>
    </row>
    <row r="4102" spans="4:4" x14ac:dyDescent="0.25">
      <c r="D4102" s="63"/>
    </row>
    <row r="4103" spans="4:4" x14ac:dyDescent="0.25">
      <c r="D4103" s="64"/>
    </row>
    <row r="4104" spans="4:4" x14ac:dyDescent="0.25">
      <c r="D4104" s="35"/>
    </row>
    <row r="4105" spans="4:4" x14ac:dyDescent="0.25">
      <c r="D4105" s="63"/>
    </row>
    <row r="4106" spans="4:4" x14ac:dyDescent="0.25">
      <c r="D4106" s="64"/>
    </row>
    <row r="4107" spans="4:4" x14ac:dyDescent="0.25">
      <c r="D4107" s="35"/>
    </row>
    <row r="4108" spans="4:4" x14ac:dyDescent="0.25">
      <c r="D4108" s="63"/>
    </row>
    <row r="4109" spans="4:4" x14ac:dyDescent="0.25">
      <c r="D4109" s="64"/>
    </row>
    <row r="4110" spans="4:4" x14ac:dyDescent="0.25">
      <c r="D4110" s="35"/>
    </row>
    <row r="4111" spans="4:4" x14ac:dyDescent="0.25">
      <c r="D4111" s="63"/>
    </row>
    <row r="4112" spans="4:4" x14ac:dyDescent="0.25">
      <c r="D4112" s="64"/>
    </row>
    <row r="4113" spans="4:4" x14ac:dyDescent="0.25">
      <c r="D4113" s="35"/>
    </row>
    <row r="4114" spans="4:4" x14ac:dyDescent="0.25">
      <c r="D4114" s="63"/>
    </row>
    <row r="4115" spans="4:4" x14ac:dyDescent="0.25">
      <c r="D4115" s="64"/>
    </row>
    <row r="4116" spans="4:4" x14ac:dyDescent="0.25">
      <c r="D4116" s="35"/>
    </row>
    <row r="4117" spans="4:4" x14ac:dyDescent="0.25">
      <c r="D4117" s="63"/>
    </row>
    <row r="4118" spans="4:4" x14ac:dyDescent="0.25">
      <c r="D4118" s="64"/>
    </row>
    <row r="4119" spans="4:4" x14ac:dyDescent="0.25">
      <c r="D4119" s="35"/>
    </row>
    <row r="4120" spans="4:4" x14ac:dyDescent="0.25">
      <c r="D4120" s="63"/>
    </row>
    <row r="4121" spans="4:4" x14ac:dyDescent="0.25">
      <c r="D4121" s="64"/>
    </row>
    <row r="4122" spans="4:4" x14ac:dyDescent="0.25">
      <c r="D4122" s="35"/>
    </row>
    <row r="4123" spans="4:4" x14ac:dyDescent="0.25">
      <c r="D4123" s="63"/>
    </row>
    <row r="4124" spans="4:4" x14ac:dyDescent="0.25">
      <c r="D4124" s="64"/>
    </row>
    <row r="4125" spans="4:4" x14ac:dyDescent="0.25">
      <c r="D4125" s="35"/>
    </row>
    <row r="4126" spans="4:4" x14ac:dyDescent="0.25">
      <c r="D4126" s="63"/>
    </row>
    <row r="4127" spans="4:4" x14ac:dyDescent="0.25">
      <c r="D4127" s="64"/>
    </row>
    <row r="4128" spans="4:4" x14ac:dyDescent="0.25">
      <c r="D4128" s="35"/>
    </row>
    <row r="4129" spans="4:4" x14ac:dyDescent="0.25">
      <c r="D4129" s="63"/>
    </row>
    <row r="4130" spans="4:4" x14ac:dyDescent="0.25">
      <c r="D4130" s="64"/>
    </row>
    <row r="4131" spans="4:4" x14ac:dyDescent="0.25">
      <c r="D4131" s="35"/>
    </row>
    <row r="4132" spans="4:4" x14ac:dyDescent="0.25">
      <c r="D4132" s="63"/>
    </row>
    <row r="4133" spans="4:4" x14ac:dyDescent="0.25">
      <c r="D4133" s="64"/>
    </row>
    <row r="4134" spans="4:4" x14ac:dyDescent="0.25">
      <c r="D4134" s="35"/>
    </row>
    <row r="4135" spans="4:4" x14ac:dyDescent="0.25">
      <c r="D4135" s="63"/>
    </row>
    <row r="4136" spans="4:4" x14ac:dyDescent="0.25">
      <c r="D4136" s="64"/>
    </row>
    <row r="4137" spans="4:4" x14ac:dyDescent="0.25">
      <c r="D4137" s="35"/>
    </row>
    <row r="4138" spans="4:4" x14ac:dyDescent="0.25">
      <c r="D4138" s="63"/>
    </row>
    <row r="4139" spans="4:4" x14ac:dyDescent="0.25">
      <c r="D4139" s="64"/>
    </row>
    <row r="4140" spans="4:4" x14ac:dyDescent="0.25">
      <c r="D4140" s="35"/>
    </row>
    <row r="4141" spans="4:4" x14ac:dyDescent="0.25">
      <c r="D4141" s="63"/>
    </row>
    <row r="4142" spans="4:4" x14ac:dyDescent="0.25">
      <c r="D4142" s="64"/>
    </row>
    <row r="4143" spans="4:4" x14ac:dyDescent="0.25">
      <c r="D4143" s="35"/>
    </row>
    <row r="4144" spans="4:4" x14ac:dyDescent="0.25">
      <c r="D4144" s="63"/>
    </row>
    <row r="4145" spans="4:4" x14ac:dyDescent="0.25">
      <c r="D4145" s="64"/>
    </row>
    <row r="4146" spans="4:4" x14ac:dyDescent="0.25">
      <c r="D4146" s="35"/>
    </row>
    <row r="4147" spans="4:4" x14ac:dyDescent="0.25">
      <c r="D4147" s="63"/>
    </row>
    <row r="4148" spans="4:4" x14ac:dyDescent="0.25">
      <c r="D4148" s="64"/>
    </row>
    <row r="4149" spans="4:4" x14ac:dyDescent="0.25">
      <c r="D4149" s="35"/>
    </row>
    <row r="4150" spans="4:4" x14ac:dyDescent="0.25">
      <c r="D4150" s="63"/>
    </row>
    <row r="4151" spans="4:4" x14ac:dyDescent="0.25">
      <c r="D4151" s="64"/>
    </row>
    <row r="4152" spans="4:4" x14ac:dyDescent="0.25">
      <c r="D4152" s="35"/>
    </row>
    <row r="4153" spans="4:4" x14ac:dyDescent="0.25">
      <c r="D4153" s="63"/>
    </row>
    <row r="4154" spans="4:4" x14ac:dyDescent="0.25">
      <c r="D4154" s="64"/>
    </row>
    <row r="4155" spans="4:4" x14ac:dyDescent="0.25">
      <c r="D4155" s="35"/>
    </row>
    <row r="4156" spans="4:4" x14ac:dyDescent="0.25">
      <c r="D4156" s="63"/>
    </row>
    <row r="4157" spans="4:4" x14ac:dyDescent="0.25">
      <c r="D4157" s="64"/>
    </row>
    <row r="4158" spans="4:4" x14ac:dyDescent="0.25">
      <c r="D4158" s="35"/>
    </row>
    <row r="4159" spans="4:4" x14ac:dyDescent="0.25">
      <c r="D4159" s="63"/>
    </row>
    <row r="4160" spans="4:4" x14ac:dyDescent="0.25">
      <c r="D4160" s="64"/>
    </row>
    <row r="4161" spans="4:4" x14ac:dyDescent="0.25">
      <c r="D4161" s="35"/>
    </row>
    <row r="4162" spans="4:4" x14ac:dyDescent="0.25">
      <c r="D4162" s="63"/>
    </row>
    <row r="4163" spans="4:4" x14ac:dyDescent="0.25">
      <c r="D4163" s="64"/>
    </row>
    <row r="4164" spans="4:4" x14ac:dyDescent="0.25">
      <c r="D4164" s="35"/>
    </row>
    <row r="4165" spans="4:4" x14ac:dyDescent="0.25">
      <c r="D4165" s="63"/>
    </row>
    <row r="4166" spans="4:4" x14ac:dyDescent="0.25">
      <c r="D4166" s="64"/>
    </row>
    <row r="4167" spans="4:4" x14ac:dyDescent="0.25">
      <c r="D4167" s="35"/>
    </row>
    <row r="4168" spans="4:4" x14ac:dyDescent="0.25">
      <c r="D4168" s="63"/>
    </row>
    <row r="4169" spans="4:4" x14ac:dyDescent="0.25">
      <c r="D4169" s="64"/>
    </row>
    <row r="4170" spans="4:4" x14ac:dyDescent="0.25">
      <c r="D4170" s="35"/>
    </row>
    <row r="4171" spans="4:4" x14ac:dyDescent="0.25">
      <c r="D4171" s="63"/>
    </row>
    <row r="4172" spans="4:4" x14ac:dyDescent="0.25">
      <c r="D4172" s="64"/>
    </row>
    <row r="4173" spans="4:4" x14ac:dyDescent="0.25">
      <c r="D4173" s="35"/>
    </row>
    <row r="4174" spans="4:4" x14ac:dyDescent="0.25">
      <c r="D4174" s="63"/>
    </row>
    <row r="4175" spans="4:4" x14ac:dyDescent="0.25">
      <c r="D4175" s="64"/>
    </row>
    <row r="4176" spans="4:4" x14ac:dyDescent="0.25">
      <c r="D4176" s="35"/>
    </row>
    <row r="4177" spans="4:4" x14ac:dyDescent="0.25">
      <c r="D4177" s="63"/>
    </row>
    <row r="4178" spans="4:4" x14ac:dyDescent="0.25">
      <c r="D4178" s="64"/>
    </row>
    <row r="4179" spans="4:4" x14ac:dyDescent="0.25">
      <c r="D4179" s="35"/>
    </row>
    <row r="4180" spans="4:4" x14ac:dyDescent="0.25">
      <c r="D4180" s="63"/>
    </row>
    <row r="4181" spans="4:4" x14ac:dyDescent="0.25">
      <c r="D4181" s="64"/>
    </row>
    <row r="4182" spans="4:4" x14ac:dyDescent="0.25">
      <c r="D4182" s="35"/>
    </row>
    <row r="4183" spans="4:4" x14ac:dyDescent="0.25">
      <c r="D4183" s="63"/>
    </row>
    <row r="4184" spans="4:4" x14ac:dyDescent="0.25">
      <c r="D4184" s="64"/>
    </row>
    <row r="4185" spans="4:4" x14ac:dyDescent="0.25">
      <c r="D4185" s="35"/>
    </row>
    <row r="4186" spans="4:4" x14ac:dyDescent="0.25">
      <c r="D4186" s="63"/>
    </row>
    <row r="4187" spans="4:4" x14ac:dyDescent="0.25">
      <c r="D4187" s="64"/>
    </row>
    <row r="4188" spans="4:4" x14ac:dyDescent="0.25">
      <c r="D4188" s="35"/>
    </row>
    <row r="4189" spans="4:4" x14ac:dyDescent="0.25">
      <c r="D4189" s="63"/>
    </row>
    <row r="4190" spans="4:4" x14ac:dyDescent="0.25">
      <c r="D4190" s="64"/>
    </row>
    <row r="4191" spans="4:4" x14ac:dyDescent="0.25">
      <c r="D4191" s="35"/>
    </row>
    <row r="4192" spans="4:4" x14ac:dyDescent="0.25">
      <c r="D4192" s="63"/>
    </row>
    <row r="4193" spans="4:4" x14ac:dyDescent="0.25">
      <c r="D4193" s="64"/>
    </row>
    <row r="4194" spans="4:4" x14ac:dyDescent="0.25">
      <c r="D4194" s="35"/>
    </row>
    <row r="4195" spans="4:4" x14ac:dyDescent="0.25">
      <c r="D4195" s="63"/>
    </row>
    <row r="4196" spans="4:4" x14ac:dyDescent="0.25">
      <c r="D4196" s="64"/>
    </row>
    <row r="4197" spans="4:4" x14ac:dyDescent="0.25">
      <c r="D4197" s="35"/>
    </row>
    <row r="4198" spans="4:4" x14ac:dyDescent="0.25">
      <c r="D4198" s="63"/>
    </row>
    <row r="4199" spans="4:4" x14ac:dyDescent="0.25">
      <c r="D4199" s="64"/>
    </row>
    <row r="4200" spans="4:4" x14ac:dyDescent="0.25">
      <c r="D4200" s="35"/>
    </row>
    <row r="4201" spans="4:4" x14ac:dyDescent="0.25">
      <c r="D4201" s="63"/>
    </row>
    <row r="4202" spans="4:4" x14ac:dyDescent="0.25">
      <c r="D4202" s="64"/>
    </row>
    <row r="4203" spans="4:4" x14ac:dyDescent="0.25">
      <c r="D4203" s="35"/>
    </row>
    <row r="4204" spans="4:4" x14ac:dyDescent="0.25">
      <c r="D4204" s="63"/>
    </row>
    <row r="4205" spans="4:4" x14ac:dyDescent="0.25">
      <c r="D4205" s="64"/>
    </row>
    <row r="4206" spans="4:4" x14ac:dyDescent="0.25">
      <c r="D4206" s="35"/>
    </row>
    <row r="4207" spans="4:4" x14ac:dyDescent="0.25">
      <c r="D4207" s="63"/>
    </row>
    <row r="4208" spans="4:4" x14ac:dyDescent="0.25">
      <c r="D4208" s="64"/>
    </row>
    <row r="4209" spans="4:4" x14ac:dyDescent="0.25">
      <c r="D4209" s="35"/>
    </row>
    <row r="4210" spans="4:4" x14ac:dyDescent="0.25">
      <c r="D4210" s="63"/>
    </row>
    <row r="4211" spans="4:4" x14ac:dyDescent="0.25">
      <c r="D4211" s="64"/>
    </row>
    <row r="4212" spans="4:4" x14ac:dyDescent="0.25">
      <c r="D4212" s="35"/>
    </row>
    <row r="4213" spans="4:4" x14ac:dyDescent="0.25">
      <c r="D4213" s="63"/>
    </row>
    <row r="4214" spans="4:4" x14ac:dyDescent="0.25">
      <c r="D4214" s="64"/>
    </row>
    <row r="4215" spans="4:4" x14ac:dyDescent="0.25">
      <c r="D4215" s="35"/>
    </row>
    <row r="4216" spans="4:4" x14ac:dyDescent="0.25">
      <c r="D4216" s="63"/>
    </row>
    <row r="4217" spans="4:4" x14ac:dyDescent="0.25">
      <c r="D4217" s="64"/>
    </row>
    <row r="4218" spans="4:4" x14ac:dyDescent="0.25">
      <c r="D4218" s="35"/>
    </row>
    <row r="4219" spans="4:4" x14ac:dyDescent="0.25">
      <c r="D4219" s="63"/>
    </row>
    <row r="4220" spans="4:4" x14ac:dyDescent="0.25">
      <c r="D4220" s="64"/>
    </row>
    <row r="4221" spans="4:4" x14ac:dyDescent="0.25">
      <c r="D4221" s="35"/>
    </row>
    <row r="4222" spans="4:4" x14ac:dyDescent="0.25">
      <c r="D4222" s="63"/>
    </row>
    <row r="4223" spans="4:4" x14ac:dyDescent="0.25">
      <c r="D4223" s="64"/>
    </row>
    <row r="4224" spans="4:4" x14ac:dyDescent="0.25">
      <c r="D4224" s="35"/>
    </row>
    <row r="4225" spans="4:4" x14ac:dyDescent="0.25">
      <c r="D4225" s="63"/>
    </row>
    <row r="4226" spans="4:4" x14ac:dyDescent="0.25">
      <c r="D4226" s="64"/>
    </row>
    <row r="4227" spans="4:4" x14ac:dyDescent="0.25">
      <c r="D4227" s="35"/>
    </row>
    <row r="4228" spans="4:4" x14ac:dyDescent="0.25">
      <c r="D4228" s="63"/>
    </row>
    <row r="4229" spans="4:4" x14ac:dyDescent="0.25">
      <c r="D4229" s="64"/>
    </row>
    <row r="4230" spans="4:4" x14ac:dyDescent="0.25">
      <c r="D4230" s="35"/>
    </row>
    <row r="4231" spans="4:4" x14ac:dyDescent="0.25">
      <c r="D4231" s="63"/>
    </row>
    <row r="4232" spans="4:4" x14ac:dyDescent="0.25">
      <c r="D4232" s="64"/>
    </row>
    <row r="4233" spans="4:4" x14ac:dyDescent="0.25">
      <c r="D4233" s="35"/>
    </row>
    <row r="4234" spans="4:4" x14ac:dyDescent="0.25">
      <c r="D4234" s="63"/>
    </row>
    <row r="4235" spans="4:4" x14ac:dyDescent="0.25">
      <c r="D4235" s="64"/>
    </row>
    <row r="4236" spans="4:4" x14ac:dyDescent="0.25">
      <c r="D4236" s="35"/>
    </row>
    <row r="4237" spans="4:4" x14ac:dyDescent="0.25">
      <c r="D4237" s="63"/>
    </row>
    <row r="4238" spans="4:4" x14ac:dyDescent="0.25">
      <c r="D4238" s="64"/>
    </row>
    <row r="4239" spans="4:4" x14ac:dyDescent="0.25">
      <c r="D4239" s="35"/>
    </row>
    <row r="4240" spans="4:4" x14ac:dyDescent="0.25">
      <c r="D4240" s="63"/>
    </row>
    <row r="4241" spans="4:4" x14ac:dyDescent="0.25">
      <c r="D4241" s="64"/>
    </row>
    <row r="4242" spans="4:4" x14ac:dyDescent="0.25">
      <c r="D4242" s="35"/>
    </row>
    <row r="4243" spans="4:4" x14ac:dyDescent="0.25">
      <c r="D4243" s="63"/>
    </row>
    <row r="4244" spans="4:4" x14ac:dyDescent="0.25">
      <c r="D4244" s="64"/>
    </row>
    <row r="4245" spans="4:4" x14ac:dyDescent="0.25">
      <c r="D4245" s="35"/>
    </row>
    <row r="4246" spans="4:4" x14ac:dyDescent="0.25">
      <c r="D4246" s="63"/>
    </row>
    <row r="4247" spans="4:4" x14ac:dyDescent="0.25">
      <c r="D4247" s="64"/>
    </row>
    <row r="4248" spans="4:4" x14ac:dyDescent="0.25">
      <c r="D4248" s="35"/>
    </row>
    <row r="4249" spans="4:4" x14ac:dyDescent="0.25">
      <c r="D4249" s="63"/>
    </row>
    <row r="4250" spans="4:4" x14ac:dyDescent="0.25">
      <c r="D4250" s="64"/>
    </row>
    <row r="4251" spans="4:4" x14ac:dyDescent="0.25">
      <c r="D4251" s="35"/>
    </row>
    <row r="4252" spans="4:4" x14ac:dyDescent="0.25">
      <c r="D4252" s="63"/>
    </row>
    <row r="4253" spans="4:4" x14ac:dyDescent="0.25">
      <c r="D4253" s="64"/>
    </row>
    <row r="4254" spans="4:4" x14ac:dyDescent="0.25">
      <c r="D4254" s="35"/>
    </row>
    <row r="4255" spans="4:4" x14ac:dyDescent="0.25">
      <c r="D4255" s="63"/>
    </row>
    <row r="4256" spans="4:4" x14ac:dyDescent="0.25">
      <c r="D4256" s="64"/>
    </row>
    <row r="4257" spans="4:4" x14ac:dyDescent="0.25">
      <c r="D4257" s="35"/>
    </row>
    <row r="4258" spans="4:4" x14ac:dyDescent="0.25">
      <c r="D4258" s="63"/>
    </row>
    <row r="4259" spans="4:4" x14ac:dyDescent="0.25">
      <c r="D4259" s="64"/>
    </row>
    <row r="4260" spans="4:4" x14ac:dyDescent="0.25">
      <c r="D4260" s="35"/>
    </row>
    <row r="4261" spans="4:4" x14ac:dyDescent="0.25">
      <c r="D4261" s="63"/>
    </row>
    <row r="4262" spans="4:4" x14ac:dyDescent="0.25">
      <c r="D4262" s="64"/>
    </row>
    <row r="4263" spans="4:4" x14ac:dyDescent="0.25">
      <c r="D4263" s="35"/>
    </row>
    <row r="4264" spans="4:4" x14ac:dyDescent="0.25">
      <c r="D4264" s="63"/>
    </row>
    <row r="4265" spans="4:4" x14ac:dyDescent="0.25">
      <c r="D4265" s="64"/>
    </row>
    <row r="4266" spans="4:4" x14ac:dyDescent="0.25">
      <c r="D4266" s="35"/>
    </row>
    <row r="4267" spans="4:4" x14ac:dyDescent="0.25">
      <c r="D4267" s="63"/>
    </row>
    <row r="4268" spans="4:4" x14ac:dyDescent="0.25">
      <c r="D4268" s="64"/>
    </row>
    <row r="4269" spans="4:4" x14ac:dyDescent="0.25">
      <c r="D4269" s="35"/>
    </row>
    <row r="4270" spans="4:4" x14ac:dyDescent="0.25">
      <c r="D4270" s="63"/>
    </row>
    <row r="4271" spans="4:4" x14ac:dyDescent="0.25">
      <c r="D4271" s="64"/>
    </row>
    <row r="4272" spans="4:4" x14ac:dyDescent="0.25">
      <c r="D4272" s="35"/>
    </row>
    <row r="4273" spans="4:4" x14ac:dyDescent="0.25">
      <c r="D4273" s="63"/>
    </row>
    <row r="4274" spans="4:4" x14ac:dyDescent="0.25">
      <c r="D4274" s="64"/>
    </row>
    <row r="4275" spans="4:4" x14ac:dyDescent="0.25">
      <c r="D4275" s="35"/>
    </row>
    <row r="4276" spans="4:4" x14ac:dyDescent="0.25">
      <c r="D4276" s="63"/>
    </row>
    <row r="4277" spans="4:4" x14ac:dyDescent="0.25">
      <c r="D4277" s="64"/>
    </row>
    <row r="4278" spans="4:4" x14ac:dyDescent="0.25">
      <c r="D4278" s="35"/>
    </row>
    <row r="4279" spans="4:4" x14ac:dyDescent="0.25">
      <c r="D4279" s="63"/>
    </row>
    <row r="4280" spans="4:4" x14ac:dyDescent="0.25">
      <c r="D4280" s="64"/>
    </row>
    <row r="4281" spans="4:4" x14ac:dyDescent="0.25">
      <c r="D4281" s="35"/>
    </row>
    <row r="4282" spans="4:4" x14ac:dyDescent="0.25">
      <c r="D4282" s="63"/>
    </row>
    <row r="4283" spans="4:4" x14ac:dyDescent="0.25">
      <c r="D4283" s="64"/>
    </row>
    <row r="4284" spans="4:4" x14ac:dyDescent="0.25">
      <c r="D4284" s="35"/>
    </row>
    <row r="4285" spans="4:4" x14ac:dyDescent="0.25">
      <c r="D4285" s="63"/>
    </row>
    <row r="4286" spans="4:4" x14ac:dyDescent="0.25">
      <c r="D4286" s="64"/>
    </row>
    <row r="4287" spans="4:4" x14ac:dyDescent="0.25">
      <c r="D4287" s="35"/>
    </row>
    <row r="4288" spans="4:4" x14ac:dyDescent="0.25">
      <c r="D4288" s="63"/>
    </row>
    <row r="4289" spans="4:4" x14ac:dyDescent="0.25">
      <c r="D4289" s="64"/>
    </row>
    <row r="4290" spans="4:4" x14ac:dyDescent="0.25">
      <c r="D4290" s="35"/>
    </row>
    <row r="4291" spans="4:4" x14ac:dyDescent="0.25">
      <c r="D4291" s="63"/>
    </row>
    <row r="4292" spans="4:4" x14ac:dyDescent="0.25">
      <c r="D4292" s="64"/>
    </row>
    <row r="4293" spans="4:4" x14ac:dyDescent="0.25">
      <c r="D4293" s="35"/>
    </row>
    <row r="4294" spans="4:4" x14ac:dyDescent="0.25">
      <c r="D4294" s="63"/>
    </row>
    <row r="4295" spans="4:4" x14ac:dyDescent="0.25">
      <c r="D4295" s="64"/>
    </row>
    <row r="4296" spans="4:4" x14ac:dyDescent="0.25">
      <c r="D4296" s="35"/>
    </row>
    <row r="4297" spans="4:4" x14ac:dyDescent="0.25">
      <c r="D4297" s="63"/>
    </row>
    <row r="4298" spans="4:4" x14ac:dyDescent="0.25">
      <c r="D4298" s="64"/>
    </row>
    <row r="4299" spans="4:4" x14ac:dyDescent="0.25">
      <c r="D4299" s="35"/>
    </row>
    <row r="4300" spans="4:4" x14ac:dyDescent="0.25">
      <c r="D4300" s="63"/>
    </row>
    <row r="4301" spans="4:4" x14ac:dyDescent="0.25">
      <c r="D4301" s="64"/>
    </row>
    <row r="4302" spans="4:4" x14ac:dyDescent="0.25">
      <c r="D4302" s="35"/>
    </row>
    <row r="4303" spans="4:4" x14ac:dyDescent="0.25">
      <c r="D4303" s="63"/>
    </row>
    <row r="4304" spans="4:4" x14ac:dyDescent="0.25">
      <c r="D4304" s="64"/>
    </row>
    <row r="4305" spans="4:4" x14ac:dyDescent="0.25">
      <c r="D4305" s="35"/>
    </row>
    <row r="4306" spans="4:4" x14ac:dyDescent="0.25">
      <c r="D4306" s="63"/>
    </row>
    <row r="4307" spans="4:4" x14ac:dyDescent="0.25">
      <c r="D4307" s="64"/>
    </row>
    <row r="4308" spans="4:4" x14ac:dyDescent="0.25">
      <c r="D4308" s="35"/>
    </row>
    <row r="4309" spans="4:4" x14ac:dyDescent="0.25">
      <c r="D4309" s="63"/>
    </row>
    <row r="4310" spans="4:4" x14ac:dyDescent="0.25">
      <c r="D4310" s="64"/>
    </row>
    <row r="4311" spans="4:4" x14ac:dyDescent="0.25">
      <c r="D4311" s="35"/>
    </row>
    <row r="4312" spans="4:4" x14ac:dyDescent="0.25">
      <c r="D4312" s="63"/>
    </row>
    <row r="4313" spans="4:4" x14ac:dyDescent="0.25">
      <c r="D4313" s="64"/>
    </row>
    <row r="4314" spans="4:4" x14ac:dyDescent="0.25">
      <c r="D4314" s="35"/>
    </row>
    <row r="4315" spans="4:4" x14ac:dyDescent="0.25">
      <c r="D4315" s="63"/>
    </row>
    <row r="4316" spans="4:4" x14ac:dyDescent="0.25">
      <c r="D4316" s="64"/>
    </row>
    <row r="4317" spans="4:4" x14ac:dyDescent="0.25">
      <c r="D4317" s="35"/>
    </row>
    <row r="4318" spans="4:4" x14ac:dyDescent="0.25">
      <c r="D4318" s="63"/>
    </row>
    <row r="4319" spans="4:4" x14ac:dyDescent="0.25">
      <c r="D4319" s="64"/>
    </row>
    <row r="4320" spans="4:4" x14ac:dyDescent="0.25">
      <c r="D4320" s="35"/>
    </row>
    <row r="4321" spans="4:4" x14ac:dyDescent="0.25">
      <c r="D4321" s="63"/>
    </row>
    <row r="4322" spans="4:4" x14ac:dyDescent="0.25">
      <c r="D4322" s="64"/>
    </row>
    <row r="4323" spans="4:4" x14ac:dyDescent="0.25">
      <c r="D4323" s="35"/>
    </row>
    <row r="4324" spans="4:4" x14ac:dyDescent="0.25">
      <c r="D4324" s="63"/>
    </row>
    <row r="4325" spans="4:4" x14ac:dyDescent="0.25">
      <c r="D4325" s="64"/>
    </row>
    <row r="4326" spans="4:4" x14ac:dyDescent="0.25">
      <c r="D4326" s="35"/>
    </row>
    <row r="4327" spans="4:4" x14ac:dyDescent="0.25">
      <c r="D4327" s="63"/>
    </row>
    <row r="4328" spans="4:4" x14ac:dyDescent="0.25">
      <c r="D4328" s="64"/>
    </row>
    <row r="4329" spans="4:4" x14ac:dyDescent="0.25">
      <c r="D4329" s="35"/>
    </row>
    <row r="4330" spans="4:4" x14ac:dyDescent="0.25">
      <c r="D4330" s="63"/>
    </row>
    <row r="4331" spans="4:4" x14ac:dyDescent="0.25">
      <c r="D4331" s="64"/>
    </row>
    <row r="4332" spans="4:4" x14ac:dyDescent="0.25">
      <c r="D4332" s="35"/>
    </row>
    <row r="4333" spans="4:4" x14ac:dyDescent="0.25">
      <c r="D4333" s="63"/>
    </row>
    <row r="4334" spans="4:4" x14ac:dyDescent="0.25">
      <c r="D4334" s="64"/>
    </row>
    <row r="4335" spans="4:4" x14ac:dyDescent="0.25">
      <c r="D4335" s="35"/>
    </row>
    <row r="4336" spans="4:4" x14ac:dyDescent="0.25">
      <c r="D4336" s="63"/>
    </row>
    <row r="4337" spans="4:4" x14ac:dyDescent="0.25">
      <c r="D4337" s="64"/>
    </row>
    <row r="4338" spans="4:4" x14ac:dyDescent="0.25">
      <c r="D4338" s="35"/>
    </row>
    <row r="4339" spans="4:4" x14ac:dyDescent="0.25">
      <c r="D4339" s="63"/>
    </row>
    <row r="4340" spans="4:4" x14ac:dyDescent="0.25">
      <c r="D4340" s="64"/>
    </row>
    <row r="4341" spans="4:4" x14ac:dyDescent="0.25">
      <c r="D4341" s="35"/>
    </row>
    <row r="4342" spans="4:4" x14ac:dyDescent="0.25">
      <c r="D4342" s="63"/>
    </row>
    <row r="4343" spans="4:4" x14ac:dyDescent="0.25">
      <c r="D4343" s="64"/>
    </row>
    <row r="4344" spans="4:4" x14ac:dyDescent="0.25">
      <c r="D4344" s="35"/>
    </row>
    <row r="4345" spans="4:4" x14ac:dyDescent="0.25">
      <c r="D4345" s="63"/>
    </row>
    <row r="4346" spans="4:4" x14ac:dyDescent="0.25">
      <c r="D4346" s="64"/>
    </row>
    <row r="4347" spans="4:4" x14ac:dyDescent="0.25">
      <c r="D4347" s="35"/>
    </row>
    <row r="4348" spans="4:4" x14ac:dyDescent="0.25">
      <c r="D4348" s="63"/>
    </row>
    <row r="4349" spans="4:4" x14ac:dyDescent="0.25">
      <c r="D4349" s="64"/>
    </row>
    <row r="4350" spans="4:4" x14ac:dyDescent="0.25">
      <c r="D4350" s="35"/>
    </row>
    <row r="4351" spans="4:4" x14ac:dyDescent="0.25">
      <c r="D4351" s="63"/>
    </row>
    <row r="4352" spans="4:4" x14ac:dyDescent="0.25">
      <c r="D4352" s="64"/>
    </row>
    <row r="4353" spans="4:4" x14ac:dyDescent="0.25">
      <c r="D4353" s="35"/>
    </row>
    <row r="4354" spans="4:4" x14ac:dyDescent="0.25">
      <c r="D4354" s="63"/>
    </row>
    <row r="4355" spans="4:4" x14ac:dyDescent="0.25">
      <c r="D4355" s="64"/>
    </row>
    <row r="4356" spans="4:4" x14ac:dyDescent="0.25">
      <c r="D4356" s="35"/>
    </row>
    <row r="4357" spans="4:4" x14ac:dyDescent="0.25">
      <c r="D4357" s="63"/>
    </row>
    <row r="4358" spans="4:4" x14ac:dyDescent="0.25">
      <c r="D4358" s="64"/>
    </row>
    <row r="4359" spans="4:4" x14ac:dyDescent="0.25">
      <c r="D4359" s="35"/>
    </row>
    <row r="4360" spans="4:4" x14ac:dyDescent="0.25">
      <c r="D4360" s="63"/>
    </row>
    <row r="4361" spans="4:4" x14ac:dyDescent="0.25">
      <c r="D4361" s="64"/>
    </row>
    <row r="4362" spans="4:4" x14ac:dyDescent="0.25">
      <c r="D4362" s="35"/>
    </row>
    <row r="4363" spans="4:4" x14ac:dyDescent="0.25">
      <c r="D4363" s="63"/>
    </row>
    <row r="4364" spans="4:4" x14ac:dyDescent="0.25">
      <c r="D4364" s="64"/>
    </row>
    <row r="4365" spans="4:4" x14ac:dyDescent="0.25">
      <c r="D4365" s="35"/>
    </row>
    <row r="4366" spans="4:4" x14ac:dyDescent="0.25">
      <c r="D4366" s="63"/>
    </row>
    <row r="4367" spans="4:4" x14ac:dyDescent="0.25">
      <c r="D4367" s="64"/>
    </row>
    <row r="4368" spans="4:4" x14ac:dyDescent="0.25">
      <c r="D4368" s="35"/>
    </row>
    <row r="4369" spans="4:4" x14ac:dyDescent="0.25">
      <c r="D4369" s="63"/>
    </row>
    <row r="4370" spans="4:4" x14ac:dyDescent="0.25">
      <c r="D4370" s="64"/>
    </row>
    <row r="4371" spans="4:4" x14ac:dyDescent="0.25">
      <c r="D4371" s="35"/>
    </row>
    <row r="4372" spans="4:4" x14ac:dyDescent="0.25">
      <c r="D4372" s="63"/>
    </row>
    <row r="4373" spans="4:4" x14ac:dyDescent="0.25">
      <c r="D4373" s="64"/>
    </row>
    <row r="4374" spans="4:4" x14ac:dyDescent="0.25">
      <c r="D4374" s="35"/>
    </row>
    <row r="4375" spans="4:4" x14ac:dyDescent="0.25">
      <c r="D4375" s="63"/>
    </row>
    <row r="4376" spans="4:4" x14ac:dyDescent="0.25">
      <c r="D4376" s="64"/>
    </row>
    <row r="4377" spans="4:4" x14ac:dyDescent="0.25">
      <c r="D4377" s="35"/>
    </row>
    <row r="4378" spans="4:4" x14ac:dyDescent="0.25">
      <c r="D4378" s="63"/>
    </row>
    <row r="4379" spans="4:4" x14ac:dyDescent="0.25">
      <c r="D4379" s="64"/>
    </row>
    <row r="4380" spans="4:4" x14ac:dyDescent="0.25">
      <c r="D4380" s="35"/>
    </row>
    <row r="4381" spans="4:4" x14ac:dyDescent="0.25">
      <c r="D4381" s="63"/>
    </row>
    <row r="4382" spans="4:4" x14ac:dyDescent="0.25">
      <c r="D4382" s="64"/>
    </row>
    <row r="4383" spans="4:4" x14ac:dyDescent="0.25">
      <c r="D4383" s="35"/>
    </row>
    <row r="4384" spans="4:4" x14ac:dyDescent="0.25">
      <c r="D4384" s="63"/>
    </row>
    <row r="4385" spans="4:4" x14ac:dyDescent="0.25">
      <c r="D4385" s="64"/>
    </row>
    <row r="4386" spans="4:4" x14ac:dyDescent="0.25">
      <c r="D4386" s="35"/>
    </row>
    <row r="4387" spans="4:4" x14ac:dyDescent="0.25">
      <c r="D4387" s="63"/>
    </row>
    <row r="4388" spans="4:4" x14ac:dyDescent="0.25">
      <c r="D4388" s="64"/>
    </row>
    <row r="4389" spans="4:4" x14ac:dyDescent="0.25">
      <c r="D4389" s="35"/>
    </row>
    <row r="4390" spans="4:4" x14ac:dyDescent="0.25">
      <c r="D4390" s="63"/>
    </row>
    <row r="4391" spans="4:4" x14ac:dyDescent="0.25">
      <c r="D4391" s="64"/>
    </row>
    <row r="4392" spans="4:4" x14ac:dyDescent="0.25">
      <c r="D4392" s="35"/>
    </row>
    <row r="4393" spans="4:4" x14ac:dyDescent="0.25">
      <c r="D4393" s="63"/>
    </row>
    <row r="4394" spans="4:4" x14ac:dyDescent="0.25">
      <c r="D4394" s="64"/>
    </row>
    <row r="4395" spans="4:4" x14ac:dyDescent="0.25">
      <c r="D4395" s="35"/>
    </row>
    <row r="4396" spans="4:4" x14ac:dyDescent="0.25">
      <c r="D4396" s="63"/>
    </row>
    <row r="4397" spans="4:4" x14ac:dyDescent="0.25">
      <c r="D4397" s="64"/>
    </row>
    <row r="4398" spans="4:4" x14ac:dyDescent="0.25">
      <c r="D4398" s="35"/>
    </row>
    <row r="4399" spans="4:4" x14ac:dyDescent="0.25">
      <c r="D4399" s="63"/>
    </row>
    <row r="4400" spans="4:4" x14ac:dyDescent="0.25">
      <c r="D4400" s="64"/>
    </row>
    <row r="4401" spans="4:4" x14ac:dyDescent="0.25">
      <c r="D4401" s="35"/>
    </row>
    <row r="4402" spans="4:4" x14ac:dyDescent="0.25">
      <c r="D4402" s="63"/>
    </row>
    <row r="4403" spans="4:4" x14ac:dyDescent="0.25">
      <c r="D4403" s="64"/>
    </row>
    <row r="4404" spans="4:4" x14ac:dyDescent="0.25">
      <c r="D4404" s="35"/>
    </row>
    <row r="4405" spans="4:4" x14ac:dyDescent="0.25">
      <c r="D4405" s="63"/>
    </row>
    <row r="4406" spans="4:4" x14ac:dyDescent="0.25">
      <c r="D4406" s="64"/>
    </row>
    <row r="4407" spans="4:4" x14ac:dyDescent="0.25">
      <c r="D4407" s="35"/>
    </row>
    <row r="4408" spans="4:4" x14ac:dyDescent="0.25">
      <c r="D4408" s="63"/>
    </row>
    <row r="4409" spans="4:4" x14ac:dyDescent="0.25">
      <c r="D4409" s="64"/>
    </row>
    <row r="4410" spans="4:4" x14ac:dyDescent="0.25">
      <c r="D4410" s="35"/>
    </row>
    <row r="4411" spans="4:4" x14ac:dyDescent="0.25">
      <c r="D4411" s="63"/>
    </row>
    <row r="4412" spans="4:4" x14ac:dyDescent="0.25">
      <c r="D4412" s="64"/>
    </row>
    <row r="4413" spans="4:4" x14ac:dyDescent="0.25">
      <c r="D4413" s="35"/>
    </row>
    <row r="4414" spans="4:4" x14ac:dyDescent="0.25">
      <c r="D4414" s="63"/>
    </row>
    <row r="4415" spans="4:4" x14ac:dyDescent="0.25">
      <c r="D4415" s="64"/>
    </row>
    <row r="4416" spans="4:4" x14ac:dyDescent="0.25">
      <c r="D4416" s="35"/>
    </row>
    <row r="4417" spans="4:4" x14ac:dyDescent="0.25">
      <c r="D4417" s="63"/>
    </row>
    <row r="4418" spans="4:4" x14ac:dyDescent="0.25">
      <c r="D4418" s="64"/>
    </row>
    <row r="4419" spans="4:4" x14ac:dyDescent="0.25">
      <c r="D4419" s="35"/>
    </row>
    <row r="4420" spans="4:4" x14ac:dyDescent="0.25">
      <c r="D4420" s="63"/>
    </row>
    <row r="4421" spans="4:4" x14ac:dyDescent="0.25">
      <c r="D4421" s="64"/>
    </row>
    <row r="4422" spans="4:4" x14ac:dyDescent="0.25">
      <c r="D4422" s="35"/>
    </row>
    <row r="4423" spans="4:4" x14ac:dyDescent="0.25">
      <c r="D4423" s="63"/>
    </row>
    <row r="4424" spans="4:4" x14ac:dyDescent="0.25">
      <c r="D4424" s="64"/>
    </row>
    <row r="4425" spans="4:4" x14ac:dyDescent="0.25">
      <c r="D4425" s="35"/>
    </row>
    <row r="4426" spans="4:4" x14ac:dyDescent="0.25">
      <c r="D4426" s="63"/>
    </row>
    <row r="4427" spans="4:4" x14ac:dyDescent="0.25">
      <c r="D4427" s="64"/>
    </row>
    <row r="4428" spans="4:4" x14ac:dyDescent="0.25">
      <c r="D4428" s="35"/>
    </row>
    <row r="4429" spans="4:4" x14ac:dyDescent="0.25">
      <c r="D4429" s="63"/>
    </row>
    <row r="4430" spans="4:4" x14ac:dyDescent="0.25">
      <c r="D4430" s="64"/>
    </row>
    <row r="4431" spans="4:4" x14ac:dyDescent="0.25">
      <c r="D4431" s="35"/>
    </row>
    <row r="4432" spans="4:4" x14ac:dyDescent="0.25">
      <c r="D4432" s="63"/>
    </row>
    <row r="4433" spans="4:4" x14ac:dyDescent="0.25">
      <c r="D4433" s="64"/>
    </row>
    <row r="4434" spans="4:4" x14ac:dyDescent="0.25">
      <c r="D4434" s="35"/>
    </row>
    <row r="4435" spans="4:4" x14ac:dyDescent="0.25">
      <c r="D4435" s="63"/>
    </row>
    <row r="4436" spans="4:4" x14ac:dyDescent="0.25">
      <c r="D4436" s="64"/>
    </row>
    <row r="4437" spans="4:4" x14ac:dyDescent="0.25">
      <c r="D4437" s="35"/>
    </row>
    <row r="4438" spans="4:4" x14ac:dyDescent="0.25">
      <c r="D4438" s="63"/>
    </row>
    <row r="4439" spans="4:4" x14ac:dyDescent="0.25">
      <c r="D4439" s="64"/>
    </row>
    <row r="4440" spans="4:4" x14ac:dyDescent="0.25">
      <c r="D4440" s="35"/>
    </row>
    <row r="4441" spans="4:4" x14ac:dyDescent="0.25">
      <c r="D4441" s="63"/>
    </row>
    <row r="4442" spans="4:4" x14ac:dyDescent="0.25">
      <c r="D4442" s="64"/>
    </row>
    <row r="4443" spans="4:4" x14ac:dyDescent="0.25">
      <c r="D4443" s="35"/>
    </row>
    <row r="4444" spans="4:4" x14ac:dyDescent="0.25">
      <c r="D4444" s="63"/>
    </row>
    <row r="4445" spans="4:4" x14ac:dyDescent="0.25">
      <c r="D4445" s="64"/>
    </row>
    <row r="4446" spans="4:4" x14ac:dyDescent="0.25">
      <c r="D4446" s="35"/>
    </row>
    <row r="4447" spans="4:4" x14ac:dyDescent="0.25">
      <c r="D4447" s="63"/>
    </row>
    <row r="4448" spans="4:4" x14ac:dyDescent="0.25">
      <c r="D4448" s="64"/>
    </row>
    <row r="4449" spans="4:4" x14ac:dyDescent="0.25">
      <c r="D4449" s="35"/>
    </row>
    <row r="4450" spans="4:4" x14ac:dyDescent="0.25">
      <c r="D4450" s="63"/>
    </row>
    <row r="4451" spans="4:4" x14ac:dyDescent="0.25">
      <c r="D4451" s="64"/>
    </row>
    <row r="4452" spans="4:4" x14ac:dyDescent="0.25">
      <c r="D4452" s="35"/>
    </row>
    <row r="4453" spans="4:4" x14ac:dyDescent="0.25">
      <c r="D4453" s="63"/>
    </row>
    <row r="4454" spans="4:4" x14ac:dyDescent="0.25">
      <c r="D4454" s="64"/>
    </row>
    <row r="4455" spans="4:4" x14ac:dyDescent="0.25">
      <c r="D4455" s="35"/>
    </row>
    <row r="4456" spans="4:4" x14ac:dyDescent="0.25">
      <c r="D4456" s="63"/>
    </row>
    <row r="4457" spans="4:4" x14ac:dyDescent="0.25">
      <c r="D4457" s="64"/>
    </row>
    <row r="4458" spans="4:4" x14ac:dyDescent="0.25">
      <c r="D4458" s="35"/>
    </row>
    <row r="4459" spans="4:4" x14ac:dyDescent="0.25">
      <c r="D4459" s="63"/>
    </row>
    <row r="4460" spans="4:4" x14ac:dyDescent="0.25">
      <c r="D4460" s="64"/>
    </row>
    <row r="4461" spans="4:4" x14ac:dyDescent="0.25">
      <c r="D4461" s="35"/>
    </row>
    <row r="4462" spans="4:4" x14ac:dyDescent="0.25">
      <c r="D4462" s="63"/>
    </row>
    <row r="4463" spans="4:4" x14ac:dyDescent="0.25">
      <c r="D4463" s="64"/>
    </row>
    <row r="4464" spans="4:4" x14ac:dyDescent="0.25">
      <c r="D4464" s="35"/>
    </row>
    <row r="4465" spans="4:4" x14ac:dyDescent="0.25">
      <c r="D4465" s="63"/>
    </row>
    <row r="4466" spans="4:4" x14ac:dyDescent="0.25">
      <c r="D4466" s="64"/>
    </row>
    <row r="4467" spans="4:4" x14ac:dyDescent="0.25">
      <c r="D4467" s="35"/>
    </row>
    <row r="4468" spans="4:4" x14ac:dyDescent="0.25">
      <c r="D4468" s="63"/>
    </row>
    <row r="4469" spans="4:4" x14ac:dyDescent="0.25">
      <c r="D4469" s="64"/>
    </row>
    <row r="4470" spans="4:4" x14ac:dyDescent="0.25">
      <c r="D4470" s="35"/>
    </row>
    <row r="4471" spans="4:4" x14ac:dyDescent="0.25">
      <c r="D4471" s="63"/>
    </row>
    <row r="4472" spans="4:4" x14ac:dyDescent="0.25">
      <c r="D4472" s="64"/>
    </row>
    <row r="4473" spans="4:4" x14ac:dyDescent="0.25">
      <c r="D4473" s="35"/>
    </row>
    <row r="4474" spans="4:4" x14ac:dyDescent="0.25">
      <c r="D4474" s="63"/>
    </row>
    <row r="4475" spans="4:4" x14ac:dyDescent="0.25">
      <c r="D4475" s="64"/>
    </row>
    <row r="4476" spans="4:4" x14ac:dyDescent="0.25">
      <c r="D4476" s="35"/>
    </row>
    <row r="4477" spans="4:4" x14ac:dyDescent="0.25">
      <c r="D4477" s="63"/>
    </row>
    <row r="4478" spans="4:4" x14ac:dyDescent="0.25">
      <c r="D4478" s="64"/>
    </row>
    <row r="4479" spans="4:4" x14ac:dyDescent="0.25">
      <c r="D4479" s="35"/>
    </row>
    <row r="4480" spans="4:4" x14ac:dyDescent="0.25">
      <c r="D4480" s="63"/>
    </row>
    <row r="4481" spans="4:4" x14ac:dyDescent="0.25">
      <c r="D4481" s="64"/>
    </row>
    <row r="4482" spans="4:4" x14ac:dyDescent="0.25">
      <c r="D4482" s="35"/>
    </row>
    <row r="4483" spans="4:4" x14ac:dyDescent="0.25">
      <c r="D4483" s="63"/>
    </row>
    <row r="4484" spans="4:4" x14ac:dyDescent="0.25">
      <c r="D4484" s="64"/>
    </row>
    <row r="4485" spans="4:4" x14ac:dyDescent="0.25">
      <c r="D4485" s="35"/>
    </row>
    <row r="4486" spans="4:4" x14ac:dyDescent="0.25">
      <c r="D4486" s="63"/>
    </row>
    <row r="4487" spans="4:4" x14ac:dyDescent="0.25">
      <c r="D4487" s="64"/>
    </row>
    <row r="4488" spans="4:4" x14ac:dyDescent="0.25">
      <c r="D4488" s="35"/>
    </row>
    <row r="4489" spans="4:4" x14ac:dyDescent="0.25">
      <c r="D4489" s="63"/>
    </row>
    <row r="4490" spans="4:4" x14ac:dyDescent="0.25">
      <c r="D4490" s="64"/>
    </row>
    <row r="4491" spans="4:4" x14ac:dyDescent="0.25">
      <c r="D4491" s="35"/>
    </row>
    <row r="4492" spans="4:4" x14ac:dyDescent="0.25">
      <c r="D4492" s="63"/>
    </row>
    <row r="4493" spans="4:4" x14ac:dyDescent="0.25">
      <c r="D4493" s="64"/>
    </row>
    <row r="4494" spans="4:4" x14ac:dyDescent="0.25">
      <c r="D4494" s="35"/>
    </row>
    <row r="4495" spans="4:4" x14ac:dyDescent="0.25">
      <c r="D4495" s="63"/>
    </row>
    <row r="4496" spans="4:4" x14ac:dyDescent="0.25">
      <c r="D4496" s="64"/>
    </row>
    <row r="4497" spans="4:4" x14ac:dyDescent="0.25">
      <c r="D4497" s="35"/>
    </row>
    <row r="4498" spans="4:4" x14ac:dyDescent="0.25">
      <c r="D4498" s="63"/>
    </row>
    <row r="4499" spans="4:4" x14ac:dyDescent="0.25">
      <c r="D4499" s="64"/>
    </row>
    <row r="4500" spans="4:4" x14ac:dyDescent="0.25">
      <c r="D4500" s="35"/>
    </row>
    <row r="4501" spans="4:4" x14ac:dyDescent="0.25">
      <c r="D4501" s="63"/>
    </row>
    <row r="4502" spans="4:4" x14ac:dyDescent="0.25">
      <c r="D4502" s="64"/>
    </row>
    <row r="4503" spans="4:4" x14ac:dyDescent="0.25">
      <c r="D4503" s="35"/>
    </row>
    <row r="4504" spans="4:4" x14ac:dyDescent="0.25">
      <c r="D4504" s="63"/>
    </row>
    <row r="4505" spans="4:4" x14ac:dyDescent="0.25">
      <c r="D4505" s="64"/>
    </row>
    <row r="4506" spans="4:4" x14ac:dyDescent="0.25">
      <c r="D4506" s="35"/>
    </row>
    <row r="4507" spans="4:4" x14ac:dyDescent="0.25">
      <c r="D4507" s="63"/>
    </row>
    <row r="4508" spans="4:4" x14ac:dyDescent="0.25">
      <c r="D4508" s="64"/>
    </row>
    <row r="4509" spans="4:4" x14ac:dyDescent="0.25">
      <c r="D4509" s="35"/>
    </row>
    <row r="4510" spans="4:4" x14ac:dyDescent="0.25">
      <c r="D4510" s="63"/>
    </row>
    <row r="4511" spans="4:4" x14ac:dyDescent="0.25">
      <c r="D4511" s="64"/>
    </row>
    <row r="4512" spans="4:4" x14ac:dyDescent="0.25">
      <c r="D4512" s="35"/>
    </row>
    <row r="4513" spans="4:4" x14ac:dyDescent="0.25">
      <c r="D4513" s="63"/>
    </row>
    <row r="4514" spans="4:4" x14ac:dyDescent="0.25">
      <c r="D4514" s="64"/>
    </row>
    <row r="4515" spans="4:4" x14ac:dyDescent="0.25">
      <c r="D4515" s="35"/>
    </row>
    <row r="4516" spans="4:4" x14ac:dyDescent="0.25">
      <c r="D4516" s="63"/>
    </row>
    <row r="4517" spans="4:4" x14ac:dyDescent="0.25">
      <c r="D4517" s="64"/>
    </row>
    <row r="4518" spans="4:4" x14ac:dyDescent="0.25">
      <c r="D4518" s="35"/>
    </row>
    <row r="4519" spans="4:4" x14ac:dyDescent="0.25">
      <c r="D4519" s="63"/>
    </row>
    <row r="4520" spans="4:4" x14ac:dyDescent="0.25">
      <c r="D4520" s="64"/>
    </row>
    <row r="4521" spans="4:4" x14ac:dyDescent="0.25">
      <c r="D4521" s="35"/>
    </row>
    <row r="4522" spans="4:4" x14ac:dyDescent="0.25">
      <c r="D4522" s="63"/>
    </row>
    <row r="4523" spans="4:4" x14ac:dyDescent="0.25">
      <c r="D4523" s="64"/>
    </row>
    <row r="4524" spans="4:4" x14ac:dyDescent="0.25">
      <c r="D4524" s="35"/>
    </row>
    <row r="4525" spans="4:4" x14ac:dyDescent="0.25">
      <c r="D4525" s="63"/>
    </row>
    <row r="4526" spans="4:4" x14ac:dyDescent="0.25">
      <c r="D4526" s="64"/>
    </row>
    <row r="4527" spans="4:4" x14ac:dyDescent="0.25">
      <c r="D4527" s="35"/>
    </row>
    <row r="4528" spans="4:4" x14ac:dyDescent="0.25">
      <c r="D4528" s="63"/>
    </row>
    <row r="4529" spans="4:4" x14ac:dyDescent="0.25">
      <c r="D4529" s="64"/>
    </row>
    <row r="4530" spans="4:4" x14ac:dyDescent="0.25">
      <c r="D4530" s="35"/>
    </row>
    <row r="4531" spans="4:4" x14ac:dyDescent="0.25">
      <c r="D4531" s="63"/>
    </row>
    <row r="4532" spans="4:4" x14ac:dyDescent="0.25">
      <c r="D4532" s="64"/>
    </row>
    <row r="4533" spans="4:4" x14ac:dyDescent="0.25">
      <c r="D4533" s="35"/>
    </row>
    <row r="4534" spans="4:4" x14ac:dyDescent="0.25">
      <c r="D4534" s="63"/>
    </row>
    <row r="4535" spans="4:4" x14ac:dyDescent="0.25">
      <c r="D4535" s="64"/>
    </row>
    <row r="4536" spans="4:4" x14ac:dyDescent="0.25">
      <c r="D4536" s="35"/>
    </row>
    <row r="4537" spans="4:4" x14ac:dyDescent="0.25">
      <c r="D4537" s="63"/>
    </row>
    <row r="4538" spans="4:4" x14ac:dyDescent="0.25">
      <c r="D4538" s="64"/>
    </row>
    <row r="4539" spans="4:4" x14ac:dyDescent="0.25">
      <c r="D4539" s="35"/>
    </row>
    <row r="4540" spans="4:4" x14ac:dyDescent="0.25">
      <c r="D4540" s="63"/>
    </row>
    <row r="4541" spans="4:4" x14ac:dyDescent="0.25">
      <c r="D4541" s="64"/>
    </row>
    <row r="4542" spans="4:4" x14ac:dyDescent="0.25">
      <c r="D4542" s="35"/>
    </row>
    <row r="4543" spans="4:4" x14ac:dyDescent="0.25">
      <c r="D4543" s="63"/>
    </row>
    <row r="4544" spans="4:4" x14ac:dyDescent="0.25">
      <c r="D4544" s="64"/>
    </row>
    <row r="4545" spans="4:4" x14ac:dyDescent="0.25">
      <c r="D4545" s="35"/>
    </row>
    <row r="4546" spans="4:4" x14ac:dyDescent="0.25">
      <c r="D4546" s="63"/>
    </row>
    <row r="4547" spans="4:4" x14ac:dyDescent="0.25">
      <c r="D4547" s="64"/>
    </row>
    <row r="4548" spans="4:4" x14ac:dyDescent="0.25">
      <c r="D4548" s="35"/>
    </row>
    <row r="4549" spans="4:4" x14ac:dyDescent="0.25">
      <c r="D4549" s="63"/>
    </row>
    <row r="4550" spans="4:4" x14ac:dyDescent="0.25">
      <c r="D4550" s="64"/>
    </row>
    <row r="4551" spans="4:4" x14ac:dyDescent="0.25">
      <c r="D4551" s="35"/>
    </row>
    <row r="4552" spans="4:4" x14ac:dyDescent="0.25">
      <c r="D4552" s="63"/>
    </row>
    <row r="4553" spans="4:4" x14ac:dyDescent="0.25">
      <c r="D4553" s="64"/>
    </row>
    <row r="4554" spans="4:4" x14ac:dyDescent="0.25">
      <c r="D4554" s="35"/>
    </row>
    <row r="4555" spans="4:4" x14ac:dyDescent="0.25">
      <c r="D4555" s="63"/>
    </row>
    <row r="4556" spans="4:4" x14ac:dyDescent="0.25">
      <c r="D4556" s="64"/>
    </row>
    <row r="4557" spans="4:4" x14ac:dyDescent="0.25">
      <c r="D4557" s="35"/>
    </row>
    <row r="4558" spans="4:4" x14ac:dyDescent="0.25">
      <c r="D4558" s="63"/>
    </row>
    <row r="4559" spans="4:4" x14ac:dyDescent="0.25">
      <c r="D4559" s="64"/>
    </row>
    <row r="4560" spans="4:4" x14ac:dyDescent="0.25">
      <c r="D4560" s="35"/>
    </row>
    <row r="4561" spans="4:4" x14ac:dyDescent="0.25">
      <c r="D4561" s="63"/>
    </row>
    <row r="4562" spans="4:4" x14ac:dyDescent="0.25">
      <c r="D4562" s="64"/>
    </row>
    <row r="4563" spans="4:4" x14ac:dyDescent="0.25">
      <c r="D4563" s="35"/>
    </row>
    <row r="4564" spans="4:4" x14ac:dyDescent="0.25">
      <c r="D4564" s="63"/>
    </row>
    <row r="4565" spans="4:4" x14ac:dyDescent="0.25">
      <c r="D4565" s="64"/>
    </row>
    <row r="4566" spans="4:4" x14ac:dyDescent="0.25">
      <c r="D4566" s="35"/>
    </row>
    <row r="4567" spans="4:4" x14ac:dyDescent="0.25">
      <c r="D4567" s="63"/>
    </row>
    <row r="4568" spans="4:4" x14ac:dyDescent="0.25">
      <c r="D4568" s="64"/>
    </row>
    <row r="4569" spans="4:4" x14ac:dyDescent="0.25">
      <c r="D4569" s="35"/>
    </row>
    <row r="4570" spans="4:4" x14ac:dyDescent="0.25">
      <c r="D4570" s="63"/>
    </row>
    <row r="4571" spans="4:4" x14ac:dyDescent="0.25">
      <c r="D4571" s="64"/>
    </row>
    <row r="4572" spans="4:4" x14ac:dyDescent="0.25">
      <c r="D4572" s="35"/>
    </row>
    <row r="4573" spans="4:4" x14ac:dyDescent="0.25">
      <c r="D4573" s="63"/>
    </row>
    <row r="4574" spans="4:4" x14ac:dyDescent="0.25">
      <c r="D4574" s="64"/>
    </row>
    <row r="4575" spans="4:4" x14ac:dyDescent="0.25">
      <c r="D4575" s="35"/>
    </row>
    <row r="4576" spans="4:4" x14ac:dyDescent="0.25">
      <c r="D4576" s="63"/>
    </row>
    <row r="4577" spans="4:4" x14ac:dyDescent="0.25">
      <c r="D4577" s="64"/>
    </row>
    <row r="4578" spans="4:4" x14ac:dyDescent="0.25">
      <c r="D4578" s="35"/>
    </row>
    <row r="4579" spans="4:4" x14ac:dyDescent="0.25">
      <c r="D4579" s="63"/>
    </row>
    <row r="4580" spans="4:4" x14ac:dyDescent="0.25">
      <c r="D4580" s="64"/>
    </row>
    <row r="4581" spans="4:4" x14ac:dyDescent="0.25">
      <c r="D4581" s="35"/>
    </row>
    <row r="4582" spans="4:4" x14ac:dyDescent="0.25">
      <c r="D4582" s="63"/>
    </row>
    <row r="4583" spans="4:4" x14ac:dyDescent="0.25">
      <c r="D4583" s="64"/>
    </row>
    <row r="4584" spans="4:4" x14ac:dyDescent="0.25">
      <c r="D4584" s="35"/>
    </row>
    <row r="4585" spans="4:4" x14ac:dyDescent="0.25">
      <c r="D4585" s="63"/>
    </row>
    <row r="4586" spans="4:4" x14ac:dyDescent="0.25">
      <c r="D4586" s="64"/>
    </row>
    <row r="4587" spans="4:4" x14ac:dyDescent="0.25">
      <c r="D4587" s="35"/>
    </row>
    <row r="4588" spans="4:4" x14ac:dyDescent="0.25">
      <c r="D4588" s="63"/>
    </row>
    <row r="4589" spans="4:4" x14ac:dyDescent="0.25">
      <c r="D4589" s="64"/>
    </row>
    <row r="4590" spans="4:4" x14ac:dyDescent="0.25">
      <c r="D4590" s="35"/>
    </row>
    <row r="4591" spans="4:4" x14ac:dyDescent="0.25">
      <c r="D4591" s="63"/>
    </row>
    <row r="4592" spans="4:4" x14ac:dyDescent="0.25">
      <c r="D4592" s="64"/>
    </row>
    <row r="4593" spans="4:4" x14ac:dyDescent="0.25">
      <c r="D4593" s="35"/>
    </row>
    <row r="4594" spans="4:4" x14ac:dyDescent="0.25">
      <c r="D4594" s="63"/>
    </row>
    <row r="4595" spans="4:4" x14ac:dyDescent="0.25">
      <c r="D4595" s="64"/>
    </row>
    <row r="4596" spans="4:4" x14ac:dyDescent="0.25">
      <c r="D4596" s="35"/>
    </row>
    <row r="4597" spans="4:4" x14ac:dyDescent="0.25">
      <c r="D4597" s="63"/>
    </row>
    <row r="4598" spans="4:4" x14ac:dyDescent="0.25">
      <c r="D4598" s="64"/>
    </row>
    <row r="4599" spans="4:4" x14ac:dyDescent="0.25">
      <c r="D4599" s="35"/>
    </row>
    <row r="4600" spans="4:4" x14ac:dyDescent="0.25">
      <c r="D4600" s="63"/>
    </row>
    <row r="4601" spans="4:4" x14ac:dyDescent="0.25">
      <c r="D4601" s="64"/>
    </row>
    <row r="4602" spans="4:4" x14ac:dyDescent="0.25">
      <c r="D4602" s="35"/>
    </row>
    <row r="4603" spans="4:4" x14ac:dyDescent="0.25">
      <c r="D4603" s="63"/>
    </row>
    <row r="4604" spans="4:4" x14ac:dyDescent="0.25">
      <c r="D4604" s="64"/>
    </row>
    <row r="4605" spans="4:4" x14ac:dyDescent="0.25">
      <c r="D4605" s="35"/>
    </row>
    <row r="4606" spans="4:4" x14ac:dyDescent="0.25">
      <c r="D4606" s="63"/>
    </row>
    <row r="4607" spans="4:4" x14ac:dyDescent="0.25">
      <c r="D4607" s="64"/>
    </row>
    <row r="4608" spans="4:4" x14ac:dyDescent="0.25">
      <c r="D4608" s="35"/>
    </row>
    <row r="4609" spans="4:4" x14ac:dyDescent="0.25">
      <c r="D4609" s="63"/>
    </row>
    <row r="4610" spans="4:4" x14ac:dyDescent="0.25">
      <c r="D4610" s="64"/>
    </row>
    <row r="4611" spans="4:4" x14ac:dyDescent="0.25">
      <c r="D4611" s="35"/>
    </row>
    <row r="4612" spans="4:4" x14ac:dyDescent="0.25">
      <c r="D4612" s="63"/>
    </row>
    <row r="4613" spans="4:4" x14ac:dyDescent="0.25">
      <c r="D4613" s="64"/>
    </row>
    <row r="4614" spans="4:4" x14ac:dyDescent="0.25">
      <c r="D4614" s="35"/>
    </row>
    <row r="4615" spans="4:4" x14ac:dyDescent="0.25">
      <c r="D4615" s="63"/>
    </row>
    <row r="4616" spans="4:4" x14ac:dyDescent="0.25">
      <c r="D4616" s="64"/>
    </row>
    <row r="4617" spans="4:4" x14ac:dyDescent="0.25">
      <c r="D4617" s="35"/>
    </row>
    <row r="4618" spans="4:4" x14ac:dyDescent="0.25">
      <c r="D4618" s="63"/>
    </row>
    <row r="4619" spans="4:4" x14ac:dyDescent="0.25">
      <c r="D4619" s="64"/>
    </row>
    <row r="4620" spans="4:4" x14ac:dyDescent="0.25">
      <c r="D4620" s="35"/>
    </row>
    <row r="4621" spans="4:4" x14ac:dyDescent="0.25">
      <c r="D4621" s="63"/>
    </row>
    <row r="4622" spans="4:4" x14ac:dyDescent="0.25">
      <c r="D4622" s="64"/>
    </row>
    <row r="4623" spans="4:4" x14ac:dyDescent="0.25">
      <c r="D4623" s="35"/>
    </row>
    <row r="4624" spans="4:4" x14ac:dyDescent="0.25">
      <c r="D4624" s="63"/>
    </row>
    <row r="4625" spans="4:4" x14ac:dyDescent="0.25">
      <c r="D4625" s="64"/>
    </row>
    <row r="4626" spans="4:4" x14ac:dyDescent="0.25">
      <c r="D4626" s="35"/>
    </row>
    <row r="4627" spans="4:4" x14ac:dyDescent="0.25">
      <c r="D4627" s="63"/>
    </row>
    <row r="4628" spans="4:4" x14ac:dyDescent="0.25">
      <c r="D4628" s="64"/>
    </row>
    <row r="4629" spans="4:4" x14ac:dyDescent="0.25">
      <c r="D4629" s="35"/>
    </row>
    <row r="4630" spans="4:4" x14ac:dyDescent="0.25">
      <c r="D4630" s="63"/>
    </row>
    <row r="4631" spans="4:4" x14ac:dyDescent="0.25">
      <c r="D4631" s="64"/>
    </row>
    <row r="4632" spans="4:4" x14ac:dyDescent="0.25">
      <c r="D4632" s="35"/>
    </row>
    <row r="4633" spans="4:4" x14ac:dyDescent="0.25">
      <c r="D4633" s="63"/>
    </row>
    <row r="4634" spans="4:4" x14ac:dyDescent="0.25">
      <c r="D4634" s="64"/>
    </row>
    <row r="4635" spans="4:4" x14ac:dyDescent="0.25">
      <c r="D4635" s="35"/>
    </row>
    <row r="4636" spans="4:4" x14ac:dyDescent="0.25">
      <c r="D4636" s="63"/>
    </row>
    <row r="4637" spans="4:4" x14ac:dyDescent="0.25">
      <c r="D4637" s="64"/>
    </row>
    <row r="4638" spans="4:4" x14ac:dyDescent="0.25">
      <c r="D4638" s="35"/>
    </row>
    <row r="4639" spans="4:4" x14ac:dyDescent="0.25">
      <c r="D4639" s="63"/>
    </row>
    <row r="4640" spans="4:4" x14ac:dyDescent="0.25">
      <c r="D4640" s="64"/>
    </row>
    <row r="4641" spans="4:4" x14ac:dyDescent="0.25">
      <c r="D4641" s="35"/>
    </row>
    <row r="4642" spans="4:4" x14ac:dyDescent="0.25">
      <c r="D4642" s="63"/>
    </row>
    <row r="4643" spans="4:4" x14ac:dyDescent="0.25">
      <c r="D4643" s="64"/>
    </row>
    <row r="4644" spans="4:4" x14ac:dyDescent="0.25">
      <c r="D4644" s="35"/>
    </row>
    <row r="4645" spans="4:4" x14ac:dyDescent="0.25">
      <c r="D4645" s="63"/>
    </row>
    <row r="4646" spans="4:4" x14ac:dyDescent="0.25">
      <c r="D4646" s="64"/>
    </row>
    <row r="4647" spans="4:4" x14ac:dyDescent="0.25">
      <c r="D4647" s="35"/>
    </row>
    <row r="4648" spans="4:4" x14ac:dyDescent="0.25">
      <c r="D4648" s="63"/>
    </row>
    <row r="4649" spans="4:4" x14ac:dyDescent="0.25">
      <c r="D4649" s="64"/>
    </row>
    <row r="4650" spans="4:4" x14ac:dyDescent="0.25">
      <c r="D4650" s="35"/>
    </row>
    <row r="4651" spans="4:4" x14ac:dyDescent="0.25">
      <c r="D4651" s="63"/>
    </row>
    <row r="4652" spans="4:4" x14ac:dyDescent="0.25">
      <c r="D4652" s="64"/>
    </row>
    <row r="4653" spans="4:4" x14ac:dyDescent="0.25">
      <c r="D4653" s="35"/>
    </row>
    <row r="4654" spans="4:4" x14ac:dyDescent="0.25">
      <c r="D4654" s="63"/>
    </row>
    <row r="4655" spans="4:4" x14ac:dyDescent="0.25">
      <c r="D4655" s="64"/>
    </row>
    <row r="4656" spans="4:4" x14ac:dyDescent="0.25">
      <c r="D4656" s="35"/>
    </row>
    <row r="4657" spans="4:4" x14ac:dyDescent="0.25">
      <c r="D4657" s="63"/>
    </row>
    <row r="4658" spans="4:4" x14ac:dyDescent="0.25">
      <c r="D4658" s="64"/>
    </row>
    <row r="4659" spans="4:4" x14ac:dyDescent="0.25">
      <c r="D4659" s="35"/>
    </row>
    <row r="4660" spans="4:4" x14ac:dyDescent="0.25">
      <c r="D4660" s="63"/>
    </row>
    <row r="4661" spans="4:4" x14ac:dyDescent="0.25">
      <c r="D4661" s="64"/>
    </row>
    <row r="4662" spans="4:4" x14ac:dyDescent="0.25">
      <c r="D4662" s="35"/>
    </row>
    <row r="4663" spans="4:4" x14ac:dyDescent="0.25">
      <c r="D4663" s="63"/>
    </row>
    <row r="4664" spans="4:4" x14ac:dyDescent="0.25">
      <c r="D4664" s="64"/>
    </row>
    <row r="4665" spans="4:4" x14ac:dyDescent="0.25">
      <c r="D4665" s="35"/>
    </row>
    <row r="4666" spans="4:4" x14ac:dyDescent="0.25">
      <c r="D4666" s="63"/>
    </row>
    <row r="4667" spans="4:4" x14ac:dyDescent="0.25">
      <c r="D4667" s="64"/>
    </row>
    <row r="4668" spans="4:4" x14ac:dyDescent="0.25">
      <c r="D4668" s="35"/>
    </row>
    <row r="4669" spans="4:4" x14ac:dyDescent="0.25">
      <c r="D4669" s="63"/>
    </row>
    <row r="4670" spans="4:4" x14ac:dyDescent="0.25">
      <c r="D4670" s="64"/>
    </row>
    <row r="4671" spans="4:4" x14ac:dyDescent="0.25">
      <c r="D4671" s="35"/>
    </row>
    <row r="4672" spans="4:4" x14ac:dyDescent="0.25">
      <c r="D4672" s="63"/>
    </row>
    <row r="4673" spans="4:4" x14ac:dyDescent="0.25">
      <c r="D4673" s="64"/>
    </row>
    <row r="4674" spans="4:4" x14ac:dyDescent="0.25">
      <c r="D4674" s="35"/>
    </row>
    <row r="4675" spans="4:4" x14ac:dyDescent="0.25">
      <c r="D4675" s="63"/>
    </row>
    <row r="4676" spans="4:4" x14ac:dyDescent="0.25">
      <c r="D4676" s="64"/>
    </row>
    <row r="4677" spans="4:4" x14ac:dyDescent="0.25">
      <c r="D4677" s="35"/>
    </row>
    <row r="4678" spans="4:4" x14ac:dyDescent="0.25">
      <c r="D4678" s="63"/>
    </row>
    <row r="4679" spans="4:4" x14ac:dyDescent="0.25">
      <c r="D4679" s="64"/>
    </row>
    <row r="4680" spans="4:4" x14ac:dyDescent="0.25">
      <c r="D4680" s="35"/>
    </row>
    <row r="4681" spans="4:4" x14ac:dyDescent="0.25">
      <c r="D4681" s="63"/>
    </row>
    <row r="4682" spans="4:4" x14ac:dyDescent="0.25">
      <c r="D4682" s="64"/>
    </row>
    <row r="4683" spans="4:4" x14ac:dyDescent="0.25">
      <c r="D4683" s="35"/>
    </row>
    <row r="4684" spans="4:4" x14ac:dyDescent="0.25">
      <c r="D4684" s="63"/>
    </row>
    <row r="4685" spans="4:4" x14ac:dyDescent="0.25">
      <c r="D4685" s="64"/>
    </row>
    <row r="4686" spans="4:4" x14ac:dyDescent="0.25">
      <c r="D4686" s="35"/>
    </row>
    <row r="4687" spans="4:4" x14ac:dyDescent="0.25">
      <c r="D4687" s="63"/>
    </row>
    <row r="4688" spans="4:4" x14ac:dyDescent="0.25">
      <c r="D4688" s="64"/>
    </row>
    <row r="4689" spans="4:4" x14ac:dyDescent="0.25">
      <c r="D4689" s="35"/>
    </row>
    <row r="4690" spans="4:4" x14ac:dyDescent="0.25">
      <c r="D4690" s="63"/>
    </row>
    <row r="4691" spans="4:4" x14ac:dyDescent="0.25">
      <c r="D4691" s="64"/>
    </row>
    <row r="4692" spans="4:4" x14ac:dyDescent="0.25">
      <c r="D4692" s="35"/>
    </row>
    <row r="4693" spans="4:4" x14ac:dyDescent="0.25">
      <c r="D4693" s="63"/>
    </row>
    <row r="4694" spans="4:4" x14ac:dyDescent="0.25">
      <c r="D4694" s="64"/>
    </row>
    <row r="4695" spans="4:4" x14ac:dyDescent="0.25">
      <c r="D4695" s="35"/>
    </row>
    <row r="4696" spans="4:4" x14ac:dyDescent="0.25">
      <c r="D4696" s="63"/>
    </row>
    <row r="4697" spans="4:4" x14ac:dyDescent="0.25">
      <c r="D4697" s="64"/>
    </row>
    <row r="4698" spans="4:4" x14ac:dyDescent="0.25">
      <c r="D4698" s="35"/>
    </row>
    <row r="4699" spans="4:4" x14ac:dyDescent="0.25">
      <c r="D4699" s="63"/>
    </row>
    <row r="4700" spans="4:4" x14ac:dyDescent="0.25">
      <c r="D4700" s="64"/>
    </row>
    <row r="4701" spans="4:4" x14ac:dyDescent="0.25">
      <c r="D4701" s="35"/>
    </row>
    <row r="4702" spans="4:4" x14ac:dyDescent="0.25">
      <c r="D4702" s="63"/>
    </row>
    <row r="4703" spans="4:4" x14ac:dyDescent="0.25">
      <c r="D4703" s="64"/>
    </row>
    <row r="4704" spans="4:4" x14ac:dyDescent="0.25">
      <c r="D4704" s="35"/>
    </row>
    <row r="4705" spans="4:4" x14ac:dyDescent="0.25">
      <c r="D4705" s="63"/>
    </row>
    <row r="4706" spans="4:4" x14ac:dyDescent="0.25">
      <c r="D4706" s="64"/>
    </row>
    <row r="4707" spans="4:4" x14ac:dyDescent="0.25">
      <c r="D4707" s="35"/>
    </row>
    <row r="4708" spans="4:4" x14ac:dyDescent="0.25">
      <c r="D4708" s="63"/>
    </row>
    <row r="4709" spans="4:4" x14ac:dyDescent="0.25">
      <c r="D4709" s="64"/>
    </row>
    <row r="4710" spans="4:4" x14ac:dyDescent="0.25">
      <c r="D4710" s="35"/>
    </row>
    <row r="4711" spans="4:4" x14ac:dyDescent="0.25">
      <c r="D4711" s="63"/>
    </row>
    <row r="4712" spans="4:4" x14ac:dyDescent="0.25">
      <c r="D4712" s="64"/>
    </row>
    <row r="4713" spans="4:4" x14ac:dyDescent="0.25">
      <c r="D4713" s="35"/>
    </row>
    <row r="4714" spans="4:4" x14ac:dyDescent="0.25">
      <c r="D4714" s="63"/>
    </row>
    <row r="4715" spans="4:4" x14ac:dyDescent="0.25">
      <c r="D4715" s="64"/>
    </row>
    <row r="4716" spans="4:4" x14ac:dyDescent="0.25">
      <c r="D4716" s="35"/>
    </row>
    <row r="4717" spans="4:4" x14ac:dyDescent="0.25">
      <c r="D4717" s="63"/>
    </row>
    <row r="4718" spans="4:4" x14ac:dyDescent="0.25">
      <c r="D4718" s="64"/>
    </row>
    <row r="4719" spans="4:4" x14ac:dyDescent="0.25">
      <c r="D4719" s="35"/>
    </row>
    <row r="4720" spans="4:4" x14ac:dyDescent="0.25">
      <c r="D4720" s="63"/>
    </row>
    <row r="4721" spans="4:4" x14ac:dyDescent="0.25">
      <c r="D4721" s="64"/>
    </row>
    <row r="4722" spans="4:4" x14ac:dyDescent="0.25">
      <c r="D4722" s="35"/>
    </row>
    <row r="4723" spans="4:4" x14ac:dyDescent="0.25">
      <c r="D4723" s="63"/>
    </row>
    <row r="4724" spans="4:4" x14ac:dyDescent="0.25">
      <c r="D4724" s="64"/>
    </row>
    <row r="4725" spans="4:4" x14ac:dyDescent="0.25">
      <c r="D4725" s="35"/>
    </row>
    <row r="4726" spans="4:4" x14ac:dyDescent="0.25">
      <c r="D4726" s="63"/>
    </row>
    <row r="4727" spans="4:4" x14ac:dyDescent="0.25">
      <c r="D4727" s="64"/>
    </row>
    <row r="4728" spans="4:4" x14ac:dyDescent="0.25">
      <c r="D4728" s="35"/>
    </row>
    <row r="4729" spans="4:4" x14ac:dyDescent="0.25">
      <c r="D4729" s="63"/>
    </row>
    <row r="4730" spans="4:4" x14ac:dyDescent="0.25">
      <c r="D4730" s="64"/>
    </row>
    <row r="4731" spans="4:4" x14ac:dyDescent="0.25">
      <c r="D4731" s="35"/>
    </row>
    <row r="4732" spans="4:4" x14ac:dyDescent="0.25">
      <c r="D4732" s="63"/>
    </row>
    <row r="4733" spans="4:4" x14ac:dyDescent="0.25">
      <c r="D4733" s="64"/>
    </row>
    <row r="4734" spans="4:4" x14ac:dyDescent="0.25">
      <c r="D4734" s="35"/>
    </row>
    <row r="4735" spans="4:4" x14ac:dyDescent="0.25">
      <c r="D4735" s="63"/>
    </row>
    <row r="4736" spans="4:4" x14ac:dyDescent="0.25">
      <c r="D4736" s="64"/>
    </row>
    <row r="4737" spans="4:4" x14ac:dyDescent="0.25">
      <c r="D4737" s="35"/>
    </row>
    <row r="4738" spans="4:4" x14ac:dyDescent="0.25">
      <c r="D4738" s="63"/>
    </row>
    <row r="4739" spans="4:4" x14ac:dyDescent="0.25">
      <c r="D4739" s="64"/>
    </row>
    <row r="4740" spans="4:4" x14ac:dyDescent="0.25">
      <c r="D4740" s="35"/>
    </row>
    <row r="4741" spans="4:4" x14ac:dyDescent="0.25">
      <c r="D4741" s="63"/>
    </row>
    <row r="4742" spans="4:4" x14ac:dyDescent="0.25">
      <c r="D4742" s="64"/>
    </row>
    <row r="4743" spans="4:4" x14ac:dyDescent="0.25">
      <c r="D4743" s="35"/>
    </row>
    <row r="4744" spans="4:4" x14ac:dyDescent="0.25">
      <c r="D4744" s="63"/>
    </row>
    <row r="4745" spans="4:4" x14ac:dyDescent="0.25">
      <c r="D4745" s="64"/>
    </row>
    <row r="4746" spans="4:4" x14ac:dyDescent="0.25">
      <c r="D4746" s="35"/>
    </row>
    <row r="4747" spans="4:4" x14ac:dyDescent="0.25">
      <c r="D4747" s="63"/>
    </row>
    <row r="4748" spans="4:4" x14ac:dyDescent="0.25">
      <c r="D4748" s="64"/>
    </row>
    <row r="4749" spans="4:4" x14ac:dyDescent="0.25">
      <c r="D4749" s="35"/>
    </row>
    <row r="4750" spans="4:4" x14ac:dyDescent="0.25">
      <c r="D4750" s="63"/>
    </row>
    <row r="4751" spans="4:4" x14ac:dyDescent="0.25">
      <c r="D4751" s="64"/>
    </row>
    <row r="4752" spans="4:4" x14ac:dyDescent="0.25">
      <c r="D4752" s="35"/>
    </row>
    <row r="4753" spans="4:4" x14ac:dyDescent="0.25">
      <c r="D4753" s="63"/>
    </row>
    <row r="4754" spans="4:4" x14ac:dyDescent="0.25">
      <c r="D4754" s="64"/>
    </row>
    <row r="4755" spans="4:4" x14ac:dyDescent="0.25">
      <c r="D4755" s="35"/>
    </row>
    <row r="4756" spans="4:4" x14ac:dyDescent="0.25">
      <c r="D4756" s="63"/>
    </row>
    <row r="4757" spans="4:4" x14ac:dyDescent="0.25">
      <c r="D4757" s="64"/>
    </row>
    <row r="4758" spans="4:4" x14ac:dyDescent="0.25">
      <c r="D4758" s="35"/>
    </row>
    <row r="4759" spans="4:4" x14ac:dyDescent="0.25">
      <c r="D4759" s="63"/>
    </row>
    <row r="4760" spans="4:4" x14ac:dyDescent="0.25">
      <c r="D4760" s="64"/>
    </row>
    <row r="4761" spans="4:4" x14ac:dyDescent="0.25">
      <c r="D4761" s="35"/>
    </row>
    <row r="4762" spans="4:4" x14ac:dyDescent="0.25">
      <c r="D4762" s="63"/>
    </row>
    <row r="4763" spans="4:4" x14ac:dyDescent="0.25">
      <c r="D4763" s="64"/>
    </row>
    <row r="4764" spans="4:4" x14ac:dyDescent="0.25">
      <c r="D4764" s="35"/>
    </row>
    <row r="4765" spans="4:4" x14ac:dyDescent="0.25">
      <c r="D4765" s="63"/>
    </row>
    <row r="4766" spans="4:4" x14ac:dyDescent="0.25">
      <c r="D4766" s="64"/>
    </row>
    <row r="4767" spans="4:4" x14ac:dyDescent="0.25">
      <c r="D4767" s="35"/>
    </row>
    <row r="4768" spans="4:4" x14ac:dyDescent="0.25">
      <c r="D4768" s="63"/>
    </row>
    <row r="4769" spans="4:4" x14ac:dyDescent="0.25">
      <c r="D4769" s="64"/>
    </row>
    <row r="4770" spans="4:4" x14ac:dyDescent="0.25">
      <c r="D4770" s="35"/>
    </row>
    <row r="4771" spans="4:4" x14ac:dyDescent="0.25">
      <c r="D4771" s="63"/>
    </row>
    <row r="4772" spans="4:4" x14ac:dyDescent="0.25">
      <c r="D4772" s="64"/>
    </row>
    <row r="4773" spans="4:4" x14ac:dyDescent="0.25">
      <c r="D4773" s="35"/>
    </row>
    <row r="4774" spans="4:4" x14ac:dyDescent="0.25">
      <c r="D4774" s="63"/>
    </row>
    <row r="4775" spans="4:4" x14ac:dyDescent="0.25">
      <c r="D4775" s="64"/>
    </row>
    <row r="4776" spans="4:4" x14ac:dyDescent="0.25">
      <c r="D4776" s="35"/>
    </row>
    <row r="4777" spans="4:4" x14ac:dyDescent="0.25">
      <c r="D4777" s="63"/>
    </row>
    <row r="4778" spans="4:4" x14ac:dyDescent="0.25">
      <c r="D4778" s="64"/>
    </row>
    <row r="4779" spans="4:4" x14ac:dyDescent="0.25">
      <c r="D4779" s="35"/>
    </row>
    <row r="4780" spans="4:4" x14ac:dyDescent="0.25">
      <c r="D4780" s="63"/>
    </row>
    <row r="4781" spans="4:4" x14ac:dyDescent="0.25">
      <c r="D4781" s="64"/>
    </row>
    <row r="4782" spans="4:4" x14ac:dyDescent="0.25">
      <c r="D4782" s="35"/>
    </row>
    <row r="4783" spans="4:4" x14ac:dyDescent="0.25">
      <c r="D4783" s="63"/>
    </row>
    <row r="4784" spans="4:4" x14ac:dyDescent="0.25">
      <c r="D4784" s="64"/>
    </row>
    <row r="4785" spans="4:4" x14ac:dyDescent="0.25">
      <c r="D4785" s="35"/>
    </row>
    <row r="4786" spans="4:4" x14ac:dyDescent="0.25">
      <c r="D4786" s="63"/>
    </row>
    <row r="4787" spans="4:4" x14ac:dyDescent="0.25">
      <c r="D4787" s="64"/>
    </row>
    <row r="4788" spans="4:4" x14ac:dyDescent="0.25">
      <c r="D4788" s="35"/>
    </row>
    <row r="4789" spans="4:4" x14ac:dyDescent="0.25">
      <c r="D4789" s="63"/>
    </row>
    <row r="4790" spans="4:4" x14ac:dyDescent="0.25">
      <c r="D4790" s="64"/>
    </row>
    <row r="4791" spans="4:4" x14ac:dyDescent="0.25">
      <c r="D4791" s="35"/>
    </row>
    <row r="4792" spans="4:4" x14ac:dyDescent="0.25">
      <c r="D4792" s="63"/>
    </row>
    <row r="4793" spans="4:4" x14ac:dyDescent="0.25">
      <c r="D4793" s="64"/>
    </row>
    <row r="4794" spans="4:4" x14ac:dyDescent="0.25">
      <c r="D4794" s="35"/>
    </row>
    <row r="4795" spans="4:4" x14ac:dyDescent="0.25">
      <c r="D4795" s="63"/>
    </row>
    <row r="4796" spans="4:4" x14ac:dyDescent="0.25">
      <c r="D4796" s="64"/>
    </row>
    <row r="4797" spans="4:4" x14ac:dyDescent="0.25">
      <c r="D4797" s="35"/>
    </row>
    <row r="4798" spans="4:4" x14ac:dyDescent="0.25">
      <c r="D4798" s="63"/>
    </row>
    <row r="4799" spans="4:4" x14ac:dyDescent="0.25">
      <c r="D4799" s="64"/>
    </row>
    <row r="4800" spans="4:4" x14ac:dyDescent="0.25">
      <c r="D4800" s="35"/>
    </row>
    <row r="4801" spans="4:4" x14ac:dyDescent="0.25">
      <c r="D4801" s="63"/>
    </row>
    <row r="4802" spans="4:4" x14ac:dyDescent="0.25">
      <c r="D4802" s="64"/>
    </row>
    <row r="4803" spans="4:4" x14ac:dyDescent="0.25">
      <c r="D4803" s="35"/>
    </row>
    <row r="4804" spans="4:4" x14ac:dyDescent="0.25">
      <c r="D4804" s="63"/>
    </row>
    <row r="4805" spans="4:4" x14ac:dyDescent="0.25">
      <c r="D4805" s="64"/>
    </row>
    <row r="4806" spans="4:4" x14ac:dyDescent="0.25">
      <c r="D4806" s="35"/>
    </row>
    <row r="4807" spans="4:4" x14ac:dyDescent="0.25">
      <c r="D4807" s="63"/>
    </row>
    <row r="4808" spans="4:4" x14ac:dyDescent="0.25">
      <c r="D4808" s="64"/>
    </row>
    <row r="4809" spans="4:4" x14ac:dyDescent="0.25">
      <c r="D4809" s="35"/>
    </row>
    <row r="4810" spans="4:4" x14ac:dyDescent="0.25">
      <c r="D4810" s="63"/>
    </row>
    <row r="4811" spans="4:4" x14ac:dyDescent="0.25">
      <c r="D4811" s="64"/>
    </row>
    <row r="4812" spans="4:4" x14ac:dyDescent="0.25">
      <c r="D4812" s="35"/>
    </row>
    <row r="4813" spans="4:4" x14ac:dyDescent="0.25">
      <c r="D4813" s="63"/>
    </row>
    <row r="4814" spans="4:4" x14ac:dyDescent="0.25">
      <c r="D4814" s="64"/>
    </row>
    <row r="4815" spans="4:4" x14ac:dyDescent="0.25">
      <c r="D4815" s="35"/>
    </row>
    <row r="4816" spans="4:4" x14ac:dyDescent="0.25">
      <c r="D4816" s="63"/>
    </row>
    <row r="4817" spans="4:4" x14ac:dyDescent="0.25">
      <c r="D4817" s="64"/>
    </row>
    <row r="4818" spans="4:4" x14ac:dyDescent="0.25">
      <c r="D4818" s="35"/>
    </row>
    <row r="4819" spans="4:4" x14ac:dyDescent="0.25">
      <c r="D4819" s="63"/>
    </row>
    <row r="4820" spans="4:4" x14ac:dyDescent="0.25">
      <c r="D4820" s="64"/>
    </row>
    <row r="4821" spans="4:4" x14ac:dyDescent="0.25">
      <c r="D4821" s="35"/>
    </row>
    <row r="4822" spans="4:4" x14ac:dyDescent="0.25">
      <c r="D4822" s="63"/>
    </row>
    <row r="4823" spans="4:4" x14ac:dyDescent="0.25">
      <c r="D4823" s="64"/>
    </row>
    <row r="4824" spans="4:4" x14ac:dyDescent="0.25">
      <c r="D4824" s="35"/>
    </row>
    <row r="4825" spans="4:4" x14ac:dyDescent="0.25">
      <c r="D4825" s="63"/>
    </row>
    <row r="4826" spans="4:4" x14ac:dyDescent="0.25">
      <c r="D4826" s="64"/>
    </row>
    <row r="4827" spans="4:4" x14ac:dyDescent="0.25">
      <c r="D4827" s="35"/>
    </row>
    <row r="4828" spans="4:4" x14ac:dyDescent="0.25">
      <c r="D4828" s="63"/>
    </row>
    <row r="4829" spans="4:4" x14ac:dyDescent="0.25">
      <c r="D4829" s="64"/>
    </row>
    <row r="4830" spans="4:4" x14ac:dyDescent="0.25">
      <c r="D4830" s="35"/>
    </row>
    <row r="4831" spans="4:4" x14ac:dyDescent="0.25">
      <c r="D4831" s="63"/>
    </row>
    <row r="4832" spans="4:4" x14ac:dyDescent="0.25">
      <c r="D4832" s="64"/>
    </row>
    <row r="4833" spans="4:4" x14ac:dyDescent="0.25">
      <c r="D4833" s="35"/>
    </row>
    <row r="4834" spans="4:4" x14ac:dyDescent="0.25">
      <c r="D4834" s="63"/>
    </row>
    <row r="4835" spans="4:4" x14ac:dyDescent="0.25">
      <c r="D4835" s="64"/>
    </row>
    <row r="4836" spans="4:4" x14ac:dyDescent="0.25">
      <c r="D4836" s="35"/>
    </row>
    <row r="4837" spans="4:4" x14ac:dyDescent="0.25">
      <c r="D4837" s="63"/>
    </row>
    <row r="4838" spans="4:4" x14ac:dyDescent="0.25">
      <c r="D4838" s="64"/>
    </row>
    <row r="4839" spans="4:4" x14ac:dyDescent="0.25">
      <c r="D4839" s="35"/>
    </row>
    <row r="4840" spans="4:4" x14ac:dyDescent="0.25">
      <c r="D4840" s="63"/>
    </row>
    <row r="4841" spans="4:4" x14ac:dyDescent="0.25">
      <c r="D4841" s="64"/>
    </row>
    <row r="4842" spans="4:4" x14ac:dyDescent="0.25">
      <c r="D4842" s="35"/>
    </row>
    <row r="4843" spans="4:4" x14ac:dyDescent="0.25">
      <c r="D4843" s="63"/>
    </row>
    <row r="4844" spans="4:4" x14ac:dyDescent="0.25">
      <c r="D4844" s="64"/>
    </row>
    <row r="4845" spans="4:4" x14ac:dyDescent="0.25">
      <c r="D4845" s="35"/>
    </row>
    <row r="4846" spans="4:4" x14ac:dyDescent="0.25">
      <c r="D4846" s="63"/>
    </row>
    <row r="4847" spans="4:4" x14ac:dyDescent="0.25">
      <c r="D4847" s="64"/>
    </row>
    <row r="4848" spans="4:4" x14ac:dyDescent="0.25">
      <c r="D4848" s="35"/>
    </row>
    <row r="4849" spans="4:4" x14ac:dyDescent="0.25">
      <c r="D4849" s="63"/>
    </row>
    <row r="4850" spans="4:4" x14ac:dyDescent="0.25">
      <c r="D4850" s="64"/>
    </row>
    <row r="4851" spans="4:4" x14ac:dyDescent="0.25">
      <c r="D4851" s="35"/>
    </row>
    <row r="4852" spans="4:4" x14ac:dyDescent="0.25">
      <c r="D4852" s="63"/>
    </row>
    <row r="4853" spans="4:4" x14ac:dyDescent="0.25">
      <c r="D4853" s="64"/>
    </row>
    <row r="4854" spans="4:4" x14ac:dyDescent="0.25">
      <c r="D4854" s="35"/>
    </row>
    <row r="4855" spans="4:4" x14ac:dyDescent="0.25">
      <c r="D4855" s="63"/>
    </row>
    <row r="4856" spans="4:4" x14ac:dyDescent="0.25">
      <c r="D4856" s="64"/>
    </row>
    <row r="4857" spans="4:4" x14ac:dyDescent="0.25">
      <c r="D4857" s="35"/>
    </row>
    <row r="4858" spans="4:4" x14ac:dyDescent="0.25">
      <c r="D4858" s="63"/>
    </row>
    <row r="4859" spans="4:4" x14ac:dyDescent="0.25">
      <c r="D4859" s="64"/>
    </row>
    <row r="4860" spans="4:4" x14ac:dyDescent="0.25">
      <c r="D4860" s="35"/>
    </row>
    <row r="4861" spans="4:4" x14ac:dyDescent="0.25">
      <c r="D4861" s="63"/>
    </row>
    <row r="4862" spans="4:4" x14ac:dyDescent="0.25">
      <c r="D4862" s="64"/>
    </row>
    <row r="4863" spans="4:4" x14ac:dyDescent="0.25">
      <c r="D4863" s="35"/>
    </row>
    <row r="4864" spans="4:4" x14ac:dyDescent="0.25">
      <c r="D4864" s="63"/>
    </row>
    <row r="4865" spans="4:4" x14ac:dyDescent="0.25">
      <c r="D4865" s="64"/>
    </row>
    <row r="4866" spans="4:4" x14ac:dyDescent="0.25">
      <c r="D4866" s="35"/>
    </row>
    <row r="4867" spans="4:4" x14ac:dyDescent="0.25">
      <c r="D4867" s="63"/>
    </row>
    <row r="4868" spans="4:4" x14ac:dyDescent="0.25">
      <c r="D4868" s="64"/>
    </row>
    <row r="4869" spans="4:4" x14ac:dyDescent="0.25">
      <c r="D4869" s="35"/>
    </row>
    <row r="4870" spans="4:4" x14ac:dyDescent="0.25">
      <c r="D4870" s="63"/>
    </row>
    <row r="4871" spans="4:4" x14ac:dyDescent="0.25">
      <c r="D4871" s="64"/>
    </row>
    <row r="4872" spans="4:4" x14ac:dyDescent="0.25">
      <c r="D4872" s="35"/>
    </row>
    <row r="4873" spans="4:4" x14ac:dyDescent="0.25">
      <c r="D4873" s="63"/>
    </row>
    <row r="4874" spans="4:4" x14ac:dyDescent="0.25">
      <c r="D4874" s="64"/>
    </row>
    <row r="4875" spans="4:4" x14ac:dyDescent="0.25">
      <c r="D4875" s="35"/>
    </row>
    <row r="4876" spans="4:4" x14ac:dyDescent="0.25">
      <c r="D4876" s="63"/>
    </row>
    <row r="4877" spans="4:4" x14ac:dyDescent="0.25">
      <c r="D4877" s="64"/>
    </row>
    <row r="4878" spans="4:4" x14ac:dyDescent="0.25">
      <c r="D4878" s="35"/>
    </row>
    <row r="4879" spans="4:4" x14ac:dyDescent="0.25">
      <c r="D4879" s="63"/>
    </row>
    <row r="4880" spans="4:4" x14ac:dyDescent="0.25">
      <c r="D4880" s="64"/>
    </row>
    <row r="4881" spans="4:4" x14ac:dyDescent="0.25">
      <c r="D4881" s="35"/>
    </row>
    <row r="4882" spans="4:4" x14ac:dyDescent="0.25">
      <c r="D4882" s="63"/>
    </row>
    <row r="4883" spans="4:4" x14ac:dyDescent="0.25">
      <c r="D4883" s="64"/>
    </row>
    <row r="4884" spans="4:4" x14ac:dyDescent="0.25">
      <c r="D4884" s="35"/>
    </row>
    <row r="4885" spans="4:4" x14ac:dyDescent="0.25">
      <c r="D4885" s="63"/>
    </row>
    <row r="4886" spans="4:4" x14ac:dyDescent="0.25">
      <c r="D4886" s="64"/>
    </row>
    <row r="4887" spans="4:4" x14ac:dyDescent="0.25">
      <c r="D4887" s="35"/>
    </row>
    <row r="4888" spans="4:4" x14ac:dyDescent="0.25">
      <c r="D4888" s="63"/>
    </row>
    <row r="4889" spans="4:4" x14ac:dyDescent="0.25">
      <c r="D4889" s="64"/>
    </row>
    <row r="4890" spans="4:4" x14ac:dyDescent="0.25">
      <c r="D4890" s="35"/>
    </row>
    <row r="4891" spans="4:4" x14ac:dyDescent="0.25">
      <c r="D4891" s="63"/>
    </row>
    <row r="4892" spans="4:4" x14ac:dyDescent="0.25">
      <c r="D4892" s="64"/>
    </row>
    <row r="4893" spans="4:4" x14ac:dyDescent="0.25">
      <c r="D4893" s="35"/>
    </row>
    <row r="4894" spans="4:4" x14ac:dyDescent="0.25">
      <c r="D4894" s="63"/>
    </row>
    <row r="4895" spans="4:4" x14ac:dyDescent="0.25">
      <c r="D4895" s="64"/>
    </row>
    <row r="4896" spans="4:4" x14ac:dyDescent="0.25">
      <c r="D4896" s="35"/>
    </row>
    <row r="4897" spans="4:4" x14ac:dyDescent="0.25">
      <c r="D4897" s="63"/>
    </row>
    <row r="4898" spans="4:4" x14ac:dyDescent="0.25">
      <c r="D4898" s="64"/>
    </row>
    <row r="4899" spans="4:4" x14ac:dyDescent="0.25">
      <c r="D4899" s="35"/>
    </row>
    <row r="4900" spans="4:4" x14ac:dyDescent="0.25">
      <c r="D4900" s="63"/>
    </row>
    <row r="4901" spans="4:4" x14ac:dyDescent="0.25">
      <c r="D4901" s="64"/>
    </row>
    <row r="4902" spans="4:4" x14ac:dyDescent="0.25">
      <c r="D4902" s="35"/>
    </row>
    <row r="4903" spans="4:4" x14ac:dyDescent="0.25">
      <c r="D4903" s="63"/>
    </row>
    <row r="4904" spans="4:4" x14ac:dyDescent="0.25">
      <c r="D4904" s="64"/>
    </row>
    <row r="4905" spans="4:4" x14ac:dyDescent="0.25">
      <c r="D4905" s="35"/>
    </row>
    <row r="4906" spans="4:4" x14ac:dyDescent="0.25">
      <c r="D4906" s="63"/>
    </row>
    <row r="4907" spans="4:4" x14ac:dyDescent="0.25">
      <c r="D4907" s="64"/>
    </row>
    <row r="4908" spans="4:4" x14ac:dyDescent="0.25">
      <c r="D4908" s="35"/>
    </row>
    <row r="4909" spans="4:4" x14ac:dyDescent="0.25">
      <c r="D4909" s="63"/>
    </row>
    <row r="4910" spans="4:4" x14ac:dyDescent="0.25">
      <c r="D4910" s="64"/>
    </row>
    <row r="4911" spans="4:4" x14ac:dyDescent="0.25">
      <c r="D4911" s="35"/>
    </row>
    <row r="4912" spans="4:4" x14ac:dyDescent="0.25">
      <c r="D4912" s="63"/>
    </row>
    <row r="4913" spans="4:4" x14ac:dyDescent="0.25">
      <c r="D4913" s="64"/>
    </row>
    <row r="4914" spans="4:4" x14ac:dyDescent="0.25">
      <c r="D4914" s="35"/>
    </row>
    <row r="4915" spans="4:4" x14ac:dyDescent="0.25">
      <c r="D4915" s="63"/>
    </row>
    <row r="4916" spans="4:4" x14ac:dyDescent="0.25">
      <c r="D4916" s="64"/>
    </row>
    <row r="4917" spans="4:4" x14ac:dyDescent="0.25">
      <c r="D4917" s="35"/>
    </row>
    <row r="4918" spans="4:4" x14ac:dyDescent="0.25">
      <c r="D4918" s="63"/>
    </row>
    <row r="4919" spans="4:4" x14ac:dyDescent="0.25">
      <c r="D4919" s="64"/>
    </row>
    <row r="4920" spans="4:4" x14ac:dyDescent="0.25">
      <c r="D4920" s="35"/>
    </row>
    <row r="4921" spans="4:4" x14ac:dyDescent="0.25">
      <c r="D4921" s="63"/>
    </row>
    <row r="4922" spans="4:4" x14ac:dyDescent="0.25">
      <c r="D4922" s="64"/>
    </row>
    <row r="4923" spans="4:4" x14ac:dyDescent="0.25">
      <c r="D4923" s="35"/>
    </row>
    <row r="4924" spans="4:4" x14ac:dyDescent="0.25">
      <c r="D4924" s="63"/>
    </row>
    <row r="4925" spans="4:4" x14ac:dyDescent="0.25">
      <c r="D4925" s="64"/>
    </row>
    <row r="4926" spans="4:4" x14ac:dyDescent="0.25">
      <c r="D4926" s="35"/>
    </row>
    <row r="4927" spans="4:4" x14ac:dyDescent="0.25">
      <c r="D4927" s="63"/>
    </row>
    <row r="4928" spans="4:4" x14ac:dyDescent="0.25">
      <c r="D4928" s="64"/>
    </row>
    <row r="4929" spans="4:4" x14ac:dyDescent="0.25">
      <c r="D4929" s="35"/>
    </row>
    <row r="4930" spans="4:4" x14ac:dyDescent="0.25">
      <c r="D4930" s="63"/>
    </row>
    <row r="4931" spans="4:4" x14ac:dyDescent="0.25">
      <c r="D4931" s="64"/>
    </row>
    <row r="4932" spans="4:4" x14ac:dyDescent="0.25">
      <c r="D4932" s="35"/>
    </row>
    <row r="4933" spans="4:4" x14ac:dyDescent="0.25">
      <c r="D4933" s="63"/>
    </row>
    <row r="4934" spans="4:4" x14ac:dyDescent="0.25">
      <c r="D4934" s="64"/>
    </row>
    <row r="4935" spans="4:4" x14ac:dyDescent="0.25">
      <c r="D4935" s="35"/>
    </row>
    <row r="4936" spans="4:4" x14ac:dyDescent="0.25">
      <c r="D4936" s="63"/>
    </row>
    <row r="4937" spans="4:4" x14ac:dyDescent="0.25">
      <c r="D4937" s="64"/>
    </row>
    <row r="4938" spans="4:4" x14ac:dyDescent="0.25">
      <c r="D4938" s="35"/>
    </row>
    <row r="4939" spans="4:4" x14ac:dyDescent="0.25">
      <c r="D4939" s="63"/>
    </row>
    <row r="4940" spans="4:4" x14ac:dyDescent="0.25">
      <c r="D4940" s="64"/>
    </row>
    <row r="4941" spans="4:4" x14ac:dyDescent="0.25">
      <c r="D4941" s="35"/>
    </row>
    <row r="4942" spans="4:4" x14ac:dyDescent="0.25">
      <c r="D4942" s="63"/>
    </row>
    <row r="4943" spans="4:4" x14ac:dyDescent="0.25">
      <c r="D4943" s="64"/>
    </row>
    <row r="4944" spans="4:4" x14ac:dyDescent="0.25">
      <c r="D4944" s="35"/>
    </row>
    <row r="4945" spans="4:4" x14ac:dyDescent="0.25">
      <c r="D4945" s="63"/>
    </row>
    <row r="4946" spans="4:4" x14ac:dyDescent="0.25">
      <c r="D4946" s="64"/>
    </row>
    <row r="4947" spans="4:4" x14ac:dyDescent="0.25">
      <c r="D4947" s="35"/>
    </row>
    <row r="4948" spans="4:4" x14ac:dyDescent="0.25">
      <c r="D4948" s="63"/>
    </row>
    <row r="4949" spans="4:4" x14ac:dyDescent="0.25">
      <c r="D4949" s="64"/>
    </row>
    <row r="4950" spans="4:4" x14ac:dyDescent="0.25">
      <c r="D4950" s="35"/>
    </row>
    <row r="4951" spans="4:4" x14ac:dyDescent="0.25">
      <c r="D4951" s="63"/>
    </row>
    <row r="4952" spans="4:4" x14ac:dyDescent="0.25">
      <c r="D4952" s="64"/>
    </row>
    <row r="4953" spans="4:4" x14ac:dyDescent="0.25">
      <c r="D4953" s="35"/>
    </row>
    <row r="4954" spans="4:4" x14ac:dyDescent="0.25">
      <c r="D4954" s="63"/>
    </row>
    <row r="4955" spans="4:4" x14ac:dyDescent="0.25">
      <c r="D4955" s="64"/>
    </row>
    <row r="4956" spans="4:4" x14ac:dyDescent="0.25">
      <c r="D4956" s="35"/>
    </row>
    <row r="4957" spans="4:4" x14ac:dyDescent="0.25">
      <c r="D4957" s="63"/>
    </row>
    <row r="4958" spans="4:4" x14ac:dyDescent="0.25">
      <c r="D4958" s="64"/>
    </row>
    <row r="4959" spans="4:4" x14ac:dyDescent="0.25">
      <c r="D4959" s="35"/>
    </row>
    <row r="4960" spans="4:4" x14ac:dyDescent="0.25">
      <c r="D4960" s="63"/>
    </row>
    <row r="4961" spans="4:4" x14ac:dyDescent="0.25">
      <c r="D4961" s="64"/>
    </row>
    <row r="4962" spans="4:4" x14ac:dyDescent="0.25">
      <c r="D4962" s="35"/>
    </row>
    <row r="4963" spans="4:4" x14ac:dyDescent="0.25">
      <c r="D4963" s="63"/>
    </row>
    <row r="4964" spans="4:4" x14ac:dyDescent="0.25">
      <c r="D4964" s="64"/>
    </row>
    <row r="4965" spans="4:4" x14ac:dyDescent="0.25">
      <c r="D4965" s="35"/>
    </row>
    <row r="4966" spans="4:4" x14ac:dyDescent="0.25">
      <c r="D4966" s="63"/>
    </row>
    <row r="4967" spans="4:4" x14ac:dyDescent="0.25">
      <c r="D4967" s="64"/>
    </row>
    <row r="4968" spans="4:4" x14ac:dyDescent="0.25">
      <c r="D4968" s="35"/>
    </row>
    <row r="4969" spans="4:4" x14ac:dyDescent="0.25">
      <c r="D4969" s="63"/>
    </row>
    <row r="4970" spans="4:4" x14ac:dyDescent="0.25">
      <c r="D4970" s="64"/>
    </row>
    <row r="4971" spans="4:4" x14ac:dyDescent="0.25">
      <c r="D4971" s="35"/>
    </row>
    <row r="4972" spans="4:4" x14ac:dyDescent="0.25">
      <c r="D4972" s="63"/>
    </row>
    <row r="4973" spans="4:4" x14ac:dyDescent="0.25">
      <c r="D4973" s="64"/>
    </row>
    <row r="4974" spans="4:4" x14ac:dyDescent="0.25">
      <c r="D4974" s="35"/>
    </row>
    <row r="4975" spans="4:4" x14ac:dyDescent="0.25">
      <c r="D4975" s="63"/>
    </row>
    <row r="4976" spans="4:4" x14ac:dyDescent="0.25">
      <c r="D4976" s="64"/>
    </row>
    <row r="4977" spans="4:4" x14ac:dyDescent="0.25">
      <c r="D4977" s="35"/>
    </row>
    <row r="4978" spans="4:4" x14ac:dyDescent="0.25">
      <c r="D4978" s="63"/>
    </row>
    <row r="4979" spans="4:4" x14ac:dyDescent="0.25">
      <c r="D4979" s="64"/>
    </row>
    <row r="4980" spans="4:4" x14ac:dyDescent="0.25">
      <c r="D4980" s="35"/>
    </row>
    <row r="4981" spans="4:4" x14ac:dyDescent="0.25">
      <c r="D4981" s="63"/>
    </row>
    <row r="4982" spans="4:4" x14ac:dyDescent="0.25">
      <c r="D4982" s="64"/>
    </row>
    <row r="4983" spans="4:4" x14ac:dyDescent="0.25">
      <c r="D4983" s="35"/>
    </row>
    <row r="4984" spans="4:4" x14ac:dyDescent="0.25">
      <c r="D4984" s="63"/>
    </row>
    <row r="4985" spans="4:4" x14ac:dyDescent="0.25">
      <c r="D4985" s="64"/>
    </row>
    <row r="4986" spans="4:4" x14ac:dyDescent="0.25">
      <c r="D4986" s="35"/>
    </row>
    <row r="4987" spans="4:4" x14ac:dyDescent="0.25">
      <c r="D4987" s="63"/>
    </row>
    <row r="4988" spans="4:4" x14ac:dyDescent="0.25">
      <c r="D4988" s="64"/>
    </row>
    <row r="4989" spans="4:4" x14ac:dyDescent="0.25">
      <c r="D4989" s="35"/>
    </row>
    <row r="4990" spans="4:4" x14ac:dyDescent="0.25">
      <c r="D4990" s="63"/>
    </row>
    <row r="4991" spans="4:4" x14ac:dyDescent="0.25">
      <c r="D4991" s="64"/>
    </row>
    <row r="4992" spans="4:4" x14ac:dyDescent="0.25">
      <c r="D4992" s="35"/>
    </row>
    <row r="4993" spans="4:4" x14ac:dyDescent="0.25">
      <c r="D4993" s="63"/>
    </row>
    <row r="4994" spans="4:4" x14ac:dyDescent="0.25">
      <c r="D4994" s="64"/>
    </row>
    <row r="4995" spans="4:4" x14ac:dyDescent="0.25">
      <c r="D4995" s="35"/>
    </row>
    <row r="4996" spans="4:4" x14ac:dyDescent="0.25">
      <c r="D4996" s="63"/>
    </row>
    <row r="4997" spans="4:4" x14ac:dyDescent="0.25">
      <c r="D4997" s="64"/>
    </row>
    <row r="4998" spans="4:4" x14ac:dyDescent="0.25">
      <c r="D4998" s="35"/>
    </row>
    <row r="4999" spans="4:4" x14ac:dyDescent="0.25">
      <c r="D4999" s="63"/>
    </row>
    <row r="5000" spans="4:4" x14ac:dyDescent="0.25">
      <c r="D5000" s="64"/>
    </row>
    <row r="5001" spans="4:4" x14ac:dyDescent="0.25">
      <c r="D5001" s="35"/>
    </row>
    <row r="5002" spans="4:4" x14ac:dyDescent="0.25">
      <c r="D5002" s="63"/>
    </row>
    <row r="5003" spans="4:4" x14ac:dyDescent="0.25">
      <c r="D5003" s="64"/>
    </row>
    <row r="5004" spans="4:4" x14ac:dyDescent="0.25">
      <c r="D5004" s="35"/>
    </row>
    <row r="5005" spans="4:4" x14ac:dyDescent="0.25">
      <c r="D5005" s="63"/>
    </row>
    <row r="5006" spans="4:4" x14ac:dyDescent="0.25">
      <c r="D5006" s="64"/>
    </row>
    <row r="5007" spans="4:4" x14ac:dyDescent="0.25">
      <c r="D5007" s="35"/>
    </row>
    <row r="5008" spans="4:4" x14ac:dyDescent="0.25">
      <c r="D5008" s="63"/>
    </row>
    <row r="5009" spans="4:4" x14ac:dyDescent="0.25">
      <c r="D5009" s="64"/>
    </row>
    <row r="5010" spans="4:4" x14ac:dyDescent="0.25">
      <c r="D5010" s="35"/>
    </row>
    <row r="5011" spans="4:4" x14ac:dyDescent="0.25">
      <c r="D5011" s="63"/>
    </row>
    <row r="5012" spans="4:4" x14ac:dyDescent="0.25">
      <c r="D5012" s="64"/>
    </row>
    <row r="5013" spans="4:4" x14ac:dyDescent="0.25">
      <c r="D5013" s="35"/>
    </row>
    <row r="5014" spans="4:4" x14ac:dyDescent="0.25">
      <c r="D5014" s="63"/>
    </row>
    <row r="5015" spans="4:4" x14ac:dyDescent="0.25">
      <c r="D5015" s="64"/>
    </row>
    <row r="5016" spans="4:4" x14ac:dyDescent="0.25">
      <c r="D5016" s="35"/>
    </row>
    <row r="5017" spans="4:4" x14ac:dyDescent="0.25">
      <c r="D5017" s="63"/>
    </row>
    <row r="5018" spans="4:4" x14ac:dyDescent="0.25">
      <c r="D5018" s="64"/>
    </row>
    <row r="5019" spans="4:4" x14ac:dyDescent="0.25">
      <c r="D5019" s="35"/>
    </row>
    <row r="5020" spans="4:4" x14ac:dyDescent="0.25">
      <c r="D5020" s="63"/>
    </row>
    <row r="5021" spans="4:4" x14ac:dyDescent="0.25">
      <c r="D5021" s="64"/>
    </row>
    <row r="5022" spans="4:4" x14ac:dyDescent="0.25">
      <c r="D5022" s="35"/>
    </row>
    <row r="5023" spans="4:4" x14ac:dyDescent="0.25">
      <c r="D5023" s="63"/>
    </row>
    <row r="5024" spans="4:4" x14ac:dyDescent="0.25">
      <c r="D5024" s="64"/>
    </row>
    <row r="5025" spans="4:4" x14ac:dyDescent="0.25">
      <c r="D5025" s="35"/>
    </row>
    <row r="5026" spans="4:4" x14ac:dyDescent="0.25">
      <c r="D5026" s="63"/>
    </row>
    <row r="5027" spans="4:4" x14ac:dyDescent="0.25">
      <c r="D5027" s="64"/>
    </row>
    <row r="5028" spans="4:4" x14ac:dyDescent="0.25">
      <c r="D5028" s="35"/>
    </row>
    <row r="5029" spans="4:4" x14ac:dyDescent="0.25">
      <c r="D5029" s="63"/>
    </row>
    <row r="5030" spans="4:4" x14ac:dyDescent="0.25">
      <c r="D5030" s="64"/>
    </row>
    <row r="5031" spans="4:4" x14ac:dyDescent="0.25">
      <c r="D5031" s="35"/>
    </row>
    <row r="5032" spans="4:4" x14ac:dyDescent="0.25">
      <c r="D5032" s="63"/>
    </row>
    <row r="5033" spans="4:4" x14ac:dyDescent="0.25">
      <c r="D5033" s="64"/>
    </row>
    <row r="5034" spans="4:4" x14ac:dyDescent="0.25">
      <c r="D5034" s="35"/>
    </row>
    <row r="5035" spans="4:4" x14ac:dyDescent="0.25">
      <c r="D5035" s="63"/>
    </row>
    <row r="5036" spans="4:4" x14ac:dyDescent="0.25">
      <c r="D5036" s="64"/>
    </row>
    <row r="5037" spans="4:4" x14ac:dyDescent="0.25">
      <c r="D5037" s="35"/>
    </row>
    <row r="5038" spans="4:4" x14ac:dyDescent="0.25">
      <c r="D5038" s="63"/>
    </row>
    <row r="5039" spans="4:4" x14ac:dyDescent="0.25">
      <c r="D5039" s="64"/>
    </row>
    <row r="5040" spans="4:4" x14ac:dyDescent="0.25">
      <c r="D5040" s="35"/>
    </row>
    <row r="5041" spans="4:4" x14ac:dyDescent="0.25">
      <c r="D5041" s="63"/>
    </row>
    <row r="5042" spans="4:4" x14ac:dyDescent="0.25">
      <c r="D5042" s="64"/>
    </row>
    <row r="5043" spans="4:4" x14ac:dyDescent="0.25">
      <c r="D5043" s="35"/>
    </row>
    <row r="5044" spans="4:4" x14ac:dyDescent="0.25">
      <c r="D5044" s="63"/>
    </row>
    <row r="5045" spans="4:4" x14ac:dyDescent="0.25">
      <c r="D5045" s="64"/>
    </row>
    <row r="5046" spans="4:4" x14ac:dyDescent="0.25">
      <c r="D5046" s="35"/>
    </row>
    <row r="5047" spans="4:4" x14ac:dyDescent="0.25">
      <c r="D5047" s="63"/>
    </row>
    <row r="5048" spans="4:4" x14ac:dyDescent="0.25">
      <c r="D5048" s="64"/>
    </row>
    <row r="5049" spans="4:4" x14ac:dyDescent="0.25">
      <c r="D5049" s="35"/>
    </row>
    <row r="5050" spans="4:4" x14ac:dyDescent="0.25">
      <c r="D5050" s="63"/>
    </row>
    <row r="5051" spans="4:4" x14ac:dyDescent="0.25">
      <c r="D5051" s="64"/>
    </row>
    <row r="5052" spans="4:4" x14ac:dyDescent="0.25">
      <c r="D5052" s="35"/>
    </row>
    <row r="5053" spans="4:4" x14ac:dyDescent="0.25">
      <c r="D5053" s="63"/>
    </row>
    <row r="5054" spans="4:4" x14ac:dyDescent="0.25">
      <c r="D5054" s="64"/>
    </row>
    <row r="5055" spans="4:4" x14ac:dyDescent="0.25">
      <c r="D5055" s="35"/>
    </row>
    <row r="5056" spans="4:4" x14ac:dyDescent="0.25">
      <c r="D5056" s="63"/>
    </row>
    <row r="5057" spans="4:4" x14ac:dyDescent="0.25">
      <c r="D5057" s="64"/>
    </row>
    <row r="5058" spans="4:4" x14ac:dyDescent="0.25">
      <c r="D5058" s="35"/>
    </row>
    <row r="5059" spans="4:4" x14ac:dyDescent="0.25">
      <c r="D5059" s="63"/>
    </row>
    <row r="5060" spans="4:4" x14ac:dyDescent="0.25">
      <c r="D5060" s="64"/>
    </row>
    <row r="5061" spans="4:4" x14ac:dyDescent="0.25">
      <c r="D5061" s="35"/>
    </row>
    <row r="5062" spans="4:4" x14ac:dyDescent="0.25">
      <c r="D5062" s="63"/>
    </row>
    <row r="5063" spans="4:4" x14ac:dyDescent="0.25">
      <c r="D5063" s="64"/>
    </row>
    <row r="5064" spans="4:4" x14ac:dyDescent="0.25">
      <c r="D5064" s="35"/>
    </row>
    <row r="5065" spans="4:4" x14ac:dyDescent="0.25">
      <c r="D5065" s="63"/>
    </row>
    <row r="5066" spans="4:4" x14ac:dyDescent="0.25">
      <c r="D5066" s="64"/>
    </row>
    <row r="5067" spans="4:4" x14ac:dyDescent="0.25">
      <c r="D5067" s="35"/>
    </row>
    <row r="5068" spans="4:4" x14ac:dyDescent="0.25">
      <c r="D5068" s="63"/>
    </row>
    <row r="5069" spans="4:4" x14ac:dyDescent="0.25">
      <c r="D5069" s="64"/>
    </row>
    <row r="5070" spans="4:4" x14ac:dyDescent="0.25">
      <c r="D5070" s="35"/>
    </row>
    <row r="5071" spans="4:4" x14ac:dyDescent="0.25">
      <c r="D5071" s="63"/>
    </row>
    <row r="5072" spans="4:4" x14ac:dyDescent="0.25">
      <c r="D5072" s="64"/>
    </row>
    <row r="5073" spans="4:4" x14ac:dyDescent="0.25">
      <c r="D5073" s="35"/>
    </row>
    <row r="5074" spans="4:4" x14ac:dyDescent="0.25">
      <c r="D5074" s="63"/>
    </row>
    <row r="5075" spans="4:4" x14ac:dyDescent="0.25">
      <c r="D5075" s="64"/>
    </row>
    <row r="5076" spans="4:4" x14ac:dyDescent="0.25">
      <c r="D5076" s="35"/>
    </row>
    <row r="5077" spans="4:4" x14ac:dyDescent="0.25">
      <c r="D5077" s="63"/>
    </row>
    <row r="5078" spans="4:4" x14ac:dyDescent="0.25">
      <c r="D5078" s="64"/>
    </row>
    <row r="5079" spans="4:4" x14ac:dyDescent="0.25">
      <c r="D5079" s="35"/>
    </row>
    <row r="5080" spans="4:4" x14ac:dyDescent="0.25">
      <c r="D5080" s="63"/>
    </row>
    <row r="5081" spans="4:4" x14ac:dyDescent="0.25">
      <c r="D5081" s="64"/>
    </row>
    <row r="5082" spans="4:4" x14ac:dyDescent="0.25">
      <c r="D5082" s="35"/>
    </row>
    <row r="5083" spans="4:4" x14ac:dyDescent="0.25">
      <c r="D5083" s="63"/>
    </row>
    <row r="5084" spans="4:4" x14ac:dyDescent="0.25">
      <c r="D5084" s="64"/>
    </row>
    <row r="5085" spans="4:4" x14ac:dyDescent="0.25">
      <c r="D5085" s="35"/>
    </row>
    <row r="5086" spans="4:4" x14ac:dyDescent="0.25">
      <c r="D5086" s="63"/>
    </row>
    <row r="5087" spans="4:4" x14ac:dyDescent="0.25">
      <c r="D5087" s="64"/>
    </row>
    <row r="5088" spans="4:4" x14ac:dyDescent="0.25">
      <c r="D5088" s="35"/>
    </row>
    <row r="5089" spans="4:4" x14ac:dyDescent="0.25">
      <c r="D5089" s="63"/>
    </row>
    <row r="5090" spans="4:4" x14ac:dyDescent="0.25">
      <c r="D5090" s="64"/>
    </row>
    <row r="5091" spans="4:4" x14ac:dyDescent="0.25">
      <c r="D5091" s="35"/>
    </row>
    <row r="5092" spans="4:4" x14ac:dyDescent="0.25">
      <c r="D5092" s="63"/>
    </row>
    <row r="5093" spans="4:4" x14ac:dyDescent="0.25">
      <c r="D5093" s="64"/>
    </row>
    <row r="5094" spans="4:4" x14ac:dyDescent="0.25">
      <c r="D5094" s="35"/>
    </row>
    <row r="5095" spans="4:4" x14ac:dyDescent="0.25">
      <c r="D5095" s="63"/>
    </row>
    <row r="5096" spans="4:4" x14ac:dyDescent="0.25">
      <c r="D5096" s="64"/>
    </row>
    <row r="5097" spans="4:4" x14ac:dyDescent="0.25">
      <c r="D5097" s="35"/>
    </row>
    <row r="5098" spans="4:4" x14ac:dyDescent="0.25">
      <c r="D5098" s="63"/>
    </row>
    <row r="5099" spans="4:4" x14ac:dyDescent="0.25">
      <c r="D5099" s="64"/>
    </row>
    <row r="5100" spans="4:4" x14ac:dyDescent="0.25">
      <c r="D5100" s="35"/>
    </row>
    <row r="5101" spans="4:4" x14ac:dyDescent="0.25">
      <c r="D5101" s="63"/>
    </row>
    <row r="5102" spans="4:4" x14ac:dyDescent="0.25">
      <c r="D5102" s="64"/>
    </row>
    <row r="5103" spans="4:4" x14ac:dyDescent="0.25">
      <c r="D5103" s="35"/>
    </row>
    <row r="5104" spans="4:4" x14ac:dyDescent="0.25">
      <c r="D5104" s="63"/>
    </row>
    <row r="5105" spans="4:4" x14ac:dyDescent="0.25">
      <c r="D5105" s="64"/>
    </row>
    <row r="5106" spans="4:4" x14ac:dyDescent="0.25">
      <c r="D5106" s="35"/>
    </row>
    <row r="5107" spans="4:4" x14ac:dyDescent="0.25">
      <c r="D5107" s="63"/>
    </row>
    <row r="5108" spans="4:4" x14ac:dyDescent="0.25">
      <c r="D5108" s="64"/>
    </row>
    <row r="5109" spans="4:4" x14ac:dyDescent="0.25">
      <c r="D5109" s="35"/>
    </row>
    <row r="5110" spans="4:4" x14ac:dyDescent="0.25">
      <c r="D5110" s="63"/>
    </row>
    <row r="5111" spans="4:4" x14ac:dyDescent="0.25">
      <c r="D5111" s="64"/>
    </row>
    <row r="5112" spans="4:4" x14ac:dyDescent="0.25">
      <c r="D5112" s="35"/>
    </row>
    <row r="5113" spans="4:4" x14ac:dyDescent="0.25">
      <c r="D5113" s="63"/>
    </row>
    <row r="5114" spans="4:4" x14ac:dyDescent="0.25">
      <c r="D5114" s="64"/>
    </row>
    <row r="5115" spans="4:4" x14ac:dyDescent="0.25">
      <c r="D5115" s="35"/>
    </row>
    <row r="5116" spans="4:4" x14ac:dyDescent="0.25">
      <c r="D5116" s="63"/>
    </row>
    <row r="5117" spans="4:4" x14ac:dyDescent="0.25">
      <c r="D5117" s="64"/>
    </row>
    <row r="5118" spans="4:4" x14ac:dyDescent="0.25">
      <c r="D5118" s="35"/>
    </row>
    <row r="5119" spans="4:4" x14ac:dyDescent="0.25">
      <c r="D5119" s="63"/>
    </row>
    <row r="5120" spans="4:4" x14ac:dyDescent="0.25">
      <c r="D5120" s="64"/>
    </row>
    <row r="5121" spans="4:4" x14ac:dyDescent="0.25">
      <c r="D5121" s="35"/>
    </row>
    <row r="5122" spans="4:4" x14ac:dyDescent="0.25">
      <c r="D5122" s="63"/>
    </row>
    <row r="5123" spans="4:4" x14ac:dyDescent="0.25">
      <c r="D5123" s="64"/>
    </row>
    <row r="5124" spans="4:4" x14ac:dyDescent="0.25">
      <c r="D5124" s="35"/>
    </row>
    <row r="5125" spans="4:4" x14ac:dyDescent="0.25">
      <c r="D5125" s="63"/>
    </row>
    <row r="5126" spans="4:4" x14ac:dyDescent="0.25">
      <c r="D5126" s="64"/>
    </row>
    <row r="5127" spans="4:4" x14ac:dyDescent="0.25">
      <c r="D5127" s="35"/>
    </row>
    <row r="5128" spans="4:4" x14ac:dyDescent="0.25">
      <c r="D5128" s="63"/>
    </row>
    <row r="5129" spans="4:4" x14ac:dyDescent="0.25">
      <c r="D5129" s="64"/>
    </row>
    <row r="5130" spans="4:4" x14ac:dyDescent="0.25">
      <c r="D5130" s="35"/>
    </row>
    <row r="5131" spans="4:4" x14ac:dyDescent="0.25">
      <c r="D5131" s="63"/>
    </row>
    <row r="5132" spans="4:4" x14ac:dyDescent="0.25">
      <c r="D5132" s="64"/>
    </row>
    <row r="5133" spans="4:4" x14ac:dyDescent="0.25">
      <c r="D5133" s="35"/>
    </row>
    <row r="5134" spans="4:4" x14ac:dyDescent="0.25">
      <c r="D5134" s="63"/>
    </row>
    <row r="5135" spans="4:4" x14ac:dyDescent="0.25">
      <c r="D5135" s="64"/>
    </row>
    <row r="5136" spans="4:4" x14ac:dyDescent="0.25">
      <c r="D5136" s="35"/>
    </row>
    <row r="5137" spans="4:4" x14ac:dyDescent="0.25">
      <c r="D5137" s="63"/>
    </row>
    <row r="5138" spans="4:4" x14ac:dyDescent="0.25">
      <c r="D5138" s="64"/>
    </row>
    <row r="5139" spans="4:4" x14ac:dyDescent="0.25">
      <c r="D5139" s="35"/>
    </row>
    <row r="5140" spans="4:4" x14ac:dyDescent="0.25">
      <c r="D5140" s="63"/>
    </row>
    <row r="5141" spans="4:4" x14ac:dyDescent="0.25">
      <c r="D5141" s="64"/>
    </row>
    <row r="5142" spans="4:4" x14ac:dyDescent="0.25">
      <c r="D5142" s="35"/>
    </row>
    <row r="5143" spans="4:4" x14ac:dyDescent="0.25">
      <c r="D5143" s="63"/>
    </row>
    <row r="5144" spans="4:4" x14ac:dyDescent="0.25">
      <c r="D5144" s="64"/>
    </row>
    <row r="5145" spans="4:4" x14ac:dyDescent="0.25">
      <c r="D5145" s="35"/>
    </row>
    <row r="5146" spans="4:4" x14ac:dyDescent="0.25">
      <c r="D5146" s="63"/>
    </row>
    <row r="5147" spans="4:4" x14ac:dyDescent="0.25">
      <c r="D5147" s="64"/>
    </row>
    <row r="5148" spans="4:4" x14ac:dyDescent="0.25">
      <c r="D5148" s="35"/>
    </row>
    <row r="5149" spans="4:4" x14ac:dyDescent="0.25">
      <c r="D5149" s="63"/>
    </row>
    <row r="5150" spans="4:4" x14ac:dyDescent="0.25">
      <c r="D5150" s="64"/>
    </row>
    <row r="5151" spans="4:4" x14ac:dyDescent="0.25">
      <c r="D5151" s="35"/>
    </row>
    <row r="5152" spans="4:4" x14ac:dyDescent="0.25">
      <c r="D5152" s="63"/>
    </row>
    <row r="5153" spans="4:4" x14ac:dyDescent="0.25">
      <c r="D5153" s="64"/>
    </row>
    <row r="5154" spans="4:4" x14ac:dyDescent="0.25">
      <c r="D5154" s="35"/>
    </row>
    <row r="5155" spans="4:4" x14ac:dyDescent="0.25">
      <c r="D5155" s="63"/>
    </row>
    <row r="5156" spans="4:4" x14ac:dyDescent="0.25">
      <c r="D5156" s="64"/>
    </row>
    <row r="5157" spans="4:4" x14ac:dyDescent="0.25">
      <c r="D5157" s="35"/>
    </row>
    <row r="5158" spans="4:4" x14ac:dyDescent="0.25">
      <c r="D5158" s="63"/>
    </row>
    <row r="5159" spans="4:4" x14ac:dyDescent="0.25">
      <c r="D5159" s="64"/>
    </row>
    <row r="5160" spans="4:4" x14ac:dyDescent="0.25">
      <c r="D5160" s="35"/>
    </row>
    <row r="5161" spans="4:4" x14ac:dyDescent="0.25">
      <c r="D5161" s="63"/>
    </row>
    <row r="5162" spans="4:4" x14ac:dyDescent="0.25">
      <c r="D5162" s="64"/>
    </row>
    <row r="5163" spans="4:4" x14ac:dyDescent="0.25">
      <c r="D5163" s="35"/>
    </row>
    <row r="5164" spans="4:4" x14ac:dyDescent="0.25">
      <c r="D5164" s="63"/>
    </row>
    <row r="5165" spans="4:4" x14ac:dyDescent="0.25">
      <c r="D5165" s="64"/>
    </row>
    <row r="5166" spans="4:4" x14ac:dyDescent="0.25">
      <c r="D5166" s="35"/>
    </row>
    <row r="5167" spans="4:4" x14ac:dyDescent="0.25">
      <c r="D5167" s="63"/>
    </row>
    <row r="5168" spans="4:4" x14ac:dyDescent="0.25">
      <c r="D5168" s="64"/>
    </row>
    <row r="5169" spans="4:4" x14ac:dyDescent="0.25">
      <c r="D5169" s="35"/>
    </row>
    <row r="5170" spans="4:4" x14ac:dyDescent="0.25">
      <c r="D5170" s="63"/>
    </row>
    <row r="5171" spans="4:4" x14ac:dyDescent="0.25">
      <c r="D5171" s="64"/>
    </row>
    <row r="5172" spans="4:4" x14ac:dyDescent="0.25">
      <c r="D5172" s="35"/>
    </row>
    <row r="5173" spans="4:4" x14ac:dyDescent="0.25">
      <c r="D5173" s="63"/>
    </row>
    <row r="5174" spans="4:4" x14ac:dyDescent="0.25">
      <c r="D5174" s="64"/>
    </row>
    <row r="5175" spans="4:4" x14ac:dyDescent="0.25">
      <c r="D5175" s="35"/>
    </row>
    <row r="5176" spans="4:4" x14ac:dyDescent="0.25">
      <c r="D5176" s="63"/>
    </row>
    <row r="5177" spans="4:4" x14ac:dyDescent="0.25">
      <c r="D5177" s="64"/>
    </row>
    <row r="5178" spans="4:4" x14ac:dyDescent="0.25">
      <c r="D5178" s="35"/>
    </row>
    <row r="5179" spans="4:4" x14ac:dyDescent="0.25">
      <c r="D5179" s="63"/>
    </row>
    <row r="5180" spans="4:4" x14ac:dyDescent="0.25">
      <c r="D5180" s="64"/>
    </row>
    <row r="5181" spans="4:4" x14ac:dyDescent="0.25">
      <c r="D5181" s="35"/>
    </row>
    <row r="5182" spans="4:4" x14ac:dyDescent="0.25">
      <c r="D5182" s="63"/>
    </row>
    <row r="5183" spans="4:4" x14ac:dyDescent="0.25">
      <c r="D5183" s="64"/>
    </row>
    <row r="5184" spans="4:4" x14ac:dyDescent="0.25">
      <c r="D5184" s="35"/>
    </row>
    <row r="5185" spans="4:4" x14ac:dyDescent="0.25">
      <c r="D5185" s="63"/>
    </row>
    <row r="5186" spans="4:4" x14ac:dyDescent="0.25">
      <c r="D5186" s="64"/>
    </row>
    <row r="5187" spans="4:4" x14ac:dyDescent="0.25">
      <c r="D5187" s="35"/>
    </row>
    <row r="5188" spans="4:4" x14ac:dyDescent="0.25">
      <c r="D5188" s="63"/>
    </row>
    <row r="5189" spans="4:4" x14ac:dyDescent="0.25">
      <c r="D5189" s="64"/>
    </row>
    <row r="5190" spans="4:4" x14ac:dyDescent="0.25">
      <c r="D5190" s="35"/>
    </row>
    <row r="5191" spans="4:4" x14ac:dyDescent="0.25">
      <c r="D5191" s="63"/>
    </row>
    <row r="5192" spans="4:4" x14ac:dyDescent="0.25">
      <c r="D5192" s="64"/>
    </row>
    <row r="5193" spans="4:4" x14ac:dyDescent="0.25">
      <c r="D5193" s="35"/>
    </row>
    <row r="5194" spans="4:4" x14ac:dyDescent="0.25">
      <c r="D5194" s="63"/>
    </row>
    <row r="5195" spans="4:4" x14ac:dyDescent="0.25">
      <c r="D5195" s="64"/>
    </row>
    <row r="5196" spans="4:4" x14ac:dyDescent="0.25">
      <c r="D5196" s="35"/>
    </row>
    <row r="5197" spans="4:4" x14ac:dyDescent="0.25">
      <c r="D5197" s="63"/>
    </row>
    <row r="5198" spans="4:4" x14ac:dyDescent="0.25">
      <c r="D5198" s="64"/>
    </row>
    <row r="5199" spans="4:4" x14ac:dyDescent="0.25">
      <c r="D5199" s="35"/>
    </row>
    <row r="5200" spans="4:4" x14ac:dyDescent="0.25">
      <c r="D5200" s="63"/>
    </row>
    <row r="5201" spans="4:4" x14ac:dyDescent="0.25">
      <c r="D5201" s="64"/>
    </row>
    <row r="5202" spans="4:4" x14ac:dyDescent="0.25">
      <c r="D5202" s="35"/>
    </row>
    <row r="5203" spans="4:4" x14ac:dyDescent="0.25">
      <c r="D5203" s="63"/>
    </row>
    <row r="5204" spans="4:4" x14ac:dyDescent="0.25">
      <c r="D5204" s="64"/>
    </row>
    <row r="5205" spans="4:4" x14ac:dyDescent="0.25">
      <c r="D5205" s="35"/>
    </row>
    <row r="5206" spans="4:4" x14ac:dyDescent="0.25">
      <c r="D5206" s="63"/>
    </row>
    <row r="5207" spans="4:4" x14ac:dyDescent="0.25">
      <c r="D5207" s="64"/>
    </row>
    <row r="5208" spans="4:4" x14ac:dyDescent="0.25">
      <c r="D5208" s="35"/>
    </row>
    <row r="5209" spans="4:4" x14ac:dyDescent="0.25">
      <c r="D5209" s="63"/>
    </row>
    <row r="5210" spans="4:4" x14ac:dyDescent="0.25">
      <c r="D5210" s="64"/>
    </row>
    <row r="5211" spans="4:4" x14ac:dyDescent="0.25">
      <c r="D5211" s="35"/>
    </row>
    <row r="5212" spans="4:4" x14ac:dyDescent="0.25">
      <c r="D5212" s="63"/>
    </row>
    <row r="5213" spans="4:4" x14ac:dyDescent="0.25">
      <c r="D5213" s="64"/>
    </row>
    <row r="5214" spans="4:4" x14ac:dyDescent="0.25">
      <c r="D5214" s="35"/>
    </row>
    <row r="5215" spans="4:4" x14ac:dyDescent="0.25">
      <c r="D5215" s="63"/>
    </row>
    <row r="5216" spans="4:4" x14ac:dyDescent="0.25">
      <c r="D5216" s="64"/>
    </row>
    <row r="5217" spans="4:4" x14ac:dyDescent="0.25">
      <c r="D5217" s="35"/>
    </row>
    <row r="5218" spans="4:4" x14ac:dyDescent="0.25">
      <c r="D5218" s="63"/>
    </row>
    <row r="5219" spans="4:4" x14ac:dyDescent="0.25">
      <c r="D5219" s="64"/>
    </row>
    <row r="5220" spans="4:4" x14ac:dyDescent="0.25">
      <c r="D5220" s="35"/>
    </row>
    <row r="5221" spans="4:4" x14ac:dyDescent="0.25">
      <c r="D5221" s="63"/>
    </row>
    <row r="5222" spans="4:4" x14ac:dyDescent="0.25">
      <c r="D5222" s="64"/>
    </row>
    <row r="5223" spans="4:4" x14ac:dyDescent="0.25">
      <c r="D5223" s="35"/>
    </row>
    <row r="5224" spans="4:4" x14ac:dyDescent="0.25">
      <c r="D5224" s="63"/>
    </row>
    <row r="5225" spans="4:4" x14ac:dyDescent="0.25">
      <c r="D5225" s="64"/>
    </row>
    <row r="5226" spans="4:4" x14ac:dyDescent="0.25">
      <c r="D5226" s="35"/>
    </row>
    <row r="5227" spans="4:4" x14ac:dyDescent="0.25">
      <c r="D5227" s="63"/>
    </row>
    <row r="5228" spans="4:4" x14ac:dyDescent="0.25">
      <c r="D5228" s="64"/>
    </row>
    <row r="5229" spans="4:4" x14ac:dyDescent="0.25">
      <c r="D5229" s="35"/>
    </row>
    <row r="5230" spans="4:4" x14ac:dyDescent="0.25">
      <c r="D5230" s="63"/>
    </row>
    <row r="5231" spans="4:4" x14ac:dyDescent="0.25">
      <c r="D5231" s="64"/>
    </row>
    <row r="5232" spans="4:4" x14ac:dyDescent="0.25">
      <c r="D5232" s="35"/>
    </row>
    <row r="5233" spans="4:4" x14ac:dyDescent="0.25">
      <c r="D5233" s="63"/>
    </row>
    <row r="5234" spans="4:4" x14ac:dyDescent="0.25">
      <c r="D5234" s="64"/>
    </row>
    <row r="5235" spans="4:4" x14ac:dyDescent="0.25">
      <c r="D5235" s="35"/>
    </row>
    <row r="5236" spans="4:4" x14ac:dyDescent="0.25">
      <c r="D5236" s="63"/>
    </row>
    <row r="5237" spans="4:4" x14ac:dyDescent="0.25">
      <c r="D5237" s="64"/>
    </row>
    <row r="5238" spans="4:4" x14ac:dyDescent="0.25">
      <c r="D5238" s="35"/>
    </row>
    <row r="5239" spans="4:4" x14ac:dyDescent="0.25">
      <c r="D5239" s="63"/>
    </row>
    <row r="5240" spans="4:4" x14ac:dyDescent="0.25">
      <c r="D5240" s="64"/>
    </row>
    <row r="5241" spans="4:4" x14ac:dyDescent="0.25">
      <c r="D5241" s="35"/>
    </row>
    <row r="5242" spans="4:4" x14ac:dyDescent="0.25">
      <c r="D5242" s="63"/>
    </row>
    <row r="5243" spans="4:4" x14ac:dyDescent="0.25">
      <c r="D5243" s="64"/>
    </row>
    <row r="5244" spans="4:4" x14ac:dyDescent="0.25">
      <c r="D5244" s="35"/>
    </row>
    <row r="5245" spans="4:4" x14ac:dyDescent="0.25">
      <c r="D5245" s="63"/>
    </row>
    <row r="5246" spans="4:4" x14ac:dyDescent="0.25">
      <c r="D5246" s="64"/>
    </row>
    <row r="5247" spans="4:4" x14ac:dyDescent="0.25">
      <c r="D5247" s="35"/>
    </row>
    <row r="5248" spans="4:4" x14ac:dyDescent="0.25">
      <c r="D5248" s="63"/>
    </row>
    <row r="5249" spans="4:4" x14ac:dyDescent="0.25">
      <c r="D5249" s="64"/>
    </row>
    <row r="5250" spans="4:4" x14ac:dyDescent="0.25">
      <c r="D5250" s="35"/>
    </row>
    <row r="5251" spans="4:4" x14ac:dyDescent="0.25">
      <c r="D5251" s="63"/>
    </row>
    <row r="5252" spans="4:4" x14ac:dyDescent="0.25">
      <c r="D5252" s="64"/>
    </row>
    <row r="5253" spans="4:4" x14ac:dyDescent="0.25">
      <c r="D5253" s="35"/>
    </row>
    <row r="5254" spans="4:4" x14ac:dyDescent="0.25">
      <c r="D5254" s="63"/>
    </row>
    <row r="5255" spans="4:4" x14ac:dyDescent="0.25">
      <c r="D5255" s="64"/>
    </row>
    <row r="5256" spans="4:4" x14ac:dyDescent="0.25">
      <c r="D5256" s="35"/>
    </row>
    <row r="5257" spans="4:4" x14ac:dyDescent="0.25">
      <c r="D5257" s="63"/>
    </row>
    <row r="5258" spans="4:4" x14ac:dyDescent="0.25">
      <c r="D5258" s="64"/>
    </row>
    <row r="5259" spans="4:4" x14ac:dyDescent="0.25">
      <c r="D5259" s="35"/>
    </row>
    <row r="5260" spans="4:4" x14ac:dyDescent="0.25">
      <c r="D5260" s="63"/>
    </row>
    <row r="5261" spans="4:4" x14ac:dyDescent="0.25">
      <c r="D5261" s="64"/>
    </row>
    <row r="5262" spans="4:4" x14ac:dyDescent="0.25">
      <c r="D5262" s="35"/>
    </row>
    <row r="5263" spans="4:4" x14ac:dyDescent="0.25">
      <c r="D5263" s="63"/>
    </row>
    <row r="5264" spans="4:4" x14ac:dyDescent="0.25">
      <c r="D5264" s="64"/>
    </row>
    <row r="5265" spans="4:4" x14ac:dyDescent="0.25">
      <c r="D5265" s="35"/>
    </row>
    <row r="5266" spans="4:4" x14ac:dyDescent="0.25">
      <c r="D5266" s="63"/>
    </row>
    <row r="5267" spans="4:4" x14ac:dyDescent="0.25">
      <c r="D5267" s="64"/>
    </row>
    <row r="5268" spans="4:4" x14ac:dyDescent="0.25">
      <c r="D5268" s="35"/>
    </row>
    <row r="5269" spans="4:4" x14ac:dyDescent="0.25">
      <c r="D5269" s="63"/>
    </row>
    <row r="5270" spans="4:4" x14ac:dyDescent="0.25">
      <c r="D5270" s="64"/>
    </row>
    <row r="5271" spans="4:4" x14ac:dyDescent="0.25">
      <c r="D5271" s="35"/>
    </row>
    <row r="5272" spans="4:4" x14ac:dyDescent="0.25">
      <c r="D5272" s="63"/>
    </row>
    <row r="5273" spans="4:4" x14ac:dyDescent="0.25">
      <c r="D5273" s="64"/>
    </row>
    <row r="5274" spans="4:4" x14ac:dyDescent="0.25">
      <c r="D5274" s="35"/>
    </row>
    <row r="5275" spans="4:4" x14ac:dyDescent="0.25">
      <c r="D5275" s="63"/>
    </row>
    <row r="5276" spans="4:4" x14ac:dyDescent="0.25">
      <c r="D5276" s="64"/>
    </row>
    <row r="5277" spans="4:4" x14ac:dyDescent="0.25">
      <c r="D5277" s="35"/>
    </row>
    <row r="5278" spans="4:4" x14ac:dyDescent="0.25">
      <c r="D5278" s="63"/>
    </row>
    <row r="5279" spans="4:4" x14ac:dyDescent="0.25">
      <c r="D5279" s="64"/>
    </row>
    <row r="5280" spans="4:4" x14ac:dyDescent="0.25">
      <c r="D5280" s="35"/>
    </row>
    <row r="5281" spans="4:4" x14ac:dyDescent="0.25">
      <c r="D5281" s="63"/>
    </row>
    <row r="5282" spans="4:4" x14ac:dyDescent="0.25">
      <c r="D5282" s="64"/>
    </row>
    <row r="5283" spans="4:4" x14ac:dyDescent="0.25">
      <c r="D5283" s="35"/>
    </row>
    <row r="5284" spans="4:4" x14ac:dyDescent="0.25">
      <c r="D5284" s="63"/>
    </row>
    <row r="5285" spans="4:4" x14ac:dyDescent="0.25">
      <c r="D5285" s="64"/>
    </row>
    <row r="5286" spans="4:4" x14ac:dyDescent="0.25">
      <c r="D5286" s="35"/>
    </row>
    <row r="5287" spans="4:4" x14ac:dyDescent="0.25">
      <c r="D5287" s="63"/>
    </row>
    <row r="5288" spans="4:4" x14ac:dyDescent="0.25">
      <c r="D5288" s="64"/>
    </row>
    <row r="5289" spans="4:4" x14ac:dyDescent="0.25">
      <c r="D5289" s="35"/>
    </row>
    <row r="5290" spans="4:4" x14ac:dyDescent="0.25">
      <c r="D5290" s="63"/>
    </row>
    <row r="5291" spans="4:4" x14ac:dyDescent="0.25">
      <c r="D5291" s="64"/>
    </row>
    <row r="5292" spans="4:4" x14ac:dyDescent="0.25">
      <c r="D5292" s="35"/>
    </row>
    <row r="5293" spans="4:4" x14ac:dyDescent="0.25">
      <c r="D5293" s="63"/>
    </row>
    <row r="5294" spans="4:4" x14ac:dyDescent="0.25">
      <c r="D5294" s="64"/>
    </row>
    <row r="5295" spans="4:4" x14ac:dyDescent="0.25">
      <c r="D5295" s="35"/>
    </row>
    <row r="5296" spans="4:4" x14ac:dyDescent="0.25">
      <c r="D5296" s="63"/>
    </row>
    <row r="5297" spans="4:4" x14ac:dyDescent="0.25">
      <c r="D5297" s="64"/>
    </row>
    <row r="5298" spans="4:4" x14ac:dyDescent="0.25">
      <c r="D5298" s="35"/>
    </row>
    <row r="5299" spans="4:4" x14ac:dyDescent="0.25">
      <c r="D5299" s="63"/>
    </row>
    <row r="5300" spans="4:4" x14ac:dyDescent="0.25">
      <c r="D5300" s="64"/>
    </row>
    <row r="5301" spans="4:4" x14ac:dyDescent="0.25">
      <c r="D5301" s="35"/>
    </row>
    <row r="5302" spans="4:4" x14ac:dyDescent="0.25">
      <c r="D5302" s="63"/>
    </row>
    <row r="5303" spans="4:4" x14ac:dyDescent="0.25">
      <c r="D5303" s="64"/>
    </row>
    <row r="5304" spans="4:4" x14ac:dyDescent="0.25">
      <c r="D5304" s="35"/>
    </row>
    <row r="5305" spans="4:4" x14ac:dyDescent="0.25">
      <c r="D5305" s="63"/>
    </row>
    <row r="5306" spans="4:4" x14ac:dyDescent="0.25">
      <c r="D5306" s="64"/>
    </row>
    <row r="5307" spans="4:4" x14ac:dyDescent="0.25">
      <c r="D5307" s="35"/>
    </row>
    <row r="5308" spans="4:4" x14ac:dyDescent="0.25">
      <c r="D5308" s="63"/>
    </row>
    <row r="5309" spans="4:4" x14ac:dyDescent="0.25">
      <c r="D5309" s="64"/>
    </row>
    <row r="5310" spans="4:4" x14ac:dyDescent="0.25">
      <c r="D5310" s="35"/>
    </row>
    <row r="5311" spans="4:4" x14ac:dyDescent="0.25">
      <c r="D5311" s="63"/>
    </row>
    <row r="5312" spans="4:4" x14ac:dyDescent="0.25">
      <c r="D5312" s="64"/>
    </row>
    <row r="5313" spans="4:4" x14ac:dyDescent="0.25">
      <c r="D5313" s="35"/>
    </row>
    <row r="5314" spans="4:4" x14ac:dyDescent="0.25">
      <c r="D5314" s="63"/>
    </row>
    <row r="5315" spans="4:4" x14ac:dyDescent="0.25">
      <c r="D5315" s="64"/>
    </row>
    <row r="5316" spans="4:4" x14ac:dyDescent="0.25">
      <c r="D5316" s="35"/>
    </row>
    <row r="5317" spans="4:4" x14ac:dyDescent="0.25">
      <c r="D5317" s="63"/>
    </row>
    <row r="5318" spans="4:4" x14ac:dyDescent="0.25">
      <c r="D5318" s="64"/>
    </row>
    <row r="5319" spans="4:4" x14ac:dyDescent="0.25">
      <c r="D5319" s="35"/>
    </row>
    <row r="5320" spans="4:4" x14ac:dyDescent="0.25">
      <c r="D5320" s="63"/>
    </row>
    <row r="5321" spans="4:4" x14ac:dyDescent="0.25">
      <c r="D5321" s="64"/>
    </row>
    <row r="5322" spans="4:4" x14ac:dyDescent="0.25">
      <c r="D5322" s="35"/>
    </row>
    <row r="5323" spans="4:4" x14ac:dyDescent="0.25">
      <c r="D5323" s="63"/>
    </row>
    <row r="5324" spans="4:4" x14ac:dyDescent="0.25">
      <c r="D5324" s="64"/>
    </row>
    <row r="5325" spans="4:4" x14ac:dyDescent="0.25">
      <c r="D5325" s="35"/>
    </row>
    <row r="5326" spans="4:4" x14ac:dyDescent="0.25">
      <c r="D5326" s="63"/>
    </row>
    <row r="5327" spans="4:4" x14ac:dyDescent="0.25">
      <c r="D5327" s="64"/>
    </row>
    <row r="5328" spans="4:4" x14ac:dyDescent="0.25">
      <c r="D5328" s="35"/>
    </row>
    <row r="5329" spans="4:4" x14ac:dyDescent="0.25">
      <c r="D5329" s="63"/>
    </row>
    <row r="5330" spans="4:4" x14ac:dyDescent="0.25">
      <c r="D5330" s="64"/>
    </row>
    <row r="5331" spans="4:4" x14ac:dyDescent="0.25">
      <c r="D5331" s="35"/>
    </row>
    <row r="5332" spans="4:4" x14ac:dyDescent="0.25">
      <c r="D5332" s="63"/>
    </row>
    <row r="5333" spans="4:4" x14ac:dyDescent="0.25">
      <c r="D5333" s="64"/>
    </row>
    <row r="5334" spans="4:4" x14ac:dyDescent="0.25">
      <c r="D5334" s="35"/>
    </row>
    <row r="5335" spans="4:4" x14ac:dyDescent="0.25">
      <c r="D5335" s="63"/>
    </row>
    <row r="5336" spans="4:4" x14ac:dyDescent="0.25">
      <c r="D5336" s="64"/>
    </row>
    <row r="5337" spans="4:4" x14ac:dyDescent="0.25">
      <c r="D5337" s="35"/>
    </row>
    <row r="5338" spans="4:4" x14ac:dyDescent="0.25">
      <c r="D5338" s="63"/>
    </row>
    <row r="5339" spans="4:4" x14ac:dyDescent="0.25">
      <c r="D5339" s="64"/>
    </row>
    <row r="5340" spans="4:4" x14ac:dyDescent="0.25">
      <c r="D5340" s="35"/>
    </row>
    <row r="5341" spans="4:4" x14ac:dyDescent="0.25">
      <c r="D5341" s="63"/>
    </row>
    <row r="5342" spans="4:4" x14ac:dyDescent="0.25">
      <c r="D5342" s="64"/>
    </row>
    <row r="5343" spans="4:4" x14ac:dyDescent="0.25">
      <c r="D5343" s="35"/>
    </row>
    <row r="5344" spans="4:4" x14ac:dyDescent="0.25">
      <c r="D5344" s="63"/>
    </row>
    <row r="5345" spans="4:4" x14ac:dyDescent="0.25">
      <c r="D5345" s="64"/>
    </row>
    <row r="5346" spans="4:4" x14ac:dyDescent="0.25">
      <c r="D5346" s="35"/>
    </row>
    <row r="5347" spans="4:4" x14ac:dyDescent="0.25">
      <c r="D5347" s="63"/>
    </row>
    <row r="5348" spans="4:4" x14ac:dyDescent="0.25">
      <c r="D5348" s="64"/>
    </row>
    <row r="5349" spans="4:4" x14ac:dyDescent="0.25">
      <c r="D5349" s="35"/>
    </row>
    <row r="5350" spans="4:4" x14ac:dyDescent="0.25">
      <c r="D5350" s="63"/>
    </row>
    <row r="5351" spans="4:4" x14ac:dyDescent="0.25">
      <c r="D5351" s="64"/>
    </row>
    <row r="5352" spans="4:4" x14ac:dyDescent="0.25">
      <c r="D5352" s="35"/>
    </row>
    <row r="5353" spans="4:4" x14ac:dyDescent="0.25">
      <c r="D5353" s="63"/>
    </row>
    <row r="5354" spans="4:4" x14ac:dyDescent="0.25">
      <c r="D5354" s="64"/>
    </row>
    <row r="5355" spans="4:4" x14ac:dyDescent="0.25">
      <c r="D5355" s="35"/>
    </row>
    <row r="5356" spans="4:4" x14ac:dyDescent="0.25">
      <c r="D5356" s="63"/>
    </row>
    <row r="5357" spans="4:4" x14ac:dyDescent="0.25">
      <c r="D5357" s="64"/>
    </row>
    <row r="5358" spans="4:4" x14ac:dyDescent="0.25">
      <c r="D5358" s="35"/>
    </row>
    <row r="5359" spans="4:4" x14ac:dyDescent="0.25">
      <c r="D5359" s="63"/>
    </row>
  </sheetData>
  <sheetProtection selectLockedCells="1"/>
  <mergeCells count="399">
    <mergeCell ref="S99:U99"/>
    <mergeCell ref="S100:U100"/>
    <mergeCell ref="G102:V108"/>
    <mergeCell ref="G93:H93"/>
    <mergeCell ref="I93:P93"/>
    <mergeCell ref="R93:S93"/>
    <mergeCell ref="T93:U93"/>
    <mergeCell ref="G95:M100"/>
    <mergeCell ref="N95:O95"/>
    <mergeCell ref="S95:U95"/>
    <mergeCell ref="S96:U96"/>
    <mergeCell ref="S97:U97"/>
    <mergeCell ref="N96:O96"/>
    <mergeCell ref="S98:U98"/>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0:H80"/>
    <mergeCell ref="I80:P80"/>
    <mergeCell ref="R80:S80"/>
    <mergeCell ref="T80:U80"/>
    <mergeCell ref="G82:H82"/>
    <mergeCell ref="I82:P82"/>
    <mergeCell ref="R82:S82"/>
    <mergeCell ref="T82:U82"/>
    <mergeCell ref="G81:H81"/>
    <mergeCell ref="I81:P81"/>
    <mergeCell ref="R81:S81"/>
    <mergeCell ref="T81:U81"/>
    <mergeCell ref="G78:H78"/>
    <mergeCell ref="I78:P78"/>
    <mergeCell ref="R78:S78"/>
    <mergeCell ref="T78:U78"/>
    <mergeCell ref="G79:H79"/>
    <mergeCell ref="I79:P79"/>
    <mergeCell ref="R79:S79"/>
    <mergeCell ref="T79:U79"/>
    <mergeCell ref="G76:H76"/>
    <mergeCell ref="I76:P76"/>
    <mergeCell ref="R76:S76"/>
    <mergeCell ref="T76:U76"/>
    <mergeCell ref="G77:H77"/>
    <mergeCell ref="I77:P77"/>
    <mergeCell ref="R77:S77"/>
    <mergeCell ref="T77:U77"/>
    <mergeCell ref="G74:H74"/>
    <mergeCell ref="I74:P74"/>
    <mergeCell ref="R74:S74"/>
    <mergeCell ref="T74:U74"/>
    <mergeCell ref="G75:H75"/>
    <mergeCell ref="I75:P75"/>
    <mergeCell ref="R75:S75"/>
    <mergeCell ref="T75:U75"/>
    <mergeCell ref="G72:H72"/>
    <mergeCell ref="I72:P72"/>
    <mergeCell ref="R72:S72"/>
    <mergeCell ref="T72:U72"/>
    <mergeCell ref="G73:H73"/>
    <mergeCell ref="I73:P73"/>
    <mergeCell ref="R73:S73"/>
    <mergeCell ref="T73:U73"/>
    <mergeCell ref="G70:H70"/>
    <mergeCell ref="I70:K70"/>
    <mergeCell ref="L70:N70"/>
    <mergeCell ref="O70:P70"/>
    <mergeCell ref="Q70:R70"/>
    <mergeCell ref="S70:V70"/>
    <mergeCell ref="G67:M67"/>
    <mergeCell ref="O67:V67"/>
    <mergeCell ref="G69:H69"/>
    <mergeCell ref="I69:K69"/>
    <mergeCell ref="L69:N69"/>
    <mergeCell ref="O69:P69"/>
    <mergeCell ref="Q69:R69"/>
    <mergeCell ref="S69:V69"/>
    <mergeCell ref="G64:M64"/>
    <mergeCell ref="O64:V64"/>
    <mergeCell ref="G65:M65"/>
    <mergeCell ref="O65:V65"/>
    <mergeCell ref="G66:M66"/>
    <mergeCell ref="O66:V66"/>
    <mergeCell ref="G60:L60"/>
    <mergeCell ref="P60:U60"/>
    <mergeCell ref="G62:M62"/>
    <mergeCell ref="O62:V62"/>
    <mergeCell ref="G63:M63"/>
    <mergeCell ref="O63:V63"/>
    <mergeCell ref="C57:D57"/>
    <mergeCell ref="C58:D58"/>
    <mergeCell ref="G58:L58"/>
    <mergeCell ref="P58:U58"/>
    <mergeCell ref="C59:D59"/>
    <mergeCell ref="G59:L59"/>
    <mergeCell ref="S45:U45"/>
    <mergeCell ref="S46:U46"/>
    <mergeCell ref="G48:V54"/>
    <mergeCell ref="C55:D55"/>
    <mergeCell ref="C56:D56"/>
    <mergeCell ref="P56:U56"/>
    <mergeCell ref="G39:H39"/>
    <mergeCell ref="I39:P39"/>
    <mergeCell ref="R39:S39"/>
    <mergeCell ref="T39:U39"/>
    <mergeCell ref="G41:M46"/>
    <mergeCell ref="N41:O41"/>
    <mergeCell ref="S41:U41"/>
    <mergeCell ref="S42:U42"/>
    <mergeCell ref="S43:U43"/>
    <mergeCell ref="N42:O42"/>
    <mergeCell ref="S44:U44"/>
    <mergeCell ref="G37:H37"/>
    <mergeCell ref="I37:P37"/>
    <mergeCell ref="R37:S37"/>
    <mergeCell ref="T37:U37"/>
    <mergeCell ref="G38:H38"/>
    <mergeCell ref="I38:P38"/>
    <mergeCell ref="R38:S38"/>
    <mergeCell ref="T38:U38"/>
    <mergeCell ref="G35:H35"/>
    <mergeCell ref="I35:P35"/>
    <mergeCell ref="R35:S35"/>
    <mergeCell ref="T35:U35"/>
    <mergeCell ref="G36:H36"/>
    <mergeCell ref="I36:P36"/>
    <mergeCell ref="R36:S36"/>
    <mergeCell ref="T36:U36"/>
    <mergeCell ref="G33:H33"/>
    <mergeCell ref="I33:P33"/>
    <mergeCell ref="R33:S33"/>
    <mergeCell ref="T33:U33"/>
    <mergeCell ref="G34:H34"/>
    <mergeCell ref="I34:P34"/>
    <mergeCell ref="R34:S34"/>
    <mergeCell ref="T34:U34"/>
    <mergeCell ref="G31:H31"/>
    <mergeCell ref="I31:P31"/>
    <mergeCell ref="R31:S31"/>
    <mergeCell ref="T31:U31"/>
    <mergeCell ref="G32:H32"/>
    <mergeCell ref="I32:P32"/>
    <mergeCell ref="R32:S32"/>
    <mergeCell ref="T32:U32"/>
    <mergeCell ref="G29:H29"/>
    <mergeCell ref="I29:P29"/>
    <mergeCell ref="R29:S29"/>
    <mergeCell ref="T29:U29"/>
    <mergeCell ref="G30:H30"/>
    <mergeCell ref="I30:P30"/>
    <mergeCell ref="R30:S30"/>
    <mergeCell ref="T30:U30"/>
    <mergeCell ref="G27:H27"/>
    <mergeCell ref="I27:P27"/>
    <mergeCell ref="R27:S27"/>
    <mergeCell ref="T27:U27"/>
    <mergeCell ref="G28:H28"/>
    <mergeCell ref="I28:P28"/>
    <mergeCell ref="R28:S28"/>
    <mergeCell ref="T28:U28"/>
    <mergeCell ref="G24:H24"/>
    <mergeCell ref="I24:P24"/>
    <mergeCell ref="R24:S24"/>
    <mergeCell ref="T24:U24"/>
    <mergeCell ref="G26:H26"/>
    <mergeCell ref="I26:P26"/>
    <mergeCell ref="R26:S26"/>
    <mergeCell ref="T26:U26"/>
    <mergeCell ref="G22:H22"/>
    <mergeCell ref="I22:P22"/>
    <mergeCell ref="R22:S22"/>
    <mergeCell ref="T22:U22"/>
    <mergeCell ref="G23:H23"/>
    <mergeCell ref="I23:P23"/>
    <mergeCell ref="R23:S23"/>
    <mergeCell ref="T23:U23"/>
    <mergeCell ref="G25:H25"/>
    <mergeCell ref="I25:P25"/>
    <mergeCell ref="R25:S25"/>
    <mergeCell ref="T25:U25"/>
    <mergeCell ref="G21:H21"/>
    <mergeCell ref="I21:P21"/>
    <mergeCell ref="R21:S21"/>
    <mergeCell ref="T21:U21"/>
    <mergeCell ref="G18:H18"/>
    <mergeCell ref="I18:P18"/>
    <mergeCell ref="R18:S18"/>
    <mergeCell ref="T18:U18"/>
    <mergeCell ref="G19:H19"/>
    <mergeCell ref="I19:P19"/>
    <mergeCell ref="R19:S19"/>
    <mergeCell ref="T19:U19"/>
    <mergeCell ref="C1:D1"/>
    <mergeCell ref="C2:D2"/>
    <mergeCell ref="P2:U2"/>
    <mergeCell ref="G10:M10"/>
    <mergeCell ref="O10:V10"/>
    <mergeCell ref="G11:M11"/>
    <mergeCell ref="O11:V11"/>
    <mergeCell ref="G12:M12"/>
    <mergeCell ref="O12:V12"/>
    <mergeCell ref="G6:L6"/>
    <mergeCell ref="P6:U6"/>
    <mergeCell ref="G8:M8"/>
    <mergeCell ref="O8:V8"/>
    <mergeCell ref="G9:M9"/>
    <mergeCell ref="O9:V9"/>
    <mergeCell ref="C3:D3"/>
    <mergeCell ref="C4:D4"/>
    <mergeCell ref="G4:L4"/>
    <mergeCell ref="P4:U4"/>
    <mergeCell ref="C5:D5"/>
    <mergeCell ref="G5:L5"/>
    <mergeCell ref="S153:U153"/>
    <mergeCell ref="S154:U154"/>
    <mergeCell ref="G156:V162"/>
    <mergeCell ref="G16:H16"/>
    <mergeCell ref="I16:K16"/>
    <mergeCell ref="L16:N16"/>
    <mergeCell ref="O16:P16"/>
    <mergeCell ref="Q16:R16"/>
    <mergeCell ref="S16:V16"/>
    <mergeCell ref="G147:H147"/>
    <mergeCell ref="I147:P147"/>
    <mergeCell ref="R147:S147"/>
    <mergeCell ref="T147:U147"/>
    <mergeCell ref="G149:M154"/>
    <mergeCell ref="N149:O149"/>
    <mergeCell ref="S149:U149"/>
    <mergeCell ref="S150:U150"/>
    <mergeCell ref="S151:U151"/>
    <mergeCell ref="N150:O150"/>
    <mergeCell ref="S152:U152"/>
    <mergeCell ref="G145:H145"/>
    <mergeCell ref="I145:P145"/>
    <mergeCell ref="R145:S145"/>
    <mergeCell ref="T145:U145"/>
    <mergeCell ref="G13:M13"/>
    <mergeCell ref="O13:V13"/>
    <mergeCell ref="G15:H15"/>
    <mergeCell ref="I15:K15"/>
    <mergeCell ref="L15:N15"/>
    <mergeCell ref="O15:P15"/>
    <mergeCell ref="Q15:R15"/>
    <mergeCell ref="S15:V15"/>
    <mergeCell ref="G20:H20"/>
    <mergeCell ref="I20:P20"/>
    <mergeCell ref="R20:S20"/>
    <mergeCell ref="T20:U20"/>
    <mergeCell ref="G146:H146"/>
    <mergeCell ref="I146:P146"/>
    <mergeCell ref="R146:S146"/>
    <mergeCell ref="T146:U146"/>
    <mergeCell ref="G143:H143"/>
    <mergeCell ref="I143:P143"/>
    <mergeCell ref="R143:S143"/>
    <mergeCell ref="T143:U143"/>
    <mergeCell ref="G144:H144"/>
    <mergeCell ref="I144:P144"/>
    <mergeCell ref="R144:S144"/>
    <mergeCell ref="T144:U144"/>
    <mergeCell ref="G141:H141"/>
    <mergeCell ref="I141:P141"/>
    <mergeCell ref="R141:S141"/>
    <mergeCell ref="T141:U141"/>
    <mergeCell ref="G142:H142"/>
    <mergeCell ref="I142:P142"/>
    <mergeCell ref="R142:S142"/>
    <mergeCell ref="T142:U142"/>
    <mergeCell ref="G139:H139"/>
    <mergeCell ref="I139:P139"/>
    <mergeCell ref="R139:S139"/>
    <mergeCell ref="T139:U139"/>
    <mergeCell ref="G140:H140"/>
    <mergeCell ref="I140:P140"/>
    <mergeCell ref="R140:S140"/>
    <mergeCell ref="T140:U140"/>
    <mergeCell ref="G137:H137"/>
    <mergeCell ref="I137:P137"/>
    <mergeCell ref="R137:S137"/>
    <mergeCell ref="T137:U137"/>
    <mergeCell ref="G138:H138"/>
    <mergeCell ref="I138:P138"/>
    <mergeCell ref="R138:S138"/>
    <mergeCell ref="T138:U138"/>
    <mergeCell ref="G134:H134"/>
    <mergeCell ref="I134:P134"/>
    <mergeCell ref="R134:S134"/>
    <mergeCell ref="T134:U134"/>
    <mergeCell ref="G136:H136"/>
    <mergeCell ref="I136:P136"/>
    <mergeCell ref="R136:S136"/>
    <mergeCell ref="T136:U136"/>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K124"/>
    <mergeCell ref="L124:N124"/>
    <mergeCell ref="O124:P124"/>
    <mergeCell ref="Q124:R124"/>
    <mergeCell ref="S124:V124"/>
    <mergeCell ref="G120:M120"/>
    <mergeCell ref="O120:V120"/>
    <mergeCell ref="G121:M121"/>
    <mergeCell ref="O121:V121"/>
    <mergeCell ref="G123:H123"/>
    <mergeCell ref="I123:K123"/>
    <mergeCell ref="L123:N123"/>
    <mergeCell ref="O123:P123"/>
    <mergeCell ref="Q123:R123"/>
    <mergeCell ref="S123:V123"/>
    <mergeCell ref="G118:M118"/>
    <mergeCell ref="O118:V118"/>
    <mergeCell ref="G119:M119"/>
    <mergeCell ref="O119:V119"/>
    <mergeCell ref="C113:D113"/>
    <mergeCell ref="G113:L113"/>
    <mergeCell ref="G114:L114"/>
    <mergeCell ref="P114:U114"/>
    <mergeCell ref="G116:M116"/>
    <mergeCell ref="O116:V116"/>
    <mergeCell ref="C109:D109"/>
    <mergeCell ref="C110:D110"/>
    <mergeCell ref="P110:U110"/>
    <mergeCell ref="C111:D111"/>
    <mergeCell ref="C112:D112"/>
    <mergeCell ref="G112:L112"/>
    <mergeCell ref="P112:U112"/>
    <mergeCell ref="G117:M117"/>
    <mergeCell ref="O117:V117"/>
  </mergeCells>
  <conditionalFormatting sqref="B21">
    <cfRule type="expression" dxfId="0" priority="1">
      <formula>LEFT($A21,7)&lt;&gt;"HW-Scan"</formula>
    </cfRule>
  </conditionalFormatting>
  <dataValidations count="2">
    <dataValidation type="list" allowBlank="1" showInputMessage="1" showErrorMessage="1" sqref="B127:B147 B19:B20 B22:B39" xr:uid="{00000000-0002-0000-0300-000001000000}">
      <formula1>$A$1:$A$108</formula1>
    </dataValidation>
    <dataValidation type="list" allowBlank="1" showInputMessage="1" showErrorMessage="1" sqref="B1 B55" xr:uid="{00000000-0002-0000-0300-000000000000}">
      <formula1>$A$110:$A$130</formula1>
    </dataValidation>
  </dataValidations>
  <printOptions horizontalCentered="1" verticalCentered="1"/>
  <pageMargins left="0.5" right="0.25" top="0.25" bottom="0.25" header="0.1" footer="0.1"/>
  <pageSetup scale="68" fitToHeight="0" orientation="portrait" r:id="rId1"/>
  <rowBreaks count="1" manualBreakCount="1">
    <brk id="54" max="16383"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'Pricing Model'!$A$2:$A$24</xm:f>
          </x14:formula1>
          <xm:sqref>B109</xm:sqref>
        </x14:dataValidation>
        <x14:dataValidation type="list" allowBlank="1" showInputMessage="1" showErrorMessage="1" xr:uid="{00000000-0002-0000-0300-000003000000}">
          <x14:formula1>
            <xm:f>'Raw BOM'!$A$3:$A$202</xm:f>
          </x14:formula1>
          <xm:sqref>B73:B93</xm:sqref>
        </x14:dataValidation>
        <x14:dataValidation type="list" allowBlank="1" showInputMessage="1" showErrorMessage="1" xr:uid="{00000000-0002-0000-0300-000004000000}">
          <x14:formula1>
            <xm:f>'Raw BOM'!$A$3:$A$260</xm:f>
          </x14:formula1>
          <xm:sqref>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4"/>
  <sheetViews>
    <sheetView zoomScale="160" zoomScaleNormal="160" workbookViewId="0"/>
  </sheetViews>
  <sheetFormatPr defaultColWidth="9.42578125" defaultRowHeight="15" x14ac:dyDescent="0.25"/>
  <cols>
    <col min="1" max="1" width="15.42578125" style="1" bestFit="1" customWidth="1"/>
    <col min="2" max="2" width="120.42578125" style="1" customWidth="1"/>
    <col min="3" max="16384" width="9.42578125" style="1"/>
  </cols>
  <sheetData>
    <row r="1" spans="1:2" ht="126" customHeight="1" x14ac:dyDescent="0.25">
      <c r="A1" s="3" t="s">
        <v>142</v>
      </c>
      <c r="B1" s="4" t="s">
        <v>143</v>
      </c>
    </row>
    <row r="2" spans="1:2" ht="105.75" customHeight="1" x14ac:dyDescent="0.25">
      <c r="A2" s="3" t="s">
        <v>144</v>
      </c>
      <c r="B2" s="4" t="s">
        <v>145</v>
      </c>
    </row>
    <row r="3" spans="1:2" ht="96" customHeight="1" x14ac:dyDescent="0.25">
      <c r="A3" s="3" t="s">
        <v>146</v>
      </c>
      <c r="B3" s="4" t="s">
        <v>147</v>
      </c>
    </row>
    <row r="4" spans="1:2" x14ac:dyDescent="0.25">
      <c r="A4" s="5"/>
      <c r="B4" s="6"/>
    </row>
  </sheetData>
  <sortState xmlns:xlrd2="http://schemas.microsoft.com/office/spreadsheetml/2017/richdata2" ref="A1:B3">
    <sortCondition ref="A1:A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Y583"/>
  <sheetViews>
    <sheetView zoomScale="130" zoomScaleNormal="130" workbookViewId="0">
      <pane xSplit="1" ySplit="2" topLeftCell="B47" activePane="bottomRight" state="frozen"/>
      <selection pane="topRight" activeCell="B1" sqref="B1"/>
      <selection pane="bottomLeft" activeCell="A3" sqref="A3"/>
      <selection pane="bottomRight" activeCell="C50" sqref="C50"/>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7" width="13.5703125" style="1" hidden="1" customWidth="1" outlineLevel="1"/>
    <col min="8" max="8" width="24.42578125" style="1" hidden="1" customWidth="1" outlineLevel="1"/>
    <col min="9" max="9" width="12" style="105" hidden="1" customWidth="1" outlineLevel="1"/>
    <col min="10" max="10" width="16" style="105" hidden="1" customWidth="1" outlineLevel="1"/>
    <col min="11" max="11" width="11" style="1" hidden="1" customWidth="1" outlineLevel="1"/>
    <col min="12" max="12" width="18" style="1" hidden="1" customWidth="1" outlineLevel="1"/>
    <col min="13" max="14" width="12" style="1" hidden="1" customWidth="1" outlineLevel="1"/>
    <col min="15" max="15" width="3" style="1" customWidth="1" collapsed="1"/>
    <col min="16" max="16" width="12.42578125" style="105" hidden="1" customWidth="1" outlineLevel="1"/>
    <col min="17" max="17" width="12.42578125" style="1" hidden="1" customWidth="1" outlineLevel="1"/>
    <col min="18" max="18" width="17" style="1" hidden="1" customWidth="1" outlineLevel="1"/>
    <col min="19" max="19" width="18.42578125" style="1" hidden="1" customWidth="1" outlineLevel="1"/>
    <col min="20" max="20" width="18" style="1" hidden="1" customWidth="1" outlineLevel="1"/>
    <col min="21" max="21" width="9.42578125" style="1" hidden="1" customWidth="1" outlineLevel="1"/>
    <col min="22" max="22" width="20.42578125" style="1" hidden="1" customWidth="1" outlineLevel="1"/>
    <col min="23" max="23" width="19" style="1" hidden="1" customWidth="1" outlineLevel="1"/>
    <col min="24" max="24" width="38.42578125" style="1" hidden="1" customWidth="1" outlineLevel="1"/>
    <col min="25" max="25" width="9.42578125" style="1" collapsed="1"/>
    <col min="26" max="16384" width="9.42578125" style="1"/>
  </cols>
  <sheetData>
    <row r="1" spans="1:24" s="169" customFormat="1" ht="24.75" x14ac:dyDescent="0.25">
      <c r="A1" s="162"/>
      <c r="B1" s="163"/>
      <c r="C1" s="163"/>
      <c r="D1" s="163"/>
      <c r="E1" s="164"/>
      <c r="F1" s="163"/>
      <c r="G1" s="165"/>
      <c r="H1" s="165"/>
      <c r="I1" s="165"/>
      <c r="J1" s="165"/>
      <c r="K1" s="165"/>
      <c r="L1" s="166"/>
      <c r="M1" s="166"/>
      <c r="N1" s="166"/>
      <c r="O1" s="167"/>
      <c r="P1" s="260"/>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158</v>
      </c>
      <c r="H2" s="132" t="s">
        <v>159</v>
      </c>
      <c r="I2" s="135" t="s">
        <v>160</v>
      </c>
      <c r="J2" s="132" t="s">
        <v>161</v>
      </c>
      <c r="K2" s="132" t="s">
        <v>162</v>
      </c>
      <c r="L2" s="132" t="s">
        <v>163</v>
      </c>
      <c r="M2" s="145" t="s">
        <v>164</v>
      </c>
      <c r="N2" s="145" t="s">
        <v>165</v>
      </c>
      <c r="O2" s="154"/>
      <c r="P2" s="261"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 t="shared" ref="D3:D8" si="0">IF(E3&lt;20, ROUNDUP(E3/0.3,0), ROUNDUP(E3/0.3,-1))</f>
        <v>1710</v>
      </c>
      <c r="E3" s="128">
        <f t="shared" ref="E3:E19" si="1">P3+Q3+T3+V3</f>
        <v>511.88235294117646</v>
      </c>
      <c r="F3" s="86" t="s">
        <v>178</v>
      </c>
      <c r="G3" s="102">
        <f>_xlfn.IFNA(VLOOKUP(B3,'NY Sole Source'!A:B,2,FALSE), D3*0.7)</f>
        <v>957.60000000000014</v>
      </c>
      <c r="H3" s="102" t="str">
        <f>_xlfn.IFNA(VLOOKUP(B3,'NY Sole Source'!A:B,1,FALSE),"NNY-"&amp;B3)</f>
        <v>CMS-1000Trans</v>
      </c>
      <c r="I3" s="106">
        <f>IF(NOT(ISNA(VLOOKUP(B3,'FL Contract Prices'!$A$2:$C$71,3,FALSE))),VLOOKUP(B3,'FL Contract Prices'!$A$2:$C$71,3,FALSE),ROUND(D3*0.7,-1))</f>
        <v>501.6</v>
      </c>
      <c r="J3" s="106" t="str">
        <f>IF(NOT(ISNA(VLOOKUP(B3,'FL Part Num Mapping'!$A$2:$B$71,1,FALSE))),VLOOKUP(B3,'FL Part Num Mapping'!$A$2:$B$71,2,FALSE),"NFL "&amp; B3)</f>
        <v>SW-CMS1000TP</v>
      </c>
      <c r="K3" s="102">
        <v>1E-4</v>
      </c>
      <c r="L3" s="146" t="str">
        <f t="shared" ref="L3:L35" si="2">"NLA "&amp;B3</f>
        <v>NLA CMS-1000Trans</v>
      </c>
      <c r="M3" s="146"/>
      <c r="N3" s="146"/>
      <c r="O3" s="155"/>
      <c r="P3" s="150">
        <v>500</v>
      </c>
      <c r="Q3" s="48"/>
      <c r="R3" s="88">
        <v>1</v>
      </c>
      <c r="S3" s="88">
        <f t="shared" ref="S3:S19" si="3">36*8</f>
        <v>288</v>
      </c>
      <c r="T3" s="48">
        <f t="shared" ref="T3:T19" si="4">(24000/8500)*(S3/12/12)/3*R3</f>
        <v>1.8823529411764708</v>
      </c>
      <c r="U3" s="48" t="s">
        <v>179</v>
      </c>
      <c r="V3" s="48">
        <f t="shared" ref="V3:V19" si="5">IF(U3="Bulk",0,IF(U3="Std", 10,IF(U3="Pickup",20,30)))/60*60</f>
        <v>10</v>
      </c>
      <c r="W3" s="83"/>
      <c r="X3" s="83"/>
    </row>
    <row r="4" spans="1:24" ht="30" x14ac:dyDescent="0.25">
      <c r="A4" s="127" t="s">
        <v>180</v>
      </c>
      <c r="B4" s="78" t="s">
        <v>181</v>
      </c>
      <c r="C4" s="127" t="s">
        <v>182</v>
      </c>
      <c r="D4" s="84">
        <f t="shared" si="0"/>
        <v>3040</v>
      </c>
      <c r="E4" s="128">
        <f t="shared" si="1"/>
        <v>911.88235294117646</v>
      </c>
      <c r="F4" s="86" t="s">
        <v>178</v>
      </c>
      <c r="G4" s="102">
        <f>_xlfn.IFNA(VLOOKUP(B4,'NY Sole Source'!A:B,2,FALSE), D4*0.7)</f>
        <v>1702.4</v>
      </c>
      <c r="H4" s="102" t="str">
        <f>_xlfn.IFNA(VLOOKUP(B4,'NY Sole Source'!A:B,1,FALSE),"NNY-"&amp;B4)</f>
        <v>CMS-10Connect</v>
      </c>
      <c r="I4" s="106">
        <f>IF(NOT(ISNA(VLOOKUP(B4,'FL Contract Prices'!$A$2:$C$71,3,FALSE))),VLOOKUP(B4,'FL Contract Prices'!$A$2:$C$71,3,FALSE),ROUND(D4*0.7,-1))</f>
        <v>984.2</v>
      </c>
      <c r="J4" s="106" t="str">
        <f>IF(NOT(ISNA(VLOOKUP(B4,'FL Part Num Mapping'!$A$2:$B$71,1,FALSE))),VLOOKUP(B4,'FL Part Num Mapping'!$A$2:$B$71,2,FALSE),"NFL "&amp; B4)</f>
        <v>SW-CMS10CON</v>
      </c>
      <c r="K4" s="102">
        <v>1E-4</v>
      </c>
      <c r="L4" s="146" t="str">
        <f t="shared" si="2"/>
        <v>NLA CMS-10Connect</v>
      </c>
      <c r="M4" s="146"/>
      <c r="N4" s="146"/>
      <c r="O4" s="155"/>
      <c r="P4" s="150">
        <v>900</v>
      </c>
      <c r="Q4" s="48"/>
      <c r="R4" s="88">
        <v>1</v>
      </c>
      <c r="S4" s="88">
        <f t="shared" si="3"/>
        <v>288</v>
      </c>
      <c r="T4" s="48">
        <f t="shared" si="4"/>
        <v>1.8823529411764708</v>
      </c>
      <c r="U4" s="48" t="s">
        <v>179</v>
      </c>
      <c r="V4" s="48">
        <f t="shared" si="5"/>
        <v>10</v>
      </c>
      <c r="W4" s="83"/>
      <c r="X4" s="83"/>
    </row>
    <row r="5" spans="1:24" ht="30" x14ac:dyDescent="0.25">
      <c r="A5" s="127" t="s">
        <v>183</v>
      </c>
      <c r="B5" s="78" t="s">
        <v>184</v>
      </c>
      <c r="C5" s="127" t="s">
        <v>185</v>
      </c>
      <c r="D5" s="84">
        <f t="shared" si="0"/>
        <v>710</v>
      </c>
      <c r="E5" s="128">
        <f t="shared" si="1"/>
        <v>211.88235294117646</v>
      </c>
      <c r="F5" s="86" t="s">
        <v>178</v>
      </c>
      <c r="G5" s="102">
        <f>_xlfn.IFNA(VLOOKUP(B5,'NY Sole Source'!A:B,2,FALSE), D5*0.7)</f>
        <v>397.6</v>
      </c>
      <c r="H5" s="102" t="str">
        <f>_xlfn.IFNA(VLOOKUP(B5,'NY Sole Source'!A:B,1,FALSE),"NNY-"&amp;B5)</f>
        <v>CMS-5000Store</v>
      </c>
      <c r="I5" s="106">
        <f>IF(NOT(ISNA(VLOOKUP(B5,'FL Contract Prices'!$A$2:$C$71,3,FALSE))),VLOOKUP(B5,'FL Contract Prices'!$A$2:$C$71,3,FALSE),ROUND(D5*0.7,-1))</f>
        <v>197.6</v>
      </c>
      <c r="J5" s="106" t="str">
        <f>IF(NOT(ISNA(VLOOKUP(B5,'FL Part Num Mapping'!$A$2:$B$71,1,FALSE))),VLOOKUP(B5,'FL Part Num Mapping'!$A$2:$B$71,2,FALSE),"NFL "&amp; B5)</f>
        <v>SW-CMS5000S</v>
      </c>
      <c r="K5" s="102">
        <v>1E-4</v>
      </c>
      <c r="L5" s="146" t="str">
        <f t="shared" si="2"/>
        <v>NLA CMS-5000Store</v>
      </c>
      <c r="M5" s="146"/>
      <c r="N5" s="146"/>
      <c r="O5" s="155"/>
      <c r="P5" s="150">
        <v>200</v>
      </c>
      <c r="Q5" s="48"/>
      <c r="R5" s="88">
        <v>1</v>
      </c>
      <c r="S5" s="88">
        <f t="shared" si="3"/>
        <v>288</v>
      </c>
      <c r="T5" s="48">
        <f t="shared" si="4"/>
        <v>1.8823529411764708</v>
      </c>
      <c r="U5" s="48" t="s">
        <v>179</v>
      </c>
      <c r="V5" s="48">
        <f t="shared" si="5"/>
        <v>10</v>
      </c>
      <c r="W5" s="83"/>
      <c r="X5" s="83"/>
    </row>
    <row r="6" spans="1:24" ht="15" customHeight="1" x14ac:dyDescent="0.25">
      <c r="A6" s="82" t="s">
        <v>186</v>
      </c>
      <c r="B6" s="83" t="s">
        <v>187</v>
      </c>
      <c r="C6" s="82" t="s">
        <v>188</v>
      </c>
      <c r="D6" s="84">
        <f t="shared" si="0"/>
        <v>15040</v>
      </c>
      <c r="E6" s="128">
        <f t="shared" si="1"/>
        <v>4511.8823529411766</v>
      </c>
      <c r="F6" s="86" t="s">
        <v>178</v>
      </c>
      <c r="G6" s="102">
        <f>_xlfn.IFNA(VLOOKUP(B6,'NY Sole Source'!A:B,2,FALSE), D6*0.7)</f>
        <v>8422.4000000000015</v>
      </c>
      <c r="H6" s="102" t="str">
        <f>_xlfn.IFNA(VLOOKUP(B6,'NY Sole Source'!A:B,1,FALSE),"NNY-"&amp;B6)</f>
        <v>Svcs-Cfg-CMS</v>
      </c>
      <c r="I6" s="106">
        <f>IF(NOT(ISNA(VLOOKUP(B6,'FL Contract Prices'!$A$2:$C$71,3,FALSE))),VLOOKUP(B6,'FL Contract Prices'!$A$2:$C$71,3,FALSE),ROUND(D6*0.7,-1))</f>
        <v>10530</v>
      </c>
      <c r="J6" s="106" t="str">
        <f>IF(NOT(ISNA(VLOOKUP(B6,'FL Part Num Mapping'!$A$2:$B$71,1,FALSE))),VLOOKUP(B6,'FL Part Num Mapping'!$A$2:$B$71,2,FALSE),"NFL "&amp; B6)</f>
        <v>NFL Svcs-Cfg-CMS</v>
      </c>
      <c r="K6" s="102">
        <v>1E-4</v>
      </c>
      <c r="L6" s="146" t="str">
        <f t="shared" si="2"/>
        <v>NLA Svcs-Cfg-CMS</v>
      </c>
      <c r="M6" s="146"/>
      <c r="N6" s="146"/>
      <c r="O6" s="155"/>
      <c r="P6" s="150">
        <v>4500</v>
      </c>
      <c r="Q6" s="48"/>
      <c r="R6" s="88">
        <v>1</v>
      </c>
      <c r="S6" s="88">
        <f t="shared" si="3"/>
        <v>288</v>
      </c>
      <c r="T6" s="48">
        <f t="shared" si="4"/>
        <v>1.8823529411764708</v>
      </c>
      <c r="U6" s="48" t="s">
        <v>179</v>
      </c>
      <c r="V6" s="48">
        <f t="shared" si="5"/>
        <v>10</v>
      </c>
      <c r="W6" s="83"/>
      <c r="X6" s="83"/>
    </row>
    <row r="7" spans="1:24" ht="30" customHeight="1" x14ac:dyDescent="0.25">
      <c r="A7" s="127" t="s">
        <v>189</v>
      </c>
      <c r="B7" s="78" t="s">
        <v>190</v>
      </c>
      <c r="C7" s="127" t="s">
        <v>191</v>
      </c>
      <c r="D7" s="84">
        <f t="shared" si="0"/>
        <v>26710</v>
      </c>
      <c r="E7" s="128">
        <f t="shared" si="1"/>
        <v>8011.8823529411766</v>
      </c>
      <c r="F7" s="86" t="s">
        <v>178</v>
      </c>
      <c r="G7" s="102">
        <f>_xlfn.IFNA(VLOOKUP(B7,'NY Sole Source'!A:B,2,FALSE), D7*0.7)</f>
        <v>9172.7999999999993</v>
      </c>
      <c r="H7" s="102" t="str">
        <f>_xlfn.IFNA(VLOOKUP(B7,'NY Sole Source'!A:B,1,FALSE),"NNY-"&amp;B7)</f>
        <v>CMS-Int1</v>
      </c>
      <c r="I7" s="106">
        <f>IF(NOT(ISNA(VLOOKUP(B7,'FL Contract Prices'!$A$2:$C$71,3,FALSE))),VLOOKUP(B7,'FL Contract Prices'!$A$2:$C$71,3,FALSE),ROUND(D7*0.7,-1))</f>
        <v>4936.2</v>
      </c>
      <c r="J7" s="106" t="str">
        <f>IF(NOT(ISNA(VLOOKUP(B7,'FL Part Num Mapping'!$A$2:$B$71,1,FALSE))),VLOOKUP(B7,'FL Part Num Mapping'!$A$2:$B$71,2,FALSE),"NFL "&amp; B7)</f>
        <v>SW-CMSINT1</v>
      </c>
      <c r="K7" s="102">
        <v>1E-4</v>
      </c>
      <c r="L7" s="146" t="str">
        <f t="shared" si="2"/>
        <v>NLA CMS-Int1</v>
      </c>
      <c r="M7" s="146"/>
      <c r="N7" s="146"/>
      <c r="O7" s="155"/>
      <c r="P7" s="150">
        <v>8000</v>
      </c>
      <c r="Q7" s="48"/>
      <c r="R7" s="88">
        <v>1</v>
      </c>
      <c r="S7" s="88">
        <f t="shared" si="3"/>
        <v>288</v>
      </c>
      <c r="T7" s="48">
        <f t="shared" si="4"/>
        <v>1.8823529411764708</v>
      </c>
      <c r="U7" s="48" t="s">
        <v>179</v>
      </c>
      <c r="V7" s="48">
        <f t="shared" si="5"/>
        <v>10</v>
      </c>
      <c r="W7" s="83"/>
      <c r="X7" s="83"/>
    </row>
    <row r="8" spans="1:24" ht="30" customHeight="1" x14ac:dyDescent="0.25">
      <c r="A8" s="127" t="s">
        <v>192</v>
      </c>
      <c r="B8" s="78" t="s">
        <v>193</v>
      </c>
      <c r="C8" s="127" t="s">
        <v>194</v>
      </c>
      <c r="D8" s="84">
        <f t="shared" si="0"/>
        <v>16380</v>
      </c>
      <c r="E8" s="128">
        <f t="shared" si="1"/>
        <v>4911.8823529411766</v>
      </c>
      <c r="F8" s="86" t="s">
        <v>178</v>
      </c>
      <c r="G8" s="102">
        <f>_xlfn.IFNA(VLOOKUP(B8,'NY Sole Source'!A:B,2,FALSE), D8*0.7)</f>
        <v>14957.600000000002</v>
      </c>
      <c r="H8" s="102" t="str">
        <f>_xlfn.IFNA(VLOOKUP(B8,'NY Sole Source'!A:B,1,FALSE),"NNY-"&amp;B8)</f>
        <v>CMS-Int2</v>
      </c>
      <c r="I8" s="106">
        <f>IF(NOT(ISNA(VLOOKUP(B8,'FL Contract Prices'!$A$2:$C$71,3,FALSE))),VLOOKUP(B8,'FL Contract Prices'!$A$2:$C$71,3,FALSE),ROUND(D8*0.7,-1))</f>
        <v>8736.2000000000007</v>
      </c>
      <c r="J8" s="106" t="str">
        <f>IF(NOT(ISNA(VLOOKUP(B8,'FL Part Num Mapping'!$A$2:$B$71,1,FALSE))),VLOOKUP(B8,'FL Part Num Mapping'!$A$2:$B$71,2,FALSE),"NFL "&amp; B8)</f>
        <v>SW-CMSINT2</v>
      </c>
      <c r="K8" s="102">
        <v>1E-4</v>
      </c>
      <c r="L8" s="146" t="str">
        <f t="shared" si="2"/>
        <v>NLA CMS-Int2</v>
      </c>
      <c r="M8" s="146"/>
      <c r="N8" s="146"/>
      <c r="O8" s="155"/>
      <c r="P8" s="150">
        <v>4900</v>
      </c>
      <c r="Q8" s="48"/>
      <c r="R8" s="88">
        <v>1</v>
      </c>
      <c r="S8" s="88">
        <f t="shared" si="3"/>
        <v>288</v>
      </c>
      <c r="T8" s="48">
        <f t="shared" si="4"/>
        <v>1.8823529411764708</v>
      </c>
      <c r="U8" s="48" t="s">
        <v>179</v>
      </c>
      <c r="V8" s="48">
        <f t="shared" si="5"/>
        <v>10</v>
      </c>
      <c r="W8" s="83"/>
      <c r="X8" s="83" t="s">
        <v>195</v>
      </c>
    </row>
    <row r="9" spans="1:24" ht="30" customHeight="1" x14ac:dyDescent="0.25">
      <c r="A9" s="87" t="s">
        <v>196</v>
      </c>
      <c r="B9" s="82" t="s">
        <v>197</v>
      </c>
      <c r="C9" s="82" t="s">
        <v>198</v>
      </c>
      <c r="D9" s="84">
        <f>IF(E9&lt;20, ROUNDUP(E9/0.575,0), ROUNDUP(E9/0.575,-1))</f>
        <v>8720</v>
      </c>
      <c r="E9" s="128">
        <f t="shared" si="1"/>
        <v>5011.8823529411766</v>
      </c>
      <c r="F9" s="86" t="s">
        <v>199</v>
      </c>
      <c r="G9" s="102">
        <f>_xlfn.IFNA(VLOOKUP(B9,'NY Sole Source'!A:B,2,FALSE), D9*0.7)</f>
        <v>6888.8</v>
      </c>
      <c r="H9" s="102" t="str">
        <f>_xlfn.IFNA(VLOOKUP(B9,'NY Sole Source'!A:B,1,FALSE),"NNY-"&amp;B9)</f>
        <v>HW-Server-Base</v>
      </c>
      <c r="I9" s="106">
        <f>IF(NOT(ISNA(VLOOKUP(B9,'FL Contract Prices'!$A$2:$C$71,3,FALSE))),VLOOKUP(B9,'FL Contract Prices'!$A$2:$C$71,3,FALSE),ROUND(D9*0.7,-1))</f>
        <v>6100</v>
      </c>
      <c r="J9" s="106" t="str">
        <f>IF(NOT(ISNA(VLOOKUP(B9,'FL Part Num Mapping'!$A$2:$B$71,1,FALSE))),VLOOKUP(B9,'FL Part Num Mapping'!$A$2:$B$71,2,FALSE),"NFL "&amp; B9)</f>
        <v>NFL HW-Server-Base</v>
      </c>
      <c r="K9" s="102">
        <v>1E-4</v>
      </c>
      <c r="L9" s="146" t="str">
        <f t="shared" si="2"/>
        <v>NLA HW-Server-Base</v>
      </c>
      <c r="M9" s="146"/>
      <c r="N9" s="146"/>
      <c r="O9" s="155"/>
      <c r="P9" s="150">
        <v>5000</v>
      </c>
      <c r="Q9" s="48"/>
      <c r="R9" s="88">
        <v>1</v>
      </c>
      <c r="S9" s="88">
        <f t="shared" si="3"/>
        <v>288</v>
      </c>
      <c r="T9" s="48">
        <f t="shared" si="4"/>
        <v>1.8823529411764708</v>
      </c>
      <c r="U9" s="48" t="s">
        <v>179</v>
      </c>
      <c r="V9" s="48">
        <f t="shared" si="5"/>
        <v>10</v>
      </c>
      <c r="W9" s="83"/>
      <c r="X9" s="83" t="s">
        <v>200</v>
      </c>
    </row>
    <row r="10" spans="1:24" ht="45" x14ac:dyDescent="0.25">
      <c r="A10" s="87" t="s">
        <v>201</v>
      </c>
      <c r="B10" s="82" t="s">
        <v>202</v>
      </c>
      <c r="C10" s="82" t="s">
        <v>203</v>
      </c>
      <c r="D10" s="84">
        <f>IF(E10&lt;20, ROUNDUP(E10/0.575,0), ROUNDUP(E10/0.575,-1))</f>
        <v>26110</v>
      </c>
      <c r="E10" s="128">
        <f t="shared" si="1"/>
        <v>15011.882352941177</v>
      </c>
      <c r="F10" s="86" t="s">
        <v>199</v>
      </c>
      <c r="G10" s="102">
        <f>_xlfn.IFNA(VLOOKUP(B10,'NY Sole Source'!A:B,2,FALSE), D10*0.7)</f>
        <v>20626.900000000001</v>
      </c>
      <c r="H10" s="102" t="str">
        <f>_xlfn.IFNA(VLOOKUP(B10,'NY Sole Source'!A:B,1,FALSE),"NNY-"&amp;B10)</f>
        <v>HW-Server-Ent</v>
      </c>
      <c r="I10" s="106">
        <f>IF(NOT(ISNA(VLOOKUP(B10,'FL Contract Prices'!$A$2:$C$71,3,FALSE))),VLOOKUP(B10,'FL Contract Prices'!$A$2:$C$71,3,FALSE),ROUND(D10*0.7,-1))</f>
        <v>18280</v>
      </c>
      <c r="J10" s="106" t="str">
        <f>IF(NOT(ISNA(VLOOKUP(B10,'FL Part Num Mapping'!$A$2:$B$71,1,FALSE))),VLOOKUP(B10,'FL Part Num Mapping'!$A$2:$B$71,2,FALSE),"NFL "&amp; B10)</f>
        <v>NFL HW-Server-Ent</v>
      </c>
      <c r="K10" s="102">
        <v>1E-4</v>
      </c>
      <c r="L10" s="146" t="str">
        <f t="shared" si="2"/>
        <v>NLA HW-Server-Ent</v>
      </c>
      <c r="M10" s="146"/>
      <c r="N10" s="146"/>
      <c r="O10" s="155"/>
      <c r="P10" s="150">
        <v>15000</v>
      </c>
      <c r="Q10" s="48"/>
      <c r="R10" s="88">
        <v>1</v>
      </c>
      <c r="S10" s="88">
        <f t="shared" si="3"/>
        <v>288</v>
      </c>
      <c r="T10" s="48">
        <f t="shared" si="4"/>
        <v>1.8823529411764708</v>
      </c>
      <c r="U10" s="48" t="s">
        <v>179</v>
      </c>
      <c r="V10" s="48">
        <f t="shared" si="5"/>
        <v>10</v>
      </c>
      <c r="W10" s="83"/>
      <c r="X10" s="83" t="s">
        <v>204</v>
      </c>
    </row>
    <row r="11" spans="1:24" ht="45" x14ac:dyDescent="0.25">
      <c r="A11" s="87" t="s">
        <v>205</v>
      </c>
      <c r="B11" s="82" t="s">
        <v>206</v>
      </c>
      <c r="C11" s="82" t="s">
        <v>207</v>
      </c>
      <c r="D11" s="84">
        <f>IF(E11&lt;20, ROUNDUP(E11/0.575,0), ROUNDUP(E11/0.575,-1))</f>
        <v>17420</v>
      </c>
      <c r="E11" s="128">
        <f t="shared" si="1"/>
        <v>10011.882352941177</v>
      </c>
      <c r="F11" s="86" t="s">
        <v>199</v>
      </c>
      <c r="G11" s="102">
        <f>_xlfn.IFNA(VLOOKUP(B11,'NY Sole Source'!A:B,2,FALSE), D11*0.7)</f>
        <v>13761.8</v>
      </c>
      <c r="H11" s="102" t="str">
        <f>_xlfn.IFNA(VLOOKUP(B11,'NY Sole Source'!A:B,1,FALSE),"NNY-"&amp;B11)</f>
        <v>HW-Server-Perf</v>
      </c>
      <c r="I11" s="106">
        <f>IF(NOT(ISNA(VLOOKUP(B11,'FL Contract Prices'!$A$2:$C$71,3,FALSE))),VLOOKUP(B11,'FL Contract Prices'!$A$2:$C$71,3,FALSE),ROUND(D11*0.7,-1))</f>
        <v>12190</v>
      </c>
      <c r="J11" s="106" t="str">
        <f>IF(NOT(ISNA(VLOOKUP(B11,'FL Part Num Mapping'!$A$2:$B$71,1,FALSE))),VLOOKUP(B11,'FL Part Num Mapping'!$A$2:$B$71,2,FALSE),"NFL "&amp; B11)</f>
        <v>NFL HW-Server-Perf</v>
      </c>
      <c r="K11" s="102">
        <v>1E-4</v>
      </c>
      <c r="L11" s="146" t="str">
        <f t="shared" si="2"/>
        <v>NLA HW-Server-Perf</v>
      </c>
      <c r="M11" s="146"/>
      <c r="N11" s="146"/>
      <c r="O11" s="155"/>
      <c r="P11" s="150">
        <v>10000</v>
      </c>
      <c r="Q11" s="48"/>
      <c r="R11" s="88">
        <v>1</v>
      </c>
      <c r="S11" s="88">
        <f t="shared" si="3"/>
        <v>288</v>
      </c>
      <c r="T11" s="48">
        <f t="shared" si="4"/>
        <v>1.8823529411764708</v>
      </c>
      <c r="U11" s="48" t="s">
        <v>179</v>
      </c>
      <c r="V11" s="48">
        <f t="shared" si="5"/>
        <v>10</v>
      </c>
      <c r="W11" s="83"/>
      <c r="X11" s="83" t="s">
        <v>208</v>
      </c>
    </row>
    <row r="12" spans="1:24" ht="45" x14ac:dyDescent="0.25">
      <c r="A12" s="87" t="s">
        <v>209</v>
      </c>
      <c r="B12" s="82" t="s">
        <v>210</v>
      </c>
      <c r="C12" s="82" t="s">
        <v>211</v>
      </c>
      <c r="D12" s="84">
        <f>IF(E12&lt;20, ROUNDUP(E12/0.575,0), ROUNDUP(E12/0.575,-1))</f>
        <v>12200</v>
      </c>
      <c r="E12" s="128">
        <f t="shared" si="1"/>
        <v>7011.8823529411766</v>
      </c>
      <c r="F12" s="86" t="s">
        <v>199</v>
      </c>
      <c r="G12" s="102">
        <f>_xlfn.IFNA(VLOOKUP(B12,'NY Sole Source'!A:B,2,FALSE), D12*0.7)</f>
        <v>9638</v>
      </c>
      <c r="H12" s="102" t="str">
        <f>_xlfn.IFNA(VLOOKUP(B12,'NY Sole Source'!A:B,1,FALSE),"NNY-"&amp;B12)</f>
        <v>HW-Server-Std</v>
      </c>
      <c r="I12" s="106">
        <f>IF(NOT(ISNA(VLOOKUP(B12,'FL Contract Prices'!$A$2:$C$71,3,FALSE))),VLOOKUP(B12,'FL Contract Prices'!$A$2:$C$71,3,FALSE),ROUND(D12*0.7,-1))</f>
        <v>8540</v>
      </c>
      <c r="J12" s="106" t="str">
        <f>IF(NOT(ISNA(VLOOKUP(B12,'FL Part Num Mapping'!$A$2:$B$71,1,FALSE))),VLOOKUP(B12,'FL Part Num Mapping'!$A$2:$B$71,2,FALSE),"NFL "&amp; B12)</f>
        <v>NFL HW-Server-Std</v>
      </c>
      <c r="K12" s="102">
        <v>1E-4</v>
      </c>
      <c r="L12" s="146" t="str">
        <f t="shared" si="2"/>
        <v>NLA HW-Server-Std</v>
      </c>
      <c r="M12" s="146"/>
      <c r="N12" s="146"/>
      <c r="O12" s="155"/>
      <c r="P12" s="150">
        <v>7000</v>
      </c>
      <c r="Q12" s="48"/>
      <c r="R12" s="88">
        <v>1</v>
      </c>
      <c r="S12" s="88">
        <f t="shared" si="3"/>
        <v>288</v>
      </c>
      <c r="T12" s="48">
        <f t="shared" si="4"/>
        <v>1.8823529411764708</v>
      </c>
      <c r="U12" s="48" t="s">
        <v>179</v>
      </c>
      <c r="V12" s="48">
        <f t="shared" si="5"/>
        <v>10</v>
      </c>
      <c r="W12" s="83"/>
      <c r="X12" s="83"/>
    </row>
    <row r="13" spans="1:24" ht="30" customHeight="1" x14ac:dyDescent="0.25">
      <c r="A13" s="127" t="s">
        <v>212</v>
      </c>
      <c r="B13" s="78" t="s">
        <v>213</v>
      </c>
      <c r="C13" s="127" t="s">
        <v>214</v>
      </c>
      <c r="D13" s="84">
        <f>IF(E13&lt;20, ROUNDUP(E13/0.3,0), ROUNDUP(E13/0.3,-1))</f>
        <v>5040</v>
      </c>
      <c r="E13" s="128">
        <f t="shared" si="1"/>
        <v>1511.8823529411766</v>
      </c>
      <c r="F13" s="86" t="s">
        <v>178</v>
      </c>
      <c r="G13" s="102">
        <f>_xlfn.IFNA(VLOOKUP(B13,'NY Sole Source'!A:B,2,FALSE), D13*0.7)</f>
        <v>2822.4</v>
      </c>
      <c r="H13" s="102" t="str">
        <f>_xlfn.IFNA(VLOOKUP(B13,'NY Sole Source'!A:B,1,FALSE),"NNY-"&amp;B13)</f>
        <v>CMS-Print</v>
      </c>
      <c r="I13" s="106">
        <f>IF(NOT(ISNA(VLOOKUP(B13,'FL Contract Prices'!$A$2:$C$71,3,FALSE))),VLOOKUP(B13,'FL Contract Prices'!$A$2:$C$71,3,FALSE),ROUND(D13*0.7,-1))</f>
        <v>4503</v>
      </c>
      <c r="J13" s="106" t="str">
        <f>IF(NOT(ISNA(VLOOKUP(B13,'FL Part Num Mapping'!$A$2:$B$71,1,FALSE))),VLOOKUP(B13,'FL Part Num Mapping'!$A$2:$B$71,2,FALSE),"NFL "&amp; B13)</f>
        <v>SW-CMSLSPS</v>
      </c>
      <c r="K13" s="102">
        <v>1E-4</v>
      </c>
      <c r="L13" s="146" t="str">
        <f t="shared" si="2"/>
        <v>NLA CMS-Print</v>
      </c>
      <c r="M13" s="146"/>
      <c r="N13" s="146"/>
      <c r="O13" s="155"/>
      <c r="P13" s="150">
        <v>1500</v>
      </c>
      <c r="Q13" s="48"/>
      <c r="R13" s="88">
        <v>1</v>
      </c>
      <c r="S13" s="88">
        <f t="shared" si="3"/>
        <v>288</v>
      </c>
      <c r="T13" s="48">
        <f t="shared" si="4"/>
        <v>1.8823529411764708</v>
      </c>
      <c r="U13" s="48" t="s">
        <v>179</v>
      </c>
      <c r="V13" s="48">
        <f t="shared" si="5"/>
        <v>10</v>
      </c>
      <c r="W13" s="83"/>
      <c r="X13" s="83" t="s">
        <v>215</v>
      </c>
    </row>
    <row r="14" spans="1:24" ht="30" customHeight="1" x14ac:dyDescent="0.25">
      <c r="A14" s="82" t="s">
        <v>216</v>
      </c>
      <c r="B14" s="82" t="s">
        <v>217</v>
      </c>
      <c r="C14" s="82" t="s">
        <v>218</v>
      </c>
      <c r="D14" s="84">
        <f>IF(E14&lt;20, ROUNDUP(E14/0.6,0), ROUNDUP(E14/0.6,-1))</f>
        <v>12520</v>
      </c>
      <c r="E14" s="128">
        <f t="shared" si="1"/>
        <v>7511.8823529411766</v>
      </c>
      <c r="F14" s="86" t="s">
        <v>178</v>
      </c>
      <c r="G14" s="102">
        <f>_xlfn.IFNA(VLOOKUP(B14,'NY Sole Source'!A:B,2,FALSE), D14*0.7)</f>
        <v>7011.2000000000007</v>
      </c>
      <c r="H14" s="102" t="str">
        <f>_xlfn.IFNA(VLOOKUP(B14,'NY Sole Source'!A:B,1,FALSE),"NNY-"&amp;B14)</f>
        <v>CMS-Base</v>
      </c>
      <c r="I14" s="106">
        <f>IF(NOT(ISNA(VLOOKUP(B14,'FL Contract Prices'!$A$2:$C$71,3,FALSE))),VLOOKUP(B14,'FL Contract Prices'!$A$2:$C$71,3,FALSE),ROUND(D14*0.7,-1))</f>
        <v>7695</v>
      </c>
      <c r="J14" s="106" t="str">
        <f>IF(NOT(ISNA(VLOOKUP(B14,'FL Part Num Mapping'!$A$2:$B$71,1,FALSE))),VLOOKUP(B14,'FL Part Num Mapping'!$A$2:$B$71,2,FALSE),"NFL "&amp; B14)</f>
        <v>SW-CMS</v>
      </c>
      <c r="K14" s="102">
        <v>1E-4</v>
      </c>
      <c r="L14" s="146" t="str">
        <f t="shared" si="2"/>
        <v>NLA CMS-Base</v>
      </c>
      <c r="M14" s="146"/>
      <c r="N14" s="146"/>
      <c r="O14" s="155"/>
      <c r="P14" s="150">
        <v>7500</v>
      </c>
      <c r="Q14" s="48"/>
      <c r="R14" s="88">
        <v>1</v>
      </c>
      <c r="S14" s="88">
        <f t="shared" si="3"/>
        <v>288</v>
      </c>
      <c r="T14" s="48">
        <f t="shared" si="4"/>
        <v>1.8823529411764708</v>
      </c>
      <c r="U14" s="48" t="s">
        <v>179</v>
      </c>
      <c r="V14" s="48">
        <f t="shared" si="5"/>
        <v>10</v>
      </c>
      <c r="W14" s="83"/>
      <c r="X14" s="83" t="s">
        <v>195</v>
      </c>
    </row>
    <row r="15" spans="1:24" ht="30" customHeight="1" x14ac:dyDescent="0.25">
      <c r="A15" s="82" t="s">
        <v>219</v>
      </c>
      <c r="B15" s="82" t="s">
        <v>220</v>
      </c>
      <c r="C15" s="82" t="s">
        <v>219</v>
      </c>
      <c r="D15" s="84">
        <f t="shared" ref="D15" si="6">IF(E15&lt;20, ROUNDUP(E15/0.6,0), ROUNDUP(E15/0.6,-1))</f>
        <v>6680</v>
      </c>
      <c r="E15" s="128">
        <f t="shared" si="1"/>
        <v>4006.8823529411766</v>
      </c>
      <c r="F15" s="86" t="s">
        <v>178</v>
      </c>
      <c r="G15" s="102">
        <f>_xlfn.IFNA(VLOOKUP(B15,'NY Sole Source'!A:B,2,FALSE), D15*0.7)</f>
        <v>3740.8</v>
      </c>
      <c r="H15" s="102" t="str">
        <f>_xlfn.IFNA(VLOOKUP(B15,'NY Sole Source'!A:B,1,FALSE),"NNY-"&amp;B15)</f>
        <v>CMS-DoubleTake</v>
      </c>
      <c r="I15" s="106">
        <f>IF(NOT(ISNA(VLOOKUP(B15,'FL Contract Prices'!$A$2:$C$71,3,FALSE))),VLOOKUP(B15,'FL Contract Prices'!$A$2:$C$71,3,FALSE),ROUND(D15*0.7,-1))</f>
        <v>4680</v>
      </c>
      <c r="J15" s="106" t="str">
        <f>IF(NOT(ISNA(VLOOKUP(B15,'FL Part Num Mapping'!$A$2:$B$71,1,FALSE))),VLOOKUP(B15,'FL Part Num Mapping'!$A$2:$B$71,2,FALSE),"NFL "&amp; B15)</f>
        <v>NFL CMS-DoubleTake</v>
      </c>
      <c r="K15" s="102">
        <v>1E-4</v>
      </c>
      <c r="L15" s="146" t="str">
        <f t="shared" si="2"/>
        <v>NLA CMS-DoubleTake</v>
      </c>
      <c r="M15" s="146"/>
      <c r="N15" s="146"/>
      <c r="O15" s="155"/>
      <c r="P15" s="150">
        <v>3995</v>
      </c>
      <c r="Q15" s="48"/>
      <c r="R15" s="88">
        <v>1</v>
      </c>
      <c r="S15" s="88">
        <f t="shared" si="3"/>
        <v>288</v>
      </c>
      <c r="T15" s="48">
        <f t="shared" si="4"/>
        <v>1.8823529411764708</v>
      </c>
      <c r="U15" s="48" t="s">
        <v>179</v>
      </c>
      <c r="V15" s="48">
        <f t="shared" si="5"/>
        <v>10</v>
      </c>
      <c r="W15" s="83"/>
      <c r="X15" s="83" t="s">
        <v>195</v>
      </c>
    </row>
    <row r="16" spans="1:24" ht="30" customHeight="1" x14ac:dyDescent="0.25">
      <c r="A16" s="82" t="s">
        <v>221</v>
      </c>
      <c r="B16" s="82" t="s">
        <v>222</v>
      </c>
      <c r="C16" s="82" t="s">
        <v>223</v>
      </c>
      <c r="D16" s="84">
        <f>IF(E16&lt;20, ROUNDUP(E16/0.6,0), ROUNDUP(E16/0.6,-1))</f>
        <v>125020</v>
      </c>
      <c r="E16" s="128">
        <f t="shared" si="1"/>
        <v>75011.882352941175</v>
      </c>
      <c r="F16" s="86" t="s">
        <v>178</v>
      </c>
      <c r="G16" s="102">
        <f>_xlfn.IFNA(VLOOKUP(B16,'NY Sole Source'!A:B,2,FALSE), D16*0.7)</f>
        <v>70011.200000000012</v>
      </c>
      <c r="H16" s="102" t="str">
        <f>_xlfn.IFNA(VLOOKUP(B16,'NY Sole Source'!A:B,1,FALSE),"NNY-"&amp;B16)</f>
        <v>CMS-Enterprise</v>
      </c>
      <c r="I16" s="106">
        <f>IF(NOT(ISNA(VLOOKUP(B16,'FL Contract Prices'!$A$2:$C$71,3,FALSE))),VLOOKUP(B16,'FL Contract Prices'!$A$2:$C$71,3,FALSE),ROUND(D16*0.7,-1))</f>
        <v>87510</v>
      </c>
      <c r="J16" s="106" t="str">
        <f>IF(NOT(ISNA(VLOOKUP(B16,'FL Part Num Mapping'!$A$2:$B$71,1,FALSE))),VLOOKUP(B16,'FL Part Num Mapping'!$A$2:$B$71,2,FALSE),"NFL "&amp; B16)</f>
        <v>NFL CMS-Enterprise</v>
      </c>
      <c r="K16" s="102">
        <v>1E-4</v>
      </c>
      <c r="L16" s="146" t="str">
        <f t="shared" si="2"/>
        <v>NLA CMS-Enterprise</v>
      </c>
      <c r="M16" s="146"/>
      <c r="N16" s="146"/>
      <c r="O16" s="155"/>
      <c r="P16" s="150">
        <v>75000</v>
      </c>
      <c r="Q16" s="48"/>
      <c r="R16" s="88">
        <v>1</v>
      </c>
      <c r="S16" s="88">
        <f t="shared" si="3"/>
        <v>288</v>
      </c>
      <c r="T16" s="48">
        <f t="shared" si="4"/>
        <v>1.8823529411764708</v>
      </c>
      <c r="U16" s="48" t="s">
        <v>179</v>
      </c>
      <c r="V16" s="48">
        <f t="shared" si="5"/>
        <v>10</v>
      </c>
      <c r="W16" s="83"/>
      <c r="X16" s="83" t="s">
        <v>200</v>
      </c>
    </row>
    <row r="17" spans="1:24" ht="30" customHeight="1" x14ac:dyDescent="0.25">
      <c r="A17" s="82" t="s">
        <v>224</v>
      </c>
      <c r="B17" s="82" t="s">
        <v>225</v>
      </c>
      <c r="C17" s="82" t="s">
        <v>226</v>
      </c>
      <c r="D17" s="84">
        <f>IF(E17&lt;20, ROUNDUP(E17/0.6,0), ROUNDUP(E17/0.6,-1))</f>
        <v>70860</v>
      </c>
      <c r="E17" s="128">
        <f t="shared" si="1"/>
        <v>42511.882352941175</v>
      </c>
      <c r="F17" s="86" t="s">
        <v>178</v>
      </c>
      <c r="G17" s="102">
        <f>_xlfn.IFNA(VLOOKUP(B17,'NY Sole Source'!A:B,2,FALSE), D17*0.7)</f>
        <v>39681.600000000006</v>
      </c>
      <c r="H17" s="102" t="str">
        <f>_xlfn.IFNA(VLOOKUP(B17,'NY Sole Source'!A:B,1,FALSE),"NNY-"&amp;B17)</f>
        <v>CMS-High Performance</v>
      </c>
      <c r="I17" s="106">
        <f>IF(NOT(ISNA(VLOOKUP(B17,'FL Contract Prices'!$A$2:$C$71,3,FALSE))),VLOOKUP(B17,'FL Contract Prices'!$A$2:$C$71,3,FALSE),ROUND(D17*0.7,-1))</f>
        <v>49600</v>
      </c>
      <c r="J17" s="106" t="str">
        <f>IF(NOT(ISNA(VLOOKUP(B17,'FL Part Num Mapping'!$A$2:$B$71,1,FALSE))),VLOOKUP(B17,'FL Part Num Mapping'!$A$2:$B$71,2,FALSE),"NFL "&amp; B17)</f>
        <v>NFL CMS-High Performance</v>
      </c>
      <c r="K17" s="102">
        <v>1E-4</v>
      </c>
      <c r="L17" s="146" t="str">
        <f t="shared" si="2"/>
        <v>NLA CMS-High Performance</v>
      </c>
      <c r="M17" s="146"/>
      <c r="N17" s="146"/>
      <c r="O17" s="155"/>
      <c r="P17" s="150">
        <v>42500</v>
      </c>
      <c r="Q17" s="48"/>
      <c r="R17" s="88">
        <v>1</v>
      </c>
      <c r="S17" s="88">
        <f t="shared" si="3"/>
        <v>288</v>
      </c>
      <c r="T17" s="48">
        <f t="shared" si="4"/>
        <v>1.8823529411764708</v>
      </c>
      <c r="U17" s="48" t="s">
        <v>179</v>
      </c>
      <c r="V17" s="48">
        <f t="shared" si="5"/>
        <v>10</v>
      </c>
      <c r="W17" s="83"/>
      <c r="X17" s="83" t="s">
        <v>204</v>
      </c>
    </row>
    <row r="18" spans="1:24" ht="30" customHeight="1" x14ac:dyDescent="0.25">
      <c r="A18" s="82" t="s">
        <v>227</v>
      </c>
      <c r="B18" s="82" t="s">
        <v>228</v>
      </c>
      <c r="C18" s="82" t="s">
        <v>229</v>
      </c>
      <c r="D18" s="84">
        <f>IF(E18&lt;20, ROUNDUP(E18/0.6,0), ROUNDUP(E18/0.6,-1))</f>
        <v>41690</v>
      </c>
      <c r="E18" s="128">
        <f t="shared" si="1"/>
        <v>25011.882352941175</v>
      </c>
      <c r="F18" s="86" t="s">
        <v>178</v>
      </c>
      <c r="G18" s="102">
        <f>_xlfn.IFNA(VLOOKUP(B18,'NY Sole Source'!A:B,2,FALSE), D18*0.7)</f>
        <v>23346.400000000001</v>
      </c>
      <c r="H18" s="102" t="str">
        <f>_xlfn.IFNA(VLOOKUP(B18,'NY Sole Source'!A:B,1,FALSE),"NNY-"&amp;B18)</f>
        <v>CMS-Performance</v>
      </c>
      <c r="I18" s="106">
        <f>IF(NOT(ISNA(VLOOKUP(B18,'FL Contract Prices'!$A$2:$C$71,3,FALSE))),VLOOKUP(B18,'FL Contract Prices'!$A$2:$C$71,3,FALSE),ROUND(D18*0.7,-1))</f>
        <v>29180</v>
      </c>
      <c r="J18" s="106" t="str">
        <f>IF(NOT(ISNA(VLOOKUP(B18,'FL Part Num Mapping'!$A$2:$B$71,1,FALSE))),VLOOKUP(B18,'FL Part Num Mapping'!$A$2:$B$71,2,FALSE),"NFL "&amp; B18)</f>
        <v>NFL CMS-Performance</v>
      </c>
      <c r="K18" s="102">
        <v>1E-4</v>
      </c>
      <c r="L18" s="146" t="str">
        <f t="shared" si="2"/>
        <v>NLA CMS-Performance</v>
      </c>
      <c r="M18" s="146"/>
      <c r="N18" s="146"/>
      <c r="O18" s="155"/>
      <c r="P18" s="150">
        <v>25000</v>
      </c>
      <c r="Q18" s="48"/>
      <c r="R18" s="88">
        <v>1</v>
      </c>
      <c r="S18" s="88">
        <f t="shared" si="3"/>
        <v>288</v>
      </c>
      <c r="T18" s="48">
        <f t="shared" si="4"/>
        <v>1.8823529411764708</v>
      </c>
      <c r="U18" s="48" t="s">
        <v>179</v>
      </c>
      <c r="V18" s="48">
        <f t="shared" si="5"/>
        <v>10</v>
      </c>
      <c r="W18" s="83"/>
      <c r="X18" s="83" t="s">
        <v>208</v>
      </c>
    </row>
    <row r="19" spans="1:24" ht="30" customHeight="1" x14ac:dyDescent="0.25">
      <c r="A19" s="82" t="s">
        <v>230</v>
      </c>
      <c r="B19" s="82" t="s">
        <v>231</v>
      </c>
      <c r="C19" s="82" t="s">
        <v>229</v>
      </c>
      <c r="D19" s="84">
        <f>IF(E19&lt;20, ROUNDUP(E19/0.6,0), ROUNDUP(E19/0.6,-1))</f>
        <v>25020</v>
      </c>
      <c r="E19" s="128">
        <f t="shared" si="1"/>
        <v>15011.882352941177</v>
      </c>
      <c r="F19" s="86" t="s">
        <v>178</v>
      </c>
      <c r="G19" s="102">
        <f>_xlfn.IFNA(VLOOKUP(B19,'NY Sole Source'!A:B,2,FALSE), D19*0.7)</f>
        <v>14011.2</v>
      </c>
      <c r="H19" s="102" t="str">
        <f>_xlfn.IFNA(VLOOKUP(B19,'NY Sole Source'!A:B,1,FALSE),"NNY-"&amp;B19)</f>
        <v>CMS-Standard</v>
      </c>
      <c r="I19" s="106">
        <f>IF(NOT(ISNA(VLOOKUP(B19,'FL Contract Prices'!$A$2:$C$71,3,FALSE))),VLOOKUP(B19,'FL Contract Prices'!$A$2:$C$71,3,FALSE),ROUND(D19*0.7,-1))</f>
        <v>17510</v>
      </c>
      <c r="J19" s="106" t="str">
        <f>IF(NOT(ISNA(VLOOKUP(B19,'FL Part Num Mapping'!$A$2:$B$71,1,FALSE))),VLOOKUP(B19,'FL Part Num Mapping'!$A$2:$B$71,2,FALSE),"NFL "&amp; B19)</f>
        <v>NFL CMS-Standard</v>
      </c>
      <c r="K19" s="102">
        <v>1E-4</v>
      </c>
      <c r="L19" s="146" t="str">
        <f t="shared" si="2"/>
        <v>NLA CMS-Standard</v>
      </c>
      <c r="M19" s="146"/>
      <c r="N19" s="146"/>
      <c r="O19" s="155"/>
      <c r="P19" s="150">
        <v>15000</v>
      </c>
      <c r="Q19" s="48"/>
      <c r="R19" s="88">
        <v>1</v>
      </c>
      <c r="S19" s="88">
        <f t="shared" si="3"/>
        <v>288</v>
      </c>
      <c r="T19" s="48">
        <f t="shared" si="4"/>
        <v>1.8823529411764708</v>
      </c>
      <c r="U19" s="48" t="s">
        <v>179</v>
      </c>
      <c r="V19" s="48">
        <f t="shared" si="5"/>
        <v>10</v>
      </c>
      <c r="W19" s="83"/>
      <c r="X19" s="83" t="s">
        <v>208</v>
      </c>
    </row>
    <row r="20" spans="1:24" ht="15" customHeight="1" x14ac:dyDescent="0.25">
      <c r="A20" s="82" t="s">
        <v>232</v>
      </c>
      <c r="B20" s="83" t="s">
        <v>233</v>
      </c>
      <c r="C20" s="82" t="s">
        <v>232</v>
      </c>
      <c r="D20" s="84">
        <v>500</v>
      </c>
      <c r="E20" s="128">
        <v>500</v>
      </c>
      <c r="F20" s="85" t="s">
        <v>199</v>
      </c>
      <c r="G20" s="102">
        <v>500</v>
      </c>
      <c r="H20" s="102" t="str">
        <f>_xlfn.IFNA(VLOOKUP(B20,'NY Sole Source'!A:B,1,FALSE),"NNY-"&amp;B20)</f>
        <v>NNY-Deposit</v>
      </c>
      <c r="I20" s="106">
        <v>500</v>
      </c>
      <c r="J20" s="106" t="str">
        <f>IF(NOT(ISNA(VLOOKUP(B20,'FL Part Num Mapping'!$A$2:$B$71,1,FALSE))),VLOOKUP(B20,'FL Part Num Mapping'!$A$2:$B$71,2,FALSE),"NFL "&amp; B20)</f>
        <v>NFL Deposit</v>
      </c>
      <c r="K20" s="102">
        <v>1E-4</v>
      </c>
      <c r="L20" s="146" t="str">
        <f t="shared" si="2"/>
        <v>NLA Deposit</v>
      </c>
      <c r="M20" s="147"/>
      <c r="N20" s="147"/>
      <c r="P20" s="150">
        <v>500</v>
      </c>
      <c r="Q20" s="83"/>
      <c r="R20" s="83"/>
      <c r="S20" s="83"/>
      <c r="T20" s="83"/>
      <c r="U20" s="83"/>
      <c r="V20" s="83"/>
      <c r="W20" s="83"/>
      <c r="X20" s="83"/>
    </row>
    <row r="21" spans="1:24" ht="15" customHeight="1" x14ac:dyDescent="0.25">
      <c r="A21" s="82" t="s">
        <v>234</v>
      </c>
      <c r="B21" s="83" t="s">
        <v>235</v>
      </c>
      <c r="C21" s="82" t="s">
        <v>236</v>
      </c>
      <c r="D21" s="84">
        <f>IF(E21&lt;20, ROUNDUP(E21/0.4,0), ROUNDUP(E21/0.5,-1))</f>
        <v>-250</v>
      </c>
      <c r="E21" s="128">
        <f t="shared" ref="E21:E53" si="7">P21+Q21+T21+V21</f>
        <v>-100</v>
      </c>
      <c r="F21" s="85" t="s">
        <v>178</v>
      </c>
      <c r="G21" s="102">
        <f>IF(ISNA(VLOOKUP(B21,'NY Contract'!$A$1:$E$157,4,FALSE)), D21*0.7, VLOOKUP(B21,'NY Contract'!$A$1:$E$157,4,FALSE))</f>
        <v>-175</v>
      </c>
      <c r="H21" s="102" t="str">
        <f>_xlfn.IFNA(VLOOKUP(B21,'NY Sole Source'!A:B,1,FALSE),"NNY-"&amp;B21)</f>
        <v>NNY-Discount-Non Taxable</v>
      </c>
      <c r="I21" s="106">
        <f>IF(NOT(ISNA(VLOOKUP(B21,'FL Contract Prices'!$A$2:$C$71,3,FALSE))),VLOOKUP(B21,'FL Contract Prices'!$A$2:$C$71,3,FALSE),ROUND(D21*0.7,-1))</f>
        <v>-180</v>
      </c>
      <c r="J21" s="106" t="str">
        <f>IF(NOT(ISNA(VLOOKUP(B21,'FL Part Num Mapping'!$A$2:$B$71,1,FALSE))),VLOOKUP(B21,'FL Part Num Mapping'!$A$2:$B$71,2,FALSE),"NFL "&amp; B21)</f>
        <v>NFL Discount-Non Taxable</v>
      </c>
      <c r="K21" s="102">
        <v>1E-4</v>
      </c>
      <c r="L21" s="146" t="str">
        <f t="shared" si="2"/>
        <v>NLA Discount-Non Taxable</v>
      </c>
      <c r="M21" s="147"/>
      <c r="N21" s="147"/>
      <c r="P21" s="150">
        <v>-100</v>
      </c>
      <c r="Q21" s="83"/>
      <c r="R21" s="83"/>
      <c r="S21" s="83"/>
      <c r="T21" s="83"/>
      <c r="U21" s="83"/>
      <c r="V21" s="83"/>
      <c r="W21" s="83"/>
      <c r="X21" s="83"/>
    </row>
    <row r="22" spans="1:24" ht="15" customHeight="1" x14ac:dyDescent="0.25">
      <c r="A22" s="82" t="s">
        <v>237</v>
      </c>
      <c r="B22" s="83" t="s">
        <v>238</v>
      </c>
      <c r="C22" s="82" t="s">
        <v>239</v>
      </c>
      <c r="D22" s="84">
        <f>IF(E22&lt;20, ROUNDUP(E22/0.4,0), ROUNDUP(E22/0.5,-1))</f>
        <v>-250</v>
      </c>
      <c r="E22" s="128">
        <f t="shared" si="7"/>
        <v>-100</v>
      </c>
      <c r="F22" s="85" t="s">
        <v>199</v>
      </c>
      <c r="G22" s="102">
        <f>IF(ISNA(VLOOKUP(B22,'NY Contract'!$A$1:$E$157,4,FALSE)), D22*0.7, VLOOKUP(B22,'NY Contract'!$A$1:$E$157,4,FALSE))</f>
        <v>-175</v>
      </c>
      <c r="H22" s="102" t="str">
        <f>_xlfn.IFNA(VLOOKUP(B22,'NY Sole Source'!A:B,1,FALSE),"NNY-"&amp;B22)</f>
        <v>NNY-Discount-Taxable</v>
      </c>
      <c r="I22" s="106">
        <f>IF(NOT(ISNA(VLOOKUP(B22,'FL Contract Prices'!$A$2:$C$71,3,FALSE))),VLOOKUP(B22,'FL Contract Prices'!$A$2:$C$71,3,FALSE),ROUND(D22*0.7,-1))</f>
        <v>-180</v>
      </c>
      <c r="J22" s="106" t="str">
        <f>IF(NOT(ISNA(VLOOKUP(B22,'FL Part Num Mapping'!$A$2:$B$71,1,FALSE))),VLOOKUP(B22,'FL Part Num Mapping'!$A$2:$B$71,2,FALSE),"NFL "&amp; B22)</f>
        <v>NFL Discount-Taxable</v>
      </c>
      <c r="K22" s="102">
        <v>1E-4</v>
      </c>
      <c r="L22" s="146" t="str">
        <f t="shared" si="2"/>
        <v>NLA Discount-Taxable</v>
      </c>
      <c r="M22" s="147"/>
      <c r="N22" s="147"/>
      <c r="P22" s="150">
        <v>-100</v>
      </c>
      <c r="Q22" s="83"/>
      <c r="R22" s="83"/>
      <c r="S22" s="83"/>
      <c r="T22" s="83"/>
      <c r="U22" s="83"/>
      <c r="V22" s="83"/>
      <c r="W22" s="83"/>
      <c r="X22" s="83"/>
    </row>
    <row r="23" spans="1:24" x14ac:dyDescent="0.25">
      <c r="A23" s="82" t="s">
        <v>240</v>
      </c>
      <c r="B23" s="82" t="s">
        <v>241</v>
      </c>
      <c r="C23" s="82" t="s">
        <v>242</v>
      </c>
      <c r="D23" s="84">
        <f t="shared" ref="D23:D55" si="8">IF(E23&lt;20, ROUNDUP(E23/0.575,0), ROUNDUP(E23/0.575,-1))</f>
        <v>280</v>
      </c>
      <c r="E23" s="128">
        <f t="shared" si="7"/>
        <v>160.31372549019608</v>
      </c>
      <c r="F23" s="86" t="s">
        <v>199</v>
      </c>
      <c r="G23" s="102">
        <f>_xlfn.IFNA(VLOOKUP(B23,'NY Sole Source'!A:B,2,FALSE), D23*0.7)</f>
        <v>221.2</v>
      </c>
      <c r="H23" s="102" t="str">
        <f>_xlfn.IFNA(VLOOKUP(B23,'NY Sole Source'!A:B,1,FALSE),"NNY-"&amp;B23)</f>
        <v>HW-Barcode1</v>
      </c>
      <c r="I23" s="106">
        <f>IF(NOT(ISNA(VLOOKUP(B23,'FL Contract Prices'!$A$2:$C$71,3,FALSE))),VLOOKUP(B23,'FL Contract Prices'!$A$2:$C$71,3,FALSE),ROUND(D23*0.7,-1))</f>
        <v>206.14999999999998</v>
      </c>
      <c r="J23" s="106" t="str">
        <f>IF(NOT(ISNA(VLOOKUP(B23,'FL Part Num Mapping'!$A$2:$B$71,1,FALSE))),VLOOKUP(B23,'FL Part Num Mapping'!$A$2:$B$71,2,FALSE),"NFL "&amp; B23)</f>
        <v>ACC-BarCode1</v>
      </c>
      <c r="K23" s="102">
        <v>1E-4</v>
      </c>
      <c r="L23" s="146" t="str">
        <f t="shared" si="2"/>
        <v>NLA HW-Barcode1</v>
      </c>
      <c r="M23" s="146"/>
      <c r="N23" s="146"/>
      <c r="O23" s="155"/>
      <c r="P23" s="150">
        <v>150</v>
      </c>
      <c r="Q23" s="48"/>
      <c r="R23" s="88">
        <v>2</v>
      </c>
      <c r="S23" s="88">
        <f>4*6</f>
        <v>24</v>
      </c>
      <c r="T23" s="48">
        <f t="shared" ref="T23:T29" si="9">(24000/8500)*(S23/12/12)/3*R23</f>
        <v>0.31372549019607843</v>
      </c>
      <c r="U23" s="48" t="s">
        <v>179</v>
      </c>
      <c r="V23" s="48">
        <f t="shared" ref="V23:V37" si="10">IF(U23="Bulk",0,IF(U23="Std", 10,IF(U23="Pickup",20,30)))/60*60</f>
        <v>10</v>
      </c>
      <c r="W23" s="83"/>
      <c r="X23" s="83" t="s">
        <v>243</v>
      </c>
    </row>
    <row r="24" spans="1:24" x14ac:dyDescent="0.25">
      <c r="A24" s="82" t="s">
        <v>244</v>
      </c>
      <c r="B24" s="82" t="s">
        <v>245</v>
      </c>
      <c r="C24" s="82" t="s">
        <v>246</v>
      </c>
      <c r="D24" s="84">
        <f t="shared" si="8"/>
        <v>540</v>
      </c>
      <c r="E24" s="128">
        <f t="shared" si="7"/>
        <v>310.31372549019608</v>
      </c>
      <c r="F24" s="86" t="s">
        <v>199</v>
      </c>
      <c r="G24" s="102">
        <f>_xlfn.IFNA(VLOOKUP(B24,'NY Sole Source'!A:B,2,FALSE), D24*0.7)</f>
        <v>426.6</v>
      </c>
      <c r="H24" s="102" t="str">
        <f>_xlfn.IFNA(VLOOKUP(B24,'NY Sole Source'!A:B,1,FALSE),"NNY-"&amp;B24)</f>
        <v>HW-Barcode2</v>
      </c>
      <c r="I24" s="106">
        <f>IF(NOT(ISNA(VLOOKUP(B24,'FL Contract Prices'!$A$2:$C$71,3,FALSE))),VLOOKUP(B24,'FL Contract Prices'!$A$2:$C$71,3,FALSE),ROUND(D24*0.7,-1))</f>
        <v>382.84999999999997</v>
      </c>
      <c r="J24" s="106" t="str">
        <f>IF(NOT(ISNA(VLOOKUP(B24,'FL Part Num Mapping'!$A$2:$B$71,1,FALSE))),VLOOKUP(B24,'FL Part Num Mapping'!$A$2:$B$71,2,FALSE),"NFL "&amp; B24)</f>
        <v>ACC-BarCode2</v>
      </c>
      <c r="K24" s="102">
        <v>1E-4</v>
      </c>
      <c r="L24" s="146" t="str">
        <f t="shared" si="2"/>
        <v>NLA HW-Barcode2</v>
      </c>
      <c r="M24" s="146"/>
      <c r="N24" s="146"/>
      <c r="O24" s="155"/>
      <c r="P24" s="150">
        <v>300</v>
      </c>
      <c r="Q24" s="48"/>
      <c r="R24" s="88">
        <v>2</v>
      </c>
      <c r="S24" s="88">
        <f>4*6</f>
        <v>24</v>
      </c>
      <c r="T24" s="48">
        <f t="shared" si="9"/>
        <v>0.31372549019607843</v>
      </c>
      <c r="U24" s="48" t="s">
        <v>179</v>
      </c>
      <c r="V24" s="48">
        <f t="shared" si="10"/>
        <v>10</v>
      </c>
      <c r="W24" s="83"/>
      <c r="X24" s="83" t="s">
        <v>247</v>
      </c>
    </row>
    <row r="25" spans="1:24" ht="30" x14ac:dyDescent="0.25">
      <c r="A25" s="82" t="s">
        <v>248</v>
      </c>
      <c r="B25" s="82" t="s">
        <v>249</v>
      </c>
      <c r="C25" s="82" t="s">
        <v>250</v>
      </c>
      <c r="D25" s="84">
        <f t="shared" si="8"/>
        <v>110</v>
      </c>
      <c r="E25" s="128">
        <f t="shared" si="7"/>
        <v>60.627450980392155</v>
      </c>
      <c r="F25" s="86" t="s">
        <v>199</v>
      </c>
      <c r="G25" s="102">
        <f>_xlfn.IFNA(VLOOKUP(B25,'NY Sole Source'!A:B,2,FALSE), D25*0.7)</f>
        <v>77</v>
      </c>
      <c r="H25" s="102" t="str">
        <f>_xlfn.IFNA(VLOOKUP(B25,'NY Sole Source'!A:B,1,FALSE),"NNY-"&amp;B25)</f>
        <v>NNY-HW-PowerTrans</v>
      </c>
      <c r="I25" s="106">
        <f>IF(NOT(ISNA(VLOOKUP(B25,'FL Contract Prices'!$A$2:$C$71,3,FALSE))),VLOOKUP(B25,'FL Contract Prices'!$A$2:$C$71,3,FALSE),ROUND(D25*0.7,-1))</f>
        <v>80</v>
      </c>
      <c r="J25" s="106" t="str">
        <f>IF(NOT(ISNA(VLOOKUP(B25,'FL Part Num Mapping'!$A$2:$B$71,1,FALSE))),VLOOKUP(B25,'FL Part Num Mapping'!$A$2:$B$71,2,FALSE),"NFL "&amp; B25)</f>
        <v>NFL HW-PowerTrans</v>
      </c>
      <c r="K25" s="102">
        <v>1E-4</v>
      </c>
      <c r="L25" s="146" t="str">
        <f t="shared" si="2"/>
        <v>NLA HW-PowerTrans</v>
      </c>
      <c r="M25" s="146"/>
      <c r="N25" s="146"/>
      <c r="O25" s="155"/>
      <c r="P25" s="150">
        <v>50</v>
      </c>
      <c r="Q25" s="48">
        <v>0</v>
      </c>
      <c r="R25" s="88">
        <v>2</v>
      </c>
      <c r="S25" s="88">
        <f>6*8</f>
        <v>48</v>
      </c>
      <c r="T25" s="48">
        <f t="shared" si="9"/>
        <v>0.62745098039215685</v>
      </c>
      <c r="U25" s="48" t="s">
        <v>179</v>
      </c>
      <c r="V25" s="48">
        <f t="shared" si="10"/>
        <v>10</v>
      </c>
      <c r="W25" s="83"/>
      <c r="X25" s="83" t="s">
        <v>251</v>
      </c>
    </row>
    <row r="26" spans="1:24" ht="30" x14ac:dyDescent="0.25">
      <c r="A26" s="82" t="s">
        <v>252</v>
      </c>
      <c r="B26" s="82" t="s">
        <v>253</v>
      </c>
      <c r="C26" s="82" t="s">
        <v>254</v>
      </c>
      <c r="D26" s="84">
        <f t="shared" si="8"/>
        <v>40</v>
      </c>
      <c r="E26" s="128">
        <f t="shared" si="7"/>
        <v>20.117647058823529</v>
      </c>
      <c r="F26" s="86" t="s">
        <v>199</v>
      </c>
      <c r="G26" s="102">
        <f>_xlfn.IFNA(VLOOKUP(B26,'NY Sole Source'!A:B,2,FALSE), D26*0.7)</f>
        <v>28</v>
      </c>
      <c r="H26" s="102" t="str">
        <f>_xlfn.IFNA(VLOOKUP(B26,'NY Sole Source'!A:B,1,FALSE),"NNY-"&amp;B26)</f>
        <v>NNY-HW-BatteryAA4</v>
      </c>
      <c r="I26" s="106">
        <f>IF(NOT(ISNA(VLOOKUP(B26,'FL Contract Prices'!$A$2:$C$71,3,FALSE))),VLOOKUP(B26,'FL Contract Prices'!$A$2:$C$71,3,FALSE),ROUND(D26*0.7,-1))</f>
        <v>30</v>
      </c>
      <c r="J26" s="106" t="str">
        <f>IF(NOT(ISNA(VLOOKUP(B26,'FL Part Num Mapping'!$A$2:$B$71,1,FALSE))),VLOOKUP(B26,'FL Part Num Mapping'!$A$2:$B$71,2,FALSE),"NFL "&amp; B26)</f>
        <v>NFL HW-BatteryAA4</v>
      </c>
      <c r="K26" s="102">
        <v>1E-4</v>
      </c>
      <c r="L26" s="146" t="str">
        <f t="shared" si="2"/>
        <v>NLA HW-BatteryAA4</v>
      </c>
      <c r="M26" s="146"/>
      <c r="N26" s="146"/>
      <c r="O26" s="155"/>
      <c r="P26" s="150">
        <v>10</v>
      </c>
      <c r="Q26" s="48"/>
      <c r="R26" s="88">
        <v>3</v>
      </c>
      <c r="S26" s="88">
        <f>2*3</f>
        <v>6</v>
      </c>
      <c r="T26" s="48">
        <f t="shared" si="9"/>
        <v>0.11764705882352941</v>
      </c>
      <c r="U26" s="48" t="s">
        <v>179</v>
      </c>
      <c r="V26" s="48">
        <f t="shared" si="10"/>
        <v>10</v>
      </c>
      <c r="W26" s="83"/>
      <c r="X26" s="83" t="s">
        <v>255</v>
      </c>
    </row>
    <row r="27" spans="1:24" ht="30" x14ac:dyDescent="0.25">
      <c r="A27" s="82" t="s">
        <v>256</v>
      </c>
      <c r="B27" s="82" t="s">
        <v>257</v>
      </c>
      <c r="C27" s="82" t="s">
        <v>258</v>
      </c>
      <c r="D27" s="84">
        <f t="shared" si="8"/>
        <v>60</v>
      </c>
      <c r="E27" s="128">
        <f t="shared" si="7"/>
        <v>30.470588235294116</v>
      </c>
      <c r="F27" s="86" t="s">
        <v>199</v>
      </c>
      <c r="G27" s="102">
        <f>_xlfn.IFNA(VLOOKUP(B27,'NY Sole Source'!A:B,2,FALSE), D27*0.7)</f>
        <v>42</v>
      </c>
      <c r="H27" s="102" t="str">
        <f>_xlfn.IFNA(VLOOKUP(B27,'NY Sole Source'!A:B,1,FALSE),"NNY-"&amp;B27)</f>
        <v>NNY-HW-BatteryChrg</v>
      </c>
      <c r="I27" s="106">
        <f>IF(NOT(ISNA(VLOOKUP(B27,'FL Contract Prices'!$A$2:$C$71,3,FALSE))),VLOOKUP(B27,'FL Contract Prices'!$A$2:$C$71,3,FALSE),ROUND(D27*0.7,-1))</f>
        <v>40</v>
      </c>
      <c r="J27" s="106" t="str">
        <f>IF(NOT(ISNA(VLOOKUP(B27,'FL Part Num Mapping'!$A$2:$B$71,1,FALSE))),VLOOKUP(B27,'FL Part Num Mapping'!$A$2:$B$71,2,FALSE),"NFL "&amp; B27)</f>
        <v>NFL HW-BatteryChrg</v>
      </c>
      <c r="K27" s="102">
        <v>1E-4</v>
      </c>
      <c r="L27" s="146" t="str">
        <f t="shared" si="2"/>
        <v>NLA HW-BatteryChrg</v>
      </c>
      <c r="M27" s="146"/>
      <c r="N27" s="146"/>
      <c r="O27" s="155"/>
      <c r="P27" s="150">
        <v>20</v>
      </c>
      <c r="Q27" s="48"/>
      <c r="R27" s="88">
        <v>3</v>
      </c>
      <c r="S27" s="88">
        <f>4*6</f>
        <v>24</v>
      </c>
      <c r="T27" s="48">
        <f t="shared" si="9"/>
        <v>0.47058823529411764</v>
      </c>
      <c r="U27" s="48" t="s">
        <v>179</v>
      </c>
      <c r="V27" s="48">
        <f t="shared" si="10"/>
        <v>10</v>
      </c>
      <c r="W27" s="83"/>
      <c r="X27" s="83" t="s">
        <v>259</v>
      </c>
    </row>
    <row r="28" spans="1:24" ht="30" x14ac:dyDescent="0.25">
      <c r="A28" s="82" t="s">
        <v>260</v>
      </c>
      <c r="B28" s="82" t="s">
        <v>261</v>
      </c>
      <c r="C28" s="82" t="s">
        <v>262</v>
      </c>
      <c r="D28" s="84">
        <f t="shared" si="8"/>
        <v>80</v>
      </c>
      <c r="E28" s="128">
        <f t="shared" si="7"/>
        <v>40.313725490196077</v>
      </c>
      <c r="F28" s="86" t="s">
        <v>199</v>
      </c>
      <c r="G28" s="102">
        <f>_xlfn.IFNA(VLOOKUP(B28,'NY Sole Source'!A:B,2,FALSE), D28*0.7)</f>
        <v>56</v>
      </c>
      <c r="H28" s="102" t="str">
        <f>_xlfn.IFNA(VLOOKUP(B28,'NY Sole Source'!A:B,1,FALSE),"NNY-"&amp;B28)</f>
        <v>NNY-HW-BatteryAA4Chrg</v>
      </c>
      <c r="I28" s="106">
        <f>IF(NOT(ISNA(VLOOKUP(B28,'FL Contract Prices'!$A$2:$C$71,3,FALSE))),VLOOKUP(B28,'FL Contract Prices'!$A$2:$C$71,3,FALSE),ROUND(D28*0.7,-1))</f>
        <v>60</v>
      </c>
      <c r="J28" s="106" t="str">
        <f>IF(NOT(ISNA(VLOOKUP(B28,'FL Part Num Mapping'!$A$2:$B$71,1,FALSE))),VLOOKUP(B28,'FL Part Num Mapping'!$A$2:$B$71,2,FALSE),"NFL "&amp; B28)</f>
        <v>NFL HW-BatteryAA4Chrg</v>
      </c>
      <c r="K28" s="102">
        <v>1E-4</v>
      </c>
      <c r="L28" s="146" t="str">
        <f t="shared" si="2"/>
        <v>NLA HW-BatteryAA4Chrg</v>
      </c>
      <c r="M28" s="146"/>
      <c r="N28" s="146"/>
      <c r="O28" s="155"/>
      <c r="P28" s="150">
        <v>30</v>
      </c>
      <c r="Q28" s="48"/>
      <c r="R28" s="88">
        <v>3</v>
      </c>
      <c r="S28" s="88">
        <f>4*4</f>
        <v>16</v>
      </c>
      <c r="T28" s="48">
        <f t="shared" si="9"/>
        <v>0.31372549019607843</v>
      </c>
      <c r="U28" s="48" t="s">
        <v>179</v>
      </c>
      <c r="V28" s="48">
        <f t="shared" si="10"/>
        <v>10</v>
      </c>
      <c r="W28" s="83"/>
      <c r="X28" s="83" t="s">
        <v>263</v>
      </c>
    </row>
    <row r="29" spans="1:24" ht="30" x14ac:dyDescent="0.25">
      <c r="A29" s="87" t="s">
        <v>264</v>
      </c>
      <c r="B29" s="82" t="s">
        <v>265</v>
      </c>
      <c r="C29" s="82" t="s">
        <v>266</v>
      </c>
      <c r="D29" s="84">
        <f t="shared" si="8"/>
        <v>180</v>
      </c>
      <c r="E29" s="128">
        <f t="shared" si="7"/>
        <v>100</v>
      </c>
      <c r="F29" s="86" t="s">
        <v>199</v>
      </c>
      <c r="G29" s="102">
        <f>_xlfn.IFNA(VLOOKUP(B29,'NY Sole Source'!A:B,2,FALSE), D29*0.7)</f>
        <v>125.99999999999999</v>
      </c>
      <c r="H29" s="102" t="str">
        <f>_xlfn.IFNA(VLOOKUP(B29,'NY Sole Source'!A:B,1,FALSE),"NNY-"&amp;B29)</f>
        <v>NNY-HW-BatteryLT</v>
      </c>
      <c r="I29" s="106">
        <f>IF(NOT(ISNA(VLOOKUP(B29,'FL Contract Prices'!$A$2:$C$71,3,FALSE))),VLOOKUP(B29,'FL Contract Prices'!$A$2:$C$71,3,FALSE),ROUND(D29*0.7,-1))</f>
        <v>130</v>
      </c>
      <c r="J29" s="106" t="str">
        <f>IF(NOT(ISNA(VLOOKUP(B29,'FL Part Num Mapping'!$A$2:$B$71,1,FALSE))),VLOOKUP(B29,'FL Part Num Mapping'!$A$2:$B$71,2,FALSE),"NFL "&amp; B29)</f>
        <v>NFL HW-BatteryLT</v>
      </c>
      <c r="K29" s="102">
        <v>1E-4</v>
      </c>
      <c r="L29" s="146" t="str">
        <f t="shared" si="2"/>
        <v>NLA HW-BatteryLT</v>
      </c>
      <c r="M29" s="146"/>
      <c r="N29" s="146"/>
      <c r="O29" s="155"/>
      <c r="P29" s="150">
        <v>90</v>
      </c>
      <c r="Q29" s="48"/>
      <c r="R29" s="88"/>
      <c r="S29" s="88"/>
      <c r="T29" s="48">
        <f t="shared" si="9"/>
        <v>0</v>
      </c>
      <c r="U29" s="48" t="s">
        <v>179</v>
      </c>
      <c r="V29" s="48">
        <f t="shared" si="10"/>
        <v>10</v>
      </c>
      <c r="W29" s="83"/>
      <c r="X29" s="83" t="s">
        <v>267</v>
      </c>
    </row>
    <row r="30" spans="1:24" ht="30" x14ac:dyDescent="0.25">
      <c r="A30" s="82" t="s">
        <v>268</v>
      </c>
      <c r="B30" s="82" t="s">
        <v>269</v>
      </c>
      <c r="C30" s="82" t="s">
        <v>270</v>
      </c>
      <c r="D30" s="84">
        <f t="shared" si="8"/>
        <v>5850</v>
      </c>
      <c r="E30" s="128">
        <f t="shared" si="7"/>
        <v>3362.4705882352941</v>
      </c>
      <c r="F30" s="86" t="s">
        <v>199</v>
      </c>
      <c r="G30" s="102">
        <f>_xlfn.IFNA(VLOOKUP(B30,'NY Sole Source'!A:B,2,FALSE), D30*0.7)</f>
        <v>3276.0000000000005</v>
      </c>
      <c r="H30" s="102" t="str">
        <f>_xlfn.IFNA(VLOOKUP(B30,'NY Sole Source'!A:B,1,FALSE),"NNY-"&amp;B30)</f>
        <v>HW-Cab</v>
      </c>
      <c r="I30" s="106">
        <f>IF(NOT(ISNA(VLOOKUP(B30,'FL Contract Prices'!$A$2:$C$71,3,FALSE))),VLOOKUP(B30,'FL Contract Prices'!$A$2:$C$71,3,FALSE),ROUND(D30*0.7,-1))</f>
        <v>4235.22</v>
      </c>
      <c r="J30" s="106" t="str">
        <f>IF(NOT(ISNA(VLOOKUP(B30,'FL Part Num Mapping'!$A$2:$B$71,1,FALSE))),VLOOKUP(B30,'FL Part Num Mapping'!$A$2:$B$71,2,FALSE),"NFL "&amp; B30)</f>
        <v>ACC-CAB</v>
      </c>
      <c r="K30" s="102">
        <v>1E-4</v>
      </c>
      <c r="L30" s="146" t="str">
        <f t="shared" si="2"/>
        <v>NLA HW-Cab</v>
      </c>
      <c r="M30" s="146"/>
      <c r="N30" s="146"/>
      <c r="O30" s="155"/>
      <c r="P30" s="150">
        <v>3000</v>
      </c>
      <c r="Q30" s="48">
        <v>200</v>
      </c>
      <c r="R30" s="88">
        <v>6</v>
      </c>
      <c r="S30" s="88">
        <f>36*36</f>
        <v>1296</v>
      </c>
      <c r="T30" s="48">
        <f>(24000/8500)*(S30/12/12)*R30</f>
        <v>152.47058823529414</v>
      </c>
      <c r="U30" s="48" t="s">
        <v>179</v>
      </c>
      <c r="V30" s="48">
        <f t="shared" si="10"/>
        <v>10</v>
      </c>
      <c r="W30" s="83"/>
      <c r="X30" s="83" t="s">
        <v>271</v>
      </c>
    </row>
    <row r="31" spans="1:24" ht="30" x14ac:dyDescent="0.25">
      <c r="A31" s="82" t="s">
        <v>272</v>
      </c>
      <c r="B31" s="82" t="s">
        <v>273</v>
      </c>
      <c r="C31" s="82" t="s">
        <v>274</v>
      </c>
      <c r="D31" s="84">
        <f t="shared" si="8"/>
        <v>740</v>
      </c>
      <c r="E31" s="128">
        <f t="shared" si="7"/>
        <v>421.29411764705884</v>
      </c>
      <c r="F31" s="86" t="s">
        <v>199</v>
      </c>
      <c r="G31" s="102">
        <f>_xlfn.IFNA(VLOOKUP(B31,'NY Sole Source'!A:B,2,FALSE), D31*0.7)</f>
        <v>414.4</v>
      </c>
      <c r="H31" s="102" t="str">
        <f>_xlfn.IFNA(VLOOKUP(B31,'NY Sole Source'!A:B,1,FALSE),"NNY-"&amp;B31)</f>
        <v>HW-Cab-CamBox</v>
      </c>
      <c r="I31" s="106">
        <f>IF(NOT(ISNA(VLOOKUP(B31,'FL Contract Prices'!$A$2:$C$71,3,FALSE))),VLOOKUP(B31,'FL Contract Prices'!$A$2:$C$71,3,FALSE),ROUND(D31*0.7,-1))</f>
        <v>920.7</v>
      </c>
      <c r="J31" s="106" t="str">
        <f>IF(NOT(ISNA(VLOOKUP(B31,'FL Part Num Mapping'!$A$2:$B$71,1,FALSE))),VLOOKUP(B31,'FL Part Num Mapping'!$A$2:$B$71,2,FALSE),"NFL "&amp; B31)</f>
        <v>ACC-CAB-CamBox</v>
      </c>
      <c r="K31" s="102">
        <v>1E-4</v>
      </c>
      <c r="L31" s="146" t="str">
        <f t="shared" si="2"/>
        <v>NLA HW-Cab-CamBox</v>
      </c>
      <c r="M31" s="146"/>
      <c r="N31" s="146"/>
      <c r="O31" s="155"/>
      <c r="P31" s="150">
        <v>400</v>
      </c>
      <c r="Q31" s="48">
        <v>0</v>
      </c>
      <c r="R31" s="88">
        <v>3</v>
      </c>
      <c r="S31" s="88">
        <f>24*24</f>
        <v>576</v>
      </c>
      <c r="T31" s="48">
        <f t="shared" ref="T31:T66" si="11">(24000/8500)*(S31/12/12)/3*R31</f>
        <v>11.294117647058824</v>
      </c>
      <c r="U31" s="48" t="s">
        <v>179</v>
      </c>
      <c r="V31" s="48">
        <f t="shared" si="10"/>
        <v>10</v>
      </c>
      <c r="W31" s="83"/>
      <c r="X31" s="83" t="s">
        <v>275</v>
      </c>
    </row>
    <row r="32" spans="1:24" ht="30" x14ac:dyDescent="0.25">
      <c r="A32" s="87" t="s">
        <v>276</v>
      </c>
      <c r="B32" s="83" t="s">
        <v>277</v>
      </c>
      <c r="C32" s="82" t="s">
        <v>278</v>
      </c>
      <c r="D32" s="84">
        <f t="shared" si="8"/>
        <v>340</v>
      </c>
      <c r="E32" s="128">
        <f t="shared" si="7"/>
        <v>190</v>
      </c>
      <c r="F32" s="86" t="s">
        <v>199</v>
      </c>
      <c r="G32" s="102">
        <f>_xlfn.IFNA(VLOOKUP(B32,'NY Sole Source'!A:B,2,FALSE), D32*0.7)</f>
        <v>237.99999999999997</v>
      </c>
      <c r="H32" s="102" t="str">
        <f>_xlfn.IFNA(VLOOKUP(B32,'NY Sole Source'!A:B,1,FALSE),"NNY-"&amp;B32)</f>
        <v>NNY-HW-Cab-PS110V</v>
      </c>
      <c r="I32" s="106">
        <f>IF(NOT(ISNA(VLOOKUP(B32,'FL Contract Prices'!$A$2:$C$71,3,FALSE))),VLOOKUP(B32,'FL Contract Prices'!$A$2:$C$71,3,FALSE),ROUND(D32*0.7,-1))</f>
        <v>240</v>
      </c>
      <c r="J32" s="106" t="str">
        <f>IF(NOT(ISNA(VLOOKUP(B32,'FL Part Num Mapping'!$A$2:$B$71,1,FALSE))),VLOOKUP(B32,'FL Part Num Mapping'!$A$2:$B$71,2,FALSE),"NFL "&amp; B32)</f>
        <v>NFL HW-Cab-PS110V</v>
      </c>
      <c r="K32" s="102">
        <v>1E-4</v>
      </c>
      <c r="L32" s="146" t="str">
        <f t="shared" si="2"/>
        <v>NLA HW-Cab-PS110V</v>
      </c>
      <c r="M32" s="146"/>
      <c r="N32" s="146"/>
      <c r="O32" s="155"/>
      <c r="P32" s="150">
        <v>180</v>
      </c>
      <c r="Q32" s="48"/>
      <c r="R32" s="88"/>
      <c r="S32" s="88"/>
      <c r="T32" s="48">
        <f t="shared" si="11"/>
        <v>0</v>
      </c>
      <c r="U32" s="48" t="s">
        <v>179</v>
      </c>
      <c r="V32" s="48">
        <f t="shared" si="10"/>
        <v>10</v>
      </c>
      <c r="W32" s="83"/>
      <c r="X32" s="83" t="s">
        <v>279</v>
      </c>
    </row>
    <row r="33" spans="1:24" ht="30" x14ac:dyDescent="0.25">
      <c r="A33" s="87" t="s">
        <v>280</v>
      </c>
      <c r="B33" s="83" t="s">
        <v>281</v>
      </c>
      <c r="C33" s="82" t="s">
        <v>282</v>
      </c>
      <c r="D33" s="84">
        <f t="shared" si="8"/>
        <v>340</v>
      </c>
      <c r="E33" s="128">
        <f t="shared" si="7"/>
        <v>190</v>
      </c>
      <c r="F33" s="86" t="s">
        <v>199</v>
      </c>
      <c r="G33" s="102">
        <f>_xlfn.IFNA(VLOOKUP(B33,'NY Sole Source'!A:B,2,FALSE), D33*0.7)</f>
        <v>237.99999999999997</v>
      </c>
      <c r="H33" s="102" t="str">
        <f>_xlfn.IFNA(VLOOKUP(B33,'NY Sole Source'!A:B,1,FALSE),"NNY-"&amp;B33)</f>
        <v>NNY-HW-Cab-PS220V</v>
      </c>
      <c r="I33" s="106">
        <f>IF(NOT(ISNA(VLOOKUP(B33,'FL Contract Prices'!$A$2:$C$71,3,FALSE))),VLOOKUP(B33,'FL Contract Prices'!$A$2:$C$71,3,FALSE),ROUND(D33*0.7,-1))</f>
        <v>240</v>
      </c>
      <c r="J33" s="106" t="str">
        <f>IF(NOT(ISNA(VLOOKUP(B33,'FL Part Num Mapping'!$A$2:$B$71,1,FALSE))),VLOOKUP(B33,'FL Part Num Mapping'!$A$2:$B$71,2,FALSE),"NFL "&amp; B33)</f>
        <v>NFL HW-Cab-PS220V</v>
      </c>
      <c r="K33" s="102">
        <v>1E-4</v>
      </c>
      <c r="L33" s="146" t="str">
        <f t="shared" si="2"/>
        <v>NLA HW-Cab-PS220V</v>
      </c>
      <c r="M33" s="146"/>
      <c r="N33" s="146"/>
      <c r="O33" s="155"/>
      <c r="P33" s="150">
        <v>180</v>
      </c>
      <c r="Q33" s="48"/>
      <c r="R33" s="88"/>
      <c r="S33" s="88"/>
      <c r="T33" s="48">
        <f t="shared" si="11"/>
        <v>0</v>
      </c>
      <c r="U33" s="48" t="s">
        <v>179</v>
      </c>
      <c r="V33" s="48">
        <f t="shared" si="10"/>
        <v>10</v>
      </c>
      <c r="W33" s="83"/>
      <c r="X33" s="83" t="s">
        <v>283</v>
      </c>
    </row>
    <row r="34" spans="1:24" ht="30" x14ac:dyDescent="0.25">
      <c r="A34" s="87" t="s">
        <v>284</v>
      </c>
      <c r="B34" s="82" t="s">
        <v>285</v>
      </c>
      <c r="C34" s="82" t="s">
        <v>286</v>
      </c>
      <c r="D34" s="84">
        <f t="shared" si="8"/>
        <v>28</v>
      </c>
      <c r="E34" s="128">
        <f t="shared" si="7"/>
        <v>15.699</v>
      </c>
      <c r="F34" s="86" t="s">
        <v>199</v>
      </c>
      <c r="G34" s="102">
        <f>_xlfn.IFNA(VLOOKUP(B34,'NY Sole Source'!A:B,2,FALSE), D34*0.7)</f>
        <v>19.599999999999998</v>
      </c>
      <c r="H34" s="102" t="str">
        <f>_xlfn.IFNA(VLOOKUP(B34,'NY Sole Source'!A:B,1,FALSE),"NNY-"&amp;B34)</f>
        <v>NNY-HW-Cable-Cat5L</v>
      </c>
      <c r="I34" s="106">
        <f>IF(NOT(ISNA(VLOOKUP(B34,'FL Contract Prices'!$A$2:$C$71,3,FALSE))),VLOOKUP(B34,'FL Contract Prices'!$A$2:$C$71,3,FALSE),ROUND(D34*0.7,-1))</f>
        <v>20</v>
      </c>
      <c r="J34" s="106" t="str">
        <f>IF(NOT(ISNA(VLOOKUP(B34,'FL Part Num Mapping'!$A$2:$B$71,1,FALSE))),VLOOKUP(B34,'FL Part Num Mapping'!$A$2:$B$71,2,FALSE),"NFL "&amp; B34)</f>
        <v>NFL HW-Cable-Cat5L</v>
      </c>
      <c r="K34" s="102">
        <v>1E-4</v>
      </c>
      <c r="L34" s="146" t="str">
        <f t="shared" si="2"/>
        <v>NLA HW-Cable-Cat5L</v>
      </c>
      <c r="M34" s="146"/>
      <c r="N34" s="146"/>
      <c r="O34" s="155"/>
      <c r="P34" s="150">
        <v>15</v>
      </c>
      <c r="Q34" s="48">
        <f>6.99/10</f>
        <v>0.69900000000000007</v>
      </c>
      <c r="R34" s="88"/>
      <c r="S34" s="88"/>
      <c r="T34" s="48">
        <f t="shared" si="11"/>
        <v>0</v>
      </c>
      <c r="U34" s="48" t="s">
        <v>287</v>
      </c>
      <c r="V34" s="48">
        <f t="shared" si="10"/>
        <v>0</v>
      </c>
      <c r="W34" s="83"/>
      <c r="X34" s="83" t="s">
        <v>288</v>
      </c>
    </row>
    <row r="35" spans="1:24" ht="30" x14ac:dyDescent="0.25">
      <c r="A35" s="87" t="s">
        <v>289</v>
      </c>
      <c r="B35" s="82" t="s">
        <v>290</v>
      </c>
      <c r="C35" s="82" t="s">
        <v>291</v>
      </c>
      <c r="D35" s="84">
        <f t="shared" si="8"/>
        <v>28</v>
      </c>
      <c r="E35" s="128">
        <f t="shared" si="7"/>
        <v>15.699</v>
      </c>
      <c r="F35" s="86" t="s">
        <v>199</v>
      </c>
      <c r="G35" s="102">
        <f>_xlfn.IFNA(VLOOKUP(B35,'NY Sole Source'!A:B,2,FALSE), D35*0.7)</f>
        <v>19.599999999999998</v>
      </c>
      <c r="H35" s="102" t="str">
        <f>_xlfn.IFNA(VLOOKUP(B35,'NY Sole Source'!A:B,1,FALSE),"NNY-"&amp;B35)</f>
        <v>NNY-HW-Cable-Cat5S</v>
      </c>
      <c r="I35" s="106">
        <f>IF(NOT(ISNA(VLOOKUP(B35,'FL Contract Prices'!$A$2:$C$71,3,FALSE))),VLOOKUP(B35,'FL Contract Prices'!$A$2:$C$71,3,FALSE),ROUND(D35*0.7,-1))</f>
        <v>20</v>
      </c>
      <c r="J35" s="106" t="str">
        <f>IF(NOT(ISNA(VLOOKUP(B35,'FL Part Num Mapping'!$A$2:$B$71,1,FALSE))),VLOOKUP(B35,'FL Part Num Mapping'!$A$2:$B$71,2,FALSE),"NFL "&amp; B35)</f>
        <v>NFL HW-Cable-Cat5S</v>
      </c>
      <c r="K35" s="102">
        <v>1E-4</v>
      </c>
      <c r="L35" s="146" t="str">
        <f t="shared" si="2"/>
        <v>NLA HW-Cable-Cat5S</v>
      </c>
      <c r="M35" s="146"/>
      <c r="N35" s="146"/>
      <c r="O35" s="155"/>
      <c r="P35" s="150">
        <v>15</v>
      </c>
      <c r="Q35" s="48">
        <f>6.99/10</f>
        <v>0.69900000000000007</v>
      </c>
      <c r="R35" s="88"/>
      <c r="S35" s="88"/>
      <c r="T35" s="48">
        <f t="shared" si="11"/>
        <v>0</v>
      </c>
      <c r="U35" s="48" t="s">
        <v>287</v>
      </c>
      <c r="V35" s="48">
        <f t="shared" si="10"/>
        <v>0</v>
      </c>
      <c r="W35" s="83"/>
      <c r="X35" s="83" t="s">
        <v>292</v>
      </c>
    </row>
    <row r="36" spans="1:24" ht="30" x14ac:dyDescent="0.25">
      <c r="A36" s="82" t="s">
        <v>293</v>
      </c>
      <c r="B36" s="82" t="s">
        <v>294</v>
      </c>
      <c r="C36" s="82" t="s">
        <v>295</v>
      </c>
      <c r="D36" s="84">
        <f t="shared" si="8"/>
        <v>18</v>
      </c>
      <c r="E36" s="128">
        <f t="shared" si="7"/>
        <v>10</v>
      </c>
      <c r="F36" s="86" t="s">
        <v>199</v>
      </c>
      <c r="G36" s="102">
        <f>_xlfn.IFNA(VLOOKUP(B36,'NY Sole Source'!A:B,2,FALSE), D36*0.7)</f>
        <v>12.6</v>
      </c>
      <c r="H36" s="102" t="str">
        <f>_xlfn.IFNA(VLOOKUP(B36,'NY Sole Source'!A:B,1,FALSE),"NNY-"&amp;B36)</f>
        <v>NNY-HW-Cable-FireWire</v>
      </c>
      <c r="I36" s="106">
        <f>IF(NOT(ISNA(VLOOKUP(B36,'FL Contract Prices'!$A$2:$C$71,3,FALSE))),VLOOKUP(B36,'FL Contract Prices'!$A$2:$C$71,3,FALSE),ROUND(D36*0.7,-1))</f>
        <v>10</v>
      </c>
      <c r="J36" s="106" t="str">
        <f>IF(NOT(ISNA(VLOOKUP(B36,'FL Part Num Mapping'!$A$2:$B$71,1,FALSE))),VLOOKUP(B36,'FL Part Num Mapping'!$A$2:$B$71,2,FALSE),"NFL "&amp; B36)</f>
        <v>NFL HW-Cable-FireWire</v>
      </c>
      <c r="K36" s="102">
        <v>1E-4</v>
      </c>
      <c r="L36" s="146" t="str">
        <f t="shared" ref="L36:L76" si="12">"NLA "&amp;B36</f>
        <v>NLA HW-Cable-FireWire</v>
      </c>
      <c r="M36" s="146"/>
      <c r="N36" s="146"/>
      <c r="O36" s="155"/>
      <c r="P36" s="150">
        <v>10</v>
      </c>
      <c r="Q36" s="48"/>
      <c r="R36" s="88"/>
      <c r="S36" s="88"/>
      <c r="T36" s="48">
        <f t="shared" si="11"/>
        <v>0</v>
      </c>
      <c r="U36" s="48" t="s">
        <v>287</v>
      </c>
      <c r="V36" s="48">
        <f t="shared" si="10"/>
        <v>0</v>
      </c>
      <c r="W36" s="83"/>
      <c r="X36" s="83" t="s">
        <v>296</v>
      </c>
    </row>
    <row r="37" spans="1:24" ht="30" x14ac:dyDescent="0.25">
      <c r="A37" s="82" t="s">
        <v>297</v>
      </c>
      <c r="B37" s="82" t="s">
        <v>298</v>
      </c>
      <c r="C37" s="82" t="s">
        <v>299</v>
      </c>
      <c r="D37" s="84">
        <f t="shared" si="8"/>
        <v>18</v>
      </c>
      <c r="E37" s="128">
        <f t="shared" si="7"/>
        <v>10</v>
      </c>
      <c r="F37" s="86" t="s">
        <v>199</v>
      </c>
      <c r="G37" s="102">
        <f>_xlfn.IFNA(VLOOKUP(B37,'NY Sole Source'!A:B,2,FALSE), D37*0.7)</f>
        <v>12.6</v>
      </c>
      <c r="H37" s="102" t="str">
        <f>_xlfn.IFNA(VLOOKUP(B37,'NY Sole Source'!A:B,1,FALSE),"NNY-"&amp;B37)</f>
        <v>NNY-HW-Cable-Monitor</v>
      </c>
      <c r="I37" s="106">
        <f>IF(NOT(ISNA(VLOOKUP(B37,'FL Contract Prices'!$A$2:$C$71,3,FALSE))),VLOOKUP(B37,'FL Contract Prices'!$A$2:$C$71,3,FALSE),ROUND(D37*0.7,-1))</f>
        <v>10</v>
      </c>
      <c r="J37" s="106" t="str">
        <f>IF(NOT(ISNA(VLOOKUP(B37,'FL Part Num Mapping'!$A$2:$B$71,1,FALSE))),VLOOKUP(B37,'FL Part Num Mapping'!$A$2:$B$71,2,FALSE),"NFL "&amp; B37)</f>
        <v>NFL HW-Cable-Monitor</v>
      </c>
      <c r="K37" s="102">
        <v>1E-4</v>
      </c>
      <c r="L37" s="146" t="str">
        <f t="shared" si="12"/>
        <v>NLA HW-Cable-Monitor</v>
      </c>
      <c r="M37" s="146"/>
      <c r="N37" s="146"/>
      <c r="O37" s="155"/>
      <c r="P37" s="150">
        <v>10</v>
      </c>
      <c r="Q37" s="48"/>
      <c r="R37" s="88"/>
      <c r="S37" s="88"/>
      <c r="T37" s="48">
        <f t="shared" si="11"/>
        <v>0</v>
      </c>
      <c r="U37" s="48" t="s">
        <v>287</v>
      </c>
      <c r="V37" s="48">
        <f t="shared" si="10"/>
        <v>0</v>
      </c>
      <c r="W37" s="83"/>
      <c r="X37" s="83" t="s">
        <v>300</v>
      </c>
    </row>
    <row r="38" spans="1:24" ht="30" x14ac:dyDescent="0.25">
      <c r="A38" s="87" t="s">
        <v>301</v>
      </c>
      <c r="B38" s="82" t="s">
        <v>302</v>
      </c>
      <c r="C38" s="82" t="s">
        <v>303</v>
      </c>
      <c r="D38" s="84">
        <f t="shared" si="8"/>
        <v>40</v>
      </c>
      <c r="E38" s="128">
        <f t="shared" si="7"/>
        <v>20.349499999999999</v>
      </c>
      <c r="F38" s="86" t="s">
        <v>199</v>
      </c>
      <c r="G38" s="102">
        <f>_xlfn.IFNA(VLOOKUP(B38,'NY Sole Source'!A:B,2,FALSE), D38*0.7)</f>
        <v>28</v>
      </c>
      <c r="H38" s="102" t="str">
        <f>_xlfn.IFNA(VLOOKUP(B38,'NY Sole Source'!A:B,1,FALSE),"NNY-"&amp;B38)</f>
        <v>NNY-HW-Cable-USBAB10</v>
      </c>
      <c r="I38" s="106">
        <f>IF(NOT(ISNA(VLOOKUP(B38,'FL Contract Prices'!$A$2:$C$71,3,FALSE))),VLOOKUP(B38,'FL Contract Prices'!$A$2:$C$71,3,FALSE),ROUND(D38*0.7,-1))</f>
        <v>30</v>
      </c>
      <c r="J38" s="106" t="str">
        <f>IF(NOT(ISNA(VLOOKUP(B38,'FL Part Num Mapping'!$A$2:$B$71,1,FALSE))),VLOOKUP(B38,'FL Part Num Mapping'!$A$2:$B$71,2,FALSE),"NFL "&amp; B38)</f>
        <v>NFL HW-Cable-USBAB10</v>
      </c>
      <c r="K38" s="102">
        <v>1E-4</v>
      </c>
      <c r="L38" s="146" t="str">
        <f t="shared" si="12"/>
        <v>NLA HW-Cable-USBAB10</v>
      </c>
      <c r="M38" s="146"/>
      <c r="N38" s="146"/>
      <c r="O38" s="155"/>
      <c r="P38" s="150">
        <v>10</v>
      </c>
      <c r="Q38" s="48">
        <f>6.99/20</f>
        <v>0.34950000000000003</v>
      </c>
      <c r="R38" s="88"/>
      <c r="S38" s="88"/>
      <c r="T38" s="48">
        <f t="shared" si="11"/>
        <v>0</v>
      </c>
      <c r="U38" s="48" t="s">
        <v>287</v>
      </c>
      <c r="V38" s="48">
        <v>10</v>
      </c>
      <c r="W38" s="83"/>
      <c r="X38" s="83" t="s">
        <v>304</v>
      </c>
    </row>
    <row r="39" spans="1:24" ht="30" x14ac:dyDescent="0.25">
      <c r="A39" s="82" t="s">
        <v>305</v>
      </c>
      <c r="B39" s="82" t="s">
        <v>306</v>
      </c>
      <c r="C39" s="82" t="s">
        <v>307</v>
      </c>
      <c r="D39" s="84">
        <f t="shared" si="8"/>
        <v>40</v>
      </c>
      <c r="E39" s="128">
        <f t="shared" si="7"/>
        <v>20</v>
      </c>
      <c r="F39" s="86" t="s">
        <v>199</v>
      </c>
      <c r="G39" s="102">
        <f>_xlfn.IFNA(VLOOKUP(B39,'NY Sole Source'!A:B,2,FALSE), D39*0.7)</f>
        <v>28</v>
      </c>
      <c r="H39" s="102" t="str">
        <f>_xlfn.IFNA(VLOOKUP(B39,'NY Sole Source'!A:B,1,FALSE),"NNY-"&amp;B39)</f>
        <v>NNY-HW-Cable-USBAB6</v>
      </c>
      <c r="I39" s="106">
        <f>IF(NOT(ISNA(VLOOKUP(B39,'FL Contract Prices'!$A$2:$C$71,3,FALSE))),VLOOKUP(B39,'FL Contract Prices'!$A$2:$C$71,3,FALSE),ROUND(D39*0.7,-1))</f>
        <v>30</v>
      </c>
      <c r="J39" s="106" t="str">
        <f>IF(NOT(ISNA(VLOOKUP(B39,'FL Part Num Mapping'!$A$2:$B$71,1,FALSE))),VLOOKUP(B39,'FL Part Num Mapping'!$A$2:$B$71,2,FALSE),"NFL "&amp; B39)</f>
        <v>NFL HW-Cable-USBAB6</v>
      </c>
      <c r="K39" s="102">
        <v>1E-4</v>
      </c>
      <c r="L39" s="146" t="str">
        <f t="shared" si="12"/>
        <v>NLA HW-Cable-USBAB6</v>
      </c>
      <c r="M39" s="146"/>
      <c r="N39" s="146"/>
      <c r="O39" s="155"/>
      <c r="P39" s="150">
        <v>10</v>
      </c>
      <c r="Q39" s="48"/>
      <c r="R39" s="88"/>
      <c r="S39" s="88"/>
      <c r="T39" s="48">
        <f t="shared" si="11"/>
        <v>0</v>
      </c>
      <c r="U39" s="48" t="s">
        <v>179</v>
      </c>
      <c r="V39" s="48">
        <f t="shared" ref="V39:V74" si="13">IF(U39="Bulk",0,IF(U39="Std", 10,IF(U39="Pickup",20,30)))/60*60</f>
        <v>10</v>
      </c>
      <c r="W39" s="83"/>
      <c r="X39" s="83" t="s">
        <v>308</v>
      </c>
    </row>
    <row r="40" spans="1:24" ht="30" x14ac:dyDescent="0.25">
      <c r="A40" s="82" t="s">
        <v>309</v>
      </c>
      <c r="B40" s="82" t="s">
        <v>310</v>
      </c>
      <c r="C40" s="82" t="s">
        <v>311</v>
      </c>
      <c r="D40" s="84">
        <f t="shared" si="8"/>
        <v>40</v>
      </c>
      <c r="E40" s="128">
        <f t="shared" si="7"/>
        <v>20.349499999999999</v>
      </c>
      <c r="F40" s="86" t="s">
        <v>199</v>
      </c>
      <c r="G40" s="102">
        <f>_xlfn.IFNA(VLOOKUP(B40,'NY Sole Source'!A:B,2,FALSE), D40*0.7)</f>
        <v>28</v>
      </c>
      <c r="H40" s="102" t="str">
        <f>_xlfn.IFNA(VLOOKUP(B40,'NY Sole Source'!A:B,1,FALSE),"NNY-"&amp;B40)</f>
        <v>NNY-HW-Cable-USBAM</v>
      </c>
      <c r="I40" s="106">
        <f>IF(NOT(ISNA(VLOOKUP(B40,'FL Contract Prices'!$A$2:$C$71,3,FALSE))),VLOOKUP(B40,'FL Contract Prices'!$A$2:$C$71,3,FALSE),ROUND(D40*0.7,-1))</f>
        <v>30</v>
      </c>
      <c r="J40" s="106" t="str">
        <f>IF(NOT(ISNA(VLOOKUP(B40,'FL Part Num Mapping'!$A$2:$B$71,1,FALSE))),VLOOKUP(B40,'FL Part Num Mapping'!$A$2:$B$71,2,FALSE),"NFL "&amp; B40)</f>
        <v>NFL HW-Cable-USBAM</v>
      </c>
      <c r="K40" s="102">
        <v>1E-4</v>
      </c>
      <c r="L40" s="146" t="str">
        <f t="shared" si="12"/>
        <v>NLA HW-Cable-USBAM</v>
      </c>
      <c r="M40" s="146"/>
      <c r="N40" s="146"/>
      <c r="O40" s="155"/>
      <c r="P40" s="150">
        <v>10</v>
      </c>
      <c r="Q40" s="48">
        <f>6.99/20</f>
        <v>0.34950000000000003</v>
      </c>
      <c r="R40" s="88"/>
      <c r="S40" s="88"/>
      <c r="T40" s="48">
        <f t="shared" si="11"/>
        <v>0</v>
      </c>
      <c r="U40" s="48" t="s">
        <v>179</v>
      </c>
      <c r="V40" s="48">
        <f t="shared" si="13"/>
        <v>10</v>
      </c>
      <c r="W40" s="83"/>
      <c r="X40" s="83" t="s">
        <v>312</v>
      </c>
    </row>
    <row r="41" spans="1:24" ht="30" x14ac:dyDescent="0.25">
      <c r="A41" s="82" t="s">
        <v>313</v>
      </c>
      <c r="B41" s="82" t="s">
        <v>314</v>
      </c>
      <c r="C41" s="82" t="s">
        <v>315</v>
      </c>
      <c r="D41" s="84">
        <f t="shared" si="8"/>
        <v>280</v>
      </c>
      <c r="E41" s="128">
        <f t="shared" si="7"/>
        <v>160.47058823529412</v>
      </c>
      <c r="F41" s="86" t="s">
        <v>199</v>
      </c>
      <c r="G41" s="102">
        <f>_xlfn.IFNA(VLOOKUP(B41,'NY Sole Source'!A:B,2,FALSE), D41*0.7)</f>
        <v>196</v>
      </c>
      <c r="H41" s="102" t="str">
        <f>_xlfn.IFNA(VLOOKUP(B41,'NY Sole Source'!A:B,1,FALSE),"NNY-"&amp;B41)</f>
        <v>NNY-HW-CamDSLRPower</v>
      </c>
      <c r="I41" s="106">
        <f>IF(NOT(ISNA(VLOOKUP(B41,'FL Contract Prices'!$A$2:$C$71,3,FALSE))),VLOOKUP(B41,'FL Contract Prices'!$A$2:$C$71,3,FALSE),ROUND(D41*0.7,-1))</f>
        <v>200</v>
      </c>
      <c r="J41" s="106" t="str">
        <f>IF(NOT(ISNA(VLOOKUP(B41,'FL Part Num Mapping'!$A$2:$B$71,1,FALSE))),VLOOKUP(B41,'FL Part Num Mapping'!$A$2:$B$71,2,FALSE),"NFL "&amp; B41)</f>
        <v>NFL HW-CamDSLRPower</v>
      </c>
      <c r="K41" s="102">
        <v>1E-4</v>
      </c>
      <c r="L41" s="146" t="str">
        <f t="shared" si="12"/>
        <v>NLA HW-CamDSLRPower</v>
      </c>
      <c r="M41" s="146"/>
      <c r="N41" s="146"/>
      <c r="O41" s="155"/>
      <c r="P41" s="150">
        <v>150</v>
      </c>
      <c r="Q41" s="48"/>
      <c r="R41" s="88">
        <v>3</v>
      </c>
      <c r="S41" s="88">
        <f>6*4</f>
        <v>24</v>
      </c>
      <c r="T41" s="48">
        <f t="shared" si="11"/>
        <v>0.47058823529411764</v>
      </c>
      <c r="U41" s="48" t="s">
        <v>179</v>
      </c>
      <c r="V41" s="48">
        <f t="shared" si="13"/>
        <v>10</v>
      </c>
      <c r="W41" s="83"/>
      <c r="X41" s="83" t="s">
        <v>316</v>
      </c>
    </row>
    <row r="42" spans="1:24" x14ac:dyDescent="0.25">
      <c r="A42" s="82" t="s">
        <v>317</v>
      </c>
      <c r="B42" s="82" t="s">
        <v>318</v>
      </c>
      <c r="C42" s="82" t="s">
        <v>319</v>
      </c>
      <c r="D42" s="84">
        <f t="shared" si="8"/>
        <v>840</v>
      </c>
      <c r="E42" s="128">
        <f t="shared" si="7"/>
        <v>480.8235294117647</v>
      </c>
      <c r="F42" s="86" t="s">
        <v>199</v>
      </c>
      <c r="G42" s="102">
        <f>_xlfn.IFNA(VLOOKUP(B42,'NY Sole Source'!A:B,2,FALSE), D42*0.7)</f>
        <v>663.6</v>
      </c>
      <c r="H42" s="102" t="str">
        <f>_xlfn.IFNA(VLOOKUP(B42,'NY Sole Source'!A:B,1,FALSE),"NNY-"&amp;B42)</f>
        <v>HW-CamDSLR</v>
      </c>
      <c r="I42" s="106">
        <f>IF(NOT(ISNA(VLOOKUP(B42,'FL Contract Prices'!$A$2:$C$71,3,FALSE))),VLOOKUP(B42,'FL Contract Prices'!$A$2:$C$71,3,FALSE),ROUND(D42*0.7,-1))</f>
        <v>1048.4199999999998</v>
      </c>
      <c r="J42" s="106" t="str">
        <f>IF(NOT(ISNA(VLOOKUP(B42,'FL Part Num Mapping'!$A$2:$B$71,1,FALSE))),VLOOKUP(B42,'FL Part Num Mapping'!$A$2:$B$71,2,FALSE),"NFL "&amp; B42)</f>
        <v>ACC-DSLR</v>
      </c>
      <c r="K42" s="102">
        <v>1E-4</v>
      </c>
      <c r="L42" s="146" t="str">
        <f t="shared" si="12"/>
        <v>NLA HW-CamDSLR</v>
      </c>
      <c r="M42" s="146"/>
      <c r="N42" s="146"/>
      <c r="O42" s="155"/>
      <c r="P42" s="150">
        <v>450</v>
      </c>
      <c r="Q42" s="48">
        <v>0</v>
      </c>
      <c r="R42" s="88">
        <v>2</v>
      </c>
      <c r="S42" s="88">
        <f>9*7</f>
        <v>63</v>
      </c>
      <c r="T42" s="48">
        <f t="shared" si="11"/>
        <v>0.82352941176470595</v>
      </c>
      <c r="U42" s="48" t="s">
        <v>320</v>
      </c>
      <c r="V42" s="48">
        <f t="shared" si="13"/>
        <v>30</v>
      </c>
      <c r="W42" s="83"/>
      <c r="X42" s="83" t="s">
        <v>321</v>
      </c>
    </row>
    <row r="43" spans="1:24" ht="30" x14ac:dyDescent="0.25">
      <c r="A43" s="82" t="s">
        <v>322</v>
      </c>
      <c r="B43" s="82" t="s">
        <v>323</v>
      </c>
      <c r="C43" s="82" t="s">
        <v>324</v>
      </c>
      <c r="D43" s="84">
        <f t="shared" si="8"/>
        <v>100</v>
      </c>
      <c r="E43" s="128">
        <f t="shared" si="7"/>
        <v>52.823529411764703</v>
      </c>
      <c r="F43" s="86" t="s">
        <v>199</v>
      </c>
      <c r="G43" s="102">
        <f>_xlfn.IFNA(VLOOKUP(B43,'NY Sole Source'!A:B,2,FALSE), D43*0.7)</f>
        <v>79</v>
      </c>
      <c r="H43" s="102" t="str">
        <f>_xlfn.IFNA(VLOOKUP(B43,'NY Sole Source'!A:B,1,FALSE),"NNY-"&amp;B43)</f>
        <v>HW-Backdrop</v>
      </c>
      <c r="I43" s="106">
        <f>IF(NOT(ISNA(VLOOKUP(B43,'FL Contract Prices'!$A$2:$C$71,3,FALSE))),VLOOKUP(B43,'FL Contract Prices'!$A$2:$C$71,3,FALSE),ROUND(D43*0.7,-1))</f>
        <v>70</v>
      </c>
      <c r="J43" s="106" t="str">
        <f>IF(NOT(ISNA(VLOOKUP(B43,'FL Part Num Mapping'!$A$2:$B$71,1,FALSE))),VLOOKUP(B43,'FL Part Num Mapping'!$A$2:$B$71,2,FALSE),"NFL "&amp; B43)</f>
        <v>NFL HW-Backdrop</v>
      </c>
      <c r="K43" s="102">
        <v>1E-4</v>
      </c>
      <c r="L43" s="146" t="str">
        <f t="shared" si="12"/>
        <v>NLA HW-Backdrop</v>
      </c>
      <c r="M43" s="146"/>
      <c r="N43" s="146"/>
      <c r="O43" s="155"/>
      <c r="P43" s="150">
        <v>40</v>
      </c>
      <c r="Q43" s="48"/>
      <c r="R43" s="88">
        <v>3</v>
      </c>
      <c r="S43" s="88">
        <f>3*48</f>
        <v>144</v>
      </c>
      <c r="T43" s="48">
        <f t="shared" si="11"/>
        <v>2.8235294117647061</v>
      </c>
      <c r="U43" s="48" t="s">
        <v>179</v>
      </c>
      <c r="V43" s="48">
        <f t="shared" si="13"/>
        <v>10</v>
      </c>
      <c r="W43" s="83"/>
      <c r="X43" s="83" t="s">
        <v>325</v>
      </c>
    </row>
    <row r="44" spans="1:24" ht="30" x14ac:dyDescent="0.25">
      <c r="A44" s="82" t="s">
        <v>326</v>
      </c>
      <c r="B44" s="82" t="s">
        <v>327</v>
      </c>
      <c r="C44" s="82" t="s">
        <v>328</v>
      </c>
      <c r="D44" s="84">
        <f t="shared" si="8"/>
        <v>60</v>
      </c>
      <c r="E44" s="128">
        <f t="shared" si="7"/>
        <v>30.052287581699346</v>
      </c>
      <c r="F44" s="86" t="s">
        <v>199</v>
      </c>
      <c r="G44" s="102">
        <f>_xlfn.IFNA(VLOOKUP(B44,'NY Sole Source'!A:B,2,FALSE), D44*0.7)</f>
        <v>42</v>
      </c>
      <c r="H44" s="102" t="str">
        <f>_xlfn.IFNA(VLOOKUP(B44,'NY Sole Source'!A:B,1,FALSE),"NNY-"&amp;B44)</f>
        <v>NNY-HW-CamHotShoe</v>
      </c>
      <c r="I44" s="106">
        <f>IF(NOT(ISNA(VLOOKUP(B44,'FL Contract Prices'!$A$2:$C$71,3,FALSE))),VLOOKUP(B44,'FL Contract Prices'!$A$2:$C$71,3,FALSE),ROUND(D44*0.7,-1))</f>
        <v>40</v>
      </c>
      <c r="J44" s="106" t="str">
        <f>IF(NOT(ISNA(VLOOKUP(B44,'FL Part Num Mapping'!$A$2:$B$71,1,FALSE))),VLOOKUP(B44,'FL Part Num Mapping'!$A$2:$B$71,2,FALSE),"NFL "&amp; B44)</f>
        <v>NFL HW-CamHotShoe</v>
      </c>
      <c r="K44" s="102">
        <v>1E-4</v>
      </c>
      <c r="L44" s="146" t="str">
        <f t="shared" si="12"/>
        <v>NLA HW-CamHotShoe</v>
      </c>
      <c r="M44" s="146"/>
      <c r="N44" s="146"/>
      <c r="O44" s="155"/>
      <c r="P44" s="150">
        <v>20</v>
      </c>
      <c r="Q44" s="48">
        <v>0</v>
      </c>
      <c r="R44" s="88">
        <v>2</v>
      </c>
      <c r="S44" s="88">
        <f>2*2</f>
        <v>4</v>
      </c>
      <c r="T44" s="48">
        <f t="shared" si="11"/>
        <v>5.2287581699346407E-2</v>
      </c>
      <c r="U44" s="48" t="s">
        <v>179</v>
      </c>
      <c r="V44" s="48">
        <f t="shared" si="13"/>
        <v>10</v>
      </c>
      <c r="W44" s="83"/>
      <c r="X44" s="83" t="s">
        <v>329</v>
      </c>
    </row>
    <row r="45" spans="1:24" ht="30" x14ac:dyDescent="0.25">
      <c r="A45" s="82" t="s">
        <v>330</v>
      </c>
      <c r="B45" s="82" t="s">
        <v>331</v>
      </c>
      <c r="C45" s="82" t="s">
        <v>332</v>
      </c>
      <c r="D45" s="84">
        <f t="shared" si="8"/>
        <v>90</v>
      </c>
      <c r="E45" s="128">
        <f t="shared" si="7"/>
        <v>50.313725490196077</v>
      </c>
      <c r="F45" s="86" t="s">
        <v>199</v>
      </c>
      <c r="G45" s="102">
        <f>_xlfn.IFNA(VLOOKUP(B45,'NY Sole Source'!A:B,2,FALSE), D45*0.7)</f>
        <v>71.099999999999994</v>
      </c>
      <c r="H45" s="102" t="str">
        <f>_xlfn.IFNA(VLOOKUP(B45,'NY Sole Source'!A:B,1,FALSE),"NNY-"&amp;B45)</f>
        <v>HW-CamFlashFilter</v>
      </c>
      <c r="I45" s="106">
        <f>IF(NOT(ISNA(VLOOKUP(B45,'FL Contract Prices'!$A$2:$C$71,3,FALSE))),VLOOKUP(B45,'FL Contract Prices'!$A$2:$C$71,3,FALSE),ROUND(D45*0.7,-1))</f>
        <v>60</v>
      </c>
      <c r="J45" s="106" t="str">
        <f>IF(NOT(ISNA(VLOOKUP(B45,'FL Part Num Mapping'!$A$2:$B$71,1,FALSE))),VLOOKUP(B45,'FL Part Num Mapping'!$A$2:$B$71,2,FALSE),"NFL "&amp; B45)</f>
        <v>NFL HW-CamFlashFilter</v>
      </c>
      <c r="K45" s="102">
        <v>1E-4</v>
      </c>
      <c r="L45" s="146" t="str">
        <f t="shared" si="12"/>
        <v>NLA HW-CamFlashFilter</v>
      </c>
      <c r="M45" s="146"/>
      <c r="N45" s="146"/>
      <c r="O45" s="155"/>
      <c r="P45" s="150">
        <v>40</v>
      </c>
      <c r="Q45" s="48"/>
      <c r="R45" s="88">
        <v>2</v>
      </c>
      <c r="S45" s="88">
        <f>4*6</f>
        <v>24</v>
      </c>
      <c r="T45" s="48">
        <f t="shared" si="11"/>
        <v>0.31372549019607843</v>
      </c>
      <c r="U45" s="48" t="s">
        <v>179</v>
      </c>
      <c r="V45" s="48">
        <f t="shared" si="13"/>
        <v>10</v>
      </c>
      <c r="W45" s="83"/>
      <c r="X45" s="83" t="s">
        <v>333</v>
      </c>
    </row>
    <row r="46" spans="1:24" ht="30" x14ac:dyDescent="0.25">
      <c r="A46" s="82" t="s">
        <v>334</v>
      </c>
      <c r="B46" s="82" t="s">
        <v>335</v>
      </c>
      <c r="C46" s="82" t="s">
        <v>334</v>
      </c>
      <c r="D46" s="84">
        <f t="shared" si="8"/>
        <v>1280</v>
      </c>
      <c r="E46" s="128">
        <f t="shared" si="7"/>
        <v>730.82352941176475</v>
      </c>
      <c r="F46" s="86" t="s">
        <v>199</v>
      </c>
      <c r="G46" s="102">
        <f>_xlfn.IFNA(VLOOKUP(B46,'NY Sole Source'!A:B,2,FALSE), D46*0.7)</f>
        <v>1011.2</v>
      </c>
      <c r="H46" s="102" t="str">
        <f>_xlfn.IFNA(VLOOKUP(B46,'NY Sole Source'!A:B,1,FALSE),"NNY-"&amp;B46)</f>
        <v>HW-CamPackage</v>
      </c>
      <c r="I46" s="106">
        <f>IF(NOT(ISNA(VLOOKUP(B46,'FL Contract Prices'!$A$2:$C$71,3,FALSE))),VLOOKUP(B46,'FL Contract Prices'!$A$2:$C$71,3,FALSE),ROUND(D46*0.7,-1))</f>
        <v>1636.2419999999997</v>
      </c>
      <c r="J46" s="106" t="str">
        <f>IF(NOT(ISNA(VLOOKUP(B46,'FL Part Num Mapping'!$A$2:$B$71,1,FALSE))),VLOOKUP(B46,'FL Part Num Mapping'!$A$2:$B$71,2,FALSE),"NFL "&amp; B46)</f>
        <v>ACC-DSLR-RF-TRI</v>
      </c>
      <c r="K46" s="102">
        <v>1E-4</v>
      </c>
      <c r="L46" s="146" t="str">
        <f t="shared" si="12"/>
        <v>NLA HW-CamPackage</v>
      </c>
      <c r="M46" s="146"/>
      <c r="N46" s="146"/>
      <c r="O46" s="155"/>
      <c r="P46" s="150">
        <f>P$42+P$41+P$44+P$49+P$45</f>
        <v>720</v>
      </c>
      <c r="Q46" s="48">
        <v>0</v>
      </c>
      <c r="R46" s="88">
        <v>2</v>
      </c>
      <c r="S46" s="88">
        <f>9*7</f>
        <v>63</v>
      </c>
      <c r="T46" s="48">
        <f t="shared" si="11"/>
        <v>0.82352941176470595</v>
      </c>
      <c r="U46" s="48" t="s">
        <v>179</v>
      </c>
      <c r="V46" s="48">
        <f t="shared" si="13"/>
        <v>10</v>
      </c>
      <c r="W46" s="83"/>
      <c r="X46" s="83" t="s">
        <v>321</v>
      </c>
    </row>
    <row r="47" spans="1:24" ht="45" x14ac:dyDescent="0.25">
      <c r="A47" s="82" t="s">
        <v>336</v>
      </c>
      <c r="B47" s="82" t="s">
        <v>337</v>
      </c>
      <c r="C47" s="82" t="s">
        <v>338</v>
      </c>
      <c r="D47" s="84">
        <f t="shared" si="8"/>
        <v>2580</v>
      </c>
      <c r="E47" s="128">
        <f t="shared" si="7"/>
        <v>1480.8235294117646</v>
      </c>
      <c r="F47" s="86" t="s">
        <v>199</v>
      </c>
      <c r="G47" s="102">
        <f>_xlfn.IFNA(VLOOKUP(B47,'NY Sole Source'!A:B,2,FALSE), D47*0.7)</f>
        <v>2038.2</v>
      </c>
      <c r="H47" s="102" t="str">
        <f>_xlfn.IFNA(VLOOKUP(B47,'NY Sole Source'!A:B,1,FALSE),"NNY-"&amp;B47)</f>
        <v>HW-CamPackageC</v>
      </c>
      <c r="I47" s="106">
        <f>IF(NOT(ISNA(VLOOKUP(B47,'FL Contract Prices'!$A$2:$C$71,3,FALSE))),VLOOKUP(B47,'FL Contract Prices'!$A$2:$C$71,3,FALSE),ROUND(D47*0.7,-1))</f>
        <v>1810</v>
      </c>
      <c r="J47" s="106" t="str">
        <f>IF(NOT(ISNA(VLOOKUP(B47,'FL Part Num Mapping'!$A$2:$B$71,1,FALSE))),VLOOKUP(B47,'FL Part Num Mapping'!$A$2:$B$71,2,FALSE),"NFL "&amp; B47)</f>
        <v>NFL HW-CamPackageC</v>
      </c>
      <c r="K47" s="102">
        <v>1E-4</v>
      </c>
      <c r="L47" s="146" t="str">
        <f t="shared" si="12"/>
        <v>NLA HW-CamPackageC</v>
      </c>
      <c r="M47" s="146"/>
      <c r="N47" s="146"/>
      <c r="O47" s="155"/>
      <c r="P47" s="150">
        <f>P$42+P$41+P$44+P$48+P$31</f>
        <v>1470</v>
      </c>
      <c r="Q47" s="48">
        <v>0</v>
      </c>
      <c r="R47" s="88">
        <v>2</v>
      </c>
      <c r="S47" s="88">
        <f>9*7</f>
        <v>63</v>
      </c>
      <c r="T47" s="48">
        <f t="shared" si="11"/>
        <v>0.82352941176470595</v>
      </c>
      <c r="U47" s="48" t="s">
        <v>179</v>
      </c>
      <c r="V47" s="48">
        <f t="shared" si="13"/>
        <v>10</v>
      </c>
      <c r="W47" s="83"/>
      <c r="X47" s="83" t="s">
        <v>321</v>
      </c>
    </row>
    <row r="48" spans="1:24" ht="30" x14ac:dyDescent="0.25">
      <c r="A48" s="82" t="s">
        <v>339</v>
      </c>
      <c r="B48" s="82" t="s">
        <v>340</v>
      </c>
      <c r="C48" s="82" t="s">
        <v>341</v>
      </c>
      <c r="D48" s="84">
        <f t="shared" si="8"/>
        <v>850</v>
      </c>
      <c r="E48" s="128">
        <f t="shared" si="7"/>
        <v>484.28209150326802</v>
      </c>
      <c r="F48" s="86" t="s">
        <v>199</v>
      </c>
      <c r="G48" s="102">
        <f>_xlfn.IFNA(VLOOKUP(B48,'NY Sole Source'!A:B,2,FALSE), D48*0.7)</f>
        <v>671.5</v>
      </c>
      <c r="H48" s="102" t="str">
        <f>_xlfn.IFNA(VLOOKUP(B48,'NY Sole Source'!A:B,1,FALSE),"NNY-"&amp;B48)</f>
        <v>HW-CamFlashRing</v>
      </c>
      <c r="I48" s="106">
        <f>IF(NOT(ISNA(VLOOKUP(B48,'FL Contract Prices'!$A$2:$C$71,3,FALSE))),VLOOKUP(B48,'FL Contract Prices'!$A$2:$C$71,3,FALSE),ROUND(D48*0.7,-1))</f>
        <v>600</v>
      </c>
      <c r="J48" s="106" t="str">
        <f>IF(NOT(ISNA(VLOOKUP(B48,'FL Part Num Mapping'!$A$2:$B$71,1,FALSE))),VLOOKUP(B48,'FL Part Num Mapping'!$A$2:$B$71,2,FALSE),"NFL "&amp; B48)</f>
        <v>NFL HW-CamFlashRing</v>
      </c>
      <c r="K48" s="102">
        <v>1E-4</v>
      </c>
      <c r="L48" s="146" t="str">
        <f t="shared" si="12"/>
        <v>NLA HW-CamFlashRing</v>
      </c>
      <c r="M48" s="146"/>
      <c r="N48" s="146"/>
      <c r="O48" s="155"/>
      <c r="P48" s="150">
        <v>450</v>
      </c>
      <c r="Q48" s="48">
        <f>108.6/5</f>
        <v>21.72</v>
      </c>
      <c r="R48" s="88">
        <v>2</v>
      </c>
      <c r="S48" s="88">
        <f>14*14</f>
        <v>196</v>
      </c>
      <c r="T48" s="48">
        <f t="shared" si="11"/>
        <v>2.5620915032679736</v>
      </c>
      <c r="U48" s="48" t="s">
        <v>179</v>
      </c>
      <c r="V48" s="48">
        <f t="shared" si="13"/>
        <v>10</v>
      </c>
      <c r="W48" s="83"/>
      <c r="X48" s="83" t="s">
        <v>342</v>
      </c>
    </row>
    <row r="49" spans="1:24" ht="30" x14ac:dyDescent="0.25">
      <c r="A49" s="82" t="s">
        <v>343</v>
      </c>
      <c r="B49" s="82" t="s">
        <v>344</v>
      </c>
      <c r="C49" s="82" t="s">
        <v>345</v>
      </c>
      <c r="D49" s="84">
        <f t="shared" si="8"/>
        <v>130</v>
      </c>
      <c r="E49" s="128">
        <f t="shared" si="7"/>
        <v>72.823529411764696</v>
      </c>
      <c r="F49" s="86" t="s">
        <v>199</v>
      </c>
      <c r="G49" s="102">
        <f>_xlfn.IFNA(VLOOKUP(B49,'NY Sole Source'!A:B,2,FALSE), D49*0.7)</f>
        <v>91</v>
      </c>
      <c r="H49" s="102" t="str">
        <f>_xlfn.IFNA(VLOOKUP(B49,'NY Sole Source'!A:B,1,FALSE),"NNY-"&amp;B49)</f>
        <v>NNY-HW-CamTripod</v>
      </c>
      <c r="I49" s="106">
        <f>IF(NOT(ISNA(VLOOKUP(B49,'FL Contract Prices'!$A$2:$C$71,3,FALSE))),VLOOKUP(B49,'FL Contract Prices'!$A$2:$C$71,3,FALSE),ROUND(D49*0.7,-1))</f>
        <v>90</v>
      </c>
      <c r="J49" s="106" t="str">
        <f>IF(NOT(ISNA(VLOOKUP(B49,'FL Part Num Mapping'!$A$2:$B$71,1,FALSE))),VLOOKUP(B49,'FL Part Num Mapping'!$A$2:$B$71,2,FALSE),"NFL "&amp; B49)</f>
        <v>NFL HW-CamTripod</v>
      </c>
      <c r="K49" s="102">
        <v>1E-4</v>
      </c>
      <c r="L49" s="146" t="str">
        <f t="shared" si="12"/>
        <v>NLA HW-CamTripod</v>
      </c>
      <c r="M49" s="146"/>
      <c r="N49" s="146"/>
      <c r="O49" s="155"/>
      <c r="P49" s="150">
        <v>60</v>
      </c>
      <c r="Q49" s="48"/>
      <c r="R49" s="88">
        <v>3</v>
      </c>
      <c r="S49" s="88">
        <f>6*24</f>
        <v>144</v>
      </c>
      <c r="T49" s="48">
        <f t="shared" si="11"/>
        <v>2.8235294117647061</v>
      </c>
      <c r="U49" s="48" t="s">
        <v>179</v>
      </c>
      <c r="V49" s="48">
        <f t="shared" si="13"/>
        <v>10</v>
      </c>
      <c r="W49" s="83"/>
      <c r="X49" s="83" t="s">
        <v>346</v>
      </c>
    </row>
    <row r="50" spans="1:24" ht="30" x14ac:dyDescent="0.25">
      <c r="A50" s="82" t="s">
        <v>347</v>
      </c>
      <c r="B50" s="82" t="s">
        <v>348</v>
      </c>
      <c r="C50" s="82" t="s">
        <v>349</v>
      </c>
      <c r="D50" s="84">
        <f t="shared" si="8"/>
        <v>220</v>
      </c>
      <c r="E50" s="128">
        <f t="shared" si="7"/>
        <v>121.88235294117646</v>
      </c>
      <c r="F50" s="86" t="s">
        <v>199</v>
      </c>
      <c r="G50" s="102">
        <f>_xlfn.IFNA(VLOOKUP(B50,'NY Sole Source'!A:B,2,FALSE), D50*0.7)</f>
        <v>154</v>
      </c>
      <c r="H50" s="102" t="str">
        <f>_xlfn.IFNA(VLOOKUP(B50,'NY Sole Source'!A:B,1,FALSE),"NNY-"&amp;B50)</f>
        <v>NNY-HW-CamWebcam</v>
      </c>
      <c r="I50" s="106">
        <f>IF(NOT(ISNA(VLOOKUP(B50,'FL Contract Prices'!$A$2:$C$71,3,FALSE))),VLOOKUP(B50,'FL Contract Prices'!$A$2:$C$71,3,FALSE),ROUND(D50*0.7,-1))</f>
        <v>150</v>
      </c>
      <c r="J50" s="106" t="str">
        <f>IF(NOT(ISNA(VLOOKUP(B50,'FL Part Num Mapping'!$A$2:$B$71,1,FALSE))),VLOOKUP(B50,'FL Part Num Mapping'!$A$2:$B$71,2,FALSE),"NFL "&amp; B50)</f>
        <v>NFL HW-CamWebcam</v>
      </c>
      <c r="K50" s="102">
        <v>1E-4</v>
      </c>
      <c r="L50" s="146" t="str">
        <f t="shared" si="12"/>
        <v>NLA HW-CamWebcam</v>
      </c>
      <c r="M50" s="146"/>
      <c r="N50" s="146"/>
      <c r="O50" s="155"/>
      <c r="P50" s="150">
        <v>110</v>
      </c>
      <c r="Q50" s="48"/>
      <c r="R50" s="88">
        <v>2</v>
      </c>
      <c r="S50" s="88">
        <f>12*12</f>
        <v>144</v>
      </c>
      <c r="T50" s="48">
        <f t="shared" si="11"/>
        <v>1.8823529411764708</v>
      </c>
      <c r="U50" s="48" t="s">
        <v>179</v>
      </c>
      <c r="V50" s="48">
        <f t="shared" si="13"/>
        <v>10</v>
      </c>
      <c r="W50" s="83"/>
      <c r="X50" s="83" t="s">
        <v>350</v>
      </c>
    </row>
    <row r="51" spans="1:24" ht="30" x14ac:dyDescent="0.25">
      <c r="A51" s="82" t="s">
        <v>351</v>
      </c>
      <c r="B51" s="82" t="s">
        <v>352</v>
      </c>
      <c r="C51" s="82" t="s">
        <v>353</v>
      </c>
      <c r="D51" s="84">
        <f t="shared" ref="D51" si="14">IF(E51&lt;20, ROUNDUP(E51/0.575,0), ROUNDUP(E51/0.575,-1))</f>
        <v>410</v>
      </c>
      <c r="E51" s="128">
        <f t="shared" ref="E51" si="15">P51+Q51+T51+V51</f>
        <v>231.88235294117646</v>
      </c>
      <c r="F51" s="86" t="s">
        <v>199</v>
      </c>
      <c r="G51" s="102">
        <f>_xlfn.IFNA(VLOOKUP(B51,'NY Sole Source'!A:B,2,FALSE), D51*0.7)</f>
        <v>287</v>
      </c>
      <c r="H51" s="102" t="str">
        <f>_xlfn.IFNA(VLOOKUP(B51,'NY Sole Source'!A:B,1,FALSE),"NNY-"&amp;B51)</f>
        <v>NNY-HW-CamWebcam-4K</v>
      </c>
      <c r="I51" s="106">
        <f>IF(NOT(ISNA(VLOOKUP(B51,'FL Contract Prices'!$A$2:$C$71,3,FALSE))),VLOOKUP(B51,'FL Contract Prices'!$A$2:$C$71,3,FALSE),ROUND(D51*0.7,-1))</f>
        <v>290</v>
      </c>
      <c r="J51" s="106" t="str">
        <f>IF(NOT(ISNA(VLOOKUP(B51,'FL Part Num Mapping'!$A$2:$B$71,1,FALSE))),VLOOKUP(B51,'FL Part Num Mapping'!$A$2:$B$71,2,FALSE),"NFL "&amp; B51)</f>
        <v>NFL HW-CamWebcam-4K</v>
      </c>
      <c r="K51" s="102">
        <v>1E-4</v>
      </c>
      <c r="L51" s="146" t="str">
        <f t="shared" ref="L51" si="16">"NLA "&amp;B51</f>
        <v>NLA HW-CamWebcam-4K</v>
      </c>
      <c r="M51" s="146"/>
      <c r="N51" s="146"/>
      <c r="O51" s="155"/>
      <c r="P51" s="150">
        <v>220</v>
      </c>
      <c r="Q51" s="48"/>
      <c r="R51" s="88">
        <v>2</v>
      </c>
      <c r="S51" s="88">
        <f>12*12</f>
        <v>144</v>
      </c>
      <c r="T51" s="48">
        <f t="shared" ref="T51" si="17">(24000/8500)*(S51/12/12)/3*R51</f>
        <v>1.8823529411764708</v>
      </c>
      <c r="U51" s="48" t="s">
        <v>179</v>
      </c>
      <c r="V51" s="48">
        <f t="shared" ref="V51" si="18">IF(U51="Bulk",0,IF(U51="Std", 10,IF(U51="Pickup",20,30)))/60*60</f>
        <v>10</v>
      </c>
      <c r="W51" s="83"/>
      <c r="X51" s="83" t="s">
        <v>350</v>
      </c>
    </row>
    <row r="52" spans="1:24" ht="30" x14ac:dyDescent="0.25">
      <c r="A52" s="82" t="s">
        <v>354</v>
      </c>
      <c r="B52" s="82" t="s">
        <v>355</v>
      </c>
      <c r="C52" s="82" t="s">
        <v>356</v>
      </c>
      <c r="D52" s="84">
        <f t="shared" si="8"/>
        <v>370</v>
      </c>
      <c r="E52" s="128">
        <f t="shared" si="7"/>
        <v>210</v>
      </c>
      <c r="F52" s="86" t="s">
        <v>199</v>
      </c>
      <c r="G52" s="102">
        <f>_xlfn.IFNA(VLOOKUP(B52,'NY Sole Source'!A:B,2,FALSE), D52*0.7)</f>
        <v>292.3</v>
      </c>
      <c r="H52" s="102" t="str">
        <f>_xlfn.IFNA(VLOOKUP(B52,'NY Sole Source'!A:B,1,FALSE),"NNY-"&amp;B52)</f>
        <v>HW-CamLensExt</v>
      </c>
      <c r="I52" s="106">
        <f>IF(NOT(ISNA(VLOOKUP(B52,'FL Contract Prices'!$A$2:$C$71,3,FALSE))),VLOOKUP(B52,'FL Contract Prices'!$A$2:$C$71,3,FALSE),ROUND(D52*0.7,-1))</f>
        <v>260</v>
      </c>
      <c r="J52" s="106" t="str">
        <f>IF(NOT(ISNA(VLOOKUP(B52,'FL Part Num Mapping'!$A$2:$B$71,1,FALSE))),VLOOKUP(B52,'FL Part Num Mapping'!$A$2:$B$71,2,FALSE),"NFL "&amp; B52)</f>
        <v>NFL HW-CamLensExt</v>
      </c>
      <c r="K52" s="102">
        <v>1E-4</v>
      </c>
      <c r="L52" s="146" t="str">
        <f t="shared" si="12"/>
        <v>NLA HW-CamLensExt</v>
      </c>
      <c r="M52" s="146"/>
      <c r="N52" s="146"/>
      <c r="O52" s="155"/>
      <c r="P52" s="150">
        <v>200</v>
      </c>
      <c r="Q52" s="48"/>
      <c r="R52" s="88"/>
      <c r="S52" s="88"/>
      <c r="T52" s="48">
        <f t="shared" si="11"/>
        <v>0</v>
      </c>
      <c r="U52" s="48" t="s">
        <v>179</v>
      </c>
      <c r="V52" s="48">
        <f t="shared" si="13"/>
        <v>10</v>
      </c>
      <c r="W52" s="83"/>
      <c r="X52" s="83" t="s">
        <v>357</v>
      </c>
    </row>
    <row r="53" spans="1:24" ht="30" x14ac:dyDescent="0.25">
      <c r="A53" s="82" t="s">
        <v>358</v>
      </c>
      <c r="B53" s="82" t="s">
        <v>359</v>
      </c>
      <c r="C53" s="82" t="s">
        <v>360</v>
      </c>
      <c r="D53" s="84">
        <f t="shared" si="8"/>
        <v>240</v>
      </c>
      <c r="E53" s="128">
        <f t="shared" si="7"/>
        <v>134.11764705882354</v>
      </c>
      <c r="F53" s="86" t="s">
        <v>199</v>
      </c>
      <c r="G53" s="102">
        <f>_xlfn.IFNA(VLOOKUP(B53,'NY Sole Source'!A:B,2,FALSE), D53*0.7)</f>
        <v>189.60000000000002</v>
      </c>
      <c r="H53" s="102" t="str">
        <f>_xlfn.IFNA(VLOOKUP(B53,'NY Sole Source'!A:B,1,FALSE),"NNY-"&amp;B53)</f>
        <v>HW-Case-Backpack</v>
      </c>
      <c r="I53" s="106">
        <f>IF(NOT(ISNA(VLOOKUP(B53,'FL Contract Prices'!$A$2:$C$71,3,FALSE))),VLOOKUP(B53,'FL Contract Prices'!$A$2:$C$71,3,FALSE),ROUND(D53*0.7,-1))</f>
        <v>170</v>
      </c>
      <c r="J53" s="106" t="str">
        <f>IF(NOT(ISNA(VLOOKUP(B53,'FL Part Num Mapping'!$A$2:$B$71,1,FALSE))),VLOOKUP(B53,'FL Part Num Mapping'!$A$2:$B$71,2,FALSE),"NFL "&amp; B53)</f>
        <v>NFL HW-Case-Backpack</v>
      </c>
      <c r="K53" s="102">
        <v>1E-4</v>
      </c>
      <c r="L53" s="146" t="str">
        <f t="shared" si="12"/>
        <v>NLA HW-Case-Backpack</v>
      </c>
      <c r="M53" s="146"/>
      <c r="N53" s="146"/>
      <c r="O53" s="155"/>
      <c r="P53" s="150">
        <v>110</v>
      </c>
      <c r="Q53" s="48"/>
      <c r="R53" s="88">
        <v>3</v>
      </c>
      <c r="S53" s="88">
        <f>24*30</f>
        <v>720</v>
      </c>
      <c r="T53" s="48">
        <f t="shared" si="11"/>
        <v>14.117647058823529</v>
      </c>
      <c r="U53" s="48" t="s">
        <v>179</v>
      </c>
      <c r="V53" s="48">
        <f t="shared" si="13"/>
        <v>10</v>
      </c>
      <c r="W53" s="83"/>
      <c r="X53" s="83" t="s">
        <v>361</v>
      </c>
    </row>
    <row r="54" spans="1:24" ht="45" x14ac:dyDescent="0.25">
      <c r="A54" s="82" t="s">
        <v>362</v>
      </c>
      <c r="B54" s="82" t="s">
        <v>363</v>
      </c>
      <c r="C54" s="82" t="s">
        <v>364</v>
      </c>
      <c r="D54" s="84">
        <f t="shared" si="8"/>
        <v>1780</v>
      </c>
      <c r="E54" s="128">
        <f t="shared" ref="E54:E86" si="19">P54+Q54+T54+V54</f>
        <v>1019.1176470588235</v>
      </c>
      <c r="F54" s="86" t="s">
        <v>199</v>
      </c>
      <c r="G54" s="102">
        <f>_xlfn.IFNA(VLOOKUP(B54,'NY Sole Source'!A:B,2,FALSE), D54*0.7)</f>
        <v>1406.2</v>
      </c>
      <c r="H54" s="102" t="str">
        <f>_xlfn.IFNA(VLOOKUP(B54,'NY Sole Source'!A:B,1,FALSE),"NNY-"&amp;B54)</f>
        <v>HW-Case-InCase</v>
      </c>
      <c r="I54" s="106">
        <f>IF(NOT(ISNA(VLOOKUP(B54,'FL Contract Prices'!$A$2:$C$71,3,FALSE))),VLOOKUP(B54,'FL Contract Prices'!$A$2:$C$71,3,FALSE),ROUND(D54*0.7,-1))</f>
        <v>1250</v>
      </c>
      <c r="J54" s="106" t="str">
        <f>IF(NOT(ISNA(VLOOKUP(B54,'FL Part Num Mapping'!$A$2:$B$71,1,FALSE))),VLOOKUP(B54,'FL Part Num Mapping'!$A$2:$B$71,2,FALSE),"NFL "&amp; B54)</f>
        <v>NFL HW-Case-InCase</v>
      </c>
      <c r="K54" s="102">
        <v>1E-4</v>
      </c>
      <c r="L54" s="146" t="str">
        <f t="shared" si="12"/>
        <v>NLA HW-Case-InCase</v>
      </c>
      <c r="M54" s="146"/>
      <c r="N54" s="146"/>
      <c r="O54" s="155"/>
      <c r="P54" s="150">
        <v>995</v>
      </c>
      <c r="Q54" s="48"/>
      <c r="R54" s="88">
        <v>3</v>
      </c>
      <c r="S54" s="88">
        <f>24*30</f>
        <v>720</v>
      </c>
      <c r="T54" s="48">
        <f t="shared" si="11"/>
        <v>14.117647058823529</v>
      </c>
      <c r="U54" s="48" t="s">
        <v>179</v>
      </c>
      <c r="V54" s="48">
        <f t="shared" si="13"/>
        <v>10</v>
      </c>
      <c r="W54" s="83" t="s">
        <v>365</v>
      </c>
      <c r="X54" s="83" t="s">
        <v>366</v>
      </c>
    </row>
    <row r="55" spans="1:24" ht="30" x14ac:dyDescent="0.25">
      <c r="A55" s="82" t="s">
        <v>367</v>
      </c>
      <c r="B55" s="82" t="s">
        <v>368</v>
      </c>
      <c r="C55" s="82" t="s">
        <v>369</v>
      </c>
      <c r="D55" s="84">
        <f t="shared" si="8"/>
        <v>730</v>
      </c>
      <c r="E55" s="128">
        <f t="shared" si="19"/>
        <v>414.41176470588238</v>
      </c>
      <c r="F55" s="86" t="s">
        <v>199</v>
      </c>
      <c r="G55" s="102">
        <f>_xlfn.IFNA(VLOOKUP(B55,'NY Sole Source'!A:B,2,FALSE), D55*0.7)</f>
        <v>576.70000000000005</v>
      </c>
      <c r="H55" s="102" t="str">
        <f>_xlfn.IFNA(VLOOKUP(B55,'NY Sole Source'!A:B,1,FALSE),"NNY-"&amp;B55)</f>
        <v>HW-Case-TP</v>
      </c>
      <c r="I55" s="106">
        <f>IF(NOT(ISNA(VLOOKUP(B55,'FL Contract Prices'!$A$2:$C$71,3,FALSE))),VLOOKUP(B55,'FL Contract Prices'!$A$2:$C$71,3,FALSE),ROUND(D55*0.7,-1))</f>
        <v>510</v>
      </c>
      <c r="J55" s="106" t="str">
        <f>IF(NOT(ISNA(VLOOKUP(B55,'FL Part Num Mapping'!$A$2:$B$71,1,FALSE))),VLOOKUP(B55,'FL Part Num Mapping'!$A$2:$B$71,2,FALSE),"NFL "&amp; B55)</f>
        <v>NFL HW-Case-TP</v>
      </c>
      <c r="K55" s="102">
        <v>1E-4</v>
      </c>
      <c r="L55" s="146" t="str">
        <f t="shared" si="12"/>
        <v>NLA HW-Case-TP</v>
      </c>
      <c r="M55" s="146"/>
      <c r="N55" s="146"/>
      <c r="O55" s="155"/>
      <c r="P55" s="150">
        <v>395</v>
      </c>
      <c r="Q55" s="48"/>
      <c r="R55" s="88">
        <v>3</v>
      </c>
      <c r="S55" s="88">
        <f>24*20</f>
        <v>480</v>
      </c>
      <c r="T55" s="48">
        <f t="shared" si="11"/>
        <v>9.4117647058823533</v>
      </c>
      <c r="U55" s="48" t="s">
        <v>179</v>
      </c>
      <c r="V55" s="48">
        <f t="shared" si="13"/>
        <v>10</v>
      </c>
      <c r="W55" s="83" t="s">
        <v>370</v>
      </c>
      <c r="X55" s="83" t="s">
        <v>371</v>
      </c>
    </row>
    <row r="56" spans="1:24" ht="30" x14ac:dyDescent="0.25">
      <c r="A56" s="82" t="s">
        <v>372</v>
      </c>
      <c r="B56" s="82" t="s">
        <v>373</v>
      </c>
      <c r="C56" s="82" t="s">
        <v>374</v>
      </c>
      <c r="D56" s="84">
        <f t="shared" ref="D56:D88" si="20">IF(E56&lt;20, ROUNDUP(E56/0.575,0), ROUNDUP(E56/0.575,-1))</f>
        <v>910</v>
      </c>
      <c r="E56" s="128">
        <f t="shared" si="19"/>
        <v>519.11764705882354</v>
      </c>
      <c r="F56" s="86" t="s">
        <v>199</v>
      </c>
      <c r="G56" s="102">
        <f>_xlfn.IFNA(VLOOKUP(B56,'NY Sole Source'!A:B,2,FALSE), D56*0.7)</f>
        <v>718.9</v>
      </c>
      <c r="H56" s="102" t="str">
        <f>_xlfn.IFNA(VLOOKUP(B56,'NY Sole Source'!A:B,1,FALSE),"NNY-"&amp;B56)</f>
        <v>HW-Case-PP</v>
      </c>
      <c r="I56" s="106">
        <f>IF(NOT(ISNA(VLOOKUP(B56,'FL Contract Prices'!$A$2:$C$71,3,FALSE))),VLOOKUP(B56,'FL Contract Prices'!$A$2:$C$71,3,FALSE),ROUND(D56*0.7,-1))</f>
        <v>640</v>
      </c>
      <c r="J56" s="106" t="str">
        <f>IF(NOT(ISNA(VLOOKUP(B56,'FL Part Num Mapping'!$A$2:$B$71,1,FALSE))),VLOOKUP(B56,'FL Part Num Mapping'!$A$2:$B$71,2,FALSE),"NFL "&amp; B56)</f>
        <v>NFL HW-Case-PP</v>
      </c>
      <c r="K56" s="102">
        <v>1E-4</v>
      </c>
      <c r="L56" s="146" t="str">
        <f t="shared" si="12"/>
        <v>NLA HW-Case-PP</v>
      </c>
      <c r="M56" s="146"/>
      <c r="N56" s="146"/>
      <c r="O56" s="155"/>
      <c r="P56" s="150">
        <v>495</v>
      </c>
      <c r="Q56" s="48"/>
      <c r="R56" s="88">
        <v>3</v>
      </c>
      <c r="S56" s="88">
        <f>24*30</f>
        <v>720</v>
      </c>
      <c r="T56" s="48">
        <f t="shared" si="11"/>
        <v>14.117647058823529</v>
      </c>
      <c r="U56" s="48" t="s">
        <v>179</v>
      </c>
      <c r="V56" s="48">
        <f t="shared" si="13"/>
        <v>10</v>
      </c>
      <c r="W56" s="83" t="s">
        <v>375</v>
      </c>
      <c r="X56" s="83" t="s">
        <v>376</v>
      </c>
    </row>
    <row r="57" spans="1:24" ht="30" x14ac:dyDescent="0.25">
      <c r="A57" s="82" t="s">
        <v>377</v>
      </c>
      <c r="B57" s="82" t="s">
        <v>378</v>
      </c>
      <c r="C57" s="82" t="s">
        <v>379</v>
      </c>
      <c r="D57" s="84">
        <f t="shared" si="20"/>
        <v>290</v>
      </c>
      <c r="E57" s="128">
        <f t="shared" si="19"/>
        <v>164.41176470588235</v>
      </c>
      <c r="F57" s="86" t="s">
        <v>199</v>
      </c>
      <c r="G57" s="102">
        <f>_xlfn.IFNA(VLOOKUP(B57,'NY Sole Source'!A:B,2,FALSE), D57*0.7)</f>
        <v>229.10000000000002</v>
      </c>
      <c r="H57" s="102" t="str">
        <f>_xlfn.IFNA(VLOOKUP(B57,'NY Sole Source'!A:B,1,FALSE),"NNY-"&amp;B57)</f>
        <v>HW-Case-Small</v>
      </c>
      <c r="I57" s="106">
        <f>IF(NOT(ISNA(VLOOKUP(B57,'FL Contract Prices'!$A$2:$C$71,3,FALSE))),VLOOKUP(B57,'FL Contract Prices'!$A$2:$C$71,3,FALSE),ROUND(D57*0.7,-1))</f>
        <v>200</v>
      </c>
      <c r="J57" s="106" t="str">
        <f>IF(NOT(ISNA(VLOOKUP(B57,'FL Part Num Mapping'!$A$2:$B$71,1,FALSE))),VLOOKUP(B57,'FL Part Num Mapping'!$A$2:$B$71,2,FALSE),"NFL "&amp; B57)</f>
        <v>NFL HW-Case-Small</v>
      </c>
      <c r="K57" s="102">
        <v>1E-4</v>
      </c>
      <c r="L57" s="146" t="str">
        <f t="shared" si="12"/>
        <v>NLA HW-Case-Small</v>
      </c>
      <c r="M57" s="146"/>
      <c r="N57" s="146"/>
      <c r="O57" s="155"/>
      <c r="P57" s="150">
        <v>145</v>
      </c>
      <c r="Q57" s="48"/>
      <c r="R57" s="88">
        <v>3</v>
      </c>
      <c r="S57" s="88">
        <f>24*20</f>
        <v>480</v>
      </c>
      <c r="T57" s="48">
        <f t="shared" si="11"/>
        <v>9.4117647058823533</v>
      </c>
      <c r="U57" s="48" t="s">
        <v>179</v>
      </c>
      <c r="V57" s="48">
        <f t="shared" si="13"/>
        <v>10</v>
      </c>
      <c r="W57" s="83" t="s">
        <v>380</v>
      </c>
      <c r="X57" s="83" t="s">
        <v>381</v>
      </c>
    </row>
    <row r="58" spans="1:24" ht="30" x14ac:dyDescent="0.25">
      <c r="A58" s="87" t="s">
        <v>382</v>
      </c>
      <c r="B58" s="87" t="s">
        <v>383</v>
      </c>
      <c r="C58" s="82" t="s">
        <v>384</v>
      </c>
      <c r="D58" s="84">
        <f t="shared" si="20"/>
        <v>100</v>
      </c>
      <c r="E58" s="128">
        <f t="shared" si="19"/>
        <v>55</v>
      </c>
      <c r="F58" s="86" t="s">
        <v>199</v>
      </c>
      <c r="G58" s="102">
        <f>_xlfn.IFNA(VLOOKUP(B58,'NY Sole Source'!A:B,2,FALSE), D58*0.7)</f>
        <v>70</v>
      </c>
      <c r="H58" s="102" t="str">
        <f>_xlfn.IFNA(VLOOKUP(B58,'NY Sole Source'!A:B,1,FALSE),"NNY-"&amp;B58)</f>
        <v>NNY-HW-RAM-4GBDT</v>
      </c>
      <c r="I58" s="106">
        <f>IF(NOT(ISNA(VLOOKUP(B58,'FL Contract Prices'!$A$2:$C$71,3,FALSE))),VLOOKUP(B58,'FL Contract Prices'!$A$2:$C$71,3,FALSE),ROUND(D58*0.7,-1))</f>
        <v>70</v>
      </c>
      <c r="J58" s="106" t="str">
        <f>IF(NOT(ISNA(VLOOKUP(B58,'FL Part Num Mapping'!$A$2:$B$71,1,FALSE))),VLOOKUP(B58,'FL Part Num Mapping'!$A$2:$B$71,2,FALSE),"NFL "&amp; B58)</f>
        <v>NFL HW-RAM-4GBDT</v>
      </c>
      <c r="K58" s="102">
        <v>1E-4</v>
      </c>
      <c r="L58" s="146" t="str">
        <f t="shared" si="12"/>
        <v>NLA HW-RAM-4GBDT</v>
      </c>
      <c r="M58" s="146"/>
      <c r="N58" s="146"/>
      <c r="O58" s="155"/>
      <c r="P58" s="150">
        <v>21</v>
      </c>
      <c r="Q58" s="48">
        <v>4</v>
      </c>
      <c r="R58" s="88"/>
      <c r="S58" s="88"/>
      <c r="T58" s="48">
        <f t="shared" si="11"/>
        <v>0</v>
      </c>
      <c r="U58" s="48" t="s">
        <v>320</v>
      </c>
      <c r="V58" s="48">
        <f t="shared" si="13"/>
        <v>30</v>
      </c>
      <c r="W58" s="83"/>
      <c r="X58" s="83" t="s">
        <v>385</v>
      </c>
    </row>
    <row r="59" spans="1:24" ht="30" x14ac:dyDescent="0.25">
      <c r="A59" s="87" t="s">
        <v>386</v>
      </c>
      <c r="B59" s="87" t="s">
        <v>387</v>
      </c>
      <c r="C59" s="82" t="s">
        <v>388</v>
      </c>
      <c r="D59" s="84">
        <f t="shared" si="20"/>
        <v>110</v>
      </c>
      <c r="E59" s="128">
        <f t="shared" si="19"/>
        <v>59</v>
      </c>
      <c r="F59" s="86" t="s">
        <v>199</v>
      </c>
      <c r="G59" s="102">
        <f>_xlfn.IFNA(VLOOKUP(B59,'NY Sole Source'!A:B,2,FALSE), D59*0.7)</f>
        <v>77</v>
      </c>
      <c r="H59" s="102" t="str">
        <f>_xlfn.IFNA(VLOOKUP(B59,'NY Sole Source'!A:B,1,FALSE),"NNY-"&amp;B59)</f>
        <v>NNY-HW-RAM-4GBLT</v>
      </c>
      <c r="I59" s="106">
        <f>IF(NOT(ISNA(VLOOKUP(B59,'FL Contract Prices'!$A$2:$C$71,3,FALSE))),VLOOKUP(B59,'FL Contract Prices'!$A$2:$C$71,3,FALSE),ROUND(D59*0.7,-1))</f>
        <v>80</v>
      </c>
      <c r="J59" s="106" t="str">
        <f>IF(NOT(ISNA(VLOOKUP(B59,'FL Part Num Mapping'!$A$2:$B$71,1,FALSE))),VLOOKUP(B59,'FL Part Num Mapping'!$A$2:$B$71,2,FALSE),"NFL "&amp; B59)</f>
        <v>NFL HW-RAM-4GBLT</v>
      </c>
      <c r="K59" s="102">
        <v>1E-4</v>
      </c>
      <c r="L59" s="146" t="str">
        <f t="shared" si="12"/>
        <v>NLA HW-RAM-4GBLT</v>
      </c>
      <c r="M59" s="146"/>
      <c r="N59" s="146"/>
      <c r="O59" s="155"/>
      <c r="P59" s="150">
        <v>25</v>
      </c>
      <c r="Q59" s="48">
        <v>4</v>
      </c>
      <c r="R59" s="88"/>
      <c r="S59" s="88"/>
      <c r="T59" s="48">
        <f t="shared" si="11"/>
        <v>0</v>
      </c>
      <c r="U59" s="48" t="s">
        <v>320</v>
      </c>
      <c r="V59" s="48">
        <f t="shared" si="13"/>
        <v>30</v>
      </c>
      <c r="W59" s="83"/>
      <c r="X59" s="83" t="s">
        <v>385</v>
      </c>
    </row>
    <row r="60" spans="1:24" ht="30" x14ac:dyDescent="0.25">
      <c r="A60" s="82" t="s">
        <v>389</v>
      </c>
      <c r="B60" s="82" t="s">
        <v>390</v>
      </c>
      <c r="C60" s="82" t="s">
        <v>391</v>
      </c>
      <c r="D60" s="84">
        <f t="shared" ref="D60" si="21">IF(E60&lt;20, ROUNDUP(E60/0.575,0), ROUNDUP(E60/0.575,-1))</f>
        <v>280</v>
      </c>
      <c r="E60" s="128">
        <f t="shared" ref="E60" si="22">P60+Q60+T60+V60</f>
        <v>160.47058823529412</v>
      </c>
      <c r="F60" s="86" t="s">
        <v>199</v>
      </c>
      <c r="G60" s="102">
        <f>_xlfn.IFNA(VLOOKUP(B60,'NY Sole Source'!A:B,2,FALSE), D60*0.7)</f>
        <v>221.2</v>
      </c>
      <c r="H60" s="102" t="str">
        <f>_xlfn.IFNA(VLOOKUP(B60,'NY Sole Source'!A:B,1,FALSE),"NNY-"&amp;B60)</f>
        <v>HW-CMT-Silicon-G</v>
      </c>
      <c r="I60" s="106">
        <f>IF(NOT(ISNA(VLOOKUP(B60,'FL Contract Prices'!$A$2:$C$71,3,FALSE))),VLOOKUP(B60,'FL Contract Prices'!$A$2:$C$71,3,FALSE),ROUND(D60*0.7,-1))</f>
        <v>200</v>
      </c>
      <c r="J60" s="106" t="str">
        <f>IF(NOT(ISNA(VLOOKUP(B60,'FL Part Num Mapping'!$A$2:$B$71,1,FALSE))),VLOOKUP(B60,'FL Part Num Mapping'!$A$2:$B$71,2,FALSE),"NFL "&amp; B60)</f>
        <v>NFL HW-CMT-Silicon-G</v>
      </c>
      <c r="K60" s="102">
        <v>1E-4</v>
      </c>
      <c r="L60" s="146" t="str">
        <f t="shared" ref="L60" si="23">"NLA "&amp;B60</f>
        <v>NLA HW-CMT-Silicon-G</v>
      </c>
      <c r="M60" s="146"/>
      <c r="N60" s="146"/>
      <c r="O60" s="155"/>
      <c r="P60" s="150">
        <v>140</v>
      </c>
      <c r="Q60" s="48">
        <v>10</v>
      </c>
      <c r="R60" s="88">
        <v>3</v>
      </c>
      <c r="S60" s="88">
        <f>4*6</f>
        <v>24</v>
      </c>
      <c r="T60" s="48">
        <f t="shared" ref="T60" si="24">(24000/8500)*(S60/12/12)/3*R60</f>
        <v>0.47058823529411764</v>
      </c>
      <c r="U60" s="48" t="s">
        <v>179</v>
      </c>
      <c r="V60" s="48">
        <f t="shared" ref="V60" si="25">IF(U60="Bulk",0,IF(U60="Std", 10,IF(U60="Pickup",20,30)))/60*60</f>
        <v>10</v>
      </c>
      <c r="W60" s="83"/>
      <c r="X60" s="83" t="s">
        <v>392</v>
      </c>
    </row>
    <row r="61" spans="1:24" ht="30" x14ac:dyDescent="0.25">
      <c r="A61" s="82" t="s">
        <v>393</v>
      </c>
      <c r="B61" s="82" t="s">
        <v>394</v>
      </c>
      <c r="C61" s="82" t="s">
        <v>395</v>
      </c>
      <c r="D61" s="84">
        <f>IF(E61&lt;20, ROUNDUP(E61/0.575,0), ROUNDUP(E61/0.575,-1))</f>
        <v>460</v>
      </c>
      <c r="E61" s="128">
        <f>P61+Q61+T61+V61</f>
        <v>260.47058823529414</v>
      </c>
      <c r="F61" s="86" t="s">
        <v>199</v>
      </c>
      <c r="G61" s="102">
        <f>_xlfn.IFNA(VLOOKUP(B61,'NY Sole Source'!A:B,2,FALSE), D61*0.7)</f>
        <v>363.4</v>
      </c>
      <c r="H61" s="102" t="str">
        <f>_xlfn.IFNA(VLOOKUP(B61,'NY Sole Source'!A:B,1,FALSE),"NNY-"&amp;B61)</f>
        <v>HW-CMT-Silicon-PP</v>
      </c>
      <c r="I61" s="106">
        <f>IF(NOT(ISNA(VLOOKUP(B61,'FL Contract Prices'!$A$2:$C$71,3,FALSE))),VLOOKUP(B61,'FL Contract Prices'!$A$2:$C$71,3,FALSE),ROUND(D61*0.7,-1))</f>
        <v>320</v>
      </c>
      <c r="J61" s="106" t="str">
        <f>IF(NOT(ISNA(VLOOKUP(B61,'FL Part Num Mapping'!$A$2:$B$71,1,FALSE))),VLOOKUP(B61,'FL Part Num Mapping'!$A$2:$B$71,2,FALSE),"NFL "&amp; B61)</f>
        <v>NFL HW-CMT-Silicon-PP</v>
      </c>
      <c r="K61" s="102">
        <v>1E-4</v>
      </c>
      <c r="L61" s="146" t="str">
        <f>"NLA "&amp;B61</f>
        <v>NLA HW-CMT-Silicon-PP</v>
      </c>
      <c r="M61" s="146"/>
      <c r="N61" s="146"/>
      <c r="O61" s="155"/>
      <c r="P61" s="150">
        <v>240</v>
      </c>
      <c r="Q61" s="48">
        <v>10</v>
      </c>
      <c r="R61" s="88">
        <v>3</v>
      </c>
      <c r="S61" s="88">
        <f>4*6</f>
        <v>24</v>
      </c>
      <c r="T61" s="48">
        <f>(24000/8500)*(S61/12/12)/3*R61</f>
        <v>0.47058823529411764</v>
      </c>
      <c r="U61" s="48" t="s">
        <v>179</v>
      </c>
      <c r="V61" s="48">
        <f>IF(U61="Bulk",0,IF(U61="Std", 10,IF(U61="Pickup",20,30)))/60*60</f>
        <v>10</v>
      </c>
      <c r="W61" s="83"/>
      <c r="X61" s="83" t="s">
        <v>392</v>
      </c>
    </row>
    <row r="62" spans="1:24" ht="30" x14ac:dyDescent="0.25">
      <c r="A62" s="82" t="s">
        <v>396</v>
      </c>
      <c r="B62" s="82" t="s">
        <v>397</v>
      </c>
      <c r="C62" s="82" t="s">
        <v>398</v>
      </c>
      <c r="D62" s="84">
        <f>IF(E62&lt;20, ROUNDUP(E62/0.575,0), ROUNDUP(E62/0.575,-1))</f>
        <v>280</v>
      </c>
      <c r="E62" s="128">
        <f>P62+Q62+T62+V62</f>
        <v>160.47058823529412</v>
      </c>
      <c r="F62" s="86" t="s">
        <v>199</v>
      </c>
      <c r="G62" s="102">
        <f>_xlfn.IFNA(VLOOKUP(B62,'NY Sole Source'!A:B,2,FALSE), D62*0.7)</f>
        <v>196</v>
      </c>
      <c r="H62" s="102" t="str">
        <f>_xlfn.IFNA(VLOOKUP(B62,'NY Sole Source'!A:B,1,FALSE),"NNY-"&amp;B62)</f>
        <v>NNY-HW-CMT-Silicon</v>
      </c>
      <c r="I62" s="106">
        <f>IF(NOT(ISNA(VLOOKUP(B62,'FL Contract Prices'!$A$2:$C$71,3,FALSE))),VLOOKUP(B62,'FL Contract Prices'!$A$2:$C$71,3,FALSE),ROUND(D62*0.7,-1))</f>
        <v>200</v>
      </c>
      <c r="J62" s="106" t="str">
        <f>IF(NOT(ISNA(VLOOKUP(B62,'FL Part Num Mapping'!$A$2:$B$71,1,FALSE))),VLOOKUP(B62,'FL Part Num Mapping'!$A$2:$B$71,2,FALSE),"NFL "&amp; B62)</f>
        <v>NFL HW-CMT-Silicon</v>
      </c>
      <c r="K62" s="102">
        <v>1E-4</v>
      </c>
      <c r="L62" s="146" t="str">
        <f>"NLA "&amp;B62</f>
        <v>NLA HW-CMT-Silicon</v>
      </c>
      <c r="M62" s="146"/>
      <c r="N62" s="146"/>
      <c r="O62" s="155"/>
      <c r="P62" s="150">
        <v>140</v>
      </c>
      <c r="Q62" s="48">
        <v>10</v>
      </c>
      <c r="R62" s="88">
        <v>3</v>
      </c>
      <c r="S62" s="88">
        <f>4*6</f>
        <v>24</v>
      </c>
      <c r="T62" s="48">
        <f>(24000/8500)*(S62/12/12)/3*R62</f>
        <v>0.47058823529411764</v>
      </c>
      <c r="U62" s="48" t="s">
        <v>179</v>
      </c>
      <c r="V62" s="48">
        <f>IF(U62="Bulk",0,IF(U62="Std", 10,IF(U62="Pickup",20,30)))/60*60</f>
        <v>10</v>
      </c>
      <c r="W62" s="83"/>
      <c r="X62" s="83" t="s">
        <v>392</v>
      </c>
    </row>
    <row r="63" spans="1:24" ht="30" x14ac:dyDescent="0.25">
      <c r="A63" s="82" t="s">
        <v>399</v>
      </c>
      <c r="B63" s="82" t="s">
        <v>400</v>
      </c>
      <c r="C63" s="82" t="s">
        <v>401</v>
      </c>
      <c r="D63" s="84">
        <f t="shared" ref="D63" si="26">IF(E63&lt;20, ROUNDUP(E63/0.575,0), ROUNDUP(E63/0.575,-1))</f>
        <v>910</v>
      </c>
      <c r="E63" s="128">
        <f t="shared" ref="E63" si="27">P63+Q63+T63+V63</f>
        <v>520.47058823529414</v>
      </c>
      <c r="F63" s="86" t="s">
        <v>199</v>
      </c>
      <c r="G63" s="102">
        <f>_xlfn.IFNA(VLOOKUP(B63,'NY Sole Source'!A:B,2,FALSE), D63*0.7)</f>
        <v>718.9</v>
      </c>
      <c r="H63" s="102" t="str">
        <f>_xlfn.IFNA(VLOOKUP(B63,'NY Sole Source'!A:B,1,FALSE),"NNY-"&amp;B63)</f>
        <v>HW-CMT-Silicon-20</v>
      </c>
      <c r="I63" s="106">
        <f>IF(NOT(ISNA(VLOOKUP(B63,'FL Contract Prices'!$A$2:$C$71,3,FALSE))),VLOOKUP(B63,'FL Contract Prices'!$A$2:$C$71,3,FALSE),ROUND(D63*0.7,-1))</f>
        <v>640</v>
      </c>
      <c r="J63" s="106" t="str">
        <f>IF(NOT(ISNA(VLOOKUP(B63,'FL Part Num Mapping'!$A$2:$B$71,1,FALSE))),VLOOKUP(B63,'FL Part Num Mapping'!$A$2:$B$71,2,FALSE),"NFL "&amp; B63)</f>
        <v>NFL HW-CMT-Silicon-20</v>
      </c>
      <c r="K63" s="102">
        <v>1E-4</v>
      </c>
      <c r="L63" s="146" t="str">
        <f t="shared" ref="L63" si="28">"NLA "&amp;B63</f>
        <v>NLA HW-CMT-Silicon-20</v>
      </c>
      <c r="M63" s="146"/>
      <c r="N63" s="146"/>
      <c r="O63" s="155"/>
      <c r="P63" s="150">
        <v>500</v>
      </c>
      <c r="Q63" s="48">
        <v>10</v>
      </c>
      <c r="R63" s="88">
        <v>3</v>
      </c>
      <c r="S63" s="88">
        <f>4*6</f>
        <v>24</v>
      </c>
      <c r="T63" s="48">
        <f t="shared" ref="T63" si="29">(24000/8500)*(S63/12/12)/3*R63</f>
        <v>0.47058823529411764</v>
      </c>
      <c r="U63" s="48" t="s">
        <v>179</v>
      </c>
      <c r="V63" s="48">
        <f t="shared" ref="V63" si="30">IF(U63="Bulk",0,IF(U63="Std", 10,IF(U63="Pickup",20,30)))/60*60</f>
        <v>10</v>
      </c>
      <c r="W63" s="83"/>
      <c r="X63" s="83" t="s">
        <v>392</v>
      </c>
    </row>
    <row r="64" spans="1:24" ht="30" x14ac:dyDescent="0.25">
      <c r="A64" s="82" t="s">
        <v>402</v>
      </c>
      <c r="B64" s="82" t="s">
        <v>403</v>
      </c>
      <c r="C64" s="82" t="s">
        <v>404</v>
      </c>
      <c r="D64" s="84">
        <f>IF(E64&lt;20, ROUNDUP(E64/0.575,0), ROUNDUP(E64/0.575,-1))</f>
        <v>1170</v>
      </c>
      <c r="E64" s="128">
        <f>P64+Q64+T64+V64</f>
        <v>670.47058823529414</v>
      </c>
      <c r="F64" s="86" t="s">
        <v>199</v>
      </c>
      <c r="G64" s="102">
        <f>_xlfn.IFNA(VLOOKUP(B64,'NY Sole Source'!A:B,2,FALSE), D64*0.7)</f>
        <v>924.3</v>
      </c>
      <c r="H64" s="102" t="str">
        <f>_xlfn.IFNA(VLOOKUP(B64,'NY Sole Source'!A:B,1,FALSE),"NNY-"&amp;B64)</f>
        <v>HW-CMT-Silicon-PP-20</v>
      </c>
      <c r="I64" s="106">
        <f>IF(NOT(ISNA(VLOOKUP(B64,'FL Contract Prices'!$A$2:$C$71,3,FALSE))),VLOOKUP(B64,'FL Contract Prices'!$A$2:$C$71,3,FALSE),ROUND(D64*0.7,-1))</f>
        <v>820</v>
      </c>
      <c r="J64" s="106" t="str">
        <f>IF(NOT(ISNA(VLOOKUP(B64,'FL Part Num Mapping'!$A$2:$B$71,1,FALSE))),VLOOKUP(B64,'FL Part Num Mapping'!$A$2:$B$71,2,FALSE),"NFL "&amp; B64)</f>
        <v>NFL HW-CMT-Silicon-PP-20</v>
      </c>
      <c r="K64" s="102">
        <v>1E-4</v>
      </c>
      <c r="L64" s="146" t="str">
        <f>"NLA "&amp;B64</f>
        <v>NLA HW-CMT-Silicon-PP-20</v>
      </c>
      <c r="M64" s="146"/>
      <c r="N64" s="146"/>
      <c r="O64" s="155"/>
      <c r="P64" s="150">
        <v>650</v>
      </c>
      <c r="Q64" s="48">
        <v>10</v>
      </c>
      <c r="R64" s="88">
        <v>3</v>
      </c>
      <c r="S64" s="88">
        <f>4*6</f>
        <v>24</v>
      </c>
      <c r="T64" s="48">
        <f>(24000/8500)*(S64/12/12)/3*R64</f>
        <v>0.47058823529411764</v>
      </c>
      <c r="U64" s="48" t="s">
        <v>179</v>
      </c>
      <c r="V64" s="48">
        <f>IF(U64="Bulk",0,IF(U64="Std", 10,IF(U64="Pickup",20,30)))/60*60</f>
        <v>10</v>
      </c>
      <c r="W64" s="83"/>
      <c r="X64" s="83" t="s">
        <v>392</v>
      </c>
    </row>
    <row r="65" spans="1:24" ht="30" x14ac:dyDescent="0.25">
      <c r="A65" s="82" t="s">
        <v>405</v>
      </c>
      <c r="B65" s="82" t="s">
        <v>406</v>
      </c>
      <c r="C65" s="82" t="s">
        <v>407</v>
      </c>
      <c r="D65" s="84">
        <f t="shared" si="20"/>
        <v>1680</v>
      </c>
      <c r="E65" s="128">
        <f t="shared" si="19"/>
        <v>963.24411764705883</v>
      </c>
      <c r="F65" s="86" t="s">
        <v>199</v>
      </c>
      <c r="G65" s="102">
        <f>_xlfn.IFNA(VLOOKUP(B65,'NY Sole Source'!A:B,2,FALSE), D65*0.7)</f>
        <v>1176</v>
      </c>
      <c r="H65" s="102" t="str">
        <f>_xlfn.IFNA(VLOOKUP(B65,'NY Sole Source'!A:B,1,FALSE),"NNY-"&amp;B65)</f>
        <v>NNY-HW-DT-HP-Home</v>
      </c>
      <c r="I65" s="106">
        <f>IF(NOT(ISNA(VLOOKUP(B65,'FL Contract Prices'!$A$2:$C$71,3,FALSE))),VLOOKUP(B65,'FL Contract Prices'!$A$2:$C$71,3,FALSE),ROUND(D65*0.7,-1))</f>
        <v>1180</v>
      </c>
      <c r="J65" s="106" t="str">
        <f>IF(NOT(ISNA(VLOOKUP(B65,'FL Part Num Mapping'!$A$2:$B$71,1,FALSE))),VLOOKUP(B65,'FL Part Num Mapping'!$A$2:$B$71,2,FALSE),"NFL "&amp; B65)</f>
        <v>NFL HW-DT-HP-Home</v>
      </c>
      <c r="K65" s="102">
        <v>1E-4</v>
      </c>
      <c r="L65" s="146" t="str">
        <f t="shared" si="12"/>
        <v>NLA HW-DT-HP-Home</v>
      </c>
      <c r="M65" s="146"/>
      <c r="N65" s="146"/>
      <c r="O65" s="155"/>
      <c r="P65" s="150">
        <v>900</v>
      </c>
      <c r="Q65" s="48">
        <v>29.95</v>
      </c>
      <c r="R65" s="88">
        <v>2</v>
      </c>
      <c r="S65" s="88">
        <f t="shared" ref="S65:S76" si="31">18*14</f>
        <v>252</v>
      </c>
      <c r="T65" s="48">
        <f t="shared" si="11"/>
        <v>3.2941176470588238</v>
      </c>
      <c r="U65" s="48" t="s">
        <v>320</v>
      </c>
      <c r="V65" s="48">
        <f t="shared" si="13"/>
        <v>30</v>
      </c>
      <c r="W65" s="83"/>
      <c r="X65" s="83" t="s">
        <v>408</v>
      </c>
    </row>
    <row r="66" spans="1:24" ht="30" x14ac:dyDescent="0.25">
      <c r="A66" s="82" t="s">
        <v>409</v>
      </c>
      <c r="B66" s="82" t="s">
        <v>410</v>
      </c>
      <c r="C66" s="82" t="s">
        <v>411</v>
      </c>
      <c r="D66" s="84">
        <f t="shared" si="20"/>
        <v>1850</v>
      </c>
      <c r="E66" s="128">
        <f t="shared" si="19"/>
        <v>1063.2441176470588</v>
      </c>
      <c r="F66" s="86" t="s">
        <v>199</v>
      </c>
      <c r="G66" s="102">
        <f>_xlfn.IFNA(VLOOKUP(B66,'NY Sole Source'!A:B,2,FALSE), D66*0.7)</f>
        <v>1295</v>
      </c>
      <c r="H66" s="102" t="str">
        <f>_xlfn.IFNA(VLOOKUP(B66,'NY Sole Source'!A:B,1,FALSE),"NNY-"&amp;B66)</f>
        <v>NNY-HW-DT-HP-Mon-Home</v>
      </c>
      <c r="I66" s="106">
        <f>IF(NOT(ISNA(VLOOKUP(B66,'FL Contract Prices'!$A$2:$C$71,3,FALSE))),VLOOKUP(B66,'FL Contract Prices'!$A$2:$C$71,3,FALSE),ROUND(D66*0.7,-1))</f>
        <v>1300</v>
      </c>
      <c r="J66" s="106" t="str">
        <f>IF(NOT(ISNA(VLOOKUP(B66,'FL Part Num Mapping'!$A$2:$B$71,1,FALSE))),VLOOKUP(B66,'FL Part Num Mapping'!$A$2:$B$71,2,FALSE),"NFL "&amp; B66)</f>
        <v>NFL HW-DT-HP-Mon-Home</v>
      </c>
      <c r="K66" s="102">
        <v>1E-4</v>
      </c>
      <c r="L66" s="146" t="str">
        <f t="shared" si="12"/>
        <v>NLA HW-DT-HP-Mon-Home</v>
      </c>
      <c r="M66" s="146"/>
      <c r="N66" s="146"/>
      <c r="O66" s="155"/>
      <c r="P66" s="150">
        <v>1000</v>
      </c>
      <c r="Q66" s="48">
        <v>29.95</v>
      </c>
      <c r="R66" s="88">
        <v>2</v>
      </c>
      <c r="S66" s="88">
        <f t="shared" si="31"/>
        <v>252</v>
      </c>
      <c r="T66" s="48">
        <f t="shared" si="11"/>
        <v>3.2941176470588238</v>
      </c>
      <c r="U66" s="48" t="s">
        <v>320</v>
      </c>
      <c r="V66" s="48">
        <f t="shared" si="13"/>
        <v>30</v>
      </c>
      <c r="W66" s="83"/>
      <c r="X66" s="83" t="s">
        <v>408</v>
      </c>
    </row>
    <row r="67" spans="1:24" ht="30" x14ac:dyDescent="0.25">
      <c r="A67" s="82" t="s">
        <v>412</v>
      </c>
      <c r="B67" s="82" t="s">
        <v>413</v>
      </c>
      <c r="C67" s="82" t="s">
        <v>414</v>
      </c>
      <c r="D67" s="84">
        <f t="shared" si="20"/>
        <v>1770</v>
      </c>
      <c r="E67" s="128">
        <f t="shared" si="19"/>
        <v>1013.2441176470588</v>
      </c>
      <c r="F67" s="86" t="s">
        <v>199</v>
      </c>
      <c r="G67" s="102">
        <f>_xlfn.IFNA(VLOOKUP(B67,'NY Sole Source'!A:B,2,FALSE), D67*0.7)</f>
        <v>1398.3</v>
      </c>
      <c r="H67" s="102" t="str">
        <f>_xlfn.IFNA(VLOOKUP(B67,'NY Sole Source'!A:B,1,FALSE),"NNY-"&amp;B67)</f>
        <v>HW-DT-HP-Pro</v>
      </c>
      <c r="I67" s="106">
        <f>IF(NOT(ISNA(VLOOKUP(B67,'FL Contract Prices'!$A$2:$C$71,3,FALSE))),VLOOKUP(B67,'FL Contract Prices'!$A$2:$C$71,3,FALSE),ROUND(D67*0.7,-1))</f>
        <v>1207.45</v>
      </c>
      <c r="J67" s="106" t="str">
        <f>IF(NOT(ISNA(VLOOKUP(B67,'FL Part Num Mapping'!$A$2:$B$71,1,FALSE))),VLOOKUP(B67,'FL Part Num Mapping'!$A$2:$B$71,2,FALSE),"NFL "&amp; B67)</f>
        <v>HW-DT-HP</v>
      </c>
      <c r="K67" s="102">
        <v>1E-4</v>
      </c>
      <c r="L67" s="146" t="str">
        <f t="shared" si="12"/>
        <v>NLA HW-DT-HP-Pro</v>
      </c>
      <c r="M67" s="146"/>
      <c r="N67" s="146"/>
      <c r="O67" s="155"/>
      <c r="P67" s="150">
        <v>950</v>
      </c>
      <c r="Q67" s="48">
        <v>29.95</v>
      </c>
      <c r="R67" s="88">
        <v>2</v>
      </c>
      <c r="S67" s="88">
        <f t="shared" si="31"/>
        <v>252</v>
      </c>
      <c r="T67" s="48">
        <f t="shared" ref="T67:T96" si="32">(24000/8500)*(S67/12/12)/3*R67</f>
        <v>3.2941176470588238</v>
      </c>
      <c r="U67" s="48" t="s">
        <v>320</v>
      </c>
      <c r="V67" s="48">
        <f t="shared" si="13"/>
        <v>30</v>
      </c>
      <c r="W67" s="83"/>
      <c r="X67" s="83" t="s">
        <v>415</v>
      </c>
    </row>
    <row r="68" spans="1:24" ht="30" x14ac:dyDescent="0.25">
      <c r="A68" s="82" t="s">
        <v>416</v>
      </c>
      <c r="B68" s="82" t="s">
        <v>417</v>
      </c>
      <c r="C68" s="82" t="s">
        <v>418</v>
      </c>
      <c r="D68" s="84">
        <f t="shared" si="20"/>
        <v>1940</v>
      </c>
      <c r="E68" s="128">
        <f t="shared" si="19"/>
        <v>1113.2441176470588</v>
      </c>
      <c r="F68" s="86" t="s">
        <v>199</v>
      </c>
      <c r="G68" s="102">
        <f>_xlfn.IFNA(VLOOKUP(B68,'NY Sole Source'!A:B,2,FALSE), D68*0.7)</f>
        <v>1532.6</v>
      </c>
      <c r="H68" s="102" t="str">
        <f>_xlfn.IFNA(VLOOKUP(B68,'NY Sole Source'!A:B,1,FALSE),"NNY-"&amp;B68)</f>
        <v>HW-DT-HP-Mon-Pro</v>
      </c>
      <c r="I68" s="106">
        <f>IF(NOT(ISNA(VLOOKUP(B68,'FL Contract Prices'!$A$2:$C$71,3,FALSE))),VLOOKUP(B68,'FL Contract Prices'!$A$2:$C$71,3,FALSE),ROUND(D68*0.7,-1))</f>
        <v>1360</v>
      </c>
      <c r="J68" s="106" t="str">
        <f>IF(NOT(ISNA(VLOOKUP(B68,'FL Part Num Mapping'!$A$2:$B$71,1,FALSE))),VLOOKUP(B68,'FL Part Num Mapping'!$A$2:$B$71,2,FALSE),"NFL "&amp; B68)</f>
        <v>NFL HW-DT-HP-Mon-Pro</v>
      </c>
      <c r="K68" s="102">
        <v>1E-4</v>
      </c>
      <c r="L68" s="146" t="str">
        <f t="shared" si="12"/>
        <v>NLA HW-DT-HP-Mon-Pro</v>
      </c>
      <c r="M68" s="146"/>
      <c r="N68" s="146"/>
      <c r="O68" s="155"/>
      <c r="P68" s="150">
        <v>1050</v>
      </c>
      <c r="Q68" s="48">
        <v>29.95</v>
      </c>
      <c r="R68" s="88">
        <v>2</v>
      </c>
      <c r="S68" s="88">
        <f t="shared" si="31"/>
        <v>252</v>
      </c>
      <c r="T68" s="48">
        <f t="shared" si="32"/>
        <v>3.2941176470588238</v>
      </c>
      <c r="U68" s="48" t="s">
        <v>320</v>
      </c>
      <c r="V68" s="48">
        <f t="shared" si="13"/>
        <v>30</v>
      </c>
      <c r="W68" s="83"/>
      <c r="X68" s="83" t="s">
        <v>415</v>
      </c>
    </row>
    <row r="69" spans="1:24" ht="30" x14ac:dyDescent="0.25">
      <c r="A69" s="82" t="s">
        <v>419</v>
      </c>
      <c r="B69" s="82" t="s">
        <v>420</v>
      </c>
      <c r="C69" s="82" t="s">
        <v>421</v>
      </c>
      <c r="D69" s="84">
        <f t="shared" si="20"/>
        <v>1250</v>
      </c>
      <c r="E69" s="128">
        <f t="shared" si="19"/>
        <v>713.24411764705883</v>
      </c>
      <c r="F69" s="86" t="s">
        <v>199</v>
      </c>
      <c r="G69" s="102">
        <f>_xlfn.IFNA(VLOOKUP(B69,'NY Sole Source'!A:B,2,FALSE), D69*0.7)</f>
        <v>875</v>
      </c>
      <c r="H69" s="102" t="str">
        <f>_xlfn.IFNA(VLOOKUP(B69,'NY Sole Source'!A:B,1,FALSE),"NNY-"&amp;B69)</f>
        <v>NNY-HW-DT-P-Home</v>
      </c>
      <c r="I69" s="106">
        <f>IF(NOT(ISNA(VLOOKUP(B69,'FL Contract Prices'!$A$2:$C$71,3,FALSE))),VLOOKUP(B69,'FL Contract Prices'!$A$2:$C$71,3,FALSE),ROUND(D69*0.7,-1))</f>
        <v>880</v>
      </c>
      <c r="J69" s="106" t="str">
        <f>IF(NOT(ISNA(VLOOKUP(B69,'FL Part Num Mapping'!$A$2:$B$71,1,FALSE))),VLOOKUP(B69,'FL Part Num Mapping'!$A$2:$B$71,2,FALSE),"NFL "&amp; B69)</f>
        <v>NFL HW-DT-P-Home</v>
      </c>
      <c r="K69" s="102">
        <v>1E-4</v>
      </c>
      <c r="L69" s="146" t="str">
        <f t="shared" si="12"/>
        <v>NLA HW-DT-P-Home</v>
      </c>
      <c r="M69" s="146"/>
      <c r="N69" s="146"/>
      <c r="O69" s="155"/>
      <c r="P69" s="150">
        <v>650</v>
      </c>
      <c r="Q69" s="48">
        <v>29.95</v>
      </c>
      <c r="R69" s="88">
        <v>2</v>
      </c>
      <c r="S69" s="88">
        <f t="shared" si="31"/>
        <v>252</v>
      </c>
      <c r="T69" s="48">
        <f t="shared" si="32"/>
        <v>3.2941176470588238</v>
      </c>
      <c r="U69" s="48" t="s">
        <v>320</v>
      </c>
      <c r="V69" s="48">
        <f t="shared" si="13"/>
        <v>30</v>
      </c>
      <c r="W69" s="83"/>
      <c r="X69" s="83" t="s">
        <v>422</v>
      </c>
    </row>
    <row r="70" spans="1:24" ht="30" x14ac:dyDescent="0.25">
      <c r="A70" s="82" t="s">
        <v>423</v>
      </c>
      <c r="B70" s="82" t="s">
        <v>424</v>
      </c>
      <c r="C70" s="82" t="s">
        <v>425</v>
      </c>
      <c r="D70" s="84">
        <f t="shared" si="20"/>
        <v>1420</v>
      </c>
      <c r="E70" s="128">
        <f t="shared" si="19"/>
        <v>813.24411764705883</v>
      </c>
      <c r="F70" s="86" t="s">
        <v>199</v>
      </c>
      <c r="G70" s="102">
        <f>_xlfn.IFNA(VLOOKUP(B70,'NY Sole Source'!A:B,2,FALSE), D70*0.7)</f>
        <v>993.99999999999989</v>
      </c>
      <c r="H70" s="102" t="str">
        <f>_xlfn.IFNA(VLOOKUP(B70,'NY Sole Source'!A:B,1,FALSE),"NNY-"&amp;B70)</f>
        <v>NNY-HW-DT-P-Mon-Home</v>
      </c>
      <c r="I70" s="106">
        <f>IF(NOT(ISNA(VLOOKUP(B70,'FL Contract Prices'!$A$2:$C$71,3,FALSE))),VLOOKUP(B70,'FL Contract Prices'!$A$2:$C$71,3,FALSE),ROUND(D70*0.7,-1))</f>
        <v>990</v>
      </c>
      <c r="J70" s="106" t="str">
        <f>IF(NOT(ISNA(VLOOKUP(B70,'FL Part Num Mapping'!$A$2:$B$71,1,FALSE))),VLOOKUP(B70,'FL Part Num Mapping'!$A$2:$B$71,2,FALSE),"NFL "&amp; B70)</f>
        <v>NFL HW-DT-P-Mon-Home</v>
      </c>
      <c r="K70" s="102">
        <v>1E-4</v>
      </c>
      <c r="L70" s="146" t="str">
        <f t="shared" si="12"/>
        <v>NLA HW-DT-P-Mon-Home</v>
      </c>
      <c r="M70" s="146"/>
      <c r="N70" s="146"/>
      <c r="O70" s="155"/>
      <c r="P70" s="150">
        <v>750</v>
      </c>
      <c r="Q70" s="48">
        <v>29.95</v>
      </c>
      <c r="R70" s="88">
        <v>2</v>
      </c>
      <c r="S70" s="88">
        <f t="shared" si="31"/>
        <v>252</v>
      </c>
      <c r="T70" s="48">
        <f t="shared" si="32"/>
        <v>3.2941176470588238</v>
      </c>
      <c r="U70" s="48" t="s">
        <v>320</v>
      </c>
      <c r="V70" s="48">
        <f t="shared" si="13"/>
        <v>30</v>
      </c>
      <c r="W70" s="83"/>
      <c r="X70" s="83" t="s">
        <v>422</v>
      </c>
    </row>
    <row r="71" spans="1:24" ht="30" x14ac:dyDescent="0.25">
      <c r="A71" s="82" t="s">
        <v>426</v>
      </c>
      <c r="B71" s="82" t="s">
        <v>427</v>
      </c>
      <c r="C71" s="82" t="s">
        <v>414</v>
      </c>
      <c r="D71" s="84">
        <f t="shared" si="20"/>
        <v>1330</v>
      </c>
      <c r="E71" s="128">
        <f t="shared" si="19"/>
        <v>763.24411764705883</v>
      </c>
      <c r="F71" s="86" t="s">
        <v>199</v>
      </c>
      <c r="G71" s="102">
        <f>_xlfn.IFNA(VLOOKUP(B71,'NY Sole Source'!A:B,2,FALSE), D71*0.7)</f>
        <v>1050.7</v>
      </c>
      <c r="H71" s="102" t="str">
        <f>_xlfn.IFNA(VLOOKUP(B71,'NY Sole Source'!A:B,1,FALSE),"NNY-"&amp;B71)</f>
        <v>HW-DT-P-Pro</v>
      </c>
      <c r="I71" s="106">
        <f>IF(NOT(ISNA(VLOOKUP(B71,'FL Contract Prices'!$A$2:$C$71,3,FALSE))),VLOOKUP(B71,'FL Contract Prices'!$A$2:$C$71,3,FALSE),ROUND(D71*0.7,-1))</f>
        <v>930</v>
      </c>
      <c r="J71" s="106" t="str">
        <f>IF(NOT(ISNA(VLOOKUP(B71,'FL Part Num Mapping'!$A$2:$B$71,1,FALSE))),VLOOKUP(B71,'FL Part Num Mapping'!$A$2:$B$71,2,FALSE),"NFL "&amp; B71)</f>
        <v>NFL HW-DT-P-Pro</v>
      </c>
      <c r="K71" s="102">
        <v>1E-4</v>
      </c>
      <c r="L71" s="146" t="str">
        <f t="shared" si="12"/>
        <v>NLA HW-DT-P-Pro</v>
      </c>
      <c r="M71" s="146"/>
      <c r="N71" s="146"/>
      <c r="O71" s="155"/>
      <c r="P71" s="150">
        <v>700</v>
      </c>
      <c r="Q71" s="48">
        <v>29.95</v>
      </c>
      <c r="R71" s="88">
        <v>2</v>
      </c>
      <c r="S71" s="88">
        <f t="shared" si="31"/>
        <v>252</v>
      </c>
      <c r="T71" s="48">
        <f t="shared" si="32"/>
        <v>3.2941176470588238</v>
      </c>
      <c r="U71" s="48" t="s">
        <v>320</v>
      </c>
      <c r="V71" s="48">
        <f t="shared" si="13"/>
        <v>30</v>
      </c>
      <c r="W71" s="83"/>
      <c r="X71" s="83" t="s">
        <v>415</v>
      </c>
    </row>
    <row r="72" spans="1:24" ht="30" x14ac:dyDescent="0.25">
      <c r="A72" s="82" t="s">
        <v>428</v>
      </c>
      <c r="B72" s="82" t="s">
        <v>429</v>
      </c>
      <c r="C72" s="82" t="s">
        <v>430</v>
      </c>
      <c r="D72" s="84">
        <f t="shared" si="20"/>
        <v>1510</v>
      </c>
      <c r="E72" s="128">
        <f t="shared" si="19"/>
        <v>863.24411764705883</v>
      </c>
      <c r="F72" s="86" t="s">
        <v>199</v>
      </c>
      <c r="G72" s="102">
        <f>_xlfn.IFNA(VLOOKUP(B72,'NY Sole Source'!A:B,2,FALSE), D72*0.7)</f>
        <v>1192.9000000000001</v>
      </c>
      <c r="H72" s="102" t="str">
        <f>_xlfn.IFNA(VLOOKUP(B72,'NY Sole Source'!A:B,1,FALSE),"NNY-"&amp;B72)</f>
        <v>HW-DT-P-Mon-Pro</v>
      </c>
      <c r="I72" s="106">
        <f>IF(NOT(ISNA(VLOOKUP(B72,'FL Contract Prices'!$A$2:$C$71,3,FALSE))),VLOOKUP(B72,'FL Contract Prices'!$A$2:$C$71,3,FALSE),ROUND(D72*0.7,-1))</f>
        <v>1060</v>
      </c>
      <c r="J72" s="106" t="str">
        <f>IF(NOT(ISNA(VLOOKUP(B72,'FL Part Num Mapping'!$A$2:$B$71,1,FALSE))),VLOOKUP(B72,'FL Part Num Mapping'!$A$2:$B$71,2,FALSE),"NFL "&amp; B72)</f>
        <v>NFL HW-DT-P-Mon-Pro</v>
      </c>
      <c r="K72" s="102">
        <v>1490</v>
      </c>
      <c r="L72" s="146" t="s">
        <v>431</v>
      </c>
      <c r="M72" s="146"/>
      <c r="N72" s="146"/>
      <c r="O72" s="155"/>
      <c r="P72" s="150">
        <v>800</v>
      </c>
      <c r="Q72" s="48">
        <v>29.95</v>
      </c>
      <c r="R72" s="88">
        <v>2</v>
      </c>
      <c r="S72" s="88">
        <f t="shared" si="31"/>
        <v>252</v>
      </c>
      <c r="T72" s="48">
        <f t="shared" si="32"/>
        <v>3.2941176470588238</v>
      </c>
      <c r="U72" s="48" t="s">
        <v>320</v>
      </c>
      <c r="V72" s="48">
        <f t="shared" si="13"/>
        <v>30</v>
      </c>
      <c r="W72" s="83"/>
      <c r="X72" s="83" t="s">
        <v>432</v>
      </c>
    </row>
    <row r="73" spans="1:24" ht="30" x14ac:dyDescent="0.25">
      <c r="A73" s="82" t="s">
        <v>433</v>
      </c>
      <c r="B73" s="82" t="s">
        <v>434</v>
      </c>
      <c r="C73" s="82" t="s">
        <v>435</v>
      </c>
      <c r="D73" s="84">
        <f t="shared" si="20"/>
        <v>1070</v>
      </c>
      <c r="E73" s="128">
        <f t="shared" si="19"/>
        <v>613.24411764705883</v>
      </c>
      <c r="F73" s="86" t="s">
        <v>199</v>
      </c>
      <c r="G73" s="102">
        <f>_xlfn.IFNA(VLOOKUP(B73,'NY Sole Source'!A:B,2,FALSE), D73*0.7)</f>
        <v>749</v>
      </c>
      <c r="H73" s="102" t="str">
        <f>_xlfn.IFNA(VLOOKUP(B73,'NY Sole Source'!A:B,1,FALSE),"NNY-"&amp;B73)</f>
        <v>NNY-HW-DT-Std-Home</v>
      </c>
      <c r="I73" s="106">
        <f>IF(NOT(ISNA(VLOOKUP(B73,'FL Contract Prices'!$A$2:$C$71,3,FALSE))),VLOOKUP(B73,'FL Contract Prices'!$A$2:$C$71,3,FALSE),ROUND(D73*0.7,-1))</f>
        <v>750</v>
      </c>
      <c r="J73" s="106" t="str">
        <f>IF(NOT(ISNA(VLOOKUP(B73,'FL Part Num Mapping'!$A$2:$B$71,1,FALSE))),VLOOKUP(B73,'FL Part Num Mapping'!$A$2:$B$71,2,FALSE),"NFL "&amp; B73)</f>
        <v>NFL HW-DT-Std-Home</v>
      </c>
      <c r="K73" s="102">
        <v>1E-4</v>
      </c>
      <c r="L73" s="146" t="str">
        <f t="shared" si="12"/>
        <v>NLA HW-DT-Std-Home</v>
      </c>
      <c r="M73" s="146"/>
      <c r="N73" s="146"/>
      <c r="O73" s="155"/>
      <c r="P73" s="150">
        <v>550</v>
      </c>
      <c r="Q73" s="48">
        <v>29.95</v>
      </c>
      <c r="R73" s="88">
        <v>2</v>
      </c>
      <c r="S73" s="88">
        <f t="shared" si="31"/>
        <v>252</v>
      </c>
      <c r="T73" s="48">
        <f t="shared" si="32"/>
        <v>3.2941176470588238</v>
      </c>
      <c r="U73" s="48" t="s">
        <v>320</v>
      </c>
      <c r="V73" s="48">
        <f t="shared" si="13"/>
        <v>30</v>
      </c>
      <c r="W73" s="83"/>
      <c r="X73" s="83" t="s">
        <v>436</v>
      </c>
    </row>
    <row r="74" spans="1:24" ht="30" x14ac:dyDescent="0.25">
      <c r="A74" s="82" t="s">
        <v>437</v>
      </c>
      <c r="B74" s="82" t="s">
        <v>438</v>
      </c>
      <c r="C74" s="82" t="s">
        <v>439</v>
      </c>
      <c r="D74" s="84">
        <f t="shared" si="20"/>
        <v>1250</v>
      </c>
      <c r="E74" s="128">
        <f t="shared" si="19"/>
        <v>713.24411764705883</v>
      </c>
      <c r="F74" s="86" t="s">
        <v>199</v>
      </c>
      <c r="G74" s="102">
        <f>_xlfn.IFNA(VLOOKUP(B74,'NY Sole Source'!A:B,2,FALSE), D74*0.7)</f>
        <v>875</v>
      </c>
      <c r="H74" s="102" t="str">
        <f>_xlfn.IFNA(VLOOKUP(B74,'NY Sole Source'!A:B,1,FALSE),"NNY-"&amp;B74)</f>
        <v>NNY-HW-DT-Std-Mon-Home</v>
      </c>
      <c r="I74" s="106">
        <f>IF(NOT(ISNA(VLOOKUP(B74,'FL Contract Prices'!$A$2:$C$71,3,FALSE))),VLOOKUP(B74,'FL Contract Prices'!$A$2:$C$71,3,FALSE),ROUND(D74*0.7,-1))</f>
        <v>880</v>
      </c>
      <c r="J74" s="106" t="str">
        <f>IF(NOT(ISNA(VLOOKUP(B74,'FL Part Num Mapping'!$A$2:$B$71,1,FALSE))),VLOOKUP(B74,'FL Part Num Mapping'!$A$2:$B$71,2,FALSE),"NFL "&amp; B74)</f>
        <v>NFL HW-DT-Std-Mon-Home</v>
      </c>
      <c r="K74" s="102">
        <v>1E-4</v>
      </c>
      <c r="L74" s="146" t="str">
        <f t="shared" si="12"/>
        <v>NLA HW-DT-Std-Mon-Home</v>
      </c>
      <c r="M74" s="146"/>
      <c r="N74" s="146"/>
      <c r="O74" s="155"/>
      <c r="P74" s="150">
        <v>650</v>
      </c>
      <c r="Q74" s="48">
        <v>29.95</v>
      </c>
      <c r="R74" s="88">
        <v>2</v>
      </c>
      <c r="S74" s="88">
        <f t="shared" si="31"/>
        <v>252</v>
      </c>
      <c r="T74" s="48">
        <f t="shared" si="32"/>
        <v>3.2941176470588238</v>
      </c>
      <c r="U74" s="48" t="s">
        <v>320</v>
      </c>
      <c r="V74" s="48">
        <f t="shared" si="13"/>
        <v>30</v>
      </c>
      <c r="W74" s="83"/>
      <c r="X74" s="83" t="s">
        <v>436</v>
      </c>
    </row>
    <row r="75" spans="1:24" ht="30" x14ac:dyDescent="0.25">
      <c r="A75" s="82" t="s">
        <v>440</v>
      </c>
      <c r="B75" s="82" t="s">
        <v>441</v>
      </c>
      <c r="C75" s="82" t="s">
        <v>442</v>
      </c>
      <c r="D75" s="84">
        <f t="shared" si="20"/>
        <v>1160</v>
      </c>
      <c r="E75" s="128">
        <f t="shared" si="19"/>
        <v>663.24411764705883</v>
      </c>
      <c r="F75" s="86" t="s">
        <v>199</v>
      </c>
      <c r="G75" s="102">
        <f>_xlfn.IFNA(VLOOKUP(B75,'NY Sole Source'!A:B,2,FALSE), D75*0.7)</f>
        <v>916.40000000000009</v>
      </c>
      <c r="H75" s="102" t="str">
        <f>_xlfn.IFNA(VLOOKUP(B75,'NY Sole Source'!A:B,1,FALSE),"NNY-"&amp;B75)</f>
        <v>HW-DT-Std-Pro</v>
      </c>
      <c r="I75" s="106">
        <f>IF(NOT(ISNA(VLOOKUP(B75,'FL Contract Prices'!$A$2:$C$71,3,FALSE))),VLOOKUP(B75,'FL Contract Prices'!$A$2:$C$71,3,FALSE),ROUND(D75*0.7,-1))</f>
        <v>810</v>
      </c>
      <c r="J75" s="106" t="str">
        <f>IF(NOT(ISNA(VLOOKUP(B75,'FL Part Num Mapping'!$A$2:$B$71,1,FALSE))),VLOOKUP(B75,'FL Part Num Mapping'!$A$2:$B$71,2,FALSE),"NFL "&amp; B75)</f>
        <v>NFL HW-DT-Std-Pro</v>
      </c>
      <c r="K75" s="102">
        <v>1E-4</v>
      </c>
      <c r="L75" s="146" t="str">
        <f t="shared" si="12"/>
        <v>NLA HW-DT-Std-Pro</v>
      </c>
      <c r="M75" s="146"/>
      <c r="N75" s="146"/>
      <c r="O75" s="155"/>
      <c r="P75" s="150">
        <v>600</v>
      </c>
      <c r="Q75" s="48">
        <v>29.95</v>
      </c>
      <c r="R75" s="88">
        <v>2</v>
      </c>
      <c r="S75" s="88">
        <f t="shared" si="31"/>
        <v>252</v>
      </c>
      <c r="T75" s="48">
        <f t="shared" si="32"/>
        <v>3.2941176470588238</v>
      </c>
      <c r="U75" s="48" t="s">
        <v>320</v>
      </c>
      <c r="V75" s="48">
        <f t="shared" ref="V75:V104" si="33">IF(U75="Bulk",0,IF(U75="Std", 10,IF(U75="Pickup",20,30)))/60*60</f>
        <v>30</v>
      </c>
      <c r="W75" s="83"/>
      <c r="X75" s="83" t="s">
        <v>443</v>
      </c>
    </row>
    <row r="76" spans="1:24" ht="30" x14ac:dyDescent="0.25">
      <c r="A76" s="82" t="s">
        <v>444</v>
      </c>
      <c r="B76" s="82" t="s">
        <v>445</v>
      </c>
      <c r="C76" s="82" t="s">
        <v>446</v>
      </c>
      <c r="D76" s="84">
        <f t="shared" si="20"/>
        <v>1330</v>
      </c>
      <c r="E76" s="128">
        <f t="shared" si="19"/>
        <v>763.24411764705883</v>
      </c>
      <c r="F76" s="86" t="s">
        <v>199</v>
      </c>
      <c r="G76" s="102">
        <f>_xlfn.IFNA(VLOOKUP(B76,'NY Sole Source'!A:B,2,FALSE), D76*0.7)</f>
        <v>1050.7</v>
      </c>
      <c r="H76" s="102" t="str">
        <f>_xlfn.IFNA(VLOOKUP(B76,'NY Sole Source'!A:B,1,FALSE),"NNY-"&amp;B76)</f>
        <v>HW-DT-Std-Mon-Pro</v>
      </c>
      <c r="I76" s="106">
        <f>IF(NOT(ISNA(VLOOKUP(B76,'FL Contract Prices'!$A$2:$C$71,3,FALSE))),VLOOKUP(B76,'FL Contract Prices'!$A$2:$C$71,3,FALSE),ROUND(D76*0.7,-1))</f>
        <v>930</v>
      </c>
      <c r="J76" s="106" t="str">
        <f>IF(NOT(ISNA(VLOOKUP(B76,'FL Part Num Mapping'!$A$2:$B$71,1,FALSE))),VLOOKUP(B76,'FL Part Num Mapping'!$A$2:$B$71,2,FALSE),"NFL "&amp; B76)</f>
        <v>NFL HW-DT-Std-Mon-Pro</v>
      </c>
      <c r="K76" s="102">
        <v>1E-4</v>
      </c>
      <c r="L76" s="146" t="str">
        <f t="shared" si="12"/>
        <v>NLA HW-DT-Std-Mon-Pro</v>
      </c>
      <c r="M76" s="146"/>
      <c r="N76" s="146"/>
      <c r="O76" s="155"/>
      <c r="P76" s="150">
        <v>700</v>
      </c>
      <c r="Q76" s="48">
        <v>29.95</v>
      </c>
      <c r="R76" s="88">
        <v>2</v>
      </c>
      <c r="S76" s="88">
        <f t="shared" si="31"/>
        <v>252</v>
      </c>
      <c r="T76" s="48">
        <f t="shared" si="32"/>
        <v>3.2941176470588238</v>
      </c>
      <c r="U76" s="48" t="s">
        <v>320</v>
      </c>
      <c r="V76" s="48">
        <f t="shared" si="33"/>
        <v>30</v>
      </c>
      <c r="W76" s="83"/>
      <c r="X76" s="83" t="s">
        <v>443</v>
      </c>
    </row>
    <row r="77" spans="1:24" ht="30" x14ac:dyDescent="0.25">
      <c r="A77" s="82" t="s">
        <v>447</v>
      </c>
      <c r="B77" s="82" t="s">
        <v>448</v>
      </c>
      <c r="C77" s="82" t="s">
        <v>449</v>
      </c>
      <c r="D77" s="84">
        <f t="shared" si="20"/>
        <v>610</v>
      </c>
      <c r="E77" s="128">
        <f t="shared" si="19"/>
        <v>350.39215686274508</v>
      </c>
      <c r="F77" s="86" t="s">
        <v>199</v>
      </c>
      <c r="G77" s="102">
        <f>_xlfn.IFNA(VLOOKUP(B77,'NY Sole Source'!A:B,2,FALSE), D77*0.7)</f>
        <v>481.9</v>
      </c>
      <c r="H77" s="102" t="str">
        <f>_xlfn.IFNA(VLOOKUP(B77,'NY Sole Source'!A:B,1,FALSE),"NNY-"&amp;B77)</f>
        <v>HW-SignPad</v>
      </c>
      <c r="I77" s="106">
        <f>IF(NOT(ISNA(VLOOKUP(B77,'FL Contract Prices'!$A$2:$C$71,3,FALSE))),VLOOKUP(B77,'FL Contract Prices'!$A$2:$C$71,3,FALSE),ROUND(D77*0.7,-1))</f>
        <v>430</v>
      </c>
      <c r="J77" s="106" t="str">
        <f>IF(NOT(ISNA(VLOOKUP(B77,'FL Part Num Mapping'!$A$2:$B$71,1,FALSE))),VLOOKUP(B77,'FL Part Num Mapping'!$A$2:$B$71,2,FALSE),"NFL "&amp; B77)</f>
        <v>NFL HW-SignPad</v>
      </c>
      <c r="K77" s="102">
        <v>1E-4</v>
      </c>
      <c r="L77" s="146" t="str">
        <f t="shared" ref="L77:L97" si="34">"NLA "&amp;B77</f>
        <v>NLA HW-SignPad</v>
      </c>
      <c r="M77" s="146"/>
      <c r="N77" s="146"/>
      <c r="O77" s="155"/>
      <c r="P77" s="150">
        <v>300</v>
      </c>
      <c r="Q77" s="48">
        <v>20</v>
      </c>
      <c r="R77" s="88">
        <v>2</v>
      </c>
      <c r="S77" s="88">
        <f>5*6</f>
        <v>30</v>
      </c>
      <c r="T77" s="48">
        <f t="shared" si="32"/>
        <v>0.39215686274509803</v>
      </c>
      <c r="U77" s="48" t="s">
        <v>320</v>
      </c>
      <c r="V77" s="48">
        <f t="shared" si="33"/>
        <v>30</v>
      </c>
      <c r="W77" s="83"/>
      <c r="X77" s="83" t="s">
        <v>450</v>
      </c>
    </row>
    <row r="78" spans="1:24" ht="30" x14ac:dyDescent="0.25">
      <c r="A78" s="82" t="s">
        <v>451</v>
      </c>
      <c r="B78" s="82" t="s">
        <v>452</v>
      </c>
      <c r="C78" s="82" t="s">
        <v>453</v>
      </c>
      <c r="D78" s="84">
        <f t="shared" si="20"/>
        <v>510</v>
      </c>
      <c r="E78" s="128">
        <f t="shared" si="19"/>
        <v>292.10457516339869</v>
      </c>
      <c r="F78" s="86" t="s">
        <v>199</v>
      </c>
      <c r="G78" s="102">
        <f>_xlfn.IFNA(VLOOKUP(B78,'NY Sole Source'!A:B,2,FALSE), D78*0.7)</f>
        <v>402.9</v>
      </c>
      <c r="H78" s="102" t="str">
        <f>_xlfn.IFNA(VLOOKUP(B78,'NY Sole Source'!A:B,1,FALSE),"NNY-"&amp;B78)</f>
        <v>HW-Flatbed-V600</v>
      </c>
      <c r="I78" s="106">
        <f>IF(NOT(ISNA(VLOOKUP(B78,'FL Contract Prices'!$A$2:$C$71,3,FALSE))),VLOOKUP(B78,'FL Contract Prices'!$A$2:$C$71,3,FALSE),ROUND(D78*0.7,-1))</f>
        <v>360</v>
      </c>
      <c r="J78" s="106" t="str">
        <f>IF(NOT(ISNA(VLOOKUP(B78,'FL Part Num Mapping'!$A$2:$B$71,1,FALSE))),VLOOKUP(B78,'FL Part Num Mapping'!$A$2:$B$71,2,FALSE),"NFL "&amp; B78)</f>
        <v>NFL HW-Flatbed-V600</v>
      </c>
      <c r="K78" s="102">
        <v>1E-4</v>
      </c>
      <c r="L78" s="146" t="str">
        <f t="shared" si="34"/>
        <v>NLA HW-Flatbed-V600</v>
      </c>
      <c r="M78" s="146"/>
      <c r="N78" s="146"/>
      <c r="O78" s="155"/>
      <c r="P78" s="150">
        <v>240</v>
      </c>
      <c r="Q78" s="48">
        <v>20</v>
      </c>
      <c r="R78" s="88">
        <v>2</v>
      </c>
      <c r="S78" s="88">
        <f>23*7</f>
        <v>161</v>
      </c>
      <c r="T78" s="48">
        <f t="shared" si="32"/>
        <v>2.1045751633986929</v>
      </c>
      <c r="U78" s="48" t="s">
        <v>320</v>
      </c>
      <c r="V78" s="48">
        <f t="shared" si="33"/>
        <v>30</v>
      </c>
      <c r="W78" s="83"/>
      <c r="X78" s="83" t="s">
        <v>454</v>
      </c>
    </row>
    <row r="79" spans="1:24" ht="30" x14ac:dyDescent="0.25">
      <c r="A79" s="82" t="s">
        <v>455</v>
      </c>
      <c r="B79" s="82" t="s">
        <v>456</v>
      </c>
      <c r="C79" s="82" t="s">
        <v>457</v>
      </c>
      <c r="D79" s="84">
        <f t="shared" ref="D79" si="35">IF(E79&lt;20, ROUNDUP(E79/0.575,0), ROUNDUP(E79/0.575,-1))</f>
        <v>1410</v>
      </c>
      <c r="E79" s="128">
        <f t="shared" ref="E79" si="36">P79+Q79+T79+V79</f>
        <v>807.10457516339875</v>
      </c>
      <c r="F79" s="86" t="s">
        <v>199</v>
      </c>
      <c r="G79" s="102">
        <f>_xlfn.IFNA(VLOOKUP(B79,'NY Sole Source'!A:B,2,FALSE), D79*0.7)</f>
        <v>1113.9000000000001</v>
      </c>
      <c r="H79" s="102" t="str">
        <f>_xlfn.IFNA(VLOOKUP(B79,'NY Sole Source'!A:B,1,FALSE),"NNY-"&amp;B79)</f>
        <v>HW-Flatbed-V800</v>
      </c>
      <c r="I79" s="106">
        <f>IF(NOT(ISNA(VLOOKUP(B79,'FL Contract Prices'!$A$2:$C$71,3,FALSE))),VLOOKUP(B79,'FL Contract Prices'!$A$2:$C$71,3,FALSE),ROUND(D79*0.7,-1))</f>
        <v>990</v>
      </c>
      <c r="J79" s="106" t="str">
        <f>IF(NOT(ISNA(VLOOKUP(B79,'FL Part Num Mapping'!$A$2:$B$71,1,FALSE))),VLOOKUP(B79,'FL Part Num Mapping'!$A$2:$B$71,2,FALSE),"NFL "&amp; B79)</f>
        <v>NFL HW-Flatbed-V800</v>
      </c>
      <c r="K79" s="102">
        <v>1E-4</v>
      </c>
      <c r="L79" s="146" t="str">
        <f t="shared" ref="L79" si="37">"NLA "&amp;B79</f>
        <v>NLA HW-Flatbed-V800</v>
      </c>
      <c r="M79" s="146"/>
      <c r="N79" s="146"/>
      <c r="O79" s="155"/>
      <c r="P79" s="150">
        <v>750</v>
      </c>
      <c r="Q79" s="48">
        <v>25</v>
      </c>
      <c r="R79" s="88">
        <v>2</v>
      </c>
      <c r="S79" s="88">
        <f>23*7</f>
        <v>161</v>
      </c>
      <c r="T79" s="48">
        <f t="shared" ref="T79" si="38">(24000/8500)*(S79/12/12)/3*R79</f>
        <v>2.1045751633986929</v>
      </c>
      <c r="U79" s="48" t="s">
        <v>320</v>
      </c>
      <c r="V79" s="48">
        <f t="shared" ref="V79" si="39">IF(U79="Bulk",0,IF(U79="Std", 10,IF(U79="Pickup",20,30)))/60*60</f>
        <v>30</v>
      </c>
      <c r="W79" s="83"/>
      <c r="X79" s="83" t="s">
        <v>454</v>
      </c>
    </row>
    <row r="80" spans="1:24" ht="30" x14ac:dyDescent="0.25">
      <c r="A80" s="82" t="s">
        <v>458</v>
      </c>
      <c r="B80" s="82" t="s">
        <v>459</v>
      </c>
      <c r="C80" s="82" t="s">
        <v>460</v>
      </c>
      <c r="D80" s="84">
        <f t="shared" si="20"/>
        <v>100</v>
      </c>
      <c r="E80" s="128">
        <f t="shared" si="19"/>
        <v>55.627450980392155</v>
      </c>
      <c r="F80" s="86" t="s">
        <v>199</v>
      </c>
      <c r="G80" s="102">
        <f>_xlfn.IFNA(VLOOKUP(B80,'NY Sole Source'!A:B,2,FALSE), D80*0.7)</f>
        <v>70</v>
      </c>
      <c r="H80" s="102" t="str">
        <f>_xlfn.IFNA(VLOOKUP(B80,'NY Sole Source'!A:B,1,FALSE),"NNY-"&amp;B80)</f>
        <v>NNY-HW-Ether-DT</v>
      </c>
      <c r="I80" s="106">
        <f>IF(NOT(ISNA(VLOOKUP(B80,'FL Contract Prices'!$A$2:$C$71,3,FALSE))),VLOOKUP(B80,'FL Contract Prices'!$A$2:$C$71,3,FALSE),ROUND(D80*0.7,-1))</f>
        <v>70</v>
      </c>
      <c r="J80" s="106" t="str">
        <f>IF(NOT(ISNA(VLOOKUP(B80,'FL Part Num Mapping'!$A$2:$B$71,1,FALSE))),VLOOKUP(B80,'FL Part Num Mapping'!$A$2:$B$71,2,FALSE),"NFL "&amp; B80)</f>
        <v>NFL HW-Ether-DT</v>
      </c>
      <c r="K80" s="102">
        <v>1E-4</v>
      </c>
      <c r="L80" s="146" t="str">
        <f t="shared" si="34"/>
        <v>NLA HW-Ether-DT</v>
      </c>
      <c r="M80" s="146"/>
      <c r="N80" s="146"/>
      <c r="O80" s="155"/>
      <c r="P80" s="150">
        <v>45</v>
      </c>
      <c r="Q80" s="48"/>
      <c r="R80" s="88">
        <v>2</v>
      </c>
      <c r="S80" s="88">
        <f t="shared" ref="S80:S82" si="40">6*8</f>
        <v>48</v>
      </c>
      <c r="T80" s="48">
        <f t="shared" si="32"/>
        <v>0.62745098039215685</v>
      </c>
      <c r="U80" s="48" t="s">
        <v>179</v>
      </c>
      <c r="V80" s="48">
        <f t="shared" si="33"/>
        <v>10</v>
      </c>
      <c r="W80" s="83"/>
      <c r="X80" s="83" t="s">
        <v>461</v>
      </c>
    </row>
    <row r="81" spans="1:24" ht="30" x14ac:dyDescent="0.25">
      <c r="A81" s="82" t="s">
        <v>462</v>
      </c>
      <c r="B81" s="82" t="s">
        <v>463</v>
      </c>
      <c r="C81" s="82" t="s">
        <v>464</v>
      </c>
      <c r="D81" s="84">
        <f t="shared" si="20"/>
        <v>150</v>
      </c>
      <c r="E81" s="128">
        <f t="shared" si="19"/>
        <v>85.627450980392155</v>
      </c>
      <c r="F81" s="86" t="s">
        <v>199</v>
      </c>
      <c r="G81" s="102">
        <f>_xlfn.IFNA(VLOOKUP(B81,'NY Sole Source'!A:B,2,FALSE), D81*0.7)</f>
        <v>105</v>
      </c>
      <c r="H81" s="102" t="str">
        <f>_xlfn.IFNA(VLOOKUP(B81,'NY Sole Source'!A:B,1,FALSE),"NNY-"&amp;B81)</f>
        <v>NNY-HW-Ether-Svr</v>
      </c>
      <c r="I81" s="106">
        <f>IF(NOT(ISNA(VLOOKUP(B81,'FL Contract Prices'!$A$2:$C$71,3,FALSE))),VLOOKUP(B81,'FL Contract Prices'!$A$2:$C$71,3,FALSE),ROUND(D81*0.7,-1))</f>
        <v>110</v>
      </c>
      <c r="J81" s="106" t="str">
        <f>IF(NOT(ISNA(VLOOKUP(B81,'FL Part Num Mapping'!$A$2:$B$71,1,FALSE))),VLOOKUP(B81,'FL Part Num Mapping'!$A$2:$B$71,2,FALSE),"NFL "&amp; B81)</f>
        <v>NFL HW-Ether-Svr</v>
      </c>
      <c r="K81" s="102">
        <v>1E-4</v>
      </c>
      <c r="L81" s="146" t="str">
        <f t="shared" si="34"/>
        <v>NLA HW-Ether-Svr</v>
      </c>
      <c r="M81" s="146"/>
      <c r="N81" s="146"/>
      <c r="O81" s="155"/>
      <c r="P81" s="150">
        <v>75</v>
      </c>
      <c r="Q81" s="48"/>
      <c r="R81" s="88">
        <v>2</v>
      </c>
      <c r="S81" s="88">
        <f t="shared" si="40"/>
        <v>48</v>
      </c>
      <c r="T81" s="48">
        <f t="shared" si="32"/>
        <v>0.62745098039215685</v>
      </c>
      <c r="U81" s="48" t="s">
        <v>179</v>
      </c>
      <c r="V81" s="48">
        <f t="shared" si="33"/>
        <v>10</v>
      </c>
      <c r="W81" s="83"/>
      <c r="X81" s="83" t="s">
        <v>465</v>
      </c>
    </row>
    <row r="82" spans="1:24" x14ac:dyDescent="0.25">
      <c r="A82" s="82" t="s">
        <v>466</v>
      </c>
      <c r="B82" s="82" t="s">
        <v>467</v>
      </c>
      <c r="C82" s="82" t="s">
        <v>468</v>
      </c>
      <c r="D82" s="84">
        <f t="shared" si="20"/>
        <v>170</v>
      </c>
      <c r="E82" s="128">
        <f t="shared" si="19"/>
        <v>92.627450980392155</v>
      </c>
      <c r="F82" s="86" t="s">
        <v>199</v>
      </c>
      <c r="G82" s="102">
        <f>_xlfn.IFNA(VLOOKUP(B82,'NY Sole Source'!A:B,2,FALSE), D82*0.7)</f>
        <v>118.99999999999999</v>
      </c>
      <c r="H82" s="102" t="str">
        <f>_xlfn.IFNA(VLOOKUP(B82,'NY Sole Source'!A:B,1,FALSE),"NNY-"&amp;B82)</f>
        <v>NNY-HW-FW-DT</v>
      </c>
      <c r="I82" s="106">
        <f>IF(NOT(ISNA(VLOOKUP(B82,'FL Contract Prices'!$A$2:$C$71,3,FALSE))),VLOOKUP(B82,'FL Contract Prices'!$A$2:$C$71,3,FALSE),ROUND(D82*0.7,-1))</f>
        <v>120</v>
      </c>
      <c r="J82" s="106" t="str">
        <f>IF(NOT(ISNA(VLOOKUP(B82,'FL Part Num Mapping'!$A$2:$B$71,1,FALSE))),VLOOKUP(B82,'FL Part Num Mapping'!$A$2:$B$71,2,FALSE),"NFL "&amp; B82)</f>
        <v>NFL HW-FW-DT</v>
      </c>
      <c r="K82" s="102">
        <v>1E-4</v>
      </c>
      <c r="L82" s="146" t="str">
        <f t="shared" si="34"/>
        <v>NLA HW-FW-DT</v>
      </c>
      <c r="M82" s="146"/>
      <c r="N82" s="146"/>
      <c r="O82" s="155"/>
      <c r="P82" s="150">
        <v>80</v>
      </c>
      <c r="Q82" s="48">
        <v>2</v>
      </c>
      <c r="R82" s="88">
        <v>2</v>
      </c>
      <c r="S82" s="88">
        <f t="shared" si="40"/>
        <v>48</v>
      </c>
      <c r="T82" s="48">
        <f t="shared" si="32"/>
        <v>0.62745098039215685</v>
      </c>
      <c r="U82" s="48" t="s">
        <v>179</v>
      </c>
      <c r="V82" s="48">
        <f t="shared" si="33"/>
        <v>10</v>
      </c>
      <c r="W82" s="83"/>
      <c r="X82" s="83" t="s">
        <v>469</v>
      </c>
    </row>
    <row r="83" spans="1:24" ht="30" x14ac:dyDescent="0.25">
      <c r="A83" s="87" t="s">
        <v>470</v>
      </c>
      <c r="B83" s="82" t="s">
        <v>471</v>
      </c>
      <c r="C83" s="82" t="s">
        <v>472</v>
      </c>
      <c r="D83" s="84">
        <f t="shared" si="20"/>
        <v>180</v>
      </c>
      <c r="E83" s="128">
        <f t="shared" si="19"/>
        <v>102.03342857142857</v>
      </c>
      <c r="F83" s="86" t="s">
        <v>199</v>
      </c>
      <c r="G83" s="102">
        <f>_xlfn.IFNA(VLOOKUP(B83,'NY Sole Source'!A:B,2,FALSE), D83*0.7)</f>
        <v>142.19999999999999</v>
      </c>
      <c r="H83" s="102" t="str">
        <f>_xlfn.IFNA(VLOOKUP(B83,'NY Sole Source'!A:B,1,FALSE),"NNY-"&amp;B83)</f>
        <v>HW-FootPedal</v>
      </c>
      <c r="I83" s="106">
        <f>IF(NOT(ISNA(VLOOKUP(B83,'FL Contract Prices'!$A$2:$C$71,3,FALSE))),VLOOKUP(B83,'FL Contract Prices'!$A$2:$C$71,3,FALSE),ROUND(D83*0.7,-1))</f>
        <v>194.36999999999998</v>
      </c>
      <c r="J83" s="106" t="str">
        <f>IF(NOT(ISNA(VLOOKUP(B83,'FL Part Num Mapping'!$A$2:$B$71,1,FALSE))),VLOOKUP(B83,'FL Part Num Mapping'!$A$2:$B$71,2,FALSE),"NFL "&amp; B83)</f>
        <v>ACC-Foot-USB</v>
      </c>
      <c r="K83" s="102">
        <v>1E-4</v>
      </c>
      <c r="L83" s="146" t="str">
        <f t="shared" si="34"/>
        <v>NLA HW-FootPedal</v>
      </c>
      <c r="M83" s="146"/>
      <c r="N83" s="146"/>
      <c r="O83" s="155"/>
      <c r="P83" s="150">
        <v>90</v>
      </c>
      <c r="Q83" s="48">
        <f>12.99/10+51.41/70</f>
        <v>2.0334285714285714</v>
      </c>
      <c r="R83" s="88"/>
      <c r="S83" s="88"/>
      <c r="T83" s="48">
        <f t="shared" si="32"/>
        <v>0</v>
      </c>
      <c r="U83" s="48" t="s">
        <v>179</v>
      </c>
      <c r="V83" s="48">
        <f t="shared" si="33"/>
        <v>10</v>
      </c>
      <c r="W83" s="83"/>
      <c r="X83" s="83" t="s">
        <v>473</v>
      </c>
    </row>
    <row r="84" spans="1:24" x14ac:dyDescent="0.25">
      <c r="A84" s="87" t="s">
        <v>474</v>
      </c>
      <c r="B84" s="82" t="s">
        <v>475</v>
      </c>
      <c r="C84" s="82" t="s">
        <v>476</v>
      </c>
      <c r="D84" s="84">
        <f t="shared" si="20"/>
        <v>160</v>
      </c>
      <c r="E84" s="128">
        <f t="shared" si="19"/>
        <v>92</v>
      </c>
      <c r="F84" s="86" t="s">
        <v>199</v>
      </c>
      <c r="G84" s="102">
        <f>_xlfn.IFNA(VLOOKUP(B84,'NY Sole Source'!A:B,2,FALSE), D84*0.7)</f>
        <v>126.4</v>
      </c>
      <c r="H84" s="102" t="str">
        <f>_xlfn.IFNA(VLOOKUP(B84,'NY Sole Source'!A:B,1,FALSE),"NNY-"&amp;B84)</f>
        <v>HW-HD-DT</v>
      </c>
      <c r="I84" s="106">
        <f>IF(NOT(ISNA(VLOOKUP(B84,'FL Contract Prices'!$A$2:$C$71,3,FALSE))),VLOOKUP(B84,'FL Contract Prices'!$A$2:$C$71,3,FALSE),ROUND(D84*0.7,-1))</f>
        <v>110</v>
      </c>
      <c r="J84" s="106" t="str">
        <f>IF(NOT(ISNA(VLOOKUP(B84,'FL Part Num Mapping'!$A$2:$B$71,1,FALSE))),VLOOKUP(B84,'FL Part Num Mapping'!$A$2:$B$71,2,FALSE),"NFL "&amp; B84)</f>
        <v>NFL HW-HD-DT</v>
      </c>
      <c r="K84" s="102">
        <v>1E-4</v>
      </c>
      <c r="L84" s="146" t="str">
        <f t="shared" si="34"/>
        <v>NLA HW-HD-DT</v>
      </c>
      <c r="M84" s="146"/>
      <c r="N84" s="146"/>
      <c r="O84" s="155"/>
      <c r="P84" s="150">
        <v>80</v>
      </c>
      <c r="Q84" s="48">
        <v>2</v>
      </c>
      <c r="R84" s="88"/>
      <c r="S84" s="88"/>
      <c r="T84" s="48">
        <f t="shared" si="32"/>
        <v>0</v>
      </c>
      <c r="U84" s="48" t="s">
        <v>179</v>
      </c>
      <c r="V84" s="48">
        <f t="shared" si="33"/>
        <v>10</v>
      </c>
      <c r="W84" s="83"/>
      <c r="X84" s="83" t="s">
        <v>477</v>
      </c>
    </row>
    <row r="85" spans="1:24" x14ac:dyDescent="0.25">
      <c r="A85" s="87" t="s">
        <v>478</v>
      </c>
      <c r="B85" s="82" t="s">
        <v>479</v>
      </c>
      <c r="C85" s="82" t="s">
        <v>480</v>
      </c>
      <c r="D85" s="84">
        <f t="shared" si="20"/>
        <v>160</v>
      </c>
      <c r="E85" s="128">
        <f t="shared" si="19"/>
        <v>92</v>
      </c>
      <c r="F85" s="86" t="s">
        <v>199</v>
      </c>
      <c r="G85" s="102">
        <f>_xlfn.IFNA(VLOOKUP(B85,'NY Sole Source'!A:B,2,FALSE), D85*0.7)</f>
        <v>126.4</v>
      </c>
      <c r="H85" s="102" t="str">
        <f>_xlfn.IFNA(VLOOKUP(B85,'NY Sole Source'!A:B,1,FALSE),"NNY-"&amp;B85)</f>
        <v>HW-HD-LT</v>
      </c>
      <c r="I85" s="106">
        <f>IF(NOT(ISNA(VLOOKUP(B85,'FL Contract Prices'!$A$2:$C$71,3,FALSE))),VLOOKUP(B85,'FL Contract Prices'!$A$2:$C$71,3,FALSE),ROUND(D85*0.7,-1))</f>
        <v>110</v>
      </c>
      <c r="J85" s="106" t="str">
        <f>IF(NOT(ISNA(VLOOKUP(B85,'FL Part Num Mapping'!$A$2:$B$71,1,FALSE))),VLOOKUP(B85,'FL Part Num Mapping'!$A$2:$B$71,2,FALSE),"NFL "&amp; B85)</f>
        <v>NFL HW-HD-LT</v>
      </c>
      <c r="K85" s="102">
        <v>1E-4</v>
      </c>
      <c r="L85" s="146" t="str">
        <f t="shared" si="34"/>
        <v>NLA HW-HD-LT</v>
      </c>
      <c r="M85" s="146"/>
      <c r="N85" s="146"/>
      <c r="O85" s="155"/>
      <c r="P85" s="150">
        <v>80</v>
      </c>
      <c r="Q85" s="48">
        <v>2</v>
      </c>
      <c r="R85" s="88"/>
      <c r="S85" s="88"/>
      <c r="T85" s="48">
        <f t="shared" si="32"/>
        <v>0</v>
      </c>
      <c r="U85" s="48" t="s">
        <v>179</v>
      </c>
      <c r="V85" s="48">
        <f t="shared" si="33"/>
        <v>10</v>
      </c>
      <c r="W85" s="83"/>
      <c r="X85" s="83" t="s">
        <v>477</v>
      </c>
    </row>
    <row r="86" spans="1:24" ht="20.25" customHeight="1" x14ac:dyDescent="0.25">
      <c r="A86" s="87" t="s">
        <v>481</v>
      </c>
      <c r="B86" s="82" t="s">
        <v>482</v>
      </c>
      <c r="C86" s="87" t="s">
        <v>481</v>
      </c>
      <c r="D86" s="84">
        <f t="shared" si="20"/>
        <v>220</v>
      </c>
      <c r="E86" s="128">
        <f t="shared" si="19"/>
        <v>122</v>
      </c>
      <c r="F86" s="86" t="s">
        <v>199</v>
      </c>
      <c r="G86" s="102">
        <f>_xlfn.IFNA(VLOOKUP(B86,'NY Sole Source'!A:B,2,FALSE), D86*0.7)</f>
        <v>173.8</v>
      </c>
      <c r="H86" s="102" t="str">
        <f>_xlfn.IFNA(VLOOKUP(B86,'NY Sole Source'!A:B,1,FALSE),"NNY-"&amp;B86)</f>
        <v>HW-HD-SSD200</v>
      </c>
      <c r="I86" s="106">
        <f>IF(NOT(ISNA(VLOOKUP(B86,'FL Contract Prices'!$A$2:$C$71,3,FALSE))),VLOOKUP(B86,'FL Contract Prices'!$A$2:$C$71,3,FALSE),ROUND(D86*0.7,-1))</f>
        <v>150</v>
      </c>
      <c r="J86" s="106" t="str">
        <f>IF(NOT(ISNA(VLOOKUP(B86,'FL Part Num Mapping'!$A$2:$B$71,1,FALSE))),VLOOKUP(B86,'FL Part Num Mapping'!$A$2:$B$71,2,FALSE),"NFL "&amp; B86)</f>
        <v>NFL HW-HD-SSD200</v>
      </c>
      <c r="K86" s="102">
        <v>1E-4</v>
      </c>
      <c r="L86" s="146" t="str">
        <f t="shared" si="34"/>
        <v>NLA HW-HD-SSD200</v>
      </c>
      <c r="M86" s="146"/>
      <c r="N86" s="146"/>
      <c r="O86" s="155"/>
      <c r="P86" s="150">
        <v>110</v>
      </c>
      <c r="Q86" s="48">
        <v>2</v>
      </c>
      <c r="R86" s="88"/>
      <c r="S86" s="88"/>
      <c r="T86" s="48">
        <f t="shared" si="32"/>
        <v>0</v>
      </c>
      <c r="U86" s="48" t="s">
        <v>179</v>
      </c>
      <c r="V86" s="48">
        <f t="shared" si="33"/>
        <v>10</v>
      </c>
      <c r="W86" s="83"/>
      <c r="X86" s="83" t="s">
        <v>477</v>
      </c>
    </row>
    <row r="87" spans="1:24" ht="30" x14ac:dyDescent="0.25">
      <c r="A87" s="82" t="s">
        <v>483</v>
      </c>
      <c r="B87" s="82" t="s">
        <v>484</v>
      </c>
      <c r="C87" s="82" t="s">
        <v>485</v>
      </c>
      <c r="D87" s="84">
        <f t="shared" si="20"/>
        <v>1620</v>
      </c>
      <c r="E87" s="128">
        <f t="shared" ref="E87:E115" si="41">P87+Q87+T87+V87</f>
        <v>930.62745098039215</v>
      </c>
      <c r="F87" s="86" t="s">
        <v>199</v>
      </c>
      <c r="G87" s="102">
        <f>_xlfn.IFNA(VLOOKUP(B87,'NY Sole Source'!A:B,2,FALSE), D87*0.7)</f>
        <v>1134</v>
      </c>
      <c r="H87" s="102" t="str">
        <f>_xlfn.IFNA(VLOOKUP(B87,'NY Sole Source'!A:B,1,FALSE),"NNY-"&amp;B87)</f>
        <v>NNY-HW-Mobile-iPhone</v>
      </c>
      <c r="I87" s="106">
        <f>IF(NOT(ISNA(VLOOKUP(B87,'FL Contract Prices'!$A$2:$C$71,3,FALSE))),VLOOKUP(B87,'FL Contract Prices'!$A$2:$C$71,3,FALSE),ROUND(D87*0.7,-1))</f>
        <v>1059.0219999999999</v>
      </c>
      <c r="J87" s="106" t="str">
        <f>IF(NOT(ISNA(VLOOKUP(B87,'FL Part Num Mapping'!$A$2:$B$71,1,FALSE))),VLOOKUP(B87,'FL Part Num Mapping'!$A$2:$B$71,2,FALSE),"NFL "&amp; B87)</f>
        <v>HW-PDA-Apple</v>
      </c>
      <c r="K87" s="102">
        <v>1E-4</v>
      </c>
      <c r="L87" s="146" t="str">
        <f t="shared" si="34"/>
        <v>NLA HW-Mobile-iPhone</v>
      </c>
      <c r="M87" s="146"/>
      <c r="N87" s="146"/>
      <c r="O87" s="155"/>
      <c r="P87" s="150">
        <v>900</v>
      </c>
      <c r="Q87" s="48"/>
      <c r="R87" s="88">
        <v>2</v>
      </c>
      <c r="S87" s="88">
        <f>4*12</f>
        <v>48</v>
      </c>
      <c r="T87" s="48">
        <f t="shared" si="32"/>
        <v>0.62745098039215685</v>
      </c>
      <c r="U87" s="48" t="s">
        <v>320</v>
      </c>
      <c r="V87" s="48">
        <f t="shared" si="33"/>
        <v>30</v>
      </c>
      <c r="W87" s="83"/>
      <c r="X87" s="83" t="s">
        <v>486</v>
      </c>
    </row>
    <row r="88" spans="1:24" ht="30" x14ac:dyDescent="0.25">
      <c r="A88" s="82" t="s">
        <v>487</v>
      </c>
      <c r="B88" s="82" t="s">
        <v>488</v>
      </c>
      <c r="C88" s="82" t="s">
        <v>489</v>
      </c>
      <c r="D88" s="84">
        <f t="shared" si="20"/>
        <v>1620</v>
      </c>
      <c r="E88" s="128">
        <f t="shared" si="41"/>
        <v>930.62745098039215</v>
      </c>
      <c r="F88" s="86" t="s">
        <v>199</v>
      </c>
      <c r="G88" s="102">
        <f>_xlfn.IFNA(VLOOKUP(B88,'NY Sole Source'!A:B,2,FALSE), D88*0.7)</f>
        <v>1134</v>
      </c>
      <c r="H88" s="102" t="str">
        <f>_xlfn.IFNA(VLOOKUP(B88,'NY Sole Source'!A:B,1,FALSE),"NNY-"&amp;B88)</f>
        <v>NNY-HW-LT-HP-Home</v>
      </c>
      <c r="I88" s="106">
        <f>IF(NOT(ISNA(VLOOKUP(B88,'FL Contract Prices'!$A$2:$C$71,3,FALSE))),VLOOKUP(B88,'FL Contract Prices'!$A$2:$C$71,3,FALSE),ROUND(D88*0.7,-1))</f>
        <v>1130</v>
      </c>
      <c r="J88" s="106" t="str">
        <f>IF(NOT(ISNA(VLOOKUP(B88,'FL Part Num Mapping'!$A$2:$B$71,1,FALSE))),VLOOKUP(B88,'FL Part Num Mapping'!$A$2:$B$71,2,FALSE),"NFL "&amp; B88)</f>
        <v>NFL HW-LT-HP-Home</v>
      </c>
      <c r="K88" s="102">
        <v>1E-4</v>
      </c>
      <c r="L88" s="146" t="str">
        <f t="shared" si="34"/>
        <v>NLA HW-LT-HP-Home</v>
      </c>
      <c r="M88" s="146"/>
      <c r="N88" s="146"/>
      <c r="O88" s="155"/>
      <c r="P88" s="150">
        <v>900</v>
      </c>
      <c r="Q88" s="48"/>
      <c r="R88" s="88">
        <v>2</v>
      </c>
      <c r="S88" s="88">
        <f>4*12</f>
        <v>48</v>
      </c>
      <c r="T88" s="48">
        <f t="shared" si="32"/>
        <v>0.62745098039215685</v>
      </c>
      <c r="U88" s="48" t="s">
        <v>320</v>
      </c>
      <c r="V88" s="48">
        <f t="shared" si="33"/>
        <v>30</v>
      </c>
      <c r="W88" s="83"/>
      <c r="X88" s="83" t="s">
        <v>490</v>
      </c>
    </row>
    <row r="89" spans="1:24" ht="30" x14ac:dyDescent="0.25">
      <c r="A89" s="82" t="s">
        <v>491</v>
      </c>
      <c r="B89" s="82" t="s">
        <v>492</v>
      </c>
      <c r="C89" s="82" t="s">
        <v>493</v>
      </c>
      <c r="D89" s="84">
        <f t="shared" ref="D89:D107" si="42">IF(E89&lt;20, ROUNDUP(E89/0.575,0), ROUNDUP(E89/0.575,-1))</f>
        <v>1800</v>
      </c>
      <c r="E89" s="128">
        <f t="shared" si="41"/>
        <v>1030.627450980392</v>
      </c>
      <c r="F89" s="86" t="s">
        <v>199</v>
      </c>
      <c r="G89" s="102">
        <f>_xlfn.IFNA(VLOOKUP(B89,'NY Sole Source'!A:B,2,FALSE), D89*0.7)</f>
        <v>1422</v>
      </c>
      <c r="H89" s="102" t="str">
        <f>_xlfn.IFNA(VLOOKUP(B89,'NY Sole Source'!A:B,1,FALSE),"NNY-"&amp;B89)</f>
        <v>HW-LT-HP-Pro</v>
      </c>
      <c r="I89" s="106">
        <f>IF(NOT(ISNA(VLOOKUP(B89,'FL Contract Prices'!$A$2:$C$71,3,FALSE))),VLOOKUP(B89,'FL Contract Prices'!$A$2:$C$71,3,FALSE),ROUND(D89*0.7,-1))</f>
        <v>1207.45</v>
      </c>
      <c r="J89" s="106" t="str">
        <f>IF(NOT(ISNA(VLOOKUP(B89,'FL Part Num Mapping'!$A$2:$B$71,1,FALSE))),VLOOKUP(B89,'FL Part Num Mapping'!$A$2:$B$71,2,FALSE),"NFL "&amp; B89)</f>
        <v>HW-LT-HP</v>
      </c>
      <c r="K89" s="102">
        <v>1E-4</v>
      </c>
      <c r="L89" s="146" t="str">
        <f t="shared" si="34"/>
        <v>NLA HW-LT-HP-Pro</v>
      </c>
      <c r="M89" s="146"/>
      <c r="N89" s="146"/>
      <c r="O89" s="155"/>
      <c r="P89" s="150">
        <v>1000</v>
      </c>
      <c r="Q89" s="48"/>
      <c r="R89" s="88">
        <v>2</v>
      </c>
      <c r="S89" s="88">
        <f>4*12</f>
        <v>48</v>
      </c>
      <c r="T89" s="48">
        <f t="shared" si="32"/>
        <v>0.62745098039215685</v>
      </c>
      <c r="U89" s="48" t="s">
        <v>320</v>
      </c>
      <c r="V89" s="48">
        <f t="shared" si="33"/>
        <v>30</v>
      </c>
      <c r="W89" s="83"/>
      <c r="X89" s="83" t="s">
        <v>494</v>
      </c>
    </row>
    <row r="90" spans="1:24" ht="30" x14ac:dyDescent="0.25">
      <c r="A90" s="82" t="s">
        <v>495</v>
      </c>
      <c r="B90" s="82" t="s">
        <v>496</v>
      </c>
      <c r="C90" s="82" t="s">
        <v>497</v>
      </c>
      <c r="D90" s="84">
        <f t="shared" si="42"/>
        <v>160</v>
      </c>
      <c r="E90" s="128">
        <f t="shared" si="41"/>
        <v>90</v>
      </c>
      <c r="F90" s="86" t="s">
        <v>199</v>
      </c>
      <c r="G90" s="102">
        <f>_xlfn.IFNA(VLOOKUP(B90,'NY Sole Source'!A:B,2,FALSE), D90*0.7)</f>
        <v>112</v>
      </c>
      <c r="H90" s="102" t="str">
        <f>_xlfn.IFNA(VLOOKUP(B90,'NY Sole Source'!A:B,1,FALSE),"NNY-"&amp;B90)</f>
        <v>NNY-HW-LT-Power</v>
      </c>
      <c r="I90" s="106">
        <f>IF(NOT(ISNA(VLOOKUP(B90,'FL Contract Prices'!$A$2:$C$71,3,FALSE))),VLOOKUP(B90,'FL Contract Prices'!$A$2:$C$71,3,FALSE),ROUND(D90*0.7,-1))</f>
        <v>110</v>
      </c>
      <c r="J90" s="106" t="str">
        <f>IF(NOT(ISNA(VLOOKUP(B90,'FL Part Num Mapping'!$A$2:$B$71,1,FALSE))),VLOOKUP(B90,'FL Part Num Mapping'!$A$2:$B$71,2,FALSE),"NFL "&amp; B90)</f>
        <v>NFL HW-LT-Power</v>
      </c>
      <c r="K90" s="102">
        <v>1E-4</v>
      </c>
      <c r="L90" s="146" t="str">
        <f t="shared" si="34"/>
        <v>NLA HW-LT-Power</v>
      </c>
      <c r="M90" s="146"/>
      <c r="N90" s="146"/>
      <c r="O90" s="155"/>
      <c r="P90" s="150">
        <v>60</v>
      </c>
      <c r="Q90" s="48"/>
      <c r="R90" s="88"/>
      <c r="S90" s="88"/>
      <c r="T90" s="48">
        <f t="shared" si="32"/>
        <v>0</v>
      </c>
      <c r="U90" s="48" t="s">
        <v>320</v>
      </c>
      <c r="V90" s="48">
        <f t="shared" si="33"/>
        <v>30</v>
      </c>
      <c r="W90" s="83"/>
      <c r="X90" s="83" t="s">
        <v>498</v>
      </c>
    </row>
    <row r="91" spans="1:24" ht="30" x14ac:dyDescent="0.25">
      <c r="A91" s="82" t="s">
        <v>499</v>
      </c>
      <c r="B91" s="82" t="s">
        <v>500</v>
      </c>
      <c r="C91" s="82" t="s">
        <v>501</v>
      </c>
      <c r="D91" s="84">
        <f t="shared" si="42"/>
        <v>90</v>
      </c>
      <c r="E91" s="128">
        <f t="shared" si="41"/>
        <v>50</v>
      </c>
      <c r="F91" s="86" t="s">
        <v>199</v>
      </c>
      <c r="G91" s="102">
        <f>_xlfn.IFNA(VLOOKUP(B91,'NY Sole Source'!A:B,2,FALSE), D91*0.7)</f>
        <v>62.999999999999993</v>
      </c>
      <c r="H91" s="102" t="str">
        <f>_xlfn.IFNA(VLOOKUP(B91,'NY Sole Source'!A:B,1,FALSE),"NNY-"&amp;B91)</f>
        <v>NNY-HW-LT-SecurLock</v>
      </c>
      <c r="I91" s="106">
        <f>IF(NOT(ISNA(VLOOKUP(B91,'FL Contract Prices'!$A$2:$C$71,3,FALSE))),VLOOKUP(B91,'FL Contract Prices'!$A$2:$C$71,3,FALSE),ROUND(D91*0.7,-1))</f>
        <v>60</v>
      </c>
      <c r="J91" s="106" t="str">
        <f>IF(NOT(ISNA(VLOOKUP(B91,'FL Part Num Mapping'!$A$2:$B$71,1,FALSE))),VLOOKUP(B91,'FL Part Num Mapping'!$A$2:$B$71,2,FALSE),"NFL "&amp; B91)</f>
        <v>NFL HW-LT-SecurLock</v>
      </c>
      <c r="K91" s="102">
        <v>1E-4</v>
      </c>
      <c r="L91" s="146" t="str">
        <f t="shared" si="34"/>
        <v>NLA HW-LT-SecurLock</v>
      </c>
      <c r="M91" s="146"/>
      <c r="N91" s="146"/>
      <c r="O91" s="155"/>
      <c r="P91" s="150">
        <v>20</v>
      </c>
      <c r="Q91" s="48"/>
      <c r="R91" s="88"/>
      <c r="S91" s="88"/>
      <c r="T91" s="48">
        <f t="shared" si="32"/>
        <v>0</v>
      </c>
      <c r="U91" s="48" t="s">
        <v>320</v>
      </c>
      <c r="V91" s="48">
        <f t="shared" si="33"/>
        <v>30</v>
      </c>
      <c r="W91" s="83"/>
      <c r="X91" s="83" t="s">
        <v>502</v>
      </c>
    </row>
    <row r="92" spans="1:24" ht="30" x14ac:dyDescent="0.25">
      <c r="A92" s="82" t="s">
        <v>503</v>
      </c>
      <c r="B92" s="82" t="s">
        <v>504</v>
      </c>
      <c r="C92" s="82" t="s">
        <v>505</v>
      </c>
      <c r="D92" s="84">
        <f t="shared" si="42"/>
        <v>1100</v>
      </c>
      <c r="E92" s="128">
        <f t="shared" si="41"/>
        <v>629.62745098039215</v>
      </c>
      <c r="F92" s="86" t="s">
        <v>199</v>
      </c>
      <c r="G92" s="102">
        <f>_xlfn.IFNA(VLOOKUP(B92,'NY Sole Source'!A:B,2,FALSE), D92*0.7)</f>
        <v>770</v>
      </c>
      <c r="H92" s="102" t="str">
        <f>_xlfn.IFNA(VLOOKUP(B92,'NY Sole Source'!A:B,1,FALSE),"NNY-"&amp;B92)</f>
        <v>NNY-HW-LT-P-Home</v>
      </c>
      <c r="I92" s="106">
        <f>IF(NOT(ISNA(VLOOKUP(B92,'FL Contract Prices'!$A$2:$C$71,3,FALSE))),VLOOKUP(B92,'FL Contract Prices'!$A$2:$C$71,3,FALSE),ROUND(D92*0.7,-1))</f>
        <v>770</v>
      </c>
      <c r="J92" s="106" t="str">
        <f>IF(NOT(ISNA(VLOOKUP(B92,'FL Part Num Mapping'!$A$2:$B$71,1,FALSE))),VLOOKUP(B92,'FL Part Num Mapping'!$A$2:$B$71,2,FALSE),"NFL "&amp; B92)</f>
        <v>NFL HW-LT-P-Home</v>
      </c>
      <c r="K92" s="102">
        <v>1E-4</v>
      </c>
      <c r="L92" s="146" t="str">
        <f t="shared" si="34"/>
        <v>NLA HW-LT-P-Home</v>
      </c>
      <c r="M92" s="146"/>
      <c r="N92" s="146"/>
      <c r="O92" s="155"/>
      <c r="P92" s="150">
        <v>599</v>
      </c>
      <c r="Q92" s="48"/>
      <c r="R92" s="88">
        <v>2</v>
      </c>
      <c r="S92" s="88">
        <f t="shared" ref="S92:S97" si="43">4*12</f>
        <v>48</v>
      </c>
      <c r="T92" s="48">
        <f t="shared" si="32"/>
        <v>0.62745098039215685</v>
      </c>
      <c r="U92" s="48" t="s">
        <v>320</v>
      </c>
      <c r="V92" s="48">
        <f t="shared" si="33"/>
        <v>30</v>
      </c>
      <c r="W92" s="83"/>
      <c r="X92" s="83" t="s">
        <v>506</v>
      </c>
    </row>
    <row r="93" spans="1:24" ht="30" x14ac:dyDescent="0.25">
      <c r="A93" s="82" t="s">
        <v>507</v>
      </c>
      <c r="B93" s="82" t="s">
        <v>508</v>
      </c>
      <c r="C93" s="82" t="s">
        <v>509</v>
      </c>
      <c r="D93" s="84">
        <f t="shared" si="42"/>
        <v>1270</v>
      </c>
      <c r="E93" s="128">
        <f t="shared" si="41"/>
        <v>729.62745098039215</v>
      </c>
      <c r="F93" s="86" t="s">
        <v>199</v>
      </c>
      <c r="G93" s="102">
        <f>_xlfn.IFNA(VLOOKUP(B93,'NY Sole Source'!A:B,2,FALSE), D93*0.7)</f>
        <v>1003.3</v>
      </c>
      <c r="H93" s="102" t="str">
        <f>_xlfn.IFNA(VLOOKUP(B93,'NY Sole Source'!A:B,1,FALSE),"NNY-"&amp;B93)</f>
        <v>HW-LT-P-Pro</v>
      </c>
      <c r="I93" s="106">
        <f>IF(NOT(ISNA(VLOOKUP(B93,'FL Contract Prices'!$A$2:$C$71,3,FALSE))),VLOOKUP(B93,'FL Contract Prices'!$A$2:$C$71,3,FALSE),ROUND(D93*0.7,-1))</f>
        <v>890</v>
      </c>
      <c r="J93" s="106" t="str">
        <f>IF(NOT(ISNA(VLOOKUP(B93,'FL Part Num Mapping'!$A$2:$B$71,1,FALSE))),VLOOKUP(B93,'FL Part Num Mapping'!$A$2:$B$71,2,FALSE),"NFL "&amp; B93)</f>
        <v>NFL HW-LT-P-Pro</v>
      </c>
      <c r="K93" s="102">
        <v>2490</v>
      </c>
      <c r="L93" s="146" t="s">
        <v>510</v>
      </c>
      <c r="M93" s="146"/>
      <c r="N93" s="146"/>
      <c r="O93" s="155"/>
      <c r="P93" s="150">
        <v>699</v>
      </c>
      <c r="Q93" s="48"/>
      <c r="R93" s="88">
        <v>2</v>
      </c>
      <c r="S93" s="88">
        <f t="shared" si="43"/>
        <v>48</v>
      </c>
      <c r="T93" s="48">
        <f t="shared" si="32"/>
        <v>0.62745098039215685</v>
      </c>
      <c r="U93" s="48" t="s">
        <v>320</v>
      </c>
      <c r="V93" s="48">
        <f t="shared" si="33"/>
        <v>30</v>
      </c>
      <c r="W93" s="83"/>
      <c r="X93" s="83" t="s">
        <v>511</v>
      </c>
    </row>
    <row r="94" spans="1:24" ht="30" x14ac:dyDescent="0.25">
      <c r="A94" s="82" t="s">
        <v>512</v>
      </c>
      <c r="B94" s="82" t="s">
        <v>513</v>
      </c>
      <c r="C94" s="82" t="s">
        <v>514</v>
      </c>
      <c r="D94" s="84">
        <f t="shared" si="42"/>
        <v>3530</v>
      </c>
      <c r="E94" s="128">
        <f t="shared" si="41"/>
        <v>2025.6274509803923</v>
      </c>
      <c r="F94" s="86" t="s">
        <v>199</v>
      </c>
      <c r="G94" s="102">
        <f>_xlfn.IFNA(VLOOKUP(B94,'NY Sole Source'!A:B,2,FALSE), D94*0.7)</f>
        <v>2788.7</v>
      </c>
      <c r="H94" s="102" t="str">
        <f>_xlfn.IFNA(VLOOKUP(B94,'NY Sole Source'!A:B,1,FALSE),"NNY-"&amp;B94)</f>
        <v>HW-LT-RHP-Home</v>
      </c>
      <c r="I94" s="106">
        <f>IF(NOT(ISNA(VLOOKUP(B94,'FL Contract Prices'!$A$2:$C$71,3,FALSE))),VLOOKUP(B94,'FL Contract Prices'!$A$2:$C$71,3,FALSE),ROUND(D94*0.7,-1))</f>
        <v>2470</v>
      </c>
      <c r="J94" s="106" t="str">
        <f>IF(NOT(ISNA(VLOOKUP(B94,'FL Part Num Mapping'!$A$2:$B$71,1,FALSE))),VLOOKUP(B94,'FL Part Num Mapping'!$A$2:$B$71,2,FALSE),"NFL "&amp; B94)</f>
        <v>NFL HW-LT-RHP-Home</v>
      </c>
      <c r="K94" s="102">
        <v>1E-4</v>
      </c>
      <c r="L94" s="146" t="str">
        <f t="shared" si="34"/>
        <v>NLA HW-LT-RHP-Home</v>
      </c>
      <c r="M94" s="146"/>
      <c r="N94" s="146"/>
      <c r="O94" s="155"/>
      <c r="P94" s="150">
        <v>1995</v>
      </c>
      <c r="Q94" s="48"/>
      <c r="R94" s="88">
        <v>2</v>
      </c>
      <c r="S94" s="88">
        <f t="shared" si="43"/>
        <v>48</v>
      </c>
      <c r="T94" s="48">
        <f t="shared" si="32"/>
        <v>0.62745098039215685</v>
      </c>
      <c r="U94" s="48" t="s">
        <v>320</v>
      </c>
      <c r="V94" s="48">
        <f t="shared" si="33"/>
        <v>30</v>
      </c>
      <c r="W94" s="83"/>
      <c r="X94" s="83" t="s">
        <v>515</v>
      </c>
    </row>
    <row r="95" spans="1:24" ht="30" x14ac:dyDescent="0.25">
      <c r="A95" s="82" t="s">
        <v>516</v>
      </c>
      <c r="B95" s="82" t="s">
        <v>517</v>
      </c>
      <c r="C95" s="82" t="s">
        <v>518</v>
      </c>
      <c r="D95" s="84">
        <f t="shared" si="42"/>
        <v>2310</v>
      </c>
      <c r="E95" s="128">
        <f t="shared" si="41"/>
        <v>1325.6274509803923</v>
      </c>
      <c r="F95" s="86" t="s">
        <v>199</v>
      </c>
      <c r="G95" s="102">
        <f>_xlfn.IFNA(VLOOKUP(B95,'NY Sole Source'!A:B,2,FALSE), D95*0.7)</f>
        <v>1824.9</v>
      </c>
      <c r="H95" s="102" t="str">
        <f>_xlfn.IFNA(VLOOKUP(B95,'NY Sole Source'!A:B,1,FALSE),"NNY-"&amp;B95)</f>
        <v>HW-LT-RStd-Pro</v>
      </c>
      <c r="I95" s="106">
        <f>IF(NOT(ISNA(VLOOKUP(B95,'FL Contract Prices'!$A$2:$C$71,3,FALSE))),VLOOKUP(B95,'FL Contract Prices'!$A$2:$C$71,3,FALSE),ROUND(D95*0.7,-1))</f>
        <v>1620</v>
      </c>
      <c r="J95" s="106" t="str">
        <f>IF(NOT(ISNA(VLOOKUP(B95,'FL Part Num Mapping'!$A$2:$B$71,1,FALSE))),VLOOKUP(B95,'FL Part Num Mapping'!$A$2:$B$71,2,FALSE),"NFL "&amp; B95)</f>
        <v>NFL HW-LT-RStd-Pro</v>
      </c>
      <c r="K95" s="102">
        <v>1E-4</v>
      </c>
      <c r="L95" s="146" t="str">
        <f t="shared" si="34"/>
        <v>NLA HW-LT-RStd-Pro</v>
      </c>
      <c r="M95" s="146"/>
      <c r="N95" s="146"/>
      <c r="O95" s="155"/>
      <c r="P95" s="150">
        <v>1295</v>
      </c>
      <c r="Q95" s="48"/>
      <c r="R95" s="88">
        <v>2</v>
      </c>
      <c r="S95" s="88">
        <f t="shared" si="43"/>
        <v>48</v>
      </c>
      <c r="T95" s="48">
        <f t="shared" si="32"/>
        <v>0.62745098039215685</v>
      </c>
      <c r="U95" s="48" t="s">
        <v>320</v>
      </c>
      <c r="V95" s="48">
        <f t="shared" si="33"/>
        <v>30</v>
      </c>
      <c r="W95" s="83"/>
      <c r="X95" s="83" t="s">
        <v>519</v>
      </c>
    </row>
    <row r="96" spans="1:24" ht="30" x14ac:dyDescent="0.25">
      <c r="A96" s="82" t="s">
        <v>106</v>
      </c>
      <c r="B96" s="82" t="s">
        <v>520</v>
      </c>
      <c r="C96" s="82" t="s">
        <v>521</v>
      </c>
      <c r="D96" s="84">
        <f t="shared" si="42"/>
        <v>750</v>
      </c>
      <c r="E96" s="128">
        <f t="shared" si="41"/>
        <v>430.62745098039215</v>
      </c>
      <c r="F96" s="86" t="s">
        <v>199</v>
      </c>
      <c r="G96" s="102">
        <f>_xlfn.IFNA(VLOOKUP(B96,'NY Sole Source'!A:B,2,FALSE), D96*0.7)</f>
        <v>525</v>
      </c>
      <c r="H96" s="102" t="str">
        <f>_xlfn.IFNA(VLOOKUP(B96,'NY Sole Source'!A:B,1,FALSE),"NNY-"&amp;B96)</f>
        <v>NNY-HW-LT-Std-Home</v>
      </c>
      <c r="I96" s="106">
        <f>IF(NOT(ISNA(VLOOKUP(B96,'FL Contract Prices'!$A$2:$C$71,3,FALSE))),VLOOKUP(B96,'FL Contract Prices'!$A$2:$C$71,3,FALSE),ROUND(D96*0.7,-1))</f>
        <v>530</v>
      </c>
      <c r="J96" s="106" t="str">
        <f>IF(NOT(ISNA(VLOOKUP(B96,'FL Part Num Mapping'!$A$2:$B$71,1,FALSE))),VLOOKUP(B96,'FL Part Num Mapping'!$A$2:$B$71,2,FALSE),"NFL "&amp; B96)</f>
        <v>NFL HW-LT-Std-Home</v>
      </c>
      <c r="K96" s="102">
        <v>1E-4</v>
      </c>
      <c r="L96" s="146" t="str">
        <f t="shared" si="34"/>
        <v>NLA HW-LT-Std-Home</v>
      </c>
      <c r="M96" s="146"/>
      <c r="N96" s="146"/>
      <c r="O96" s="155"/>
      <c r="P96" s="150">
        <v>400</v>
      </c>
      <c r="Q96" s="48"/>
      <c r="R96" s="88">
        <v>2</v>
      </c>
      <c r="S96" s="88">
        <f t="shared" si="43"/>
        <v>48</v>
      </c>
      <c r="T96" s="48">
        <f t="shared" si="32"/>
        <v>0.62745098039215685</v>
      </c>
      <c r="U96" s="48" t="s">
        <v>320</v>
      </c>
      <c r="V96" s="48">
        <f t="shared" si="33"/>
        <v>30</v>
      </c>
      <c r="W96" s="83"/>
      <c r="X96" s="83" t="s">
        <v>522</v>
      </c>
    </row>
    <row r="97" spans="1:24" ht="30" x14ac:dyDescent="0.25">
      <c r="A97" s="82" t="s">
        <v>523</v>
      </c>
      <c r="B97" s="82" t="s">
        <v>524</v>
      </c>
      <c r="C97" s="82" t="s">
        <v>485</v>
      </c>
      <c r="D97" s="84">
        <f t="shared" si="42"/>
        <v>1010</v>
      </c>
      <c r="E97" s="128">
        <f t="shared" si="41"/>
        <v>575.62745098039215</v>
      </c>
      <c r="F97" s="86" t="s">
        <v>199</v>
      </c>
      <c r="G97" s="102">
        <f>_xlfn.IFNA(VLOOKUP(B97,'NY Sole Source'!A:B,2,FALSE), D97*0.7)</f>
        <v>797.90000000000009</v>
      </c>
      <c r="H97" s="102" t="str">
        <f>_xlfn.IFNA(VLOOKUP(B97,'NY Sole Source'!A:B,1,FALSE),"NNY-"&amp;B97)</f>
        <v>HW-LT-Std-Pro</v>
      </c>
      <c r="I97" s="106">
        <f>IF(NOT(ISNA(VLOOKUP(B97,'FL Contract Prices'!$A$2:$C$71,3,FALSE))),VLOOKUP(B97,'FL Contract Prices'!$A$2:$C$71,3,FALSE),ROUND(D97*0.7,-1))</f>
        <v>854.05</v>
      </c>
      <c r="J97" s="106" t="str">
        <f>IF(NOT(ISNA(VLOOKUP(B97,'FL Part Num Mapping'!$A$2:$B$71,1,FALSE))),VLOOKUP(B97,'FL Part Num Mapping'!$A$2:$B$71,2,FALSE),"NFL "&amp; B97)</f>
        <v>HW-LT-STD</v>
      </c>
      <c r="K97" s="102">
        <v>1E-4</v>
      </c>
      <c r="L97" s="146" t="str">
        <f t="shared" si="34"/>
        <v>NLA HW-LT-Std-Pro</v>
      </c>
      <c r="M97" s="146"/>
      <c r="N97" s="146"/>
      <c r="O97" s="155"/>
      <c r="P97" s="150">
        <v>545</v>
      </c>
      <c r="Q97" s="48"/>
      <c r="R97" s="88">
        <v>2</v>
      </c>
      <c r="S97" s="88">
        <f t="shared" si="43"/>
        <v>48</v>
      </c>
      <c r="T97" s="48">
        <f t="shared" ref="T97:T125" si="44">(24000/8500)*(S97/12/12)/3*R97</f>
        <v>0.62745098039215685</v>
      </c>
      <c r="U97" s="48" t="s">
        <v>320</v>
      </c>
      <c r="V97" s="48">
        <f t="shared" si="33"/>
        <v>30</v>
      </c>
      <c r="W97" s="83"/>
      <c r="X97" s="83" t="s">
        <v>486</v>
      </c>
    </row>
    <row r="98" spans="1:24" x14ac:dyDescent="0.25">
      <c r="A98" s="82" t="s">
        <v>111</v>
      </c>
      <c r="B98" s="82" t="s">
        <v>525</v>
      </c>
      <c r="C98" s="82" t="s">
        <v>526</v>
      </c>
      <c r="D98" s="84">
        <f t="shared" si="42"/>
        <v>130</v>
      </c>
      <c r="E98" s="128">
        <f t="shared" si="41"/>
        <v>72.156862745098039</v>
      </c>
      <c r="F98" s="86" t="s">
        <v>199</v>
      </c>
      <c r="G98" s="102">
        <f>_xlfn.IFNA(VLOOKUP(B98,'NY Sole Source'!A:B,2,FALSE), D98*0.7)</f>
        <v>102.7</v>
      </c>
      <c r="H98" s="102" t="str">
        <f>_xlfn.IFNA(VLOOKUP(B98,'NY Sole Source'!A:B,1,FALSE),"NNY-"&amp;B98)</f>
        <v>HW-Magtrip</v>
      </c>
      <c r="I98" s="106">
        <f>IF(NOT(ISNA(VLOOKUP(B98,'FL Contract Prices'!$A$2:$C$71,3,FALSE))),VLOOKUP(B98,'FL Contract Prices'!$A$2:$C$71,3,FALSE),ROUND(D98*0.7,-1))</f>
        <v>88.35</v>
      </c>
      <c r="J98" s="106" t="str">
        <f>IF(NOT(ISNA(VLOOKUP(B98,'FL Part Num Mapping'!$A$2:$B$71,1,FALSE))),VLOOKUP(B98,'FL Part Num Mapping'!$A$2:$B$71,2,FALSE),"NFL "&amp; B98)</f>
        <v>ACC-Mag</v>
      </c>
      <c r="K98" s="102">
        <v>1.0000000000000001E-5</v>
      </c>
      <c r="L98" s="146" t="s">
        <v>527</v>
      </c>
      <c r="M98" s="146"/>
      <c r="N98" s="146"/>
      <c r="O98" s="155"/>
      <c r="P98" s="150">
        <v>60</v>
      </c>
      <c r="Q98" s="48">
        <v>2</v>
      </c>
      <c r="R98" s="88">
        <v>2</v>
      </c>
      <c r="S98" s="88">
        <f>4*3</f>
        <v>12</v>
      </c>
      <c r="T98" s="48">
        <f t="shared" si="44"/>
        <v>0.15686274509803921</v>
      </c>
      <c r="U98" s="48" t="s">
        <v>179</v>
      </c>
      <c r="V98" s="48">
        <f t="shared" si="33"/>
        <v>10</v>
      </c>
      <c r="W98" s="83"/>
      <c r="X98" s="83" t="s">
        <v>528</v>
      </c>
    </row>
    <row r="99" spans="1:24" s="89" customFormat="1" ht="30" x14ac:dyDescent="0.25">
      <c r="A99" s="82" t="s">
        <v>529</v>
      </c>
      <c r="B99" s="82" t="s">
        <v>530</v>
      </c>
      <c r="C99" s="82" t="s">
        <v>531</v>
      </c>
      <c r="D99" s="84">
        <f t="shared" si="42"/>
        <v>320</v>
      </c>
      <c r="E99" s="128">
        <f t="shared" si="41"/>
        <v>180.88235294117646</v>
      </c>
      <c r="F99" s="86" t="s">
        <v>199</v>
      </c>
      <c r="G99" s="102">
        <f>_xlfn.IFNA(VLOOKUP(B99,'NY Sole Source'!A:B,2,FALSE), D99*0.7)</f>
        <v>252.8</v>
      </c>
      <c r="H99" s="102" t="str">
        <f>_xlfn.IFNA(VLOOKUP(B99,'NY Sole Source'!A:B,1,FALSE),"NNY-"&amp;B99)</f>
        <v>HW-Monitor23</v>
      </c>
      <c r="I99" s="106">
        <f>IF(NOT(ISNA(VLOOKUP(B99,'FL Contract Prices'!$A$2:$C$71,3,FALSE))),VLOOKUP(B99,'FL Contract Prices'!$A$2:$C$71,3,FALSE),ROUND(D99*0.7,-1))</f>
        <v>220</v>
      </c>
      <c r="J99" s="106" t="str">
        <f>IF(NOT(ISNA(VLOOKUP(B99,'FL Part Num Mapping'!$A$2:$B$71,1,FALSE))),VLOOKUP(B99,'FL Part Num Mapping'!$A$2:$B$71,2,FALSE),"NFL "&amp; B99)</f>
        <v>NFL HW-Monitor23</v>
      </c>
      <c r="K99" s="102">
        <v>1E-4</v>
      </c>
      <c r="L99" s="146" t="str">
        <f t="shared" ref="L99:L109" si="45">"NLA "&amp;B99</f>
        <v>NLA HW-Monitor23</v>
      </c>
      <c r="M99" s="146"/>
      <c r="N99" s="146"/>
      <c r="O99" s="155"/>
      <c r="P99" s="150">
        <v>165</v>
      </c>
      <c r="Q99" s="48"/>
      <c r="R99" s="88">
        <v>2</v>
      </c>
      <c r="S99" s="88">
        <f>15*30</f>
        <v>450</v>
      </c>
      <c r="T99" s="48">
        <f t="shared" si="44"/>
        <v>5.882352941176471</v>
      </c>
      <c r="U99" s="48" t="s">
        <v>179</v>
      </c>
      <c r="V99" s="48">
        <f t="shared" si="33"/>
        <v>10</v>
      </c>
      <c r="W99" s="83"/>
      <c r="X99" s="83" t="s">
        <v>532</v>
      </c>
    </row>
    <row r="100" spans="1:24" s="89" customFormat="1" ht="30" x14ac:dyDescent="0.25">
      <c r="A100" s="82" t="s">
        <v>533</v>
      </c>
      <c r="B100" s="82" t="s">
        <v>534</v>
      </c>
      <c r="C100" s="82" t="s">
        <v>535</v>
      </c>
      <c r="D100" s="84">
        <f t="shared" si="42"/>
        <v>240</v>
      </c>
      <c r="E100" s="128">
        <f t="shared" si="41"/>
        <v>133.13725490196077</v>
      </c>
      <c r="F100" s="86" t="s">
        <v>199</v>
      </c>
      <c r="G100" s="102">
        <f>_xlfn.IFNA(VLOOKUP(B100,'NY Sole Source'!A:B,2,FALSE), D100*0.7)</f>
        <v>189.60000000000002</v>
      </c>
      <c r="H100" s="102" t="str">
        <f>_xlfn.IFNA(VLOOKUP(B100,'NY Sole Source'!A:B,1,FALSE),"NNY-"&amp;B100)</f>
        <v>HW-Monitor20</v>
      </c>
      <c r="I100" s="106">
        <f>IF(NOT(ISNA(VLOOKUP(B100,'FL Contract Prices'!$A$2:$C$71,3,FALSE))),VLOOKUP(B100,'FL Contract Prices'!$A$2:$C$71,3,FALSE),ROUND(D100*0.7,-1))</f>
        <v>170</v>
      </c>
      <c r="J100" s="106" t="str">
        <f>IF(NOT(ISNA(VLOOKUP(B100,'FL Part Num Mapping'!$A$2:$B$71,1,FALSE))),VLOOKUP(B100,'FL Part Num Mapping'!$A$2:$B$71,2,FALSE),"NFL "&amp; B100)</f>
        <v>NFL HW-Monitor20</v>
      </c>
      <c r="K100" s="102">
        <v>1E-4</v>
      </c>
      <c r="L100" s="146" t="str">
        <f t="shared" si="45"/>
        <v>NLA HW-Monitor20</v>
      </c>
      <c r="M100" s="146"/>
      <c r="N100" s="146"/>
      <c r="O100" s="155"/>
      <c r="P100" s="150">
        <v>120</v>
      </c>
      <c r="Q100" s="48"/>
      <c r="R100" s="88">
        <v>2</v>
      </c>
      <c r="S100" s="88">
        <f>10*24</f>
        <v>240</v>
      </c>
      <c r="T100" s="48">
        <f t="shared" si="44"/>
        <v>3.1372549019607843</v>
      </c>
      <c r="U100" s="48" t="s">
        <v>179</v>
      </c>
      <c r="V100" s="48">
        <f t="shared" si="33"/>
        <v>10</v>
      </c>
      <c r="W100" s="83"/>
      <c r="X100" s="83" t="s">
        <v>536</v>
      </c>
    </row>
    <row r="101" spans="1:24" ht="30" x14ac:dyDescent="0.25">
      <c r="A101" s="82" t="s">
        <v>537</v>
      </c>
      <c r="B101" s="82" t="s">
        <v>538</v>
      </c>
      <c r="C101" s="82" t="s">
        <v>539</v>
      </c>
      <c r="D101" s="84">
        <f t="shared" si="42"/>
        <v>640</v>
      </c>
      <c r="E101" s="128">
        <f t="shared" si="41"/>
        <v>365.66666666666669</v>
      </c>
      <c r="F101" s="86" t="s">
        <v>199</v>
      </c>
      <c r="G101" s="102">
        <f>_xlfn.IFNA(VLOOKUP(B101,'NY Sole Source'!A:B,2,FALSE), D101*0.7)</f>
        <v>505.6</v>
      </c>
      <c r="H101" s="102" t="str">
        <f>_xlfn.IFNA(VLOOKUP(B101,'NY Sole Source'!A:B,1,FALSE),"NNY-"&amp;B101)</f>
        <v>HW-Monitor23T</v>
      </c>
      <c r="I101" s="106">
        <f>IF(NOT(ISNA(VLOOKUP(B101,'FL Contract Prices'!$A$2:$C$71,3,FALSE))),VLOOKUP(B101,'FL Contract Prices'!$A$2:$C$71,3,FALSE),ROUND(D101*0.7,-1))</f>
        <v>450</v>
      </c>
      <c r="J101" s="106" t="str">
        <f>IF(NOT(ISNA(VLOOKUP(B101,'FL Part Num Mapping'!$A$2:$B$71,1,FALSE))),VLOOKUP(B101,'FL Part Num Mapping'!$A$2:$B$71,2,FALSE),"NFL "&amp; B101)</f>
        <v>NFL HW-Monitor23T</v>
      </c>
      <c r="K101" s="102">
        <v>1E-4</v>
      </c>
      <c r="L101" s="146" t="str">
        <f t="shared" si="45"/>
        <v>NLA HW-Monitor23T</v>
      </c>
      <c r="M101" s="146"/>
      <c r="N101" s="146"/>
      <c r="O101" s="155"/>
      <c r="P101" s="150">
        <v>349</v>
      </c>
      <c r="Q101" s="48"/>
      <c r="R101" s="88">
        <v>2</v>
      </c>
      <c r="S101" s="88">
        <f>30*17</f>
        <v>510</v>
      </c>
      <c r="T101" s="48">
        <f t="shared" si="44"/>
        <v>6.666666666666667</v>
      </c>
      <c r="U101" s="48" t="s">
        <v>179</v>
      </c>
      <c r="V101" s="48">
        <f t="shared" si="33"/>
        <v>10</v>
      </c>
      <c r="W101" s="83"/>
      <c r="X101" s="83" t="s">
        <v>540</v>
      </c>
    </row>
    <row r="102" spans="1:24" ht="45" x14ac:dyDescent="0.25">
      <c r="A102" s="82" t="s">
        <v>541</v>
      </c>
      <c r="B102" s="82" t="s">
        <v>542</v>
      </c>
      <c r="C102" s="82" t="s">
        <v>543</v>
      </c>
      <c r="D102" s="84">
        <f t="shared" si="42"/>
        <v>540</v>
      </c>
      <c r="E102" s="128">
        <f t="shared" si="41"/>
        <v>304.88111111111107</v>
      </c>
      <c r="F102" s="86" t="s">
        <v>199</v>
      </c>
      <c r="G102" s="102">
        <f>_xlfn.IFNA(VLOOKUP(B102,'NY Sole Source'!A:B,2,FALSE), D102*0.7)</f>
        <v>426.6</v>
      </c>
      <c r="H102" s="102" t="str">
        <f>_xlfn.IFNA(VLOOKUP(B102,'NY Sole Source'!A:B,1,FALSE),"NNY-"&amp;B102)</f>
        <v>HW-Monitor20T</v>
      </c>
      <c r="I102" s="106">
        <f>IF(NOT(ISNA(VLOOKUP(B102,'FL Contract Prices'!$A$2:$C$71,3,FALSE))),VLOOKUP(B102,'FL Contract Prices'!$A$2:$C$71,3,FALSE),ROUND(D102*0.7,-1))</f>
        <v>371.07</v>
      </c>
      <c r="J102" s="106" t="str">
        <f>IF(NOT(ISNA(VLOOKUP(B102,'FL Part Num Mapping'!$A$2:$B$71,1,FALSE))),VLOOKUP(B102,'FL Part Num Mapping'!$A$2:$B$71,2,FALSE),"NFL "&amp; B102)</f>
        <v>ACC-Monitor-T</v>
      </c>
      <c r="K102" s="102">
        <v>1E-4</v>
      </c>
      <c r="L102" s="146" t="str">
        <f t="shared" si="45"/>
        <v>NLA HW-Monitor20T</v>
      </c>
      <c r="M102" s="146"/>
      <c r="N102" s="146"/>
      <c r="O102" s="155"/>
      <c r="P102" s="150">
        <v>289.77</v>
      </c>
      <c r="Q102" s="48"/>
      <c r="R102" s="88">
        <v>2</v>
      </c>
      <c r="S102" s="88">
        <f>23*17</f>
        <v>391</v>
      </c>
      <c r="T102" s="48">
        <f t="shared" si="44"/>
        <v>5.1111111111111116</v>
      </c>
      <c r="U102" s="48" t="s">
        <v>179</v>
      </c>
      <c r="V102" s="48">
        <f t="shared" si="33"/>
        <v>10</v>
      </c>
      <c r="W102" s="83"/>
      <c r="X102" s="83" t="s">
        <v>544</v>
      </c>
    </row>
    <row r="103" spans="1:24" ht="30" x14ac:dyDescent="0.25">
      <c r="A103" s="82" t="s">
        <v>545</v>
      </c>
      <c r="B103" s="82" t="s">
        <v>546</v>
      </c>
      <c r="C103" s="82" t="s">
        <v>547</v>
      </c>
      <c r="D103" s="84">
        <f t="shared" si="42"/>
        <v>160</v>
      </c>
      <c r="E103" s="128">
        <f t="shared" si="41"/>
        <v>90</v>
      </c>
      <c r="F103" s="86" t="s">
        <v>199</v>
      </c>
      <c r="G103" s="102">
        <f>_xlfn.IFNA(VLOOKUP(B103,'NY Sole Source'!A:B,2,FALSE), D103*0.7)</f>
        <v>112</v>
      </c>
      <c r="H103" s="102" t="str">
        <f>_xlfn.IFNA(VLOOKUP(B103,'NY Sole Source'!A:B,1,FALSE),"NNY-"&amp;B103)</f>
        <v>NNY-HW-PowerLaptop</v>
      </c>
      <c r="I103" s="106">
        <f>IF(NOT(ISNA(VLOOKUP(B103,'FL Contract Prices'!$A$2:$C$71,3,FALSE))),VLOOKUP(B103,'FL Contract Prices'!$A$2:$C$71,3,FALSE),ROUND(D103*0.7,-1))</f>
        <v>110</v>
      </c>
      <c r="J103" s="106" t="str">
        <f>IF(NOT(ISNA(VLOOKUP(B103,'FL Part Num Mapping'!$A$2:$B$71,1,FALSE))),VLOOKUP(B103,'FL Part Num Mapping'!$A$2:$B$71,2,FALSE),"NFL "&amp; B103)</f>
        <v>NFL HW-PowerLaptop</v>
      </c>
      <c r="K103" s="102">
        <v>1E-4</v>
      </c>
      <c r="L103" s="146" t="str">
        <f t="shared" si="45"/>
        <v>NLA HW-PowerLaptop</v>
      </c>
      <c r="M103" s="146"/>
      <c r="N103" s="146"/>
      <c r="O103" s="155"/>
      <c r="P103" s="150">
        <v>80</v>
      </c>
      <c r="Q103" s="48"/>
      <c r="R103" s="88"/>
      <c r="S103" s="88"/>
      <c r="T103" s="48">
        <f t="shared" si="44"/>
        <v>0</v>
      </c>
      <c r="U103" s="48" t="s">
        <v>179</v>
      </c>
      <c r="V103" s="48">
        <f t="shared" si="33"/>
        <v>10</v>
      </c>
      <c r="W103" s="83"/>
      <c r="X103" s="83" t="s">
        <v>548</v>
      </c>
    </row>
    <row r="104" spans="1:24" ht="30" x14ac:dyDescent="0.25">
      <c r="A104" s="82" t="s">
        <v>549</v>
      </c>
      <c r="B104" s="82" t="s">
        <v>550</v>
      </c>
      <c r="C104" s="82" t="s">
        <v>551</v>
      </c>
      <c r="D104" s="84">
        <f t="shared" si="42"/>
        <v>1200</v>
      </c>
      <c r="E104" s="128">
        <f t="shared" si="41"/>
        <v>686.03921568627447</v>
      </c>
      <c r="F104" s="86" t="s">
        <v>199</v>
      </c>
      <c r="G104" s="102">
        <f>_xlfn.IFNA(VLOOKUP(B104,'NY Sole Source'!A:B,2,FALSE), D104*0.7)</f>
        <v>948</v>
      </c>
      <c r="H104" s="102" t="str">
        <f>_xlfn.IFNA(VLOOKUP(B104,'NY Sole Source'!A:B,1,FALSE),"NNY-"&amp;B104)</f>
        <v>HW-PrinterDuplex</v>
      </c>
      <c r="I104" s="106">
        <f>IF(NOT(ISNA(VLOOKUP(B104,'FL Contract Prices'!$A$2:$C$71,3,FALSE))),VLOOKUP(B104,'FL Contract Prices'!$A$2:$C$71,3,FALSE),ROUND(D104*0.7,-1))</f>
        <v>2877.4199999999996</v>
      </c>
      <c r="J104" s="106" t="str">
        <f>IF(NOT(ISNA(VLOOKUP(B104,'FL Part Num Mapping'!$A$2:$B$71,1,FALSE))),VLOOKUP(B104,'FL Part Num Mapping'!$A$2:$B$71,2,FALSE),"NFL "&amp; B104)</f>
        <v>ACC-Print-D</v>
      </c>
      <c r="K104" s="102">
        <v>1E-4</v>
      </c>
      <c r="L104" s="146" t="str">
        <f t="shared" si="45"/>
        <v>NLA HW-PrinterDuplex</v>
      </c>
      <c r="M104" s="146"/>
      <c r="N104" s="146"/>
      <c r="O104" s="155"/>
      <c r="P104" s="150">
        <v>670</v>
      </c>
      <c r="Q104" s="48"/>
      <c r="R104" s="88">
        <v>2</v>
      </c>
      <c r="S104" s="88">
        <f>22*21</f>
        <v>462</v>
      </c>
      <c r="T104" s="48">
        <f t="shared" si="44"/>
        <v>6.0392156862745106</v>
      </c>
      <c r="U104" s="48" t="s">
        <v>179</v>
      </c>
      <c r="V104" s="48">
        <f t="shared" si="33"/>
        <v>10</v>
      </c>
      <c r="W104" s="83"/>
      <c r="X104" s="83" t="s">
        <v>552</v>
      </c>
    </row>
    <row r="105" spans="1:24" ht="30" x14ac:dyDescent="0.25">
      <c r="A105" s="82" t="s">
        <v>553</v>
      </c>
      <c r="B105" s="82" t="s">
        <v>554</v>
      </c>
      <c r="C105" s="82" t="s">
        <v>555</v>
      </c>
      <c r="D105" s="84">
        <f t="shared" si="42"/>
        <v>4660</v>
      </c>
      <c r="E105" s="128">
        <f t="shared" si="41"/>
        <v>2676.0392156862745</v>
      </c>
      <c r="F105" s="86" t="s">
        <v>199</v>
      </c>
      <c r="G105" s="102">
        <f>_xlfn.IFNA(VLOOKUP(B105,'NY Sole Source'!A:B,2,FALSE), D105*0.7)</f>
        <v>3681.4</v>
      </c>
      <c r="H105" s="102" t="str">
        <f>_xlfn.IFNA(VLOOKUP(B105,'NY Sole Source'!A:B,1,FALSE),"NNY-"&amp;B105)</f>
        <v>HW-PrinterDuplexHD</v>
      </c>
      <c r="I105" s="106">
        <f>IF(NOT(ISNA(VLOOKUP(B105,'FL Contract Prices'!$A$2:$C$71,3,FALSE))),VLOOKUP(B105,'FL Contract Prices'!$A$2:$C$71,3,FALSE),ROUND(D105*0.7,-1))</f>
        <v>3834.902173913043</v>
      </c>
      <c r="J105" s="106" t="str">
        <f>IF(NOT(ISNA(VLOOKUP(B105,'FL Part Num Mapping'!$A$2:$B$71,1,FALSE))),VLOOKUP(B105,'FL Part Num Mapping'!$A$2:$B$71,2,FALSE),"NFL "&amp; B105)</f>
        <v>ACC-Print-D-HD</v>
      </c>
      <c r="K105" s="102">
        <v>1E-4</v>
      </c>
      <c r="L105" s="146" t="str">
        <f t="shared" si="45"/>
        <v>NLA HW-PrinterDuplexHD</v>
      </c>
      <c r="M105" s="146"/>
      <c r="N105" s="146"/>
      <c r="O105" s="155"/>
      <c r="P105" s="150">
        <v>2660</v>
      </c>
      <c r="Q105" s="48"/>
      <c r="R105" s="88">
        <v>2</v>
      </c>
      <c r="S105" s="88">
        <f>22*21</f>
        <v>462</v>
      </c>
      <c r="T105" s="48">
        <f t="shared" si="44"/>
        <v>6.0392156862745106</v>
      </c>
      <c r="U105" s="48" t="s">
        <v>179</v>
      </c>
      <c r="V105" s="48">
        <f t="shared" ref="V105:V126" si="46">IF(U105="Bulk",0,IF(U105="Std", 10,IF(U105="Pickup",20,30)))/60*60</f>
        <v>10</v>
      </c>
      <c r="W105" s="83"/>
      <c r="X105" s="83" t="s">
        <v>552</v>
      </c>
    </row>
    <row r="106" spans="1:24" ht="30" x14ac:dyDescent="0.25">
      <c r="A106" s="82" t="s">
        <v>556</v>
      </c>
      <c r="B106" s="82" t="s">
        <v>557</v>
      </c>
      <c r="C106" s="82" t="s">
        <v>558</v>
      </c>
      <c r="D106" s="84">
        <f t="shared" si="42"/>
        <v>900</v>
      </c>
      <c r="E106" s="128">
        <f t="shared" si="41"/>
        <v>515.03921568627447</v>
      </c>
      <c r="F106" s="86" t="s">
        <v>199</v>
      </c>
      <c r="G106" s="102">
        <f>_xlfn.IFNA(VLOOKUP(B106,'NY Sole Source'!A:B,2,FALSE), D106*0.7)</f>
        <v>711</v>
      </c>
      <c r="H106" s="102" t="str">
        <f>_xlfn.IFNA(VLOOKUP(B106,'NY Sole Source'!A:B,1,FALSE),"NNY-"&amp;B106)</f>
        <v>HW-PrinterSimplex</v>
      </c>
      <c r="I106" s="106">
        <f>IF(NOT(ISNA(VLOOKUP(B106,'FL Contract Prices'!$A$2:$C$71,3,FALSE))),VLOOKUP(B106,'FL Contract Prices'!$A$2:$C$71,3,FALSE),ROUND(D106*0.7,-1))</f>
        <v>942.4</v>
      </c>
      <c r="J106" s="106" t="str">
        <f>IF(NOT(ISNA(VLOOKUP(B106,'FL Part Num Mapping'!$A$2:$B$71,1,FALSE))),VLOOKUP(B106,'FL Part Num Mapping'!$A$2:$B$71,2,FALSE),"NFL "&amp; B106)</f>
        <v>ACC-Print-S</v>
      </c>
      <c r="K106" s="102">
        <v>1E-4</v>
      </c>
      <c r="L106" s="146" t="str">
        <f t="shared" si="45"/>
        <v>NLA HW-PrinterSimplex</v>
      </c>
      <c r="M106" s="146"/>
      <c r="N106" s="146"/>
      <c r="O106" s="155"/>
      <c r="P106" s="150">
        <v>499</v>
      </c>
      <c r="Q106" s="48"/>
      <c r="R106" s="88">
        <v>2</v>
      </c>
      <c r="S106" s="88">
        <f>22*21</f>
        <v>462</v>
      </c>
      <c r="T106" s="48">
        <f t="shared" si="44"/>
        <v>6.0392156862745106</v>
      </c>
      <c r="U106" s="48" t="s">
        <v>179</v>
      </c>
      <c r="V106" s="48">
        <f t="shared" si="46"/>
        <v>10</v>
      </c>
      <c r="W106" s="83"/>
      <c r="X106" s="83" t="s">
        <v>559</v>
      </c>
    </row>
    <row r="107" spans="1:24" ht="45" x14ac:dyDescent="0.25">
      <c r="A107" s="82" t="s">
        <v>560</v>
      </c>
      <c r="B107" s="82" t="s">
        <v>561</v>
      </c>
      <c r="C107" s="82" t="s">
        <v>562</v>
      </c>
      <c r="D107" s="84">
        <f t="shared" si="42"/>
        <v>1200</v>
      </c>
      <c r="E107" s="128">
        <f t="shared" si="41"/>
        <v>686.03921568627447</v>
      </c>
      <c r="F107" s="86" t="s">
        <v>199</v>
      </c>
      <c r="G107" s="102">
        <f>_xlfn.IFNA(VLOOKUP(B107,'NY Sole Source'!A:B,2,FALSE), D107*0.7)</f>
        <v>948</v>
      </c>
      <c r="H107" s="102" t="str">
        <f>_xlfn.IFNA(VLOOKUP(B107,'NY Sole Source'!A:B,1,FALSE),"NNY-"&amp;B107)</f>
        <v>HW-PrinterSimplexHD</v>
      </c>
      <c r="I107" s="106">
        <f>IF(NOT(ISNA(VLOOKUP(B107,'FL Contract Prices'!$A$2:$C$71,3,FALSE))),VLOOKUP(B107,'FL Contract Prices'!$A$2:$C$71,3,FALSE),ROUND(D107*0.7,-1))</f>
        <v>840</v>
      </c>
      <c r="J107" s="106" t="str">
        <f>IF(NOT(ISNA(VLOOKUP(B107,'FL Part Num Mapping'!$A$2:$B$71,1,FALSE))),VLOOKUP(B107,'FL Part Num Mapping'!$A$2:$B$71,2,FALSE),"NFL "&amp; B107)</f>
        <v>NFL HW-PrinterSimplexHD</v>
      </c>
      <c r="K107" s="102">
        <v>1E-4</v>
      </c>
      <c r="L107" s="146" t="str">
        <f t="shared" si="45"/>
        <v>NLA HW-PrinterSimplexHD</v>
      </c>
      <c r="M107" s="146"/>
      <c r="N107" s="146"/>
      <c r="O107" s="155"/>
      <c r="P107" s="150">
        <v>670</v>
      </c>
      <c r="Q107" s="48"/>
      <c r="R107" s="88">
        <v>2</v>
      </c>
      <c r="S107" s="88">
        <f>22*21</f>
        <v>462</v>
      </c>
      <c r="T107" s="48">
        <f t="shared" si="44"/>
        <v>6.0392156862745106</v>
      </c>
      <c r="U107" s="48" t="s">
        <v>179</v>
      </c>
      <c r="V107" s="48">
        <f t="shared" si="46"/>
        <v>10</v>
      </c>
      <c r="W107" s="83"/>
      <c r="X107" s="83" t="s">
        <v>563</v>
      </c>
    </row>
    <row r="108" spans="1:24" ht="30" x14ac:dyDescent="0.25">
      <c r="A108" s="82" t="s">
        <v>564</v>
      </c>
      <c r="B108" s="82" t="s">
        <v>565</v>
      </c>
      <c r="C108" s="82" t="s">
        <v>566</v>
      </c>
      <c r="D108" s="84">
        <f t="shared" ref="D108:D120" si="47">IF(E108&lt;20, ROUNDUP(E108/0.625,0), ROUNDUP(E108/0.625,-1))</f>
        <v>13910</v>
      </c>
      <c r="E108" s="128">
        <f t="shared" si="41"/>
        <v>8691.8888888888887</v>
      </c>
      <c r="F108" s="86" t="s">
        <v>199</v>
      </c>
      <c r="G108" s="102">
        <f>_xlfn.IFNA(VLOOKUP(B108,'NY Sole Source'!A:B,2,FALSE), D108*0.7)</f>
        <v>10988.9</v>
      </c>
      <c r="H108" s="102" t="str">
        <f>_xlfn.IFNA(VLOOKUP(B108,'NY Sole Source'!A:B,1,FALSE),"NNY-"&amp;B108)</f>
        <v>HW-Scan-1000</v>
      </c>
      <c r="I108" s="106">
        <f>IF(NOT(ISNA(VLOOKUP(B108,'FL Contract Prices'!$A$2:$C$71,3,FALSE))),VLOOKUP(B108,'FL Contract Prices'!$A$2:$C$71,3,FALSE),ROUND(D108*0.7,-1))</f>
        <v>14901.699999999999</v>
      </c>
      <c r="J108" s="106" t="str">
        <f>IF(NOT(ISNA(VLOOKUP(B108,'FL Part Num Mapping'!$A$2:$B$71,1,FALSE))),VLOOKUP(B108,'FL Part Num Mapping'!$A$2:$B$71,2,FALSE),"NFL "&amp; B108)</f>
        <v>HW-Scan-1000</v>
      </c>
      <c r="K108" s="102">
        <v>1E-4</v>
      </c>
      <c r="L108" s="146" t="str">
        <f t="shared" si="45"/>
        <v>NLA HW-Scan-1000</v>
      </c>
      <c r="M108" s="146"/>
      <c r="N108" s="146"/>
      <c r="O108" s="155"/>
      <c r="P108" s="150">
        <v>8650</v>
      </c>
      <c r="Q108" s="48">
        <v>30</v>
      </c>
      <c r="R108" s="88">
        <v>1</v>
      </c>
      <c r="S108" s="88">
        <f>17*17</f>
        <v>289</v>
      </c>
      <c r="T108" s="48">
        <f t="shared" si="44"/>
        <v>1.8888888888888886</v>
      </c>
      <c r="U108" s="48" t="s">
        <v>179</v>
      </c>
      <c r="V108" s="48">
        <f t="shared" si="46"/>
        <v>10</v>
      </c>
      <c r="W108" s="83"/>
      <c r="X108" s="83"/>
    </row>
    <row r="109" spans="1:24" ht="30" x14ac:dyDescent="0.25">
      <c r="A109" s="82" t="s">
        <v>567</v>
      </c>
      <c r="B109" s="82" t="s">
        <v>568</v>
      </c>
      <c r="C109" s="82" t="s">
        <v>569</v>
      </c>
      <c r="D109" s="84">
        <f t="shared" si="47"/>
        <v>10470</v>
      </c>
      <c r="E109" s="128">
        <f t="shared" si="41"/>
        <v>6541.8888888888887</v>
      </c>
      <c r="F109" s="86" t="s">
        <v>199</v>
      </c>
      <c r="G109" s="102">
        <f>_xlfn.IFNA(VLOOKUP(B109,'NY Sole Source'!A:B,2,FALSE), D109*0.7)</f>
        <v>8271.2999999999993</v>
      </c>
      <c r="H109" s="102" t="str">
        <f>_xlfn.IFNA(VLOOKUP(B109,'NY Sole Source'!A:B,1,FALSE),"NNY-"&amp;B109)</f>
        <v>HW-Scan-500</v>
      </c>
      <c r="I109" s="106">
        <f>IF(NOT(ISNA(VLOOKUP(B109,'FL Contract Prices'!$A$2:$C$71,3,FALSE))),VLOOKUP(B109,'FL Contract Prices'!$A$2:$C$71,3,FALSE),ROUND(D109*0.7,-1))</f>
        <v>11132.1</v>
      </c>
      <c r="J109" s="106" t="str">
        <f>IF(NOT(ISNA(VLOOKUP(B109,'FL Part Num Mapping'!$A$2:$B$71,1,FALSE))),VLOOKUP(B109,'FL Part Num Mapping'!$A$2:$B$71,2,FALSE),"NFL "&amp; B109)</f>
        <v>HW-Scan-500</v>
      </c>
      <c r="K109" s="102">
        <v>1E-4</v>
      </c>
      <c r="L109" s="146" t="str">
        <f t="shared" si="45"/>
        <v>NLA HW-Scan-500</v>
      </c>
      <c r="M109" s="146"/>
      <c r="N109" s="146"/>
      <c r="O109" s="155"/>
      <c r="P109" s="150">
        <v>6500</v>
      </c>
      <c r="Q109" s="48">
        <v>30</v>
      </c>
      <c r="R109" s="88">
        <v>1</v>
      </c>
      <c r="S109" s="88">
        <f>17*17</f>
        <v>289</v>
      </c>
      <c r="T109" s="48">
        <f t="shared" si="44"/>
        <v>1.8888888888888886</v>
      </c>
      <c r="U109" s="48" t="s">
        <v>179</v>
      </c>
      <c r="V109" s="48">
        <f t="shared" si="46"/>
        <v>10</v>
      </c>
      <c r="W109" s="83"/>
      <c r="X109" s="83"/>
    </row>
    <row r="110" spans="1:24" ht="45" x14ac:dyDescent="0.25">
      <c r="A110" s="82" t="s">
        <v>140</v>
      </c>
      <c r="B110" s="82" t="s">
        <v>570</v>
      </c>
      <c r="C110" s="82" t="s">
        <v>571</v>
      </c>
      <c r="D110" s="84">
        <f t="shared" si="47"/>
        <v>3750</v>
      </c>
      <c r="E110" s="128">
        <f t="shared" si="41"/>
        <v>2340.5294117647059</v>
      </c>
      <c r="F110" s="86" t="s">
        <v>199</v>
      </c>
      <c r="G110" s="102">
        <f>_xlfn.IFNA(VLOOKUP(B110,'NY Sole Source'!A:B,2,FALSE), D110*0.7)</f>
        <v>3278.5</v>
      </c>
      <c r="H110" s="102" t="str">
        <f>_xlfn.IFNA(VLOOKUP(B110,'NY Sole Source'!A:B,1,FALSE),"NNY-"&amp;B110)</f>
        <v>HW-Scan-200</v>
      </c>
      <c r="I110" s="106">
        <f>IF(NOT(ISNA(VLOOKUP(B110,'FL Contract Prices'!$A$2:$C$71,3,FALSE))),VLOOKUP(B110,'FL Contract Prices'!$A$2:$C$71,3,FALSE),ROUND(D110*0.7,-1))</f>
        <v>4225.4859999999999</v>
      </c>
      <c r="J110" s="106" t="str">
        <f>IF(NOT(ISNA(VLOOKUP(B110,'FL Part Num Mapping'!$A$2:$B$71,1,FALSE))),VLOOKUP(B110,'FL Part Num Mapping'!$A$2:$B$71,2,FALSE),"NFL "&amp; B110)</f>
        <v>HW-Scan-200</v>
      </c>
      <c r="K110" s="102">
        <v>2300</v>
      </c>
      <c r="L110" s="146" t="s">
        <v>572</v>
      </c>
      <c r="M110" s="146"/>
      <c r="N110" s="146"/>
      <c r="O110" s="155"/>
      <c r="P110" s="150">
        <v>2310</v>
      </c>
      <c r="Q110" s="48">
        <v>20</v>
      </c>
      <c r="R110" s="88">
        <v>1</v>
      </c>
      <c r="S110" s="88">
        <f t="shared" ref="S110:S114" si="48">9*9</f>
        <v>81</v>
      </c>
      <c r="T110" s="48">
        <f t="shared" si="44"/>
        <v>0.52941176470588236</v>
      </c>
      <c r="U110" s="48" t="s">
        <v>179</v>
      </c>
      <c r="V110" s="48">
        <f t="shared" si="46"/>
        <v>10</v>
      </c>
      <c r="W110" s="83"/>
      <c r="X110" s="83" t="s">
        <v>573</v>
      </c>
    </row>
    <row r="111" spans="1:24" ht="30" x14ac:dyDescent="0.25">
      <c r="A111" s="82" t="s">
        <v>574</v>
      </c>
      <c r="B111" s="82" t="s">
        <v>575</v>
      </c>
      <c r="C111" s="82" t="s">
        <v>576</v>
      </c>
      <c r="D111" s="84">
        <f t="shared" ref="D111" si="49">IF(E111&lt;20, ROUNDUP(E111/0.625,0), ROUNDUP(E111/0.625,-1))</f>
        <v>3800</v>
      </c>
      <c r="E111" s="128">
        <f t="shared" ref="E111" si="50">P111+Q111+T111+V111</f>
        <v>2370.5294117647059</v>
      </c>
      <c r="F111" s="86" t="s">
        <v>199</v>
      </c>
      <c r="G111" s="102">
        <f>_xlfn.IFNA(VLOOKUP(B111,'NY Sole Source'!A:B,2,FALSE), D111*0.7)</f>
        <v>3551.05</v>
      </c>
      <c r="H111" s="102" t="str">
        <f>_xlfn.IFNA(VLOOKUP(B111,'NY Sole Source'!A:B,1,FALSE),"NNY-"&amp;B111)</f>
        <v>HW-Scan-200-Pad</v>
      </c>
      <c r="I111" s="106">
        <f>IF(NOT(ISNA(VLOOKUP(B111,'FL Contract Prices'!$A$2:$C$71,3,FALSE))),VLOOKUP(B111,'FL Contract Prices'!$A$2:$C$71,3,FALSE),ROUND(D111*0.7,-1))</f>
        <v>2660</v>
      </c>
      <c r="J111" s="106" t="str">
        <f>IF(NOT(ISNA(VLOOKUP(B111,'FL Part Num Mapping'!$A$2:$B$71,1,FALSE))),VLOOKUP(B111,'FL Part Num Mapping'!$A$2:$B$71,2,FALSE),"NFL "&amp; B111)</f>
        <v>NFL HW-Scan-200-Pad</v>
      </c>
      <c r="K111" s="102">
        <v>1E-4</v>
      </c>
      <c r="L111" s="146" t="str">
        <f t="shared" ref="L111" si="51">"NLA "&amp;B111</f>
        <v>NLA HW-Scan-200-Pad</v>
      </c>
      <c r="M111" s="146"/>
      <c r="N111" s="146"/>
      <c r="O111" s="155"/>
      <c r="P111" s="150">
        <v>2340</v>
      </c>
      <c r="Q111" s="48">
        <v>20</v>
      </c>
      <c r="R111" s="88">
        <v>1</v>
      </c>
      <c r="S111" s="88">
        <f t="shared" si="48"/>
        <v>81</v>
      </c>
      <c r="T111" s="48">
        <f t="shared" ref="T111" si="52">(24000/8500)*(S111/12/12)/3*R111</f>
        <v>0.52941176470588236</v>
      </c>
      <c r="U111" s="48" t="s">
        <v>179</v>
      </c>
      <c r="V111" s="48">
        <f t="shared" ref="V111" si="53">IF(U111="Bulk",0,IF(U111="Std", 10,IF(U111="Pickup",20,30)))/60*60</f>
        <v>10</v>
      </c>
      <c r="W111" s="83"/>
      <c r="X111" s="83" t="s">
        <v>573</v>
      </c>
    </row>
    <row r="112" spans="1:24" ht="30" x14ac:dyDescent="0.25">
      <c r="A112" s="82" t="s">
        <v>577</v>
      </c>
      <c r="B112" s="82" t="s">
        <v>578</v>
      </c>
      <c r="C112" s="82" t="s">
        <v>579</v>
      </c>
      <c r="D112" s="84">
        <f t="shared" si="47"/>
        <v>3830</v>
      </c>
      <c r="E112" s="128">
        <f t="shared" si="41"/>
        <v>2388.5294117647059</v>
      </c>
      <c r="F112" s="86" t="s">
        <v>199</v>
      </c>
      <c r="G112" s="102">
        <f>_xlfn.IFNA(VLOOKUP(B112,'NY Sole Source'!A:B,2,FALSE), D112*0.7)</f>
        <v>2681</v>
      </c>
      <c r="H112" s="102" t="str">
        <f>_xlfn.IFNA(VLOOKUP(B112,'NY Sole Source'!A:B,1,FALSE),"NNY-"&amp;B112)</f>
        <v>NNY-HW-Scan-Module</v>
      </c>
      <c r="I112" s="106">
        <f>IF(NOT(ISNA(VLOOKUP(B112,'FL Contract Prices'!$A$2:$C$71,3,FALSE))),VLOOKUP(B112,'FL Contract Prices'!$A$2:$C$71,3,FALSE),ROUND(D112*0.7,-1))</f>
        <v>2680</v>
      </c>
      <c r="J112" s="106" t="str">
        <f>IF(NOT(ISNA(VLOOKUP(B112,'FL Part Num Mapping'!$A$2:$B$71,1,FALSE))),VLOOKUP(B112,'FL Part Num Mapping'!$A$2:$B$71,2,FALSE),"NFL "&amp; B112)</f>
        <v>NFL HW-Scan-Module</v>
      </c>
      <c r="K112" s="102">
        <v>1E-4</v>
      </c>
      <c r="L112" s="146" t="str">
        <f t="shared" ref="L112:L136" si="54">"NLA "&amp;B112</f>
        <v>NLA HW-Scan-Module</v>
      </c>
      <c r="M112" s="146"/>
      <c r="N112" s="146"/>
      <c r="O112" s="155"/>
      <c r="P112" s="150">
        <v>2358</v>
      </c>
      <c r="Q112" s="48">
        <v>20</v>
      </c>
      <c r="R112" s="88">
        <v>1</v>
      </c>
      <c r="S112" s="88">
        <f t="shared" si="48"/>
        <v>81</v>
      </c>
      <c r="T112" s="48">
        <f t="shared" si="44"/>
        <v>0.52941176470588236</v>
      </c>
      <c r="U112" s="48" t="s">
        <v>179</v>
      </c>
      <c r="V112" s="48">
        <f t="shared" si="46"/>
        <v>10</v>
      </c>
      <c r="W112" s="83"/>
      <c r="X112" s="83" t="s">
        <v>580</v>
      </c>
    </row>
    <row r="113" spans="1:24" ht="30" x14ac:dyDescent="0.25">
      <c r="A113" s="82" t="s">
        <v>109</v>
      </c>
      <c r="B113" s="82" t="s">
        <v>581</v>
      </c>
      <c r="C113" s="82" t="s">
        <v>582</v>
      </c>
      <c r="D113" s="84">
        <f t="shared" si="47"/>
        <v>1850</v>
      </c>
      <c r="E113" s="128">
        <f t="shared" si="41"/>
        <v>1150.5294117647059</v>
      </c>
      <c r="F113" s="86" t="s">
        <v>199</v>
      </c>
      <c r="G113" s="102">
        <f>_xlfn.IFNA(VLOOKUP(B113,'NY Sole Source'!A:B,2,FALSE), D113*0.7)</f>
        <v>1576.0500000000002</v>
      </c>
      <c r="H113" s="102" t="str">
        <f>_xlfn.IFNA(VLOOKUP(B113,'NY Sole Source'!A:B,1,FALSE),"NNY-"&amp;B113)</f>
        <v>HW-Scan-Patrol</v>
      </c>
      <c r="I113" s="106">
        <f>IF(NOT(ISNA(VLOOKUP(B113,'FL Contract Prices'!$A$2:$C$71,3,FALSE))),VLOOKUP(B113,'FL Contract Prices'!$A$2:$C$71,3,FALSE),ROUND(D113*0.7,-1))</f>
        <v>2709.4</v>
      </c>
      <c r="J113" s="106" t="str">
        <f>IF(NOT(ISNA(VLOOKUP(B113,'FL Part Num Mapping'!$A$2:$B$71,1,FALSE))),VLOOKUP(B113,'FL Part Num Mapping'!$A$2:$B$71,2,FALSE),"NFL "&amp; B113)</f>
        <v>NFL HW-Scan-Patrol</v>
      </c>
      <c r="K113" s="102">
        <v>1E-4</v>
      </c>
      <c r="L113" s="146" t="str">
        <f t="shared" si="54"/>
        <v>NLA HW-Scan-Patrol</v>
      </c>
      <c r="M113" s="146"/>
      <c r="N113" s="146"/>
      <c r="O113" s="155"/>
      <c r="P113" s="150">
        <v>1120</v>
      </c>
      <c r="Q113" s="48">
        <v>20</v>
      </c>
      <c r="R113" s="88">
        <v>1</v>
      </c>
      <c r="S113" s="88">
        <f t="shared" si="48"/>
        <v>81</v>
      </c>
      <c r="T113" s="48">
        <f t="shared" si="44"/>
        <v>0.52941176470588236</v>
      </c>
      <c r="U113" s="48" t="s">
        <v>179</v>
      </c>
      <c r="V113" s="48">
        <f t="shared" si="46"/>
        <v>10</v>
      </c>
      <c r="W113" s="83"/>
      <c r="X113" s="83" t="s">
        <v>583</v>
      </c>
    </row>
    <row r="114" spans="1:24" ht="30" x14ac:dyDescent="0.25">
      <c r="A114" s="82" t="s">
        <v>584</v>
      </c>
      <c r="B114" s="82" t="s">
        <v>585</v>
      </c>
      <c r="C114" s="82" t="s">
        <v>586</v>
      </c>
      <c r="D114" s="84">
        <f t="shared" ref="D114" si="55">IF(E114&lt;20, ROUNDUP(E114/0.625,0), ROUNDUP(E114/0.625,-1))</f>
        <v>1970</v>
      </c>
      <c r="E114" s="128">
        <f t="shared" ref="E114" si="56">P114+Q114+T114+V114</f>
        <v>1230.5294117647059</v>
      </c>
      <c r="F114" s="86" t="s">
        <v>199</v>
      </c>
      <c r="G114" s="102">
        <f>_xlfn.IFNA(VLOOKUP(B114,'NY Sole Source'!A:B,2,FALSE), D114*0.7)</f>
        <v>1738</v>
      </c>
      <c r="H114" s="102" t="str">
        <f>_xlfn.IFNA(VLOOKUP(B114,'NY Sole Source'!A:B,1,FALSE),"NNY-"&amp;B114)</f>
        <v>HW-Scan-Patrol-Sili</v>
      </c>
      <c r="I114" s="106">
        <f>IF(NOT(ISNA(VLOOKUP(B114,'FL Contract Prices'!$A$2:$C$71,3,FALSE))),VLOOKUP(B114,'FL Contract Prices'!$A$2:$C$71,3,FALSE),ROUND(D114*0.7,-1))</f>
        <v>1380</v>
      </c>
      <c r="J114" s="106" t="str">
        <f>IF(NOT(ISNA(VLOOKUP(B114,'FL Part Num Mapping'!$A$2:$B$71,1,FALSE))),VLOOKUP(B114,'FL Part Num Mapping'!$A$2:$B$71,2,FALSE),"NFL "&amp; B114)</f>
        <v>NFL HW-Scan-Patrol-Sili</v>
      </c>
      <c r="K114" s="102">
        <v>1E-4</v>
      </c>
      <c r="L114" s="146" t="str">
        <f t="shared" ref="L114" si="57">"NLA "&amp;B114</f>
        <v>NLA HW-Scan-Patrol-Sili</v>
      </c>
      <c r="M114" s="146"/>
      <c r="N114" s="146"/>
      <c r="O114" s="155"/>
      <c r="P114" s="150">
        <v>1200</v>
      </c>
      <c r="Q114" s="48">
        <v>20</v>
      </c>
      <c r="R114" s="88">
        <v>1</v>
      </c>
      <c r="S114" s="88">
        <f t="shared" si="48"/>
        <v>81</v>
      </c>
      <c r="T114" s="48">
        <f t="shared" ref="T114" si="58">(24000/8500)*(S114/12/12)/3*R114</f>
        <v>0.52941176470588236</v>
      </c>
      <c r="U114" s="48" t="s">
        <v>179</v>
      </c>
      <c r="V114" s="48">
        <f t="shared" ref="V114" si="59">IF(U114="Bulk",0,IF(U114="Std", 10,IF(U114="Pickup",20,30)))/60*60</f>
        <v>10</v>
      </c>
      <c r="W114" s="83"/>
      <c r="X114" s="83" t="s">
        <v>583</v>
      </c>
    </row>
    <row r="115" spans="1:24" ht="30" x14ac:dyDescent="0.25">
      <c r="A115" s="82" t="s">
        <v>587</v>
      </c>
      <c r="B115" s="82" t="s">
        <v>588</v>
      </c>
      <c r="C115" s="82" t="s">
        <v>589</v>
      </c>
      <c r="D115" s="84">
        <f t="shared" si="47"/>
        <v>130</v>
      </c>
      <c r="E115" s="128">
        <f t="shared" si="41"/>
        <v>80.235294117647058</v>
      </c>
      <c r="F115" s="86" t="s">
        <v>199</v>
      </c>
      <c r="G115" s="102">
        <f>_xlfn.IFNA(VLOOKUP(B115,'NY Sole Source'!A:B,2,FALSE), D115*0.7)</f>
        <v>102.7</v>
      </c>
      <c r="H115" s="102" t="str">
        <f>_xlfn.IFNA(VLOOKUP(B115,'NY Sole Source'!A:B,1,FALSE),"NNY-"&amp;B115)</f>
        <v>HW-Scan-CMTPower</v>
      </c>
      <c r="I115" s="106">
        <f>IF(NOT(ISNA(VLOOKUP(B115,'FL Contract Prices'!$A$2:$C$71,3,FALSE))),VLOOKUP(B115,'FL Contract Prices'!$A$2:$C$71,3,FALSE),ROUND(D115*0.7,-1))</f>
        <v>90</v>
      </c>
      <c r="J115" s="106" t="str">
        <f>IF(NOT(ISNA(VLOOKUP(B115,'FL Part Num Mapping'!$A$2:$B$71,1,FALSE))),VLOOKUP(B115,'FL Part Num Mapping'!$A$2:$B$71,2,FALSE),"NFL "&amp; B115)</f>
        <v>NFL HW-Scan-CMTPower</v>
      </c>
      <c r="K115" s="102">
        <v>1E-4</v>
      </c>
      <c r="L115" s="146" t="str">
        <f t="shared" si="54"/>
        <v>NLA HW-Scan-CMTPower</v>
      </c>
      <c r="M115" s="146"/>
      <c r="N115" s="146"/>
      <c r="O115" s="155"/>
      <c r="P115" s="150">
        <v>50</v>
      </c>
      <c r="Q115" s="48">
        <v>20</v>
      </c>
      <c r="R115" s="88">
        <v>2</v>
      </c>
      <c r="S115" s="88">
        <f>6*3</f>
        <v>18</v>
      </c>
      <c r="T115" s="48">
        <f t="shared" si="44"/>
        <v>0.23529411764705885</v>
      </c>
      <c r="U115" s="48" t="s">
        <v>179</v>
      </c>
      <c r="V115" s="48">
        <f t="shared" si="46"/>
        <v>10</v>
      </c>
      <c r="W115" s="83"/>
      <c r="X115" s="83" t="s">
        <v>590</v>
      </c>
    </row>
    <row r="116" spans="1:24" ht="30" x14ac:dyDescent="0.25">
      <c r="A116" s="82" t="s">
        <v>141</v>
      </c>
      <c r="B116" s="82" t="s">
        <v>591</v>
      </c>
      <c r="C116" s="82" t="s">
        <v>592</v>
      </c>
      <c r="D116" s="84">
        <f t="shared" si="47"/>
        <v>1220</v>
      </c>
      <c r="E116" s="128">
        <f t="shared" ref="E116:E147" si="60">P116+Q116+T116+V116</f>
        <v>760.52941176470586</v>
      </c>
      <c r="F116" s="86" t="s">
        <v>199</v>
      </c>
      <c r="G116" s="102">
        <f>_xlfn.IFNA(VLOOKUP(B116,'NY Sole Source'!A:B,2,FALSE), D116*0.7)</f>
        <v>1023.0500000000001</v>
      </c>
      <c r="H116" s="102" t="str">
        <f>_xlfn.IFNA(VLOOKUP(B116,'NY Sole Source'!A:B,1,FALSE),"NNY-"&amp;B116)</f>
        <v>HW-Scan-Kojak</v>
      </c>
      <c r="I116" s="106">
        <f>IF(NOT(ISNA(VLOOKUP(B116,'FL Contract Prices'!$A$2:$C$71,3,FALSE))),VLOOKUP(B116,'FL Contract Prices'!$A$2:$C$71,3,FALSE),ROUND(D116*0.7,-1))</f>
        <v>850</v>
      </c>
      <c r="J116" s="106" t="str">
        <f>IF(NOT(ISNA(VLOOKUP(B116,'FL Part Num Mapping'!$A$2:$B$71,1,FALSE))),VLOOKUP(B116,'FL Part Num Mapping'!$A$2:$B$71,2,FALSE),"NFL "&amp; B116)</f>
        <v>NFL HW-Scan-Kojak</v>
      </c>
      <c r="K116" s="102">
        <v>1490</v>
      </c>
      <c r="L116" s="146" t="s">
        <v>593</v>
      </c>
      <c r="M116" s="146"/>
      <c r="N116" s="146"/>
      <c r="O116" s="155"/>
      <c r="P116" s="150">
        <v>730</v>
      </c>
      <c r="Q116" s="48">
        <v>20</v>
      </c>
      <c r="R116" s="88">
        <v>1</v>
      </c>
      <c r="S116" s="88">
        <f>9*9</f>
        <v>81</v>
      </c>
      <c r="T116" s="48">
        <f t="shared" si="44"/>
        <v>0.52941176470588236</v>
      </c>
      <c r="U116" s="48" t="s">
        <v>179</v>
      </c>
      <c r="V116" s="48">
        <f t="shared" si="46"/>
        <v>10</v>
      </c>
      <c r="W116" s="83"/>
      <c r="X116" s="82" t="s">
        <v>141</v>
      </c>
    </row>
    <row r="117" spans="1:24" ht="30" x14ac:dyDescent="0.25">
      <c r="A117" s="82" t="s">
        <v>594</v>
      </c>
      <c r="B117" s="82" t="s">
        <v>595</v>
      </c>
      <c r="C117" s="82" t="s">
        <v>596</v>
      </c>
      <c r="D117" s="84">
        <f t="shared" si="47"/>
        <v>690</v>
      </c>
      <c r="E117" s="128">
        <f t="shared" si="60"/>
        <v>430.52941176470586</v>
      </c>
      <c r="F117" s="86" t="s">
        <v>199</v>
      </c>
      <c r="G117" s="102">
        <f>_xlfn.IFNA(VLOOKUP(B117,'NY Sole Source'!A:B,2,FALSE), D117*0.7)</f>
        <v>545.1</v>
      </c>
      <c r="H117" s="102" t="str">
        <f>_xlfn.IFNA(VLOOKUP(B117,'NY Sole Source'!A:B,1,FALSE),"NNY-"&amp;B117)</f>
        <v>HW-Scan-Watson</v>
      </c>
      <c r="I117" s="106">
        <f>IF(NOT(ISNA(VLOOKUP(B117,'FL Contract Prices'!$A$2:$C$71,3,FALSE))),VLOOKUP(B117,'FL Contract Prices'!$A$2:$C$71,3,FALSE),ROUND(D117*0.7,-1))</f>
        <v>356.25</v>
      </c>
      <c r="J117" s="106" t="str">
        <f>IF(NOT(ISNA(VLOOKUP(B117,'FL Part Num Mapping'!$A$2:$B$71,1,FALSE))),VLOOKUP(B117,'FL Part Num Mapping'!$A$2:$B$71,2,FALSE),"NFL "&amp; B117)</f>
        <v>HW-Scan-Watson</v>
      </c>
      <c r="K117" s="102">
        <v>1E-4</v>
      </c>
      <c r="L117" s="146" t="str">
        <f t="shared" si="54"/>
        <v>NLA HW-Scan-Watson</v>
      </c>
      <c r="M117" s="146"/>
      <c r="N117" s="146"/>
      <c r="O117" s="155"/>
      <c r="P117" s="150">
        <v>400</v>
      </c>
      <c r="Q117" s="48">
        <v>20</v>
      </c>
      <c r="R117" s="88">
        <v>1</v>
      </c>
      <c r="S117" s="88">
        <f>9*9</f>
        <v>81</v>
      </c>
      <c r="T117" s="48">
        <f t="shared" si="44"/>
        <v>0.52941176470588236</v>
      </c>
      <c r="U117" s="48" t="s">
        <v>179</v>
      </c>
      <c r="V117" s="48">
        <f t="shared" si="46"/>
        <v>10</v>
      </c>
      <c r="W117" s="83"/>
      <c r="X117" s="82" t="s">
        <v>594</v>
      </c>
    </row>
    <row r="118" spans="1:24" ht="30" x14ac:dyDescent="0.25">
      <c r="A118" s="82" t="s">
        <v>597</v>
      </c>
      <c r="B118" s="82" t="s">
        <v>598</v>
      </c>
      <c r="C118" s="82" t="s">
        <v>599</v>
      </c>
      <c r="D118" s="84">
        <f t="shared" si="47"/>
        <v>4790</v>
      </c>
      <c r="E118" s="128">
        <f t="shared" si="60"/>
        <v>2993.0294117647059</v>
      </c>
      <c r="F118" s="86" t="s">
        <v>199</v>
      </c>
      <c r="G118" s="102">
        <f>_xlfn.IFNA(VLOOKUP(B118,'NY Sole Source'!A:B,2,FALSE), D118*0.7)</f>
        <v>3353</v>
      </c>
      <c r="H118" s="102" t="str">
        <f>_xlfn.IFNA(VLOOKUP(B118,'NY Sole Source'!A:B,1,FALSE),"NNY-"&amp;B118)</f>
        <v>NNY-HW-Scan-NeoScan45</v>
      </c>
      <c r="I118" s="106">
        <f>IF(NOT(ISNA(VLOOKUP(B118,'FL Contract Prices'!$A$2:$C$71,3,FALSE))),VLOOKUP(B118,'FL Contract Prices'!$A$2:$C$71,3,FALSE),ROUND(D118*0.7,-1))</f>
        <v>3121.7</v>
      </c>
      <c r="J118" s="106" t="str">
        <f>IF(NOT(ISNA(VLOOKUP(B118,'FL Part Num Mapping'!$A$2:$B$71,1,FALSE))),VLOOKUP(B118,'FL Part Num Mapping'!$A$2:$B$71,2,FALSE),"NFL "&amp; B118)</f>
        <v>HW-Scan-NEC45</v>
      </c>
      <c r="K118" s="102">
        <v>1E-4</v>
      </c>
      <c r="L118" s="146" t="str">
        <f t="shared" si="54"/>
        <v>NLA HW-Scan-NeoScan45</v>
      </c>
      <c r="M118" s="146"/>
      <c r="N118" s="146"/>
      <c r="O118" s="155"/>
      <c r="P118" s="150">
        <v>2962.5</v>
      </c>
      <c r="Q118" s="48">
        <v>20</v>
      </c>
      <c r="R118" s="88">
        <v>1</v>
      </c>
      <c r="S118" s="88">
        <f>9*9</f>
        <v>81</v>
      </c>
      <c r="T118" s="48">
        <f t="shared" si="44"/>
        <v>0.52941176470588236</v>
      </c>
      <c r="U118" s="48" t="s">
        <v>179</v>
      </c>
      <c r="V118" s="48">
        <f t="shared" si="46"/>
        <v>10</v>
      </c>
      <c r="W118" s="83"/>
      <c r="X118" s="83"/>
    </row>
    <row r="119" spans="1:24" x14ac:dyDescent="0.25">
      <c r="A119" s="82" t="s">
        <v>600</v>
      </c>
      <c r="B119" s="82" t="s">
        <v>601</v>
      </c>
      <c r="C119" s="82" t="s">
        <v>602</v>
      </c>
      <c r="D119" s="84">
        <f t="shared" si="47"/>
        <v>1060</v>
      </c>
      <c r="E119" s="128">
        <f t="shared" si="60"/>
        <v>661.58823529411768</v>
      </c>
      <c r="F119" s="86" t="s">
        <v>199</v>
      </c>
      <c r="G119" s="102">
        <f>_xlfn.IFNA(VLOOKUP(B119,'NY Sole Source'!A:B,2,FALSE), D119*0.7)</f>
        <v>837.40000000000009</v>
      </c>
      <c r="H119" s="102" t="str">
        <f>_xlfn.IFNA(VLOOKUP(B119,'NY Sole Source'!A:B,1,FALSE),"NNY-"&amp;B119)</f>
        <v>HW-Scan-G10</v>
      </c>
      <c r="I119" s="106">
        <f>IF(NOT(ISNA(VLOOKUP(B119,'FL Contract Prices'!$A$2:$C$71,3,FALSE))),VLOOKUP(B119,'FL Contract Prices'!$A$2:$C$71,3,FALSE),ROUND(D119*0.7,-1))</f>
        <v>2709.4</v>
      </c>
      <c r="J119" s="106" t="str">
        <f>IF(NOT(ISNA(VLOOKUP(B119,'FL Part Num Mapping'!$A$2:$B$71,1,FALSE))),VLOOKUP(B119,'FL Part Num Mapping'!$A$2:$B$71,2,FALSE),"NFL "&amp; B119)</f>
        <v>HW-Scan-RS10</v>
      </c>
      <c r="K119" s="102">
        <v>1E-4</v>
      </c>
      <c r="L119" s="146" t="str">
        <f t="shared" si="54"/>
        <v>NLA HW-Scan-G10</v>
      </c>
      <c r="M119" s="146"/>
      <c r="N119" s="146"/>
      <c r="O119" s="155"/>
      <c r="P119" s="150">
        <v>500</v>
      </c>
      <c r="Q119" s="48">
        <v>150</v>
      </c>
      <c r="R119" s="88">
        <v>3</v>
      </c>
      <c r="S119" s="88">
        <f>9*9</f>
        <v>81</v>
      </c>
      <c r="T119" s="48">
        <f t="shared" si="44"/>
        <v>1.5882352941176472</v>
      </c>
      <c r="U119" s="48" t="s">
        <v>179</v>
      </c>
      <c r="V119" s="48">
        <f t="shared" si="46"/>
        <v>10</v>
      </c>
      <c r="W119" s="83"/>
      <c r="X119" s="83" t="s">
        <v>603</v>
      </c>
    </row>
    <row r="120" spans="1:24" ht="30" x14ac:dyDescent="0.25">
      <c r="A120" s="87" t="s">
        <v>604</v>
      </c>
      <c r="B120" s="82" t="s">
        <v>605</v>
      </c>
      <c r="C120" s="82" t="s">
        <v>606</v>
      </c>
      <c r="D120" s="84">
        <f t="shared" si="47"/>
        <v>4990</v>
      </c>
      <c r="E120" s="128">
        <f t="shared" si="60"/>
        <v>3115.6666666666665</v>
      </c>
      <c r="F120" s="86" t="s">
        <v>199</v>
      </c>
      <c r="G120" s="102">
        <f>_xlfn.IFNA(VLOOKUP(B120,'NY Sole Source'!A:B,2,FALSE), D120*0.7)</f>
        <v>3942.1000000000004</v>
      </c>
      <c r="H120" s="102" t="str">
        <f>_xlfn.IFNA(VLOOKUP(B120,'NY Sole Source'!A:B,1,FALSE),"NNY-"&amp;B120)</f>
        <v>HW-Scan-RSF</v>
      </c>
      <c r="I120" s="106">
        <f>IF(NOT(ISNA(VLOOKUP(B120,'FL Contract Prices'!$A$2:$C$71,3,FALSE))),VLOOKUP(B120,'FL Contract Prices'!$A$2:$C$71,3,FALSE),ROUND(D120*0.7,-1))</f>
        <v>8835</v>
      </c>
      <c r="J120" s="106" t="str">
        <f>IF(NOT(ISNA(VLOOKUP(B120,'FL Part Num Mapping'!$A$2:$B$71,1,FALSE))),VLOOKUP(B120,'FL Part Num Mapping'!$A$2:$B$71,2,FALSE),"NFL "&amp; B120)</f>
        <v>HW-Scan-RSF</v>
      </c>
      <c r="K120" s="102">
        <v>1E-4</v>
      </c>
      <c r="L120" s="146" t="str">
        <f t="shared" si="54"/>
        <v>NLA HW-Scan-RSF</v>
      </c>
      <c r="M120" s="146"/>
      <c r="N120" s="146"/>
      <c r="O120" s="155"/>
      <c r="P120" s="150">
        <v>2900</v>
      </c>
      <c r="Q120" s="48">
        <v>200</v>
      </c>
      <c r="R120" s="88">
        <v>3</v>
      </c>
      <c r="S120" s="88">
        <f>17*17</f>
        <v>289</v>
      </c>
      <c r="T120" s="48">
        <f t="shared" si="44"/>
        <v>5.6666666666666661</v>
      </c>
      <c r="U120" s="48" t="s">
        <v>179</v>
      </c>
      <c r="V120" s="48">
        <f t="shared" si="46"/>
        <v>10</v>
      </c>
      <c r="W120" s="83"/>
      <c r="X120" s="83" t="s">
        <v>607</v>
      </c>
    </row>
    <row r="121" spans="1:24" ht="30" x14ac:dyDescent="0.25">
      <c r="A121" s="82" t="s">
        <v>608</v>
      </c>
      <c r="B121" s="82" t="s">
        <v>609</v>
      </c>
      <c r="C121" s="82" t="s">
        <v>610</v>
      </c>
      <c r="D121" s="84">
        <f>IF(E121&lt;20, ROUNDUP(E121/0.575,0), ROUNDUP(E121/0.575,-1))</f>
        <v>50</v>
      </c>
      <c r="E121" s="128">
        <f t="shared" si="60"/>
        <v>25.176470588235293</v>
      </c>
      <c r="F121" s="86" t="s">
        <v>199</v>
      </c>
      <c r="G121" s="102">
        <f>_xlfn.IFNA(VLOOKUP(B121,'NY Sole Source'!A:B,2,FALSE), D121*0.7)</f>
        <v>35</v>
      </c>
      <c r="H121" s="102" t="str">
        <f>_xlfn.IFNA(VLOOKUP(B121,'NY Sole Source'!A:B,1,FALSE),"NNY-"&amp;B121)</f>
        <v>NNY-HW-Speaker</v>
      </c>
      <c r="I121" s="106">
        <f>IF(NOT(ISNA(VLOOKUP(B121,'FL Contract Prices'!$A$2:$C$71,3,FALSE))),VLOOKUP(B121,'FL Contract Prices'!$A$2:$C$71,3,FALSE),ROUND(D121*0.7,-1))</f>
        <v>40</v>
      </c>
      <c r="J121" s="106" t="str">
        <f>IF(NOT(ISNA(VLOOKUP(B121,'FL Part Num Mapping'!$A$2:$B$71,1,FALSE))),VLOOKUP(B121,'FL Part Num Mapping'!$A$2:$B$71,2,FALSE),"NFL "&amp; B121)</f>
        <v>NFL HW-Speaker</v>
      </c>
      <c r="K121" s="102">
        <v>1E-4</v>
      </c>
      <c r="L121" s="146" t="str">
        <f t="shared" si="54"/>
        <v>NLA HW-Speaker</v>
      </c>
      <c r="M121" s="146"/>
      <c r="N121" s="146"/>
      <c r="O121" s="155"/>
      <c r="P121" s="150">
        <v>14</v>
      </c>
      <c r="Q121" s="48"/>
      <c r="R121" s="88">
        <v>3</v>
      </c>
      <c r="S121" s="88">
        <f>6*10</f>
        <v>60</v>
      </c>
      <c r="T121" s="48">
        <f t="shared" si="44"/>
        <v>1.1764705882352942</v>
      </c>
      <c r="U121" s="48" t="s">
        <v>179</v>
      </c>
      <c r="V121" s="48">
        <f t="shared" si="46"/>
        <v>10</v>
      </c>
      <c r="W121" s="83"/>
      <c r="X121" s="83" t="s">
        <v>611</v>
      </c>
    </row>
    <row r="122" spans="1:24" ht="30" x14ac:dyDescent="0.25">
      <c r="A122" s="82" t="s">
        <v>612</v>
      </c>
      <c r="B122" s="82" t="s">
        <v>613</v>
      </c>
      <c r="C122" s="82" t="s">
        <v>614</v>
      </c>
      <c r="D122" s="84">
        <f>IF(E122&lt;20, ROUNDUP(E122/0.575,0), ROUNDUP(E122/0.575,-1))</f>
        <v>1080</v>
      </c>
      <c r="E122" s="128">
        <f t="shared" si="60"/>
        <v>619.52941176470586</v>
      </c>
      <c r="F122" s="86" t="s">
        <v>199</v>
      </c>
      <c r="G122" s="102">
        <f>_xlfn.IFNA(VLOOKUP(B122,'NY Sole Source'!A:B,2,FALSE), D122*0.7)</f>
        <v>756</v>
      </c>
      <c r="H122" s="102" t="str">
        <f>_xlfn.IFNA(VLOOKUP(B122,'NY Sole Source'!A:B,1,FALSE),"NNY-"&amp;B122)</f>
        <v>NNY-HW-PassportSupStd</v>
      </c>
      <c r="I122" s="106">
        <f>IF(NOT(ISNA(VLOOKUP(B122,'FL Contract Prices'!$A$2:$C$71,3,FALSE))),VLOOKUP(B122,'FL Contract Prices'!$A$2:$C$71,3,FALSE),ROUND(D122*0.7,-1))</f>
        <v>760</v>
      </c>
      <c r="J122" s="106" t="str">
        <f>IF(NOT(ISNA(VLOOKUP(B122,'FL Part Num Mapping'!$A$2:$B$71,1,FALSE))),VLOOKUP(B122,'FL Part Num Mapping'!$A$2:$B$71,2,FALSE),"NFL "&amp; B122)</f>
        <v>NFL HW-PassportSupStd</v>
      </c>
      <c r="K122" s="102">
        <v>1E-4</v>
      </c>
      <c r="L122" s="146" t="str">
        <f t="shared" si="54"/>
        <v>NLA HW-PassportSupStd</v>
      </c>
      <c r="M122" s="146"/>
      <c r="N122" s="146"/>
      <c r="O122" s="155"/>
      <c r="P122" s="150">
        <v>600</v>
      </c>
      <c r="Q122" s="48">
        <v>9</v>
      </c>
      <c r="R122" s="88">
        <v>1</v>
      </c>
      <c r="S122" s="88">
        <f>9*9</f>
        <v>81</v>
      </c>
      <c r="T122" s="48">
        <f t="shared" si="44"/>
        <v>0.52941176470588236</v>
      </c>
      <c r="U122" s="48" t="s">
        <v>179</v>
      </c>
      <c r="V122" s="48">
        <f t="shared" si="46"/>
        <v>10</v>
      </c>
      <c r="W122" s="83"/>
      <c r="X122" s="83" t="s">
        <v>615</v>
      </c>
    </row>
    <row r="123" spans="1:24" ht="30" x14ac:dyDescent="0.25">
      <c r="A123" s="82" t="s">
        <v>616</v>
      </c>
      <c r="B123" s="82" t="s">
        <v>617</v>
      </c>
      <c r="C123" s="82" t="s">
        <v>618</v>
      </c>
      <c r="D123" s="84">
        <f>IF(E123&lt;20, ROUNDUP(E123/0.575,0), ROUNDUP(E123/0.575,-1))</f>
        <v>250</v>
      </c>
      <c r="E123" s="128">
        <f t="shared" si="60"/>
        <v>143.11111111111111</v>
      </c>
      <c r="F123" s="86" t="s">
        <v>199</v>
      </c>
      <c r="G123" s="102">
        <f>_xlfn.IFNA(VLOOKUP(B123,'NY Sole Source'!A:B,2,FALSE), D123*0.7)</f>
        <v>197.5</v>
      </c>
      <c r="H123" s="102" t="str">
        <f>_xlfn.IFNA(VLOOKUP(B123,'NY Sole Source'!A:B,1,FALSE),"NNY-"&amp;B123)</f>
        <v>HW-BatteryUPS</v>
      </c>
      <c r="I123" s="106">
        <f>IF(NOT(ISNA(VLOOKUP(B123,'FL Contract Prices'!$A$2:$C$71,3,FALSE))),VLOOKUP(B123,'FL Contract Prices'!$A$2:$C$71,3,FALSE),ROUND(D123*0.7,-1))</f>
        <v>180</v>
      </c>
      <c r="J123" s="106" t="str">
        <f>IF(NOT(ISNA(VLOOKUP(B123,'FL Part Num Mapping'!$A$2:$B$71,1,FALSE))),VLOOKUP(B123,'FL Part Num Mapping'!$A$2:$B$71,2,FALSE),"NFL "&amp; B123)</f>
        <v>NFL HW-BatteryUPS</v>
      </c>
      <c r="K123" s="102">
        <v>1E-4</v>
      </c>
      <c r="L123" s="146" t="str">
        <f t="shared" si="54"/>
        <v>NLA HW-BatteryUPS</v>
      </c>
      <c r="M123" s="146"/>
      <c r="N123" s="146"/>
      <c r="O123" s="155"/>
      <c r="P123" s="150">
        <v>120</v>
      </c>
      <c r="Q123" s="48">
        <v>10</v>
      </c>
      <c r="R123" s="88">
        <v>2</v>
      </c>
      <c r="S123" s="88">
        <f>17*14</f>
        <v>238</v>
      </c>
      <c r="T123" s="48">
        <f t="shared" si="44"/>
        <v>3.1111111111111112</v>
      </c>
      <c r="U123" s="48" t="s">
        <v>179</v>
      </c>
      <c r="V123" s="48">
        <f t="shared" si="46"/>
        <v>10</v>
      </c>
      <c r="W123" s="83"/>
      <c r="X123" s="83" t="s">
        <v>619</v>
      </c>
    </row>
    <row r="124" spans="1:24" ht="15" customHeight="1" x14ac:dyDescent="0.25">
      <c r="A124" s="82" t="s">
        <v>620</v>
      </c>
      <c r="B124" s="82" t="s">
        <v>621</v>
      </c>
      <c r="C124" s="82" t="s">
        <v>622</v>
      </c>
      <c r="D124" s="84">
        <f>IF(E124&lt;20, ROUNDUP(E124/0.6,0), ROUNDUP(E124/0.6,-1))</f>
        <v>90</v>
      </c>
      <c r="E124" s="128">
        <f t="shared" si="60"/>
        <v>50</v>
      </c>
      <c r="F124" s="86" t="s">
        <v>199</v>
      </c>
      <c r="G124" s="102">
        <f>_xlfn.IFNA(VLOOKUP(B124,'NY Sole Source'!A:B,2,FALSE), D124*0.7)</f>
        <v>62.999999999999993</v>
      </c>
      <c r="H124" s="102" t="str">
        <f>_xlfn.IFNA(VLOOKUP(B124,'NY Sole Source'!A:B,1,FALSE),"NNY-"&amp;B124)</f>
        <v>NNY-INT-HW-Ether-Switch</v>
      </c>
      <c r="I124" s="106">
        <f>IF(NOT(ISNA(VLOOKUP(B124,'FL Contract Prices'!$A$2:$C$71,3,FALSE))),VLOOKUP(B124,'FL Contract Prices'!$A$2:$C$71,3,FALSE),ROUND(D124*0.7,-1))</f>
        <v>60</v>
      </c>
      <c r="J124" s="106" t="str">
        <f>IF(NOT(ISNA(VLOOKUP(B124,'FL Part Num Mapping'!$A$2:$B$71,1,FALSE))),VLOOKUP(B124,'FL Part Num Mapping'!$A$2:$B$71,2,FALSE),"NFL "&amp; B124)</f>
        <v>NFL INT-HW-Ether-Switch</v>
      </c>
      <c r="K124" s="102">
        <v>1E-4</v>
      </c>
      <c r="L124" s="146" t="str">
        <f t="shared" si="54"/>
        <v>NLA INT-HW-Ether-Switch</v>
      </c>
      <c r="M124" s="146"/>
      <c r="N124" s="146"/>
      <c r="O124" s="155"/>
      <c r="P124" s="150">
        <v>40</v>
      </c>
      <c r="Q124" s="48"/>
      <c r="R124" s="88"/>
      <c r="S124" s="88"/>
      <c r="T124" s="48">
        <f t="shared" si="44"/>
        <v>0</v>
      </c>
      <c r="U124" s="48" t="s">
        <v>179</v>
      </c>
      <c r="V124" s="48">
        <f t="shared" si="46"/>
        <v>10</v>
      </c>
      <c r="W124" s="83"/>
      <c r="X124" s="83" t="s">
        <v>623</v>
      </c>
    </row>
    <row r="125" spans="1:24" ht="15" customHeight="1" x14ac:dyDescent="0.25">
      <c r="A125" s="82" t="s">
        <v>624</v>
      </c>
      <c r="B125" s="82" t="s">
        <v>625</v>
      </c>
      <c r="C125" s="82" t="s">
        <v>626</v>
      </c>
      <c r="D125" s="84">
        <f>IF(E125&lt;20, ROUNDUP(E125/0.6,0), ROUNDUP(E125/0.6,-1))</f>
        <v>50</v>
      </c>
      <c r="E125" s="128">
        <f t="shared" si="60"/>
        <v>25</v>
      </c>
      <c r="F125" s="86" t="s">
        <v>199</v>
      </c>
      <c r="G125" s="102">
        <f>_xlfn.IFNA(VLOOKUP(B125,'NY Sole Source'!A:B,2,FALSE), D125*0.7)</f>
        <v>35</v>
      </c>
      <c r="H125" s="102" t="str">
        <f>_xlfn.IFNA(VLOOKUP(B125,'NY Sole Source'!A:B,1,FALSE),"NNY-"&amp;B125)</f>
        <v>NNY-INT-HW-Misc</v>
      </c>
      <c r="I125" s="106">
        <f>IF(NOT(ISNA(VLOOKUP(B125,'FL Contract Prices'!$A$2:$C$71,3,FALSE))),VLOOKUP(B125,'FL Contract Prices'!$A$2:$C$71,3,FALSE),ROUND(D125*0.7,-1))</f>
        <v>40</v>
      </c>
      <c r="J125" s="106" t="str">
        <f>IF(NOT(ISNA(VLOOKUP(B125,'FL Part Num Mapping'!$A$2:$B$71,1,FALSE))),VLOOKUP(B125,'FL Part Num Mapping'!$A$2:$B$71,2,FALSE),"NFL "&amp; B125)</f>
        <v>NFL INT-HW-Misc</v>
      </c>
      <c r="K125" s="102">
        <v>1E-4</v>
      </c>
      <c r="L125" s="146" t="str">
        <f t="shared" si="54"/>
        <v>NLA INT-HW-Misc</v>
      </c>
      <c r="M125" s="146"/>
      <c r="N125" s="146"/>
      <c r="O125" s="155"/>
      <c r="P125" s="150">
        <v>15</v>
      </c>
      <c r="Q125" s="48"/>
      <c r="R125" s="88"/>
      <c r="S125" s="88"/>
      <c r="T125" s="48">
        <f t="shared" si="44"/>
        <v>0</v>
      </c>
      <c r="U125" s="48" t="s">
        <v>179</v>
      </c>
      <c r="V125" s="48">
        <f t="shared" si="46"/>
        <v>10</v>
      </c>
      <c r="W125" s="83"/>
      <c r="X125" s="83" t="s">
        <v>627</v>
      </c>
    </row>
    <row r="126" spans="1:24" ht="15" customHeight="1" x14ac:dyDescent="0.25">
      <c r="A126" s="82" t="s">
        <v>628</v>
      </c>
      <c r="B126" s="82" t="s">
        <v>629</v>
      </c>
      <c r="C126" s="82" t="s">
        <v>630</v>
      </c>
      <c r="D126" s="84">
        <f>IF(E126&lt;20, ROUNDUP(E126/0.6,0), ROUNDUP(E126/0.6,-1))</f>
        <v>220</v>
      </c>
      <c r="E126" s="128">
        <f t="shared" si="60"/>
        <v>130</v>
      </c>
      <c r="F126" s="86" t="s">
        <v>199</v>
      </c>
      <c r="G126" s="102">
        <f>_xlfn.IFNA(VLOOKUP(B126,'NY Sole Source'!A:B,2,FALSE), D126*0.7)</f>
        <v>154</v>
      </c>
      <c r="H126" s="102" t="str">
        <f>_xlfn.IFNA(VLOOKUP(B126,'NY Sole Source'!A:B,1,FALSE),"NNY-"&amp;B126)</f>
        <v>NNY-INT-HW-Printer-Toner</v>
      </c>
      <c r="I126" s="106">
        <f>IF(NOT(ISNA(VLOOKUP(B126,'FL Contract Prices'!$A$2:$C$71,3,FALSE))),VLOOKUP(B126,'FL Contract Prices'!$A$2:$C$71,3,FALSE),ROUND(D126*0.7,-1))</f>
        <v>150</v>
      </c>
      <c r="J126" s="106" t="str">
        <f>IF(NOT(ISNA(VLOOKUP(B126,'FL Part Num Mapping'!$A$2:$B$71,1,FALSE))),VLOOKUP(B126,'FL Part Num Mapping'!$A$2:$B$71,2,FALSE),"NFL "&amp; B126)</f>
        <v>NFL INT-HW-Printer-Toner</v>
      </c>
      <c r="K126" s="102">
        <v>1E-4</v>
      </c>
      <c r="L126" s="146" t="str">
        <f t="shared" si="54"/>
        <v>NLA INT-HW-Printer-Toner</v>
      </c>
      <c r="M126" s="146"/>
      <c r="N126" s="146"/>
      <c r="O126" s="155"/>
      <c r="P126" s="150">
        <v>120</v>
      </c>
      <c r="Q126" s="48"/>
      <c r="R126" s="88"/>
      <c r="S126" s="88"/>
      <c r="T126" s="48">
        <f t="shared" ref="T126" si="61">(24000/8500)*(S126/12/12)/3*R126</f>
        <v>0</v>
      </c>
      <c r="U126" s="48" t="s">
        <v>179</v>
      </c>
      <c r="V126" s="48">
        <f t="shared" si="46"/>
        <v>10</v>
      </c>
      <c r="W126" s="83"/>
      <c r="X126" s="83" t="s">
        <v>631</v>
      </c>
    </row>
    <row r="127" spans="1:24" ht="30" customHeight="1" x14ac:dyDescent="0.25">
      <c r="A127" s="82" t="s">
        <v>632</v>
      </c>
      <c r="B127" s="83" t="s">
        <v>633</v>
      </c>
      <c r="C127" s="82" t="s">
        <v>634</v>
      </c>
      <c r="D127" s="84">
        <f t="shared" ref="D127:D158" si="62">IF(E127&lt;20, ROUNDUP(E127/0.3,0), ROUNDUP(E127/0.3,-1))</f>
        <v>1340</v>
      </c>
      <c r="E127" s="128">
        <f t="shared" si="60"/>
        <v>400</v>
      </c>
      <c r="F127" s="86" t="s">
        <v>178</v>
      </c>
      <c r="G127" s="102">
        <f>_xlfn.IFNA(VLOOKUP(B127,'NY Sole Source'!A:B,2,FALSE), D127*0.7)</f>
        <v>750.40000000000009</v>
      </c>
      <c r="H127" s="102" t="str">
        <f>_xlfn.IFNA(VLOOKUP(B127,'NY Sole Source'!A:B,1,FALSE),"NNY-"&amp;B127)</f>
        <v>LS4G-AddSingleTOT</v>
      </c>
      <c r="I127" s="106">
        <f>IF(NOT(ISNA(VLOOKUP(B127,'FL Contract Prices'!$A$2:$C$71,3,FALSE))),VLOOKUP(B127,'FL Contract Prices'!$A$2:$C$71,3,FALSE),ROUND(D127*0.7,-1))</f>
        <v>937.68799999999999</v>
      </c>
      <c r="J127" s="106" t="str">
        <f>IF(NOT(ISNA(VLOOKUP(B127,'FL Part Num Mapping'!$A$2:$B$71,1,FALSE))),VLOOKUP(B127,'FL Part Num Mapping'!$A$2:$B$71,2,FALSE),"NFL "&amp; B127)</f>
        <v>SW-TOT-ADD</v>
      </c>
      <c r="K127" s="102">
        <v>1E-4</v>
      </c>
      <c r="L127" s="146" t="str">
        <f t="shared" si="54"/>
        <v>NLA LS4G-AddSingleTOT</v>
      </c>
      <c r="M127" s="146"/>
      <c r="N127" s="146"/>
      <c r="O127" s="155"/>
      <c r="P127" s="150">
        <v>400</v>
      </c>
      <c r="Q127" s="83"/>
      <c r="R127" s="83"/>
      <c r="S127" s="83"/>
      <c r="T127" s="83"/>
      <c r="U127" s="83"/>
      <c r="V127" s="83"/>
      <c r="W127" s="83"/>
      <c r="X127" s="83" t="s">
        <v>635</v>
      </c>
    </row>
    <row r="128" spans="1:24" ht="30" customHeight="1" x14ac:dyDescent="0.25">
      <c r="A128" s="94" t="s">
        <v>108</v>
      </c>
      <c r="B128" s="95" t="s">
        <v>636</v>
      </c>
      <c r="C128" s="94" t="s">
        <v>108</v>
      </c>
      <c r="D128" s="84">
        <f t="shared" si="62"/>
        <v>1340</v>
      </c>
      <c r="E128" s="128">
        <f t="shared" si="60"/>
        <v>400</v>
      </c>
      <c r="F128" s="86" t="s">
        <v>178</v>
      </c>
      <c r="G128" s="102">
        <f>_xlfn.IFNA(VLOOKUP(B128,'NY Sole Source'!A:B,2,FALSE), D128*0.7)</f>
        <v>937.99999999999989</v>
      </c>
      <c r="H128" s="102" t="str">
        <f>_xlfn.IFNA(VLOOKUP(B128,'NY Sole Source'!A:B,1,FALSE),"NNY-"&amp;B128)</f>
        <v>NNY-LS4G-Applicant-CA</v>
      </c>
      <c r="I128" s="106">
        <f>IF(NOT(ISNA(VLOOKUP(B128,'FL Contract Prices'!$A$2:$C$71,3,FALSE))),VLOOKUP(B128,'FL Contract Prices'!$A$2:$C$71,3,FALSE),ROUND(D128*0.7,-1))</f>
        <v>940</v>
      </c>
      <c r="J128" s="106" t="str">
        <f>IF(NOT(ISNA(VLOOKUP(B128,'FL Part Num Mapping'!$A$2:$B$71,1,FALSE))),VLOOKUP(B128,'FL Part Num Mapping'!$A$2:$B$71,2,FALSE),"NFL "&amp; B128)</f>
        <v>NFL LS4G-Applicant-CA</v>
      </c>
      <c r="K128" s="102">
        <v>1E-4</v>
      </c>
      <c r="L128" s="146" t="str">
        <f t="shared" si="54"/>
        <v>NLA LS4G-Applicant-CA</v>
      </c>
      <c r="M128" s="146"/>
      <c r="N128" s="146"/>
      <c r="O128" s="155"/>
      <c r="P128" s="150">
        <v>400</v>
      </c>
      <c r="Q128" s="83"/>
      <c r="R128" s="83"/>
      <c r="S128" s="83"/>
      <c r="T128" s="83"/>
      <c r="U128" s="83"/>
      <c r="V128" s="83"/>
      <c r="W128" s="83"/>
      <c r="X128" s="95" t="s">
        <v>637</v>
      </c>
    </row>
    <row r="129" spans="1:24" ht="30" customHeight="1" x14ac:dyDescent="0.25">
      <c r="A129" s="94" t="s">
        <v>638</v>
      </c>
      <c r="B129" s="95" t="s">
        <v>639</v>
      </c>
      <c r="C129" s="94" t="s">
        <v>640</v>
      </c>
      <c r="D129" s="84">
        <f t="shared" si="62"/>
        <v>2670</v>
      </c>
      <c r="E129" s="128">
        <f t="shared" si="60"/>
        <v>800</v>
      </c>
      <c r="F129" s="86" t="s">
        <v>178</v>
      </c>
      <c r="G129" s="102">
        <f>_xlfn.IFNA(VLOOKUP(B129,'NY Sole Source'!A:B,2,FALSE), D129*0.7)</f>
        <v>1495.2</v>
      </c>
      <c r="H129" s="102" t="str">
        <f>_xlfn.IFNA(VLOOKUP(B129,'NY Sole Source'!A:B,1,FALSE),"NNY-"&amp;B129)</f>
        <v>LS4G-Applicant</v>
      </c>
      <c r="I129" s="106">
        <f>IF(NOT(ISNA(VLOOKUP(B129,'FL Contract Prices'!$A$2:$C$71,3,FALSE))),VLOOKUP(B129,'FL Contract Prices'!$A$2:$C$71,3,FALSE),ROUND(D129*0.7,-1))</f>
        <v>2586.8880000000004</v>
      </c>
      <c r="J129" s="106" t="str">
        <f>IF(NOT(ISNA(VLOOKUP(B129,'FL Part Num Mapping'!$A$2:$B$71,1,FALSE))),VLOOKUP(B129,'FL Part Num Mapping'!$A$2:$B$71,2,FALSE),"NFL "&amp; B129)</f>
        <v>SW-LS4G-FL-APP</v>
      </c>
      <c r="K129" s="102">
        <v>1E-4</v>
      </c>
      <c r="L129" s="146" t="str">
        <f t="shared" si="54"/>
        <v>NLA LS4G-Applicant</v>
      </c>
      <c r="M129" s="146"/>
      <c r="N129" s="146"/>
      <c r="O129" s="155"/>
      <c r="P129" s="150">
        <v>800</v>
      </c>
      <c r="Q129" s="83"/>
      <c r="R129" s="83"/>
      <c r="S129" s="83"/>
      <c r="T129" s="83"/>
      <c r="U129" s="83"/>
      <c r="V129" s="83"/>
      <c r="W129" s="83"/>
      <c r="X129" s="95" t="s">
        <v>637</v>
      </c>
    </row>
    <row r="130" spans="1:24" ht="30" customHeight="1" x14ac:dyDescent="0.25">
      <c r="A130" s="82" t="s">
        <v>641</v>
      </c>
      <c r="B130" s="82" t="s">
        <v>642</v>
      </c>
      <c r="C130" s="82" t="s">
        <v>643</v>
      </c>
      <c r="D130" s="84">
        <f t="shared" si="62"/>
        <v>500</v>
      </c>
      <c r="E130" s="128">
        <f t="shared" si="60"/>
        <v>150</v>
      </c>
      <c r="F130" s="86" t="s">
        <v>178</v>
      </c>
      <c r="G130" s="102">
        <f>_xlfn.IFNA(VLOOKUP(B130,'NY Sole Source'!A:B,2,FALSE), D130*0.7)</f>
        <v>280</v>
      </c>
      <c r="H130" s="102" t="str">
        <f>_xlfn.IFNA(VLOOKUP(B130,'NY Sole Source'!A:B,1,FALSE),"NNY-"&amp;B130)</f>
        <v>LS4G-BC</v>
      </c>
      <c r="I130" s="106">
        <f>IF(NOT(ISNA(VLOOKUP(B130,'FL Contract Prices'!$A$2:$C$71,3,FALSE))),VLOOKUP(B130,'FL Contract Prices'!$A$2:$C$71,3,FALSE),ROUND(D130*0.7,-1))</f>
        <v>202.61600000000001</v>
      </c>
      <c r="J130" s="106" t="str">
        <f>IF(NOT(ISNA(VLOOKUP(B130,'FL Part Num Mapping'!$A$2:$B$71,1,FALSE))),VLOOKUP(B130,'FL Part Num Mapping'!$A$2:$B$71,2,FALSE),"NFL "&amp; B130)</f>
        <v>SW-BC</v>
      </c>
      <c r="K130" s="102">
        <v>1E-4</v>
      </c>
      <c r="L130" s="146" t="str">
        <f t="shared" si="54"/>
        <v>NLA LS4G-BC</v>
      </c>
      <c r="M130" s="146"/>
      <c r="N130" s="146"/>
      <c r="O130" s="155"/>
      <c r="P130" s="150">
        <v>150</v>
      </c>
      <c r="Q130" s="83"/>
      <c r="R130" s="83"/>
      <c r="S130" s="83"/>
      <c r="T130" s="83"/>
      <c r="U130" s="83"/>
      <c r="V130" s="83"/>
      <c r="W130" s="83"/>
      <c r="X130" s="83" t="s">
        <v>644</v>
      </c>
    </row>
    <row r="131" spans="1:24" ht="15" customHeight="1" x14ac:dyDescent="0.25">
      <c r="A131" s="82" t="s">
        <v>645</v>
      </c>
      <c r="B131" s="82" t="s">
        <v>646</v>
      </c>
      <c r="C131" s="82" t="s">
        <v>647</v>
      </c>
      <c r="D131" s="84">
        <f t="shared" si="62"/>
        <v>1340</v>
      </c>
      <c r="E131" s="128">
        <f t="shared" si="60"/>
        <v>400</v>
      </c>
      <c r="F131" s="86" t="s">
        <v>178</v>
      </c>
      <c r="G131" s="102">
        <f>_xlfn.IFNA(VLOOKUP(B131,'NY Sole Source'!A:B,2,FALSE), D131*0.7)</f>
        <v>750.40000000000009</v>
      </c>
      <c r="H131" s="102" t="str">
        <f>_xlfn.IFNA(VLOOKUP(B131,'NY Sole Source'!A:B,1,FALSE),"NNY-"&amp;B131)</f>
        <v>LS4G-CardScan</v>
      </c>
      <c r="I131" s="106">
        <f>IF(NOT(ISNA(VLOOKUP(B131,'FL Contract Prices'!$A$2:$C$71,3,FALSE))),VLOOKUP(B131,'FL Contract Prices'!$A$2:$C$71,3,FALSE),ROUND(D131*0.7,-1))</f>
        <v>940</v>
      </c>
      <c r="J131" s="106" t="str">
        <f>IF(NOT(ISNA(VLOOKUP(B131,'FL Part Num Mapping'!$A$2:$B$71,1,FALSE))),VLOOKUP(B131,'FL Part Num Mapping'!$A$2:$B$71,2,FALSE),"NFL "&amp; B131)</f>
        <v>NFL LS4G-CardScan</v>
      </c>
      <c r="K131" s="102">
        <v>1E-4</v>
      </c>
      <c r="L131" s="146" t="str">
        <f t="shared" si="54"/>
        <v>NLA LS4G-CardScan</v>
      </c>
      <c r="M131" s="146"/>
      <c r="N131" s="146"/>
      <c r="O131" s="155"/>
      <c r="P131" s="150">
        <v>400</v>
      </c>
      <c r="Q131" s="83"/>
      <c r="R131" s="83"/>
      <c r="S131" s="83"/>
      <c r="T131" s="83"/>
      <c r="U131" s="83"/>
      <c r="V131" s="83"/>
      <c r="W131" s="83"/>
      <c r="X131" s="83" t="s">
        <v>644</v>
      </c>
    </row>
    <row r="132" spans="1:24" ht="15" customHeight="1" x14ac:dyDescent="0.25">
      <c r="A132" s="82" t="s">
        <v>648</v>
      </c>
      <c r="B132" s="83" t="s">
        <v>649</v>
      </c>
      <c r="C132" s="82" t="s">
        <v>650</v>
      </c>
      <c r="D132" s="84">
        <f t="shared" si="62"/>
        <v>0</v>
      </c>
      <c r="E132" s="128">
        <f t="shared" si="60"/>
        <v>0</v>
      </c>
      <c r="F132" s="86" t="s">
        <v>178</v>
      </c>
      <c r="G132" s="102">
        <f>_xlfn.IFNA(VLOOKUP(B132,'NY Sole Source'!A:B,2,FALSE), D132*0.7)</f>
        <v>0</v>
      </c>
      <c r="H132" s="102" t="str">
        <f>_xlfn.IFNA(VLOOKUP(B132,'NY Sole Source'!A:B,1,FALSE),"NNY-"&amp;B132)</f>
        <v>NNY-LS4G-Child</v>
      </c>
      <c r="I132" s="106">
        <f>IF(NOT(ISNA(VLOOKUP(B132,'FL Contract Prices'!$A$2:$C$71,3,FALSE))),VLOOKUP(B132,'FL Contract Prices'!$A$2:$C$71,3,FALSE),ROUND(D132*0.7,-1))</f>
        <v>0</v>
      </c>
      <c r="J132" s="106" t="str">
        <f>IF(NOT(ISNA(VLOOKUP(B132,'FL Part Num Mapping'!$A$2:$B$71,1,FALSE))),VLOOKUP(B132,'FL Part Num Mapping'!$A$2:$B$71,2,FALSE),"NFL "&amp; B132)</f>
        <v>NFL LS4G-Child</v>
      </c>
      <c r="K132" s="102">
        <v>1E-4</v>
      </c>
      <c r="L132" s="146" t="str">
        <f t="shared" si="54"/>
        <v>NLA LS4G-Child</v>
      </c>
      <c r="M132" s="146"/>
      <c r="N132" s="146"/>
      <c r="O132" s="155"/>
      <c r="P132" s="150">
        <v>0</v>
      </c>
      <c r="Q132" s="83"/>
      <c r="R132" s="83"/>
      <c r="S132" s="83"/>
      <c r="T132" s="83"/>
      <c r="U132" s="83"/>
      <c r="V132" s="83"/>
      <c r="W132" s="83"/>
      <c r="X132" s="83" t="s">
        <v>651</v>
      </c>
    </row>
    <row r="133" spans="1:24" ht="15" customHeight="1" x14ac:dyDescent="0.25">
      <c r="A133" s="82" t="s">
        <v>652</v>
      </c>
      <c r="B133" s="83" t="s">
        <v>653</v>
      </c>
      <c r="C133" s="82" t="s">
        <v>654</v>
      </c>
      <c r="D133" s="84">
        <f t="shared" si="62"/>
        <v>4000</v>
      </c>
      <c r="E133" s="128">
        <f t="shared" si="60"/>
        <v>1200</v>
      </c>
      <c r="F133" s="86" t="s">
        <v>178</v>
      </c>
      <c r="G133" s="102">
        <f>_xlfn.IFNA(VLOOKUP(B133,'NY Sole Source'!A:B,2,FALSE), D133*0.7)</f>
        <v>2240</v>
      </c>
      <c r="H133" s="102" t="str">
        <f>_xlfn.IFNA(VLOOKUP(B133,'NY Sole Source'!A:B,1,FALSE),"NNY-"&amp;B133)</f>
        <v>LS4G-Criminal</v>
      </c>
      <c r="I133" s="106">
        <f>IF(NOT(ISNA(VLOOKUP(B133,'FL Contract Prices'!$A$2:$C$71,3,FALSE))),VLOOKUP(B133,'FL Contract Prices'!$A$2:$C$71,3,FALSE),ROUND(D133*0.7,-1))</f>
        <v>4047.6080000000002</v>
      </c>
      <c r="J133" s="106" t="str">
        <f>IF(NOT(ISNA(VLOOKUP(B133,'FL Part Num Mapping'!$A$2:$B$71,1,FALSE))),VLOOKUP(B133,'FL Part Num Mapping'!$A$2:$B$71,2,FALSE),"NFL "&amp; B133)</f>
        <v>SW-LS4G-FL-CRM</v>
      </c>
      <c r="K133" s="102">
        <v>1E-4</v>
      </c>
      <c r="L133" s="146" t="str">
        <f t="shared" si="54"/>
        <v>NLA LS4G-Criminal</v>
      </c>
      <c r="M133" s="146"/>
      <c r="N133" s="146"/>
      <c r="O133" s="155"/>
      <c r="P133" s="150">
        <v>1200</v>
      </c>
      <c r="Q133" s="83"/>
      <c r="R133" s="83"/>
      <c r="S133" s="83"/>
      <c r="T133" s="83"/>
      <c r="U133" s="83"/>
      <c r="V133" s="83"/>
      <c r="W133" s="83"/>
      <c r="X133" s="83" t="s">
        <v>655</v>
      </c>
    </row>
    <row r="134" spans="1:24" ht="15" customHeight="1" x14ac:dyDescent="0.25">
      <c r="A134" s="94" t="s">
        <v>656</v>
      </c>
      <c r="B134" s="95" t="s">
        <v>657</v>
      </c>
      <c r="C134" s="94" t="s">
        <v>658</v>
      </c>
      <c r="D134" s="84">
        <f t="shared" si="62"/>
        <v>6670</v>
      </c>
      <c r="E134" s="128">
        <f t="shared" si="60"/>
        <v>2000</v>
      </c>
      <c r="F134" s="86" t="s">
        <v>178</v>
      </c>
      <c r="G134" s="102">
        <f>_xlfn.IFNA(VLOOKUP(B134,'NY Sole Source'!A:B,2,FALSE), D134*0.7)</f>
        <v>3735.2000000000003</v>
      </c>
      <c r="H134" s="102" t="str">
        <f>_xlfn.IFNA(VLOOKUP(B134,'NY Sole Source'!A:B,1,FALSE),"NNY-"&amp;B134)</f>
        <v>LS4G-Data-1Way</v>
      </c>
      <c r="I134" s="106">
        <f>IF(NOT(ISNA(VLOOKUP(B134,'FL Contract Prices'!$A$2:$C$71,3,FALSE))),VLOOKUP(B134,'FL Contract Prices'!$A$2:$C$71,3,FALSE),ROUND(D134*0.7,-1))</f>
        <v>3764.8880000000004</v>
      </c>
      <c r="J134" s="106" t="str">
        <f>IF(NOT(ISNA(VLOOKUP(B134,'FL Part Num Mapping'!$A$2:$B$71,1,FALSE))),VLOOKUP(B134,'FL Part Num Mapping'!$A$2:$B$71,2,FALSE),"NFL "&amp; B134)</f>
        <v>SW-DataEx-1</v>
      </c>
      <c r="K134" s="102">
        <v>1E-4</v>
      </c>
      <c r="L134" s="146" t="str">
        <f t="shared" si="54"/>
        <v>NLA LS4G-Data-1Way</v>
      </c>
      <c r="M134" s="146"/>
      <c r="N134" s="146"/>
      <c r="O134" s="155"/>
      <c r="P134" s="150">
        <v>2000</v>
      </c>
      <c r="Q134" s="83"/>
      <c r="R134" s="83"/>
      <c r="S134" s="83"/>
      <c r="T134" s="83"/>
      <c r="U134" s="83"/>
      <c r="V134" s="83"/>
      <c r="W134" s="83"/>
      <c r="X134" s="95" t="s">
        <v>659</v>
      </c>
    </row>
    <row r="135" spans="1:24" ht="15" customHeight="1" x14ac:dyDescent="0.25">
      <c r="A135" s="94" t="s">
        <v>660</v>
      </c>
      <c r="B135" s="95" t="s">
        <v>661</v>
      </c>
      <c r="C135" s="94" t="s">
        <v>662</v>
      </c>
      <c r="D135" s="84">
        <f t="shared" si="62"/>
        <v>2500</v>
      </c>
      <c r="E135" s="128">
        <f t="shared" si="60"/>
        <v>750</v>
      </c>
      <c r="F135" s="86" t="s">
        <v>178</v>
      </c>
      <c r="G135" s="102">
        <f>_xlfn.IFNA(VLOOKUP(B135,'NY Sole Source'!A:B,2,FALSE), D135*0.7)</f>
        <v>1400.0000000000002</v>
      </c>
      <c r="H135" s="102" t="str">
        <f>_xlfn.IFNA(VLOOKUP(B135,'NY Sole Source'!A:B,1,FALSE),"NNY-"&amp;B135)</f>
        <v>LS4G-Data-1WayExist</v>
      </c>
      <c r="I135" s="106">
        <f>IF(NOT(ISNA(VLOOKUP(B135,'FL Contract Prices'!$A$2:$C$71,3,FALSE))),VLOOKUP(B135,'FL Contract Prices'!$A$2:$C$71,3,FALSE),ROUND(D135*0.7,-1))</f>
        <v>1750</v>
      </c>
      <c r="J135" s="106" t="str">
        <f>IF(NOT(ISNA(VLOOKUP(B135,'FL Part Num Mapping'!$A$2:$B$71,1,FALSE))),VLOOKUP(B135,'FL Part Num Mapping'!$A$2:$B$71,2,FALSE),"NFL "&amp; B135)</f>
        <v>NFL LS4G-Data-1WayExist</v>
      </c>
      <c r="K135" s="102">
        <v>1E-4</v>
      </c>
      <c r="L135" s="146" t="str">
        <f t="shared" si="54"/>
        <v>NLA LS4G-Data-1WayExist</v>
      </c>
      <c r="M135" s="146"/>
      <c r="N135" s="146"/>
      <c r="O135" s="155"/>
      <c r="P135" s="150">
        <v>750</v>
      </c>
      <c r="Q135" s="83"/>
      <c r="R135" s="83"/>
      <c r="S135" s="83"/>
      <c r="T135" s="83"/>
      <c r="U135" s="83"/>
      <c r="V135" s="83"/>
      <c r="W135" s="83"/>
      <c r="X135" s="95" t="s">
        <v>663</v>
      </c>
    </row>
    <row r="136" spans="1:24" ht="15" customHeight="1" x14ac:dyDescent="0.25">
      <c r="A136" s="94" t="s">
        <v>664</v>
      </c>
      <c r="B136" s="95" t="s">
        <v>665</v>
      </c>
      <c r="C136" s="94" t="s">
        <v>666</v>
      </c>
      <c r="D136" s="84">
        <f t="shared" si="62"/>
        <v>10000</v>
      </c>
      <c r="E136" s="128">
        <f t="shared" si="60"/>
        <v>3000</v>
      </c>
      <c r="F136" s="86" t="s">
        <v>178</v>
      </c>
      <c r="G136" s="102">
        <f>_xlfn.IFNA(VLOOKUP(B136,'NY Sole Source'!A:B,2,FALSE), D136*0.7)</f>
        <v>5600.0000000000009</v>
      </c>
      <c r="H136" s="102" t="str">
        <f>_xlfn.IFNA(VLOOKUP(B136,'NY Sole Source'!A:B,1,FALSE),"NNY-"&amp;B136)</f>
        <v>LS4G-Data-2Way</v>
      </c>
      <c r="I136" s="106">
        <f>IF(NOT(ISNA(VLOOKUP(B136,'FL Contract Prices'!$A$2:$C$71,3,FALSE))),VLOOKUP(B136,'FL Contract Prices'!$A$2:$C$71,3,FALSE),ROUND(D136*0.7,-1))</f>
        <v>4707.2880000000005</v>
      </c>
      <c r="J136" s="106" t="str">
        <f>IF(NOT(ISNA(VLOOKUP(B136,'FL Part Num Mapping'!$A$2:$B$71,1,FALSE))),VLOOKUP(B136,'FL Part Num Mapping'!$A$2:$B$71,2,FALSE),"NFL "&amp; B136)</f>
        <v>SW-DataEx-2</v>
      </c>
      <c r="K136" s="102">
        <v>1E-4</v>
      </c>
      <c r="L136" s="146" t="str">
        <f t="shared" si="54"/>
        <v>NLA LS4G-Data-2Way</v>
      </c>
      <c r="M136" s="146"/>
      <c r="N136" s="146"/>
      <c r="O136" s="155"/>
      <c r="P136" s="150">
        <v>3000</v>
      </c>
      <c r="Q136" s="83"/>
      <c r="R136" s="83"/>
      <c r="S136" s="83"/>
      <c r="T136" s="83"/>
      <c r="U136" s="83"/>
      <c r="V136" s="83"/>
      <c r="W136" s="83"/>
      <c r="X136" s="95" t="s">
        <v>663</v>
      </c>
    </row>
    <row r="137" spans="1:24" ht="30" customHeight="1" x14ac:dyDescent="0.25">
      <c r="A137" s="82" t="s">
        <v>113</v>
      </c>
      <c r="B137" s="82" t="s">
        <v>667</v>
      </c>
      <c r="C137" s="82" t="s">
        <v>647</v>
      </c>
      <c r="D137" s="84">
        <f t="shared" si="62"/>
        <v>340</v>
      </c>
      <c r="E137" s="128">
        <f t="shared" si="60"/>
        <v>100</v>
      </c>
      <c r="F137" s="86" t="s">
        <v>178</v>
      </c>
      <c r="G137" s="102">
        <f>_xlfn.IFNA(VLOOKUP(B137,'NY Sole Source'!A:B,2,FALSE), D137*0.7)</f>
        <v>190.4</v>
      </c>
      <c r="H137" s="102" t="str">
        <f>_xlfn.IFNA(VLOOKUP(B137,'NY Sole Source'!A:B,1,FALSE),"NNY-"&amp;B137)</f>
        <v>LS4G-IDCard</v>
      </c>
      <c r="I137" s="106">
        <f>IF(NOT(ISNA(VLOOKUP(B137,'FL Contract Prices'!$A$2:$C$71,3,FALSE))),VLOOKUP(B137,'FL Contract Prices'!$A$2:$C$71,3,FALSE),ROUND(D137*0.7,-1))</f>
        <v>240</v>
      </c>
      <c r="J137" s="106" t="str">
        <f>IF(NOT(ISNA(VLOOKUP(B137,'FL Part Num Mapping'!$A$2:$B$71,1,FALSE))),VLOOKUP(B137,'FL Part Num Mapping'!$A$2:$B$71,2,FALSE),"NFL "&amp; B137)</f>
        <v>NFL LS4G-IDCard</v>
      </c>
      <c r="K137" s="102">
        <v>1E-4</v>
      </c>
      <c r="L137" s="146" t="s">
        <v>527</v>
      </c>
      <c r="M137" s="146"/>
      <c r="N137" s="146"/>
      <c r="O137" s="155"/>
      <c r="P137" s="150">
        <v>100</v>
      </c>
      <c r="Q137" s="83"/>
      <c r="R137" s="83"/>
      <c r="S137" s="83"/>
      <c r="T137" s="83"/>
      <c r="U137" s="83"/>
      <c r="V137" s="83"/>
      <c r="W137" s="83"/>
      <c r="X137" s="83" t="s">
        <v>644</v>
      </c>
    </row>
    <row r="138" spans="1:24" ht="30" customHeight="1" x14ac:dyDescent="0.25">
      <c r="A138" s="82" t="s">
        <v>668</v>
      </c>
      <c r="B138" s="83" t="s">
        <v>669</v>
      </c>
      <c r="C138" s="82" t="s">
        <v>670</v>
      </c>
      <c r="D138" s="84">
        <f t="shared" si="62"/>
        <v>1000</v>
      </c>
      <c r="E138" s="128">
        <f t="shared" si="60"/>
        <v>300</v>
      </c>
      <c r="F138" s="86" t="s">
        <v>178</v>
      </c>
      <c r="G138" s="102">
        <f>_xlfn.IFNA(VLOOKUP(B138,'NY Sole Source'!A:B,2,FALSE), D138*0.7)</f>
        <v>560</v>
      </c>
      <c r="H138" s="102" t="str">
        <f>_xlfn.IFNA(VLOOKUP(B138,'NY Sole Source'!A:B,1,FALSE),"NNY-"&amp;B138)</f>
        <v>LS4G-SIG</v>
      </c>
      <c r="I138" s="106">
        <f>IF(NOT(ISNA(VLOOKUP(B138,'FL Contract Prices'!$A$2:$C$71,3,FALSE))),VLOOKUP(B138,'FL Contract Prices'!$A$2:$C$71,3,FALSE),ROUND(D138*0.7,-1))</f>
        <v>80.103999999999999</v>
      </c>
      <c r="J138" s="106" t="str">
        <f>IF(NOT(ISNA(VLOOKUP(B138,'FL Part Num Mapping'!$A$2:$B$71,1,FALSE))),VLOOKUP(B138,'FL Part Num Mapping'!$A$2:$B$71,2,FALSE),"NFL "&amp; B138)</f>
        <v>SW-Signature</v>
      </c>
      <c r="K138" s="102">
        <v>1E-4</v>
      </c>
      <c r="L138" s="146" t="str">
        <f t="shared" ref="L138:L146" si="63">"NLA "&amp;B138</f>
        <v>NLA LS4G-SIG</v>
      </c>
      <c r="M138" s="146"/>
      <c r="N138" s="146"/>
      <c r="O138" s="155"/>
      <c r="P138" s="150">
        <v>300</v>
      </c>
      <c r="Q138" s="83"/>
      <c r="R138" s="83"/>
      <c r="S138" s="83"/>
      <c r="T138" s="83"/>
      <c r="U138" s="83"/>
      <c r="V138" s="83"/>
      <c r="W138" s="83"/>
      <c r="X138" s="83" t="s">
        <v>671</v>
      </c>
    </row>
    <row r="139" spans="1:24" ht="30" customHeight="1" x14ac:dyDescent="0.25">
      <c r="A139" s="82" t="s">
        <v>672</v>
      </c>
      <c r="B139" s="83" t="s">
        <v>673</v>
      </c>
      <c r="C139" s="82" t="s">
        <v>674</v>
      </c>
      <c r="D139" s="84">
        <f t="shared" si="62"/>
        <v>840</v>
      </c>
      <c r="E139" s="128">
        <f t="shared" si="60"/>
        <v>250</v>
      </c>
      <c r="F139" s="86" t="s">
        <v>178</v>
      </c>
      <c r="G139" s="102">
        <f>_xlfn.IFNA(VLOOKUP(B139,'NY Sole Source'!A:B,2,FALSE), D139*0.7)</f>
        <v>470.40000000000003</v>
      </c>
      <c r="H139" s="102" t="str">
        <f>_xlfn.IFNA(VLOOKUP(B139,'NY Sole Source'!A:B,1,FALSE),"NNY-"&amp;B139)</f>
        <v>LS4G-LS2CMS</v>
      </c>
      <c r="I139" s="106">
        <f>IF(NOT(ISNA(VLOOKUP(B139,'FL Contract Prices'!$A$2:$C$71,3,FALSE))),VLOOKUP(B139,'FL Contract Prices'!$A$2:$C$71,3,FALSE),ROUND(D139*0.7,-1))</f>
        <v>590</v>
      </c>
      <c r="J139" s="106" t="str">
        <f>IF(NOT(ISNA(VLOOKUP(B139,'FL Part Num Mapping'!$A$2:$B$71,1,FALSE))),VLOOKUP(B139,'FL Part Num Mapping'!$A$2:$B$71,2,FALSE),"NFL "&amp; B139)</f>
        <v>NFL LS4G-LS2CMS</v>
      </c>
      <c r="K139" s="102">
        <v>1E-4</v>
      </c>
      <c r="L139" s="146" t="str">
        <f t="shared" si="63"/>
        <v>NLA LS4G-LS2CMS</v>
      </c>
      <c r="M139" s="146"/>
      <c r="N139" s="146"/>
      <c r="O139" s="155"/>
      <c r="P139" s="150">
        <v>250</v>
      </c>
      <c r="Q139" s="83"/>
      <c r="R139" s="83"/>
      <c r="S139" s="83"/>
      <c r="T139" s="83"/>
      <c r="U139" s="83"/>
      <c r="V139" s="83"/>
      <c r="W139" s="83"/>
      <c r="X139" s="83" t="s">
        <v>675</v>
      </c>
    </row>
    <row r="140" spans="1:24" ht="15" customHeight="1" x14ac:dyDescent="0.25">
      <c r="A140" s="82" t="s">
        <v>676</v>
      </c>
      <c r="B140" s="83" t="s">
        <v>677</v>
      </c>
      <c r="C140" s="82" t="s">
        <v>678</v>
      </c>
      <c r="D140" s="84">
        <f t="shared" si="62"/>
        <v>1000</v>
      </c>
      <c r="E140" s="128">
        <f t="shared" si="60"/>
        <v>300</v>
      </c>
      <c r="F140" s="86" t="s">
        <v>178</v>
      </c>
      <c r="G140" s="102">
        <f>_xlfn.IFNA(VLOOKUP(B140,'NY Sole Source'!A:B,2,FALSE), D140*0.7)</f>
        <v>560</v>
      </c>
      <c r="H140" s="102" t="str">
        <f>_xlfn.IFNA(VLOOKUP(B140,'NY Sole Source'!A:B,1,FALSE),"NNY-"&amp;B140)</f>
        <v>LS4G-Photo</v>
      </c>
      <c r="I140" s="106">
        <f>IF(NOT(ISNA(VLOOKUP(B140,'FL Contract Prices'!$A$2:$C$71,3,FALSE))),VLOOKUP(B140,'FL Contract Prices'!$A$2:$C$71,3,FALSE),ROUND(D140*0.7,-1))</f>
        <v>937.68799999999999</v>
      </c>
      <c r="J140" s="106" t="str">
        <f>IF(NOT(ISNA(VLOOKUP(B140,'FL Part Num Mapping'!$A$2:$B$71,1,FALSE))),VLOOKUP(B140,'FL Part Num Mapping'!$A$2:$B$71,2,FALSE),"NFL "&amp; B140)</f>
        <v>SW-Photo</v>
      </c>
      <c r="K140" s="102">
        <v>1E-4</v>
      </c>
      <c r="L140" s="146" t="str">
        <f t="shared" si="63"/>
        <v>NLA LS4G-Photo</v>
      </c>
      <c r="M140" s="146"/>
      <c r="N140" s="146"/>
      <c r="O140" s="155"/>
      <c r="P140" s="150">
        <v>300</v>
      </c>
      <c r="Q140" s="83"/>
      <c r="R140" s="83"/>
      <c r="S140" s="83"/>
      <c r="T140" s="83"/>
      <c r="U140" s="83"/>
      <c r="V140" s="83"/>
      <c r="W140" s="83"/>
      <c r="X140" s="83" t="s">
        <v>679</v>
      </c>
    </row>
    <row r="141" spans="1:24" ht="15" customHeight="1" x14ac:dyDescent="0.25">
      <c r="A141" s="82" t="s">
        <v>680</v>
      </c>
      <c r="B141" s="83" t="s">
        <v>681</v>
      </c>
      <c r="C141" s="82" t="s">
        <v>682</v>
      </c>
      <c r="D141" s="84">
        <f t="shared" si="62"/>
        <v>0</v>
      </c>
      <c r="E141" s="128">
        <f t="shared" si="60"/>
        <v>0</v>
      </c>
      <c r="F141" s="86" t="s">
        <v>178</v>
      </c>
      <c r="G141" s="102">
        <f>_xlfn.IFNA(VLOOKUP(B141,'NY Sole Source'!A:B,2,FALSE), D141*0.7)</f>
        <v>0</v>
      </c>
      <c r="H141" s="102" t="str">
        <f>_xlfn.IFNA(VLOOKUP(B141,'NY Sole Source'!A:B,1,FALSE),"NNY-"&amp;B141)</f>
        <v>NNY-LS4G-Practice</v>
      </c>
      <c r="I141" s="106">
        <f>IF(NOT(ISNA(VLOOKUP(B141,'FL Contract Prices'!$A$2:$C$71,3,FALSE))),VLOOKUP(B141,'FL Contract Prices'!$A$2:$C$71,3,FALSE),ROUND(D141*0.7,-1))</f>
        <v>0</v>
      </c>
      <c r="J141" s="106" t="str">
        <f>IF(NOT(ISNA(VLOOKUP(B141,'FL Part Num Mapping'!$A$2:$B$71,1,FALSE))),VLOOKUP(B141,'FL Part Num Mapping'!$A$2:$B$71,2,FALSE),"NFL "&amp; B141)</f>
        <v>NFL LS4G-Practice</v>
      </c>
      <c r="K141" s="102">
        <v>1E-4</v>
      </c>
      <c r="L141" s="146" t="str">
        <f t="shared" si="63"/>
        <v>NLA LS4G-Practice</v>
      </c>
      <c r="M141" s="146"/>
      <c r="N141" s="146"/>
      <c r="O141" s="155"/>
      <c r="P141" s="150">
        <v>0</v>
      </c>
      <c r="Q141" s="83"/>
      <c r="R141" s="83"/>
      <c r="S141" s="83"/>
      <c r="T141" s="83"/>
      <c r="U141" s="83"/>
      <c r="V141" s="83"/>
      <c r="W141" s="83"/>
      <c r="X141" s="83" t="s">
        <v>683</v>
      </c>
    </row>
    <row r="142" spans="1:24" ht="15" customHeight="1" x14ac:dyDescent="0.25">
      <c r="A142" s="82" t="s">
        <v>684</v>
      </c>
      <c r="B142" s="82" t="s">
        <v>685</v>
      </c>
      <c r="C142" s="82" t="s">
        <v>686</v>
      </c>
      <c r="D142" s="84">
        <f t="shared" si="62"/>
        <v>1000</v>
      </c>
      <c r="E142" s="128">
        <f t="shared" si="60"/>
        <v>300</v>
      </c>
      <c r="F142" s="86" t="s">
        <v>178</v>
      </c>
      <c r="G142" s="102">
        <f>_xlfn.IFNA(VLOOKUP(B142,'NY Sole Source'!A:B,2,FALSE), D142*0.7)</f>
        <v>560</v>
      </c>
      <c r="H142" s="102" t="str">
        <f>_xlfn.IFNA(VLOOKUP(B142,'NY Sole Source'!A:B,1,FALSE),"NNY-"&amp;B142)</f>
        <v>LS4G-Printing</v>
      </c>
      <c r="I142" s="106">
        <f>IF(NOT(ISNA(VLOOKUP(B142,'FL Contract Prices'!$A$2:$C$71,3,FALSE))),VLOOKUP(B142,'FL Contract Prices'!$A$2:$C$71,3,FALSE),ROUND(D142*0.7,-1))</f>
        <v>245.02399999999997</v>
      </c>
      <c r="J142" s="106" t="str">
        <f>IF(NOT(ISNA(VLOOKUP(B142,'FL Part Num Mapping'!$A$2:$B$71,1,FALSE))),VLOOKUP(B142,'FL Part Num Mapping'!$A$2:$B$71,2,FALSE),"NFL "&amp; B142)</f>
        <v>SW-Print</v>
      </c>
      <c r="K142" s="102">
        <v>1E-4</v>
      </c>
      <c r="L142" s="146" t="str">
        <f t="shared" si="63"/>
        <v>NLA LS4G-Printing</v>
      </c>
      <c r="M142" s="146"/>
      <c r="N142" s="146"/>
      <c r="O142" s="155"/>
      <c r="P142" s="150">
        <v>300</v>
      </c>
      <c r="Q142" s="83"/>
      <c r="R142" s="83"/>
      <c r="S142" s="83"/>
      <c r="T142" s="83"/>
      <c r="U142" s="83"/>
      <c r="V142" s="83"/>
      <c r="W142" s="83"/>
      <c r="X142" s="83" t="s">
        <v>687</v>
      </c>
    </row>
    <row r="143" spans="1:24" ht="30" customHeight="1" x14ac:dyDescent="0.25">
      <c r="A143" s="82" t="s">
        <v>688</v>
      </c>
      <c r="B143" s="83" t="s">
        <v>689</v>
      </c>
      <c r="C143" s="82" t="s">
        <v>690</v>
      </c>
      <c r="D143" s="84">
        <f t="shared" si="62"/>
        <v>0</v>
      </c>
      <c r="E143" s="128">
        <f t="shared" si="60"/>
        <v>0</v>
      </c>
      <c r="F143" s="86" t="s">
        <v>178</v>
      </c>
      <c r="G143" s="102">
        <f>_xlfn.IFNA(VLOOKUP(B143,'NY Sole Source'!A:B,2,FALSE), D143*0.7)</f>
        <v>0</v>
      </c>
      <c r="H143" s="102" t="str">
        <f>_xlfn.IFNA(VLOOKUP(B143,'NY Sole Source'!A:B,1,FALSE),"NNY-"&amp;B143)</f>
        <v>NNY-LS4G-SAM</v>
      </c>
      <c r="I143" s="106">
        <f>IF(NOT(ISNA(VLOOKUP(B143,'FL Contract Prices'!$A$2:$C$71,3,FALSE))),VLOOKUP(B143,'FL Contract Prices'!$A$2:$C$71,3,FALSE),ROUND(D143*0.7,-1))</f>
        <v>0</v>
      </c>
      <c r="J143" s="106" t="str">
        <f>IF(NOT(ISNA(VLOOKUP(B143,'FL Part Num Mapping'!$A$2:$B$71,1,FALSE))),VLOOKUP(B143,'FL Part Num Mapping'!$A$2:$B$71,2,FALSE),"NFL "&amp; B143)</f>
        <v>NFL LS4G-SAM</v>
      </c>
      <c r="K143" s="102">
        <v>1E-4</v>
      </c>
      <c r="L143" s="146" t="str">
        <f t="shared" si="63"/>
        <v>NLA LS4G-SAM</v>
      </c>
      <c r="M143" s="146"/>
      <c r="N143" s="146"/>
      <c r="O143" s="155"/>
      <c r="P143" s="150">
        <v>0</v>
      </c>
      <c r="Q143" s="83"/>
      <c r="R143" s="83"/>
      <c r="S143" s="83"/>
      <c r="T143" s="83"/>
      <c r="U143" s="83"/>
      <c r="V143" s="83"/>
      <c r="W143" s="83"/>
      <c r="X143" s="83" t="s">
        <v>691</v>
      </c>
    </row>
    <row r="144" spans="1:24" ht="45" customHeight="1" x14ac:dyDescent="0.25">
      <c r="A144" s="129" t="s">
        <v>692</v>
      </c>
      <c r="B144" s="78" t="s">
        <v>693</v>
      </c>
      <c r="C144" s="129" t="s">
        <v>692</v>
      </c>
      <c r="D144" s="84">
        <f t="shared" si="62"/>
        <v>3300</v>
      </c>
      <c r="E144" s="128">
        <f t="shared" si="60"/>
        <v>990</v>
      </c>
      <c r="F144" s="86" t="s">
        <v>178</v>
      </c>
      <c r="G144" s="102">
        <f>_xlfn.IFNA(VLOOKUP(B144,'NY Sole Source'!A:B,2,FALSE), D144*0.7)</f>
        <v>1848.0000000000002</v>
      </c>
      <c r="H144" s="102" t="str">
        <f>_xlfn.IFNA(VLOOKUP(B144,'NY Sole Source'!A:B,1,FALSE),"NNY-"&amp;B144)</f>
        <v>LS4G-Mobile</v>
      </c>
      <c r="I144" s="106">
        <f>IF(NOT(ISNA(VLOOKUP(B144,'FL Contract Prices'!$A$2:$C$71,3,FALSE))),VLOOKUP(B144,'FL Contract Prices'!$A$2:$C$71,3,FALSE),ROUND(D144*0.7,-1))</f>
        <v>619.99999999999989</v>
      </c>
      <c r="J144" s="106" t="str">
        <f>IF(NOT(ISNA(VLOOKUP(B144,'FL Part Num Mapping'!$A$2:$B$71,1,FALSE))),VLOOKUP(B144,'FL Part Num Mapping'!$A$2:$B$71,2,FALSE),"NFL "&amp; B144)</f>
        <v>SW-LS4G-MOB</v>
      </c>
      <c r="K144" s="102">
        <v>1E-4</v>
      </c>
      <c r="L144" s="146" t="str">
        <f t="shared" si="63"/>
        <v>NLA LS4G-Mobile</v>
      </c>
      <c r="M144" s="146"/>
      <c r="N144" s="146"/>
      <c r="O144" s="155"/>
      <c r="P144" s="150">
        <v>990</v>
      </c>
      <c r="Q144" s="83"/>
      <c r="R144" s="83"/>
      <c r="S144" s="83"/>
      <c r="T144" s="83"/>
      <c r="U144" s="83"/>
      <c r="V144" s="83"/>
      <c r="W144" s="83"/>
      <c r="X144" s="83"/>
    </row>
    <row r="145" spans="1:24" ht="15" customHeight="1" x14ac:dyDescent="0.25">
      <c r="A145" s="82" t="s">
        <v>694</v>
      </c>
      <c r="B145" s="83" t="s">
        <v>695</v>
      </c>
      <c r="C145" s="82" t="s">
        <v>694</v>
      </c>
      <c r="D145" s="84">
        <f t="shared" si="62"/>
        <v>4170</v>
      </c>
      <c r="E145" s="128">
        <f t="shared" si="60"/>
        <v>1250</v>
      </c>
      <c r="F145" s="86" t="s">
        <v>178</v>
      </c>
      <c r="G145" s="102"/>
      <c r="H145" s="102" t="str">
        <f>_xlfn.IFNA(VLOOKUP(B145,'NY Sole Source'!A:B,1,FALSE),"NNY-"&amp;B145)</f>
        <v>NNY-Maint-24X7-Onsite</v>
      </c>
      <c r="I145" s="106">
        <f>IF(NOT(ISNA(VLOOKUP(B145,'FL Contract Prices'!$A$2:$C$71,3,FALSE))),VLOOKUP(B145,'FL Contract Prices'!$A$2:$C$71,3,FALSE),ROUND(D145*0.7,-1))</f>
        <v>2920</v>
      </c>
      <c r="J145" s="106" t="str">
        <f>IF(NOT(ISNA(VLOOKUP(B145,'FL Part Num Mapping'!$A$2:$B$71,1,FALSE))),VLOOKUP(B145,'FL Part Num Mapping'!$A$2:$B$71,2,FALSE),"NFL "&amp; B145)</f>
        <v>NFL Maint-24X7-Onsite</v>
      </c>
      <c r="K145" s="102">
        <v>1E-4</v>
      </c>
      <c r="L145" s="146" t="str">
        <f t="shared" si="63"/>
        <v>NLA Maint-24X7-Onsite</v>
      </c>
      <c r="M145" s="146"/>
      <c r="N145" s="146"/>
      <c r="O145" s="155"/>
      <c r="P145" s="150">
        <v>1250</v>
      </c>
      <c r="Q145" s="83"/>
      <c r="R145" s="83"/>
      <c r="S145" s="83"/>
      <c r="T145" s="83"/>
      <c r="U145" s="83"/>
      <c r="V145" s="83"/>
      <c r="W145" s="83"/>
      <c r="X145" s="83"/>
    </row>
    <row r="146" spans="1:24" ht="30" customHeight="1" x14ac:dyDescent="0.25">
      <c r="A146" s="82" t="s">
        <v>696</v>
      </c>
      <c r="B146" s="83" t="s">
        <v>695</v>
      </c>
      <c r="C146" s="82" t="s">
        <v>694</v>
      </c>
      <c r="D146" s="84">
        <f t="shared" si="62"/>
        <v>6170</v>
      </c>
      <c r="E146" s="128">
        <f t="shared" si="60"/>
        <v>1850</v>
      </c>
      <c r="F146" s="86" t="s">
        <v>178</v>
      </c>
      <c r="G146" s="102"/>
      <c r="H146" s="102" t="str">
        <f>_xlfn.IFNA(VLOOKUP(B146,'NY Sole Source'!A:B,1,FALSE),"NNY-"&amp;B146)</f>
        <v>NNY-Maint-24X7-Onsite</v>
      </c>
      <c r="I146" s="106">
        <f>IF(NOT(ISNA(VLOOKUP(B146,'FL Contract Prices'!$A$2:$C$71,3,FALSE))),VLOOKUP(B146,'FL Contract Prices'!$A$2:$C$71,3,FALSE),ROUND(D146*0.7,-1))</f>
        <v>4320</v>
      </c>
      <c r="J146" s="106" t="str">
        <f>IF(NOT(ISNA(VLOOKUP(B146,'FL Part Num Mapping'!$A$2:$B$71,1,FALSE))),VLOOKUP(B146,'FL Part Num Mapping'!$A$2:$B$71,2,FALSE),"NFL "&amp; B146)</f>
        <v>NFL Maint-24X7-Onsite</v>
      </c>
      <c r="K146" s="102">
        <v>1E-4</v>
      </c>
      <c r="L146" s="146" t="str">
        <f t="shared" si="63"/>
        <v>NLA Maint-24X7-Onsite</v>
      </c>
      <c r="M146" s="146"/>
      <c r="N146" s="146"/>
      <c r="O146" s="155"/>
      <c r="P146" s="150">
        <v>1850</v>
      </c>
      <c r="Q146" s="83"/>
      <c r="R146" s="83"/>
      <c r="S146" s="83"/>
      <c r="T146" s="83"/>
      <c r="U146" s="83"/>
      <c r="V146" s="83"/>
      <c r="W146" s="83"/>
      <c r="X146" s="83"/>
    </row>
    <row r="147" spans="1:24" ht="30" x14ac:dyDescent="0.25">
      <c r="A147" s="82" t="s">
        <v>697</v>
      </c>
      <c r="B147" s="83" t="s">
        <v>698</v>
      </c>
      <c r="C147" s="82" t="s">
        <v>697</v>
      </c>
      <c r="D147" s="84">
        <f t="shared" si="62"/>
        <v>3170</v>
      </c>
      <c r="E147" s="128">
        <f t="shared" si="60"/>
        <v>950</v>
      </c>
      <c r="F147" s="86" t="s">
        <v>178</v>
      </c>
      <c r="G147" s="102"/>
      <c r="H147" s="102" t="str">
        <f>_xlfn.IFNA(VLOOKUP(B147,'NY Sole Source'!A:B,1,FALSE),"NNY-"&amp;B147)</f>
        <v>NNY-Maint-24X7-Remote</v>
      </c>
      <c r="I147" s="106">
        <f>IF(NOT(ISNA(VLOOKUP(B147,'FL Contract Prices'!$A$2:$C$71,3,FALSE))),VLOOKUP(B147,'FL Contract Prices'!$A$2:$C$71,3,FALSE),ROUND(D147*0.7,-1))</f>
        <v>2220</v>
      </c>
      <c r="J147" s="106" t="str">
        <f>IF(NOT(ISNA(VLOOKUP(B147,'FL Part Num Mapping'!$A$2:$B$71,1,FALSE))),VLOOKUP(B147,'FL Part Num Mapping'!$A$2:$B$71,2,FALSE),"NFL "&amp; B147)</f>
        <v>NFL Maint-24X7-Remote</v>
      </c>
      <c r="K147" s="102">
        <v>1E-4</v>
      </c>
      <c r="L147" s="146" t="str">
        <f>"NLA "&amp;B147</f>
        <v>NLA Maint-24X7-Remote</v>
      </c>
      <c r="M147" s="146"/>
      <c r="N147" s="146"/>
      <c r="O147" s="155"/>
      <c r="P147" s="150">
        <v>950</v>
      </c>
      <c r="Q147" s="83"/>
      <c r="R147" s="83"/>
      <c r="S147" s="83"/>
      <c r="T147" s="83"/>
      <c r="U147" s="83"/>
      <c r="V147" s="83"/>
      <c r="W147" s="83"/>
      <c r="X147" s="83"/>
    </row>
    <row r="148" spans="1:24" ht="30" customHeight="1" x14ac:dyDescent="0.25">
      <c r="A148" s="82" t="s">
        <v>699</v>
      </c>
      <c r="B148" s="83" t="s">
        <v>700</v>
      </c>
      <c r="C148" s="82" t="s">
        <v>701</v>
      </c>
      <c r="D148" s="84">
        <f t="shared" si="62"/>
        <v>4840</v>
      </c>
      <c r="E148" s="128">
        <f t="shared" ref="E148:E180" si="64">P148+Q148+T148+V148</f>
        <v>1450</v>
      </c>
      <c r="F148" s="86" t="s">
        <v>178</v>
      </c>
      <c r="G148" s="102"/>
      <c r="H148" s="102" t="str">
        <f>_xlfn.IFNA(VLOOKUP(B148,'NY Sole Source'!A:B,1,FALSE),"NNY-"&amp;B148)</f>
        <v>NNY-Maint-24X7-Remote-7</v>
      </c>
      <c r="I148" s="106">
        <f>IF(NOT(ISNA(VLOOKUP(B148,'FL Contract Prices'!$A$2:$C$71,3,FALSE))),VLOOKUP(B148,'FL Contract Prices'!$A$2:$C$71,3,FALSE),ROUND(D148*0.7,-1))</f>
        <v>3390</v>
      </c>
      <c r="J148" s="106" t="str">
        <f>IF(NOT(ISNA(VLOOKUP(B148,'FL Part Num Mapping'!$A$2:$B$71,1,FALSE))),VLOOKUP(B148,'FL Part Num Mapping'!$A$2:$B$71,2,FALSE),"NFL "&amp; B148)</f>
        <v>NFL Maint-24X7-Remote-7</v>
      </c>
      <c r="K148" s="102">
        <v>1E-4</v>
      </c>
      <c r="L148" s="146" t="str">
        <f>"NLA "&amp;B148</f>
        <v>NLA Maint-24X7-Remote-7</v>
      </c>
      <c r="M148" s="146"/>
      <c r="N148" s="146"/>
      <c r="O148" s="155"/>
      <c r="P148" s="150">
        <v>1450</v>
      </c>
      <c r="Q148" s="83"/>
      <c r="R148" s="83"/>
      <c r="S148" s="83"/>
      <c r="T148" s="83"/>
      <c r="U148" s="83"/>
      <c r="V148" s="83"/>
      <c r="W148" s="83"/>
      <c r="X148" s="83"/>
    </row>
    <row r="149" spans="1:24" ht="30" x14ac:dyDescent="0.25">
      <c r="A149" s="82" t="s">
        <v>702</v>
      </c>
      <c r="B149" s="83" t="s">
        <v>703</v>
      </c>
      <c r="C149" s="82" t="s">
        <v>702</v>
      </c>
      <c r="D149" s="84">
        <f t="shared" si="62"/>
        <v>2840</v>
      </c>
      <c r="E149" s="128">
        <f t="shared" si="64"/>
        <v>850</v>
      </c>
      <c r="F149" s="86" t="s">
        <v>178</v>
      </c>
      <c r="G149" s="102"/>
      <c r="H149" s="102" t="str">
        <f>_xlfn.IFNA(VLOOKUP(B149,'NY Sole Source'!A:B,1,FALSE),"NNY-"&amp;B149)</f>
        <v>NNY-Maint-9X5-Onsite</v>
      </c>
      <c r="I149" s="106">
        <f>IF(NOT(ISNA(VLOOKUP(B149,'FL Contract Prices'!$A$2:$C$71,3,FALSE))),VLOOKUP(B149,'FL Contract Prices'!$A$2:$C$71,3,FALSE),ROUND(D149*0.7,-1))</f>
        <v>1990</v>
      </c>
      <c r="J149" s="106" t="str">
        <f>IF(NOT(ISNA(VLOOKUP(B149,'FL Part Num Mapping'!$A$2:$B$71,1,FALSE))),VLOOKUP(B149,'FL Part Num Mapping'!$A$2:$B$71,2,FALSE),"NFL "&amp; B149)</f>
        <v>NFL Maint-9X5-Onsite</v>
      </c>
      <c r="K149" s="102">
        <v>1E-4</v>
      </c>
      <c r="L149" s="146" t="str">
        <f>"NLA "&amp;B149</f>
        <v>NLA Maint-9X5-Onsite</v>
      </c>
      <c r="M149" s="146"/>
      <c r="N149" s="146"/>
      <c r="O149" s="155"/>
      <c r="P149" s="150">
        <v>850</v>
      </c>
      <c r="Q149" s="83"/>
      <c r="R149" s="83"/>
      <c r="S149" s="83"/>
      <c r="T149" s="83"/>
      <c r="U149" s="83"/>
      <c r="V149" s="83"/>
      <c r="W149" s="83"/>
      <c r="X149" s="83"/>
    </row>
    <row r="150" spans="1:24" ht="30" customHeight="1" x14ac:dyDescent="0.25">
      <c r="A150" s="82" t="s">
        <v>704</v>
      </c>
      <c r="B150" s="83" t="s">
        <v>705</v>
      </c>
      <c r="C150" s="82" t="s">
        <v>704</v>
      </c>
      <c r="D150" s="84">
        <f t="shared" si="62"/>
        <v>2840</v>
      </c>
      <c r="E150" s="128">
        <f t="shared" si="64"/>
        <v>850</v>
      </c>
      <c r="F150" s="86" t="s">
        <v>178</v>
      </c>
      <c r="G150" s="102"/>
      <c r="H150" s="102" t="str">
        <f>_xlfn.IFNA(VLOOKUP(B150,'NY Sole Source'!A:B,1,FALSE),"NNY-"&amp;B150)</f>
        <v>NNY-Maint-9X5-7Year</v>
      </c>
      <c r="I150" s="106">
        <f>IF(NOT(ISNA(VLOOKUP(B150,'FL Contract Prices'!$A$2:$C$71,3,FALSE))),VLOOKUP(B150,'FL Contract Prices'!$A$2:$C$71,3,FALSE),ROUND(D150*0.7,-1))</f>
        <v>1990</v>
      </c>
      <c r="J150" s="106" t="str">
        <f>IF(NOT(ISNA(VLOOKUP(B150,'FL Part Num Mapping'!$A$2:$B$71,1,FALSE))),VLOOKUP(B150,'FL Part Num Mapping'!$A$2:$B$71,2,FALSE),"NFL "&amp; B150)</f>
        <v>NFL Maint-9X5-7Year</v>
      </c>
      <c r="K150" s="102">
        <v>1E-4</v>
      </c>
      <c r="L150" s="146" t="str">
        <f>"NLA "&amp;B150</f>
        <v>NLA Maint-9X5-7Year</v>
      </c>
      <c r="M150" s="146"/>
      <c r="N150" s="146"/>
      <c r="O150" s="155"/>
      <c r="P150" s="150">
        <v>850</v>
      </c>
      <c r="Q150" s="83"/>
      <c r="R150" s="83"/>
      <c r="S150" s="83"/>
      <c r="T150" s="83"/>
      <c r="U150" s="83"/>
      <c r="V150" s="83"/>
      <c r="W150" s="83"/>
      <c r="X150" s="83"/>
    </row>
    <row r="151" spans="1:24" ht="30" customHeight="1" x14ac:dyDescent="0.25">
      <c r="A151" s="82" t="s">
        <v>127</v>
      </c>
      <c r="B151" s="83" t="s">
        <v>706</v>
      </c>
      <c r="C151" s="82" t="s">
        <v>127</v>
      </c>
      <c r="D151" s="84">
        <f t="shared" si="62"/>
        <v>1500</v>
      </c>
      <c r="E151" s="128">
        <f t="shared" si="64"/>
        <v>450</v>
      </c>
      <c r="F151" s="86" t="s">
        <v>178</v>
      </c>
      <c r="G151" s="102"/>
      <c r="H151" s="102" t="str">
        <f>_xlfn.IFNA(VLOOKUP(B151,'NY Sole Source'!A:B,1,FALSE),"NNY-"&amp;B151)</f>
        <v>NNY-Maint-9X5-Remote</v>
      </c>
      <c r="I151" s="106">
        <f>IF(NOT(ISNA(VLOOKUP(B151,'FL Contract Prices'!$A$2:$C$71,3,FALSE))),VLOOKUP(B151,'FL Contract Prices'!$A$2:$C$71,3,FALSE),ROUND(D151*0.7,-1))</f>
        <v>1050</v>
      </c>
      <c r="J151" s="106" t="str">
        <f>IF(NOT(ISNA(VLOOKUP(B151,'FL Part Num Mapping'!$A$2:$B$71,1,FALSE))),VLOOKUP(B151,'FL Part Num Mapping'!$A$2:$B$71,2,FALSE),"NFL "&amp; B151)</f>
        <v>NFL Maint-9X5-Remote</v>
      </c>
      <c r="K151" s="102">
        <v>560</v>
      </c>
      <c r="L151" s="146" t="s">
        <v>707</v>
      </c>
      <c r="M151" s="146"/>
      <c r="N151" s="146"/>
      <c r="O151" s="155"/>
      <c r="P151" s="150">
        <v>450</v>
      </c>
      <c r="Q151" s="83"/>
      <c r="R151" s="83"/>
      <c r="S151" s="83"/>
      <c r="T151" s="83"/>
      <c r="U151" s="83"/>
      <c r="V151" s="83"/>
      <c r="W151" s="83"/>
      <c r="X151" s="83"/>
    </row>
    <row r="152" spans="1:24" ht="30" customHeight="1" x14ac:dyDescent="0.25">
      <c r="A152" s="82" t="s">
        <v>125</v>
      </c>
      <c r="B152" s="83" t="s">
        <v>708</v>
      </c>
      <c r="C152" s="82" t="s">
        <v>125</v>
      </c>
      <c r="D152" s="84">
        <f t="shared" si="62"/>
        <v>650</v>
      </c>
      <c r="E152" s="128">
        <f t="shared" si="64"/>
        <v>195</v>
      </c>
      <c r="F152" s="86" t="s">
        <v>178</v>
      </c>
      <c r="G152" s="102"/>
      <c r="H152" s="102" t="str">
        <f>_xlfn.IFNA(VLOOKUP(B152,'NY Sole Source'!A:B,1,FALSE),"NNY-"&amp;B152)</f>
        <v>NNY-Maint-9X5-SW-App</v>
      </c>
      <c r="I152" s="106">
        <f>IF(NOT(ISNA(VLOOKUP(B152,'FL Contract Prices'!$A$2:$C$71,3,FALSE))),VLOOKUP(B152,'FL Contract Prices'!$A$2:$C$71,3,FALSE),ROUND(D152*0.7,-1))</f>
        <v>460</v>
      </c>
      <c r="J152" s="106" t="str">
        <f>IF(NOT(ISNA(VLOOKUP(B152,'FL Part Num Mapping'!$A$2:$B$71,1,FALSE))),VLOOKUP(B152,'FL Part Num Mapping'!$A$2:$B$71,2,FALSE),"NFL "&amp; B152)</f>
        <v>NFL Maint-9X5-SW-App</v>
      </c>
      <c r="K152" s="102">
        <v>1E-4</v>
      </c>
      <c r="L152" s="146" t="str">
        <f t="shared" ref="L152:L165" si="65">"NLA "&amp;B152</f>
        <v>NLA Maint-9X5-SW-App</v>
      </c>
      <c r="M152" s="146"/>
      <c r="N152" s="146"/>
      <c r="O152" s="155"/>
      <c r="P152" s="150">
        <v>195</v>
      </c>
      <c r="Q152" s="83"/>
      <c r="R152" s="83"/>
      <c r="S152" s="83"/>
      <c r="T152" s="83"/>
      <c r="U152" s="83"/>
      <c r="V152" s="83"/>
      <c r="W152" s="83"/>
      <c r="X152" s="83"/>
    </row>
    <row r="153" spans="1:24" ht="30" customHeight="1" x14ac:dyDescent="0.25">
      <c r="A153" s="82" t="s">
        <v>709</v>
      </c>
      <c r="B153" s="83" t="s">
        <v>710</v>
      </c>
      <c r="C153" s="82" t="s">
        <v>709</v>
      </c>
      <c r="D153" s="84">
        <f t="shared" si="62"/>
        <v>1320</v>
      </c>
      <c r="E153" s="128">
        <f t="shared" si="64"/>
        <v>395</v>
      </c>
      <c r="F153" s="86" t="s">
        <v>178</v>
      </c>
      <c r="G153" s="102"/>
      <c r="H153" s="102" t="str">
        <f>_xlfn.IFNA(VLOOKUP(B153,'NY Sole Source'!A:B,1,FALSE),"NNY-"&amp;B153)</f>
        <v>NNY-Maint-9X5-SW-Crim</v>
      </c>
      <c r="I153" s="106">
        <f>IF(NOT(ISNA(VLOOKUP(B153,'FL Contract Prices'!$A$2:$C$71,3,FALSE))),VLOOKUP(B153,'FL Contract Prices'!$A$2:$C$71,3,FALSE),ROUND(D153*0.7,-1))</f>
        <v>920</v>
      </c>
      <c r="J153" s="106" t="str">
        <f>IF(NOT(ISNA(VLOOKUP(B153,'FL Part Num Mapping'!$A$2:$B$71,1,FALSE))),VLOOKUP(B153,'FL Part Num Mapping'!$A$2:$B$71,2,FALSE),"NFL "&amp; B153)</f>
        <v>NFL Maint-9X5-SW-Crim</v>
      </c>
      <c r="K153" s="102">
        <v>1E-4</v>
      </c>
      <c r="L153" s="146" t="str">
        <f t="shared" si="65"/>
        <v>NLA Maint-9X5-SW-Crim</v>
      </c>
      <c r="M153" s="146"/>
      <c r="N153" s="146"/>
      <c r="O153" s="155"/>
      <c r="P153" s="150">
        <v>395</v>
      </c>
      <c r="Q153" s="83"/>
      <c r="R153" s="83"/>
      <c r="S153" s="83"/>
      <c r="T153" s="83"/>
      <c r="U153" s="83"/>
      <c r="V153" s="83"/>
      <c r="W153" s="83"/>
      <c r="X153" s="83"/>
    </row>
    <row r="154" spans="1:24" ht="15" customHeight="1" x14ac:dyDescent="0.25">
      <c r="A154" s="82" t="s">
        <v>122</v>
      </c>
      <c r="B154" s="83" t="s">
        <v>711</v>
      </c>
      <c r="C154" s="82" t="s">
        <v>122</v>
      </c>
      <c r="D154" s="84">
        <f t="shared" si="62"/>
        <v>0</v>
      </c>
      <c r="E154" s="128">
        <f t="shared" si="64"/>
        <v>0</v>
      </c>
      <c r="F154" s="86" t="s">
        <v>178</v>
      </c>
      <c r="G154" s="102"/>
      <c r="H154" s="102" t="str">
        <f>_xlfn.IFNA(VLOOKUP(B154,'NY Sole Source'!A:B,1,FALSE),"NNY-"&amp;B154)</f>
        <v>NNY-Maint-Warr</v>
      </c>
      <c r="I154" s="106">
        <f>IF(NOT(ISNA(VLOOKUP(B154,'FL Contract Prices'!$A$2:$C$71,3,FALSE))),VLOOKUP(B154,'FL Contract Prices'!$A$2:$C$71,3,FALSE),ROUND(D154*0.7,-1))</f>
        <v>0</v>
      </c>
      <c r="J154" s="106" t="str">
        <f>IF(NOT(ISNA(VLOOKUP(B154,'FL Part Num Mapping'!$A$2:$B$71,1,FALSE))),VLOOKUP(B154,'FL Part Num Mapping'!$A$2:$B$71,2,FALSE),"NFL "&amp; B154)</f>
        <v>NFL Maint-Warr</v>
      </c>
      <c r="K154" s="102">
        <v>1E-4</v>
      </c>
      <c r="L154" s="146" t="str">
        <f t="shared" si="65"/>
        <v>NLA Maint-Warr</v>
      </c>
      <c r="M154" s="146"/>
      <c r="N154" s="146"/>
      <c r="O154" s="155"/>
      <c r="P154" s="150">
        <v>0</v>
      </c>
      <c r="Q154" s="83"/>
      <c r="R154" s="83"/>
      <c r="S154" s="83"/>
      <c r="T154" s="83"/>
      <c r="U154" s="83"/>
      <c r="V154" s="83"/>
      <c r="W154" s="83"/>
      <c r="X154" s="83" t="s">
        <v>712</v>
      </c>
    </row>
    <row r="155" spans="1:24" ht="15" customHeight="1" x14ac:dyDescent="0.25">
      <c r="A155" s="82" t="s">
        <v>122</v>
      </c>
      <c r="B155" s="83" t="s">
        <v>713</v>
      </c>
      <c r="C155" s="82" t="s">
        <v>714</v>
      </c>
      <c r="D155" s="84">
        <f t="shared" si="62"/>
        <v>0</v>
      </c>
      <c r="E155" s="128">
        <f t="shared" si="64"/>
        <v>0</v>
      </c>
      <c r="F155" s="86" t="s">
        <v>178</v>
      </c>
      <c r="G155" s="102"/>
      <c r="H155" s="102" t="str">
        <f>_xlfn.IFNA(VLOOKUP(B155,'NY Sole Source'!A:B,1,FALSE),"NNY-"&amp;B155)</f>
        <v>NNY-Maint-Warr-3Yr</v>
      </c>
      <c r="I155" s="106">
        <f>IF(NOT(ISNA(VLOOKUP(B155,'FL Contract Prices'!$A$2:$C$71,3,FALSE))),VLOOKUP(B155,'FL Contract Prices'!$A$2:$C$71,3,FALSE),ROUND(D155*0.7,-1))</f>
        <v>0</v>
      </c>
      <c r="J155" s="106" t="str">
        <f>IF(NOT(ISNA(VLOOKUP(B155,'FL Part Num Mapping'!$A$2:$B$71,1,FALSE))),VLOOKUP(B155,'FL Part Num Mapping'!$A$2:$B$71,2,FALSE),"NFL "&amp; B155)</f>
        <v>NFL Maint-Warr-3Yr</v>
      </c>
      <c r="K155" s="102">
        <v>1E-4</v>
      </c>
      <c r="L155" s="146" t="str">
        <f t="shared" si="65"/>
        <v>NLA Maint-Warr-3Yr</v>
      </c>
      <c r="M155" s="146"/>
      <c r="N155" s="146"/>
      <c r="O155" s="155"/>
      <c r="P155" s="150">
        <v>0</v>
      </c>
      <c r="Q155" s="83"/>
      <c r="R155" s="83"/>
      <c r="S155" s="83"/>
      <c r="T155" s="83"/>
      <c r="U155" s="83"/>
      <c r="V155" s="83"/>
      <c r="W155" s="83"/>
      <c r="X155" s="83" t="s">
        <v>712</v>
      </c>
    </row>
    <row r="156" spans="1:24" ht="30" x14ac:dyDescent="0.25">
      <c r="A156" s="82" t="s">
        <v>715</v>
      </c>
      <c r="B156" s="83" t="s">
        <v>716</v>
      </c>
      <c r="C156" s="82" t="s">
        <v>717</v>
      </c>
      <c r="D156" s="84">
        <f t="shared" si="62"/>
        <v>1970</v>
      </c>
      <c r="E156" s="128">
        <f t="shared" si="64"/>
        <v>590</v>
      </c>
      <c r="F156" s="86" t="s">
        <v>178</v>
      </c>
      <c r="G156" s="102">
        <f>_xlfn.IFNA(VLOOKUP(B156,'NY Sole Source'!A:B,2,FALSE), D156*0.7)</f>
        <v>1103.2</v>
      </c>
      <c r="H156" s="102" t="str">
        <f>_xlfn.IFNA(VLOOKUP(B156,'NY Sole Source'!A:B,1,FALSE),"NNY-"&amp;B156)</f>
        <v>Svcs-OnsiteAdd</v>
      </c>
      <c r="I156" s="106">
        <f>IF(NOT(ISNA(VLOOKUP(B156,'FL Contract Prices'!$A$2:$C$71,3,FALSE))),VLOOKUP(B156,'FL Contract Prices'!$A$2:$C$71,3,FALSE),ROUND(D156*0.7,-1))</f>
        <v>0</v>
      </c>
      <c r="J156" s="106" t="str">
        <f>IF(NOT(ISNA(VLOOKUP(B156,'FL Part Num Mapping'!$A$2:$B$71,1,FALSE))),VLOOKUP(B156,'FL Part Num Mapping'!$A$2:$B$71,2,FALSE),"NFL "&amp; B156)</f>
        <v>SCVS-OnSite-2</v>
      </c>
      <c r="K156" s="102">
        <v>1E-4</v>
      </c>
      <c r="L156" s="146" t="str">
        <f t="shared" si="65"/>
        <v>NLA Svcs-OnsiteAdd</v>
      </c>
      <c r="M156" s="146"/>
      <c r="N156" s="146"/>
      <c r="O156" s="155"/>
      <c r="P156" s="150">
        <v>590</v>
      </c>
      <c r="Q156" s="83"/>
      <c r="R156" s="83"/>
      <c r="S156" s="83"/>
      <c r="T156" s="83"/>
      <c r="U156" s="83"/>
      <c r="V156" s="83"/>
      <c r="W156" s="83"/>
      <c r="X156" s="83" t="s">
        <v>718</v>
      </c>
    </row>
    <row r="157" spans="1:24" ht="45" customHeight="1" x14ac:dyDescent="0.25">
      <c r="A157" s="82" t="s">
        <v>719</v>
      </c>
      <c r="B157" s="83" t="s">
        <v>720</v>
      </c>
      <c r="C157" s="82" t="s">
        <v>721</v>
      </c>
      <c r="D157" s="84">
        <f t="shared" si="62"/>
        <v>0</v>
      </c>
      <c r="E157" s="128">
        <f t="shared" si="64"/>
        <v>0</v>
      </c>
      <c r="F157" s="86" t="s">
        <v>178</v>
      </c>
      <c r="G157" s="102">
        <f>_xlfn.IFNA(VLOOKUP(B157,'NY Sole Source'!A:B,2,FALSE), D157*0.7)</f>
        <v>0</v>
      </c>
      <c r="H157" s="102" t="str">
        <f>_xlfn.IFNA(VLOOKUP(B157,'NY Sole Source'!A:B,1,FALSE),"NNY-"&amp;B157)</f>
        <v>NNY-Svcs-OnsiteUS-Free</v>
      </c>
      <c r="I157" s="106">
        <f>IF(NOT(ISNA(VLOOKUP(B157,'FL Contract Prices'!$A$2:$C$71,3,FALSE))),VLOOKUP(B157,'FL Contract Prices'!$A$2:$C$71,3,FALSE),ROUND(D157*0.7,-1))</f>
        <v>0</v>
      </c>
      <c r="J157" s="106" t="str">
        <f>IF(NOT(ISNA(VLOOKUP(B157,'FL Part Num Mapping'!$A$2:$B$71,1,FALSE))),VLOOKUP(B157,'FL Part Num Mapping'!$A$2:$B$71,2,FALSE),"NFL "&amp; B157)</f>
        <v>NFL Svcs-OnsiteUS-Free</v>
      </c>
      <c r="K157" s="102">
        <v>1E-4</v>
      </c>
      <c r="L157" s="146" t="str">
        <f t="shared" si="65"/>
        <v>NLA Svcs-OnsiteUS-Free</v>
      </c>
      <c r="M157" s="146"/>
      <c r="N157" s="146"/>
      <c r="O157" s="155"/>
      <c r="P157" s="150">
        <v>0</v>
      </c>
      <c r="Q157" s="83"/>
      <c r="R157" s="83"/>
      <c r="S157" s="83"/>
      <c r="T157" s="83"/>
      <c r="U157" s="83"/>
      <c r="V157" s="83"/>
      <c r="W157" s="83"/>
      <c r="X157" s="83"/>
    </row>
    <row r="158" spans="1:24" ht="30" customHeight="1" x14ac:dyDescent="0.25">
      <c r="A158" s="82" t="s">
        <v>722</v>
      </c>
      <c r="B158" s="83" t="s">
        <v>723</v>
      </c>
      <c r="C158" s="82" t="s">
        <v>724</v>
      </c>
      <c r="D158" s="84">
        <f t="shared" si="62"/>
        <v>1970</v>
      </c>
      <c r="E158" s="128">
        <f t="shared" si="64"/>
        <v>590</v>
      </c>
      <c r="F158" s="86" t="s">
        <v>178</v>
      </c>
      <c r="G158" s="102">
        <f>_xlfn.IFNA(VLOOKUP(B158,'NY Sole Source'!A:B,2,FALSE), D158*0.7)</f>
        <v>1379</v>
      </c>
      <c r="H158" s="102" t="str">
        <f>_xlfn.IFNA(VLOOKUP(B158,'NY Sole Source'!A:B,1,FALSE),"NNY-"&amp;B158)</f>
        <v>NNY-Svcs-OnsiteIntl</v>
      </c>
      <c r="I158" s="106">
        <f>IF(NOT(ISNA(VLOOKUP(B158,'FL Contract Prices'!$A$2:$C$71,3,FALSE))),VLOOKUP(B158,'FL Contract Prices'!$A$2:$C$71,3,FALSE),ROUND(D158*0.7,-1))</f>
        <v>1380</v>
      </c>
      <c r="J158" s="106" t="str">
        <f>IF(NOT(ISNA(VLOOKUP(B158,'FL Part Num Mapping'!$A$2:$B$71,1,FALSE))),VLOOKUP(B158,'FL Part Num Mapping'!$A$2:$B$71,2,FALSE),"NFL "&amp; B158)</f>
        <v>NFL Svcs-OnsiteIntl</v>
      </c>
      <c r="K158" s="102">
        <v>1E-4</v>
      </c>
      <c r="L158" s="146" t="str">
        <f t="shared" si="65"/>
        <v>NLA Svcs-OnsiteIntl</v>
      </c>
      <c r="M158" s="146"/>
      <c r="N158" s="146"/>
      <c r="O158" s="155"/>
      <c r="P158" s="150">
        <v>590</v>
      </c>
      <c r="Q158" s="83"/>
      <c r="R158" s="83"/>
      <c r="S158" s="83"/>
      <c r="T158" s="83"/>
      <c r="U158" s="83"/>
      <c r="V158" s="83"/>
      <c r="W158" s="83"/>
      <c r="X158" s="83"/>
    </row>
    <row r="159" spans="1:24" ht="45" customHeight="1" x14ac:dyDescent="0.25">
      <c r="A159" s="82" t="s">
        <v>725</v>
      </c>
      <c r="B159" s="83" t="s">
        <v>726</v>
      </c>
      <c r="C159" s="82" t="s">
        <v>727</v>
      </c>
      <c r="D159" s="84">
        <f t="shared" ref="D159:D181" si="66">IF(E159&lt;20, ROUNDUP(E159/0.3,0), ROUNDUP(E159/0.3,-1))</f>
        <v>3670</v>
      </c>
      <c r="E159" s="128">
        <f t="shared" si="64"/>
        <v>1100</v>
      </c>
      <c r="F159" s="86" t="s">
        <v>178</v>
      </c>
      <c r="G159" s="102">
        <f>_xlfn.IFNA(VLOOKUP(B159,'NY Sole Source'!A:B,2,FALSE), D159*0.7)</f>
        <v>2055.1999999999998</v>
      </c>
      <c r="H159" s="102" t="str">
        <f>_xlfn.IFNA(VLOOKUP(B159,'NY Sole Source'!A:B,1,FALSE),"NNY-"&amp;B159)</f>
        <v>Svcs-OnsiteUS</v>
      </c>
      <c r="I159" s="106">
        <f>IF(NOT(ISNA(VLOOKUP(B159,'FL Contract Prices'!$A$2:$C$71,3,FALSE))),VLOOKUP(B159,'FL Contract Prices'!$A$2:$C$71,3,FALSE),ROUND(D159*0.7,-1))</f>
        <v>0</v>
      </c>
      <c r="J159" s="106" t="str">
        <f>IF(NOT(ISNA(VLOOKUP(B159,'FL Part Num Mapping'!$A$2:$B$71,1,FALSE))),VLOOKUP(B159,'FL Part Num Mapping'!$A$2:$B$71,2,FALSE),"NFL "&amp; B159)</f>
        <v>SCVS-OnSite-1</v>
      </c>
      <c r="K159" s="102">
        <v>1E-4</v>
      </c>
      <c r="L159" s="146" t="str">
        <f t="shared" si="65"/>
        <v>NLA Svcs-OnsiteUS</v>
      </c>
      <c r="M159" s="146"/>
      <c r="N159" s="146"/>
      <c r="O159" s="155"/>
      <c r="P159" s="150">
        <v>1100</v>
      </c>
      <c r="Q159" s="83"/>
      <c r="R159" s="83"/>
      <c r="S159" s="83"/>
      <c r="T159" s="83"/>
      <c r="U159" s="83"/>
      <c r="V159" s="83"/>
      <c r="W159" s="83"/>
      <c r="X159" s="83"/>
    </row>
    <row r="160" spans="1:24" ht="45" customHeight="1" x14ac:dyDescent="0.25">
      <c r="A160" s="82" t="s">
        <v>728</v>
      </c>
      <c r="B160" s="83" t="s">
        <v>729</v>
      </c>
      <c r="C160" s="82" t="s">
        <v>730</v>
      </c>
      <c r="D160" s="84">
        <f t="shared" ref="D160" si="67">IF(E160&lt;20, ROUNDUP(E160/0.3,0), ROUNDUP(E160/0.3,-1))</f>
        <v>7600</v>
      </c>
      <c r="E160" s="128">
        <f>(P160+Q160+T160+V160)+E156*2</f>
        <v>2280</v>
      </c>
      <c r="F160" s="86" t="s">
        <v>178</v>
      </c>
      <c r="G160" s="102">
        <f>_xlfn.IFNA(VLOOKUP(B160,'NY Sole Source'!A:B,2,FALSE), D160*0.7)</f>
        <v>5320</v>
      </c>
      <c r="H160" s="102"/>
      <c r="I160" s="106">
        <f>IF(NOT(ISNA(VLOOKUP(B160,'FL Contract Prices'!$A$2:$C$71,3,FALSE))),VLOOKUP(B160,'FL Contract Prices'!$A$2:$C$71,3,FALSE),ROUND(D160*0.7,-1))</f>
        <v>3340.2</v>
      </c>
      <c r="J160" s="106" t="str">
        <f>IF(NOT(ISNA(VLOOKUP(B160,'FL Part Num Mapping'!$A$2:$B$71,1,FALSE))),VLOOKUP(B160,'FL Part Num Mapping'!$A$2:$B$71,2,FALSE),"NFL "&amp; B160)</f>
        <v>SCVS-Onsite-CMS</v>
      </c>
      <c r="K160" s="102"/>
      <c r="L160" s="146"/>
      <c r="M160" s="146"/>
      <c r="N160" s="146"/>
      <c r="O160" s="155"/>
      <c r="P160" s="150">
        <v>1100</v>
      </c>
      <c r="Q160" s="83"/>
      <c r="R160" s="83"/>
      <c r="S160" s="83"/>
      <c r="T160" s="83"/>
      <c r="U160" s="83"/>
      <c r="V160" s="83"/>
      <c r="W160" s="83"/>
      <c r="X160" s="83"/>
    </row>
    <row r="161" spans="1:24" ht="30" customHeight="1" x14ac:dyDescent="0.25">
      <c r="A161" s="82" t="s">
        <v>731</v>
      </c>
      <c r="B161" s="83" t="s">
        <v>732</v>
      </c>
      <c r="C161" s="82" t="s">
        <v>733</v>
      </c>
      <c r="D161" s="84">
        <f t="shared" si="66"/>
        <v>2000</v>
      </c>
      <c r="E161" s="128">
        <f t="shared" si="64"/>
        <v>600</v>
      </c>
      <c r="F161" s="86" t="s">
        <v>178</v>
      </c>
      <c r="G161" s="102">
        <f>_xlfn.IFNA(VLOOKUP(B161,'NY Sole Source'!A:B,2,FALSE), D161*0.7)</f>
        <v>1400</v>
      </c>
      <c r="H161" s="102" t="str">
        <f>IF(ISNA(VLOOKUP(B161,'NY Contract'!$A$1:$E$157,2,FALSE)),"NNY "&amp; B161, VLOOKUP(B161,'NY Contract'!$A$1:$E$157,2,FALSE))</f>
        <v>NNY Svcs-OnsiteCA</v>
      </c>
      <c r="I161" s="106">
        <f>IF(NOT(ISNA(VLOOKUP(B161,'FL Contract Prices'!$A$2:$C$71,3,FALSE))),VLOOKUP(B161,'FL Contract Prices'!$A$2:$C$71,3,FALSE),ROUND(D161*0.7,-1))</f>
        <v>1400</v>
      </c>
      <c r="J161" s="106" t="str">
        <f>IF(NOT(ISNA(VLOOKUP(B161,'FL Part Num Mapping'!$A$2:$B$71,1,FALSE))),VLOOKUP(B161,'FL Part Num Mapping'!$A$2:$B$71,2,FALSE),"NFL "&amp; B161)</f>
        <v>NFL Svcs-OnsiteCA</v>
      </c>
      <c r="K161" s="102">
        <v>1E-4</v>
      </c>
      <c r="L161" s="146" t="s">
        <v>734</v>
      </c>
      <c r="M161" s="146"/>
      <c r="N161" s="146"/>
      <c r="O161" s="155"/>
      <c r="P161" s="150">
        <v>600</v>
      </c>
      <c r="Q161" s="83"/>
      <c r="R161" s="83"/>
      <c r="S161" s="83"/>
      <c r="T161" s="83"/>
      <c r="U161" s="83"/>
      <c r="V161" s="83"/>
      <c r="W161" s="83"/>
      <c r="X161" s="83" t="s">
        <v>735</v>
      </c>
    </row>
    <row r="162" spans="1:24" ht="15" customHeight="1" x14ac:dyDescent="0.25">
      <c r="A162" s="94" t="s">
        <v>119</v>
      </c>
      <c r="B162" s="95" t="s">
        <v>736</v>
      </c>
      <c r="C162" s="94" t="s">
        <v>737</v>
      </c>
      <c r="D162" s="84">
        <f t="shared" si="66"/>
        <v>750</v>
      </c>
      <c r="E162" s="128">
        <f t="shared" si="64"/>
        <v>225</v>
      </c>
      <c r="F162" s="86" t="s">
        <v>178</v>
      </c>
      <c r="G162" s="102">
        <f>_xlfn.IFNA(VLOOKUP(B162,'NY Sole Source'!A:B,2,FALSE), D162*0.7)</f>
        <v>525</v>
      </c>
      <c r="H162" s="102" t="str">
        <f>IF(ISNA(VLOOKUP(B162,'NY Contract'!$A$1:$E$157,2,FALSE)),"NNY "&amp; B162, VLOOKUP(B162,'NY Contract'!$A$1:$E$157,2,FALSE))</f>
        <v>NNY Svcs-Phone</v>
      </c>
      <c r="I162" s="106">
        <f>IF(NOT(ISNA(VLOOKUP(B162,'FL Contract Prices'!$A$2:$C$71,3,FALSE))),VLOOKUP(B162,'FL Contract Prices'!$A$2:$C$71,3,FALSE),ROUND(D162*0.7,-1))</f>
        <v>300.2</v>
      </c>
      <c r="J162" s="106" t="str">
        <f>IF(NOT(ISNA(VLOOKUP(B162,'FL Part Num Mapping'!$A$2:$B$71,1,FALSE))),VLOOKUP(B162,'FL Part Num Mapping'!$A$2:$B$71,2,FALSE),"NFL "&amp; B162)</f>
        <v>SVCS-Train-RM</v>
      </c>
      <c r="K162" s="102">
        <v>1E-4</v>
      </c>
      <c r="L162" s="146" t="str">
        <f t="shared" si="65"/>
        <v>NLA Svcs-Phone</v>
      </c>
      <c r="M162" s="146"/>
      <c r="N162" s="146"/>
      <c r="O162" s="155"/>
      <c r="P162" s="150">
        <v>225</v>
      </c>
      <c r="Q162" s="83"/>
      <c r="R162" s="83"/>
      <c r="S162" s="83"/>
      <c r="T162" s="83"/>
      <c r="U162" s="83"/>
      <c r="V162" s="83"/>
      <c r="W162" s="83"/>
      <c r="X162" s="95" t="s">
        <v>738</v>
      </c>
    </row>
    <row r="163" spans="1:24" ht="15" customHeight="1" x14ac:dyDescent="0.25">
      <c r="A163" s="82" t="s">
        <v>739</v>
      </c>
      <c r="B163" s="82" t="s">
        <v>740</v>
      </c>
      <c r="C163" s="82" t="s">
        <v>741</v>
      </c>
      <c r="D163" s="84">
        <f t="shared" si="66"/>
        <v>500</v>
      </c>
      <c r="E163" s="128">
        <f t="shared" si="64"/>
        <v>150</v>
      </c>
      <c r="F163" s="86" t="s">
        <v>178</v>
      </c>
      <c r="G163" s="102">
        <f>_xlfn.IFNA(VLOOKUP(B163,'NY Sole Source'!A:B,2,FALSE), D163*0.7)</f>
        <v>280</v>
      </c>
      <c r="H163" s="102" t="str">
        <f>IF(ISNA(VLOOKUP(B163,'NY Contract'!$A$1:$E$157,2,FALSE)),"NNY "&amp; B163, VLOOKUP(B163,'NY Contract'!$A$1:$E$157,2,FALSE))</f>
        <v>NNY Svcs-Cfg-AD</v>
      </c>
      <c r="I163" s="106">
        <f>IF(NOT(ISNA(VLOOKUP(B163,'FL Contract Prices'!$A$2:$C$71,3,FALSE))),VLOOKUP(B163,'FL Contract Prices'!$A$2:$C$71,3,FALSE),ROUND(D163*0.7,-1))</f>
        <v>350</v>
      </c>
      <c r="J163" s="106" t="str">
        <f>IF(NOT(ISNA(VLOOKUP(B163,'FL Part Num Mapping'!$A$2:$B$71,1,FALSE))),VLOOKUP(B163,'FL Part Num Mapping'!$A$2:$B$71,2,FALSE),"NFL "&amp; B163)</f>
        <v>NFL Svcs-Cfg-AD</v>
      </c>
      <c r="K163" s="102">
        <v>1E-4</v>
      </c>
      <c r="L163" s="146" t="str">
        <f t="shared" si="65"/>
        <v>NLA Svcs-Cfg-AD</v>
      </c>
      <c r="M163" s="146"/>
      <c r="N163" s="146"/>
      <c r="O163" s="155"/>
      <c r="P163" s="150">
        <v>150</v>
      </c>
      <c r="Q163" s="83"/>
      <c r="R163" s="83"/>
      <c r="S163" s="83"/>
      <c r="T163" s="83"/>
      <c r="U163" s="83"/>
      <c r="V163" s="83"/>
      <c r="W163" s="83"/>
      <c r="X163" s="83" t="s">
        <v>742</v>
      </c>
    </row>
    <row r="164" spans="1:24" ht="15" customHeight="1" x14ac:dyDescent="0.25">
      <c r="A164" s="82" t="s">
        <v>743</v>
      </c>
      <c r="B164" s="83" t="s">
        <v>744</v>
      </c>
      <c r="C164" s="82" t="s">
        <v>745</v>
      </c>
      <c r="D164" s="84">
        <f t="shared" si="66"/>
        <v>1170</v>
      </c>
      <c r="E164" s="128">
        <f t="shared" si="64"/>
        <v>350</v>
      </c>
      <c r="F164" s="86" t="s">
        <v>178</v>
      </c>
      <c r="G164" s="102">
        <f>_xlfn.IFNA(VLOOKUP(B164,'NY Sole Source'!A:B,2,FALSE), D164*0.7)</f>
        <v>655.20000000000005</v>
      </c>
      <c r="H164" s="102" t="str">
        <f>IF(ISNA(VLOOKUP(B164,'NY Contract'!$A$1:$E$157,2,FALSE)),"NNY "&amp; B164, VLOOKUP(B164,'NY Contract'!$A$1:$E$157,2,FALSE))</f>
        <v>SVCS-CFG</v>
      </c>
      <c r="I164" s="106">
        <f>IF(NOT(ISNA(VLOOKUP(B164,'FL Contract Prices'!$A$2:$C$71,3,FALSE))),VLOOKUP(B164,'FL Contract Prices'!$A$2:$C$71,3,FALSE),ROUND(D164*0.7,-1))</f>
        <v>300.2</v>
      </c>
      <c r="J164" s="106" t="str">
        <f>IF(NOT(ISNA(VLOOKUP(B164,'FL Part Num Mapping'!$A$2:$B$71,1,FALSE))),VLOOKUP(B164,'FL Part Num Mapping'!$A$2:$B$71,2,FALSE),"NFL "&amp; B164)</f>
        <v>SVCS-CFG</v>
      </c>
      <c r="K164" s="102">
        <v>1E-4</v>
      </c>
      <c r="L164" s="146" t="str">
        <f t="shared" si="65"/>
        <v>NLA Svcs-Cfg</v>
      </c>
      <c r="M164" s="146"/>
      <c r="N164" s="146"/>
      <c r="O164" s="155"/>
      <c r="P164" s="150">
        <v>350</v>
      </c>
      <c r="Q164" s="83"/>
      <c r="R164" s="83"/>
      <c r="S164" s="83"/>
      <c r="T164" s="83"/>
      <c r="U164" s="83"/>
      <c r="V164" s="83"/>
      <c r="W164" s="83"/>
      <c r="X164" s="83" t="s">
        <v>746</v>
      </c>
    </row>
    <row r="165" spans="1:24" ht="15" customHeight="1" x14ac:dyDescent="0.25">
      <c r="A165" s="82" t="s">
        <v>747</v>
      </c>
      <c r="B165" s="83" t="s">
        <v>748</v>
      </c>
      <c r="C165" s="82" t="s">
        <v>745</v>
      </c>
      <c r="D165" s="84">
        <f t="shared" si="66"/>
        <v>840</v>
      </c>
      <c r="E165" s="128">
        <f t="shared" si="64"/>
        <v>250</v>
      </c>
      <c r="F165" s="86" t="s">
        <v>178</v>
      </c>
      <c r="G165" s="102">
        <f>_xlfn.IFNA(VLOOKUP(B165,'NY Sole Source'!A:B,2,FALSE), D165*0.7)</f>
        <v>470.40000000000003</v>
      </c>
      <c r="H165" s="102" t="str">
        <f>IF(ISNA(VLOOKUP(B165,'NY Contract'!$A$1:$E$157,2,FALSE)),"NNY "&amp; B165, VLOOKUP(B165,'NY Contract'!$A$1:$E$157,2,FALSE))</f>
        <v>NNY Svcs-Cfg-Applicant</v>
      </c>
      <c r="I165" s="106">
        <f>IF(NOT(ISNA(VLOOKUP(B165,'FL Contract Prices'!$A$2:$C$71,3,FALSE))),VLOOKUP(B165,'FL Contract Prices'!$A$2:$C$71,3,FALSE),ROUND(D165*0.7,-1))</f>
        <v>590</v>
      </c>
      <c r="J165" s="106" t="str">
        <f>IF(NOT(ISNA(VLOOKUP(B165,'FL Part Num Mapping'!$A$2:$B$71,1,FALSE))),VLOOKUP(B165,'FL Part Num Mapping'!$A$2:$B$71,2,FALSE),"NFL "&amp; B165)</f>
        <v>NFL Svcs-Cfg-Applicant</v>
      </c>
      <c r="K165" s="102">
        <v>1E-4</v>
      </c>
      <c r="L165" s="146" t="str">
        <f t="shared" si="65"/>
        <v>NLA Svcs-Cfg-Applicant</v>
      </c>
      <c r="M165" s="146"/>
      <c r="N165" s="146"/>
      <c r="O165" s="155"/>
      <c r="P165" s="150">
        <v>250</v>
      </c>
      <c r="Q165" s="83"/>
      <c r="R165" s="83"/>
      <c r="S165" s="83"/>
      <c r="T165" s="83"/>
      <c r="U165" s="83"/>
      <c r="V165" s="83"/>
      <c r="W165" s="83"/>
      <c r="X165" s="83" t="s">
        <v>746</v>
      </c>
    </row>
    <row r="166" spans="1:24" ht="15" customHeight="1" x14ac:dyDescent="0.25">
      <c r="A166" s="82" t="s">
        <v>114</v>
      </c>
      <c r="B166" s="83" t="s">
        <v>749</v>
      </c>
      <c r="C166" s="82" t="s">
        <v>750</v>
      </c>
      <c r="D166" s="84">
        <f t="shared" si="66"/>
        <v>500</v>
      </c>
      <c r="E166" s="128">
        <f t="shared" si="64"/>
        <v>150</v>
      </c>
      <c r="F166" s="86" t="s">
        <v>178</v>
      </c>
      <c r="G166" s="102">
        <f>_xlfn.IFNA(VLOOKUP(B166,'NY Sole Source'!A:B,2,FALSE), D166*0.7)</f>
        <v>350</v>
      </c>
      <c r="H166" s="102" t="str">
        <f>IF(ISNA(VLOOKUP(B166,'NY Contract'!$A$1:$E$157,2,FALSE)),"NNY "&amp; B166, VLOOKUP(B166,'NY Contract'!$A$1:$E$157,2,FALSE))</f>
        <v>NNY Svcs-Cfg-CAPSP</v>
      </c>
      <c r="I166" s="106">
        <f>IF(NOT(ISNA(VLOOKUP(B166,'FL Contract Prices'!$A$2:$C$71,3,FALSE))),VLOOKUP(B166,'FL Contract Prices'!$A$2:$C$71,3,FALSE),ROUND(D166*0.7,-1))</f>
        <v>350</v>
      </c>
      <c r="J166" s="106" t="str">
        <f>IF(NOT(ISNA(VLOOKUP(B166,'FL Part Num Mapping'!$A$2:$B$71,1,FALSE))),VLOOKUP(B166,'FL Part Num Mapping'!$A$2:$B$71,2,FALSE),"NFL "&amp; B166)</f>
        <v>NFL Svcs-Cfg-CAPSP</v>
      </c>
      <c r="K166" s="102">
        <v>1E-4</v>
      </c>
      <c r="L166" s="146" t="s">
        <v>527</v>
      </c>
      <c r="M166" s="146"/>
      <c r="N166" s="146"/>
      <c r="O166" s="155"/>
      <c r="P166" s="150">
        <v>150</v>
      </c>
      <c r="Q166" s="83"/>
      <c r="R166" s="83"/>
      <c r="S166" s="83"/>
      <c r="T166" s="83"/>
      <c r="U166" s="83"/>
      <c r="V166" s="83"/>
      <c r="W166" s="83"/>
      <c r="X166" s="83" t="s">
        <v>751</v>
      </c>
    </row>
    <row r="167" spans="1:24" ht="15" customHeight="1" x14ac:dyDescent="0.25">
      <c r="A167" s="82" t="s">
        <v>752</v>
      </c>
      <c r="B167" s="82" t="s">
        <v>753</v>
      </c>
      <c r="C167" s="82" t="s">
        <v>754</v>
      </c>
      <c r="D167" s="84">
        <f t="shared" si="66"/>
        <v>500</v>
      </c>
      <c r="E167" s="128">
        <f t="shared" si="64"/>
        <v>150</v>
      </c>
      <c r="F167" s="86" t="s">
        <v>178</v>
      </c>
      <c r="G167" s="102">
        <f>_xlfn.IFNA(VLOOKUP(B167,'NY Sole Source'!A:B,2,FALSE), D167*0.7)</f>
        <v>350</v>
      </c>
      <c r="H167" s="102" t="str">
        <f>IF(ISNA(VLOOKUP(B167,'NY Contract'!$A$1:$E$157,2,FALSE)),"NNY "&amp; B167, VLOOKUP(B167,'NY Contract'!$A$1:$E$157,2,FALSE))</f>
        <v>NNY Svcs-Cfg-CADir</v>
      </c>
      <c r="I167" s="106">
        <f>IF(NOT(ISNA(VLOOKUP(B167,'FL Contract Prices'!$A$2:$C$71,3,FALSE))),VLOOKUP(B167,'FL Contract Prices'!$A$2:$C$71,3,FALSE),ROUND(D167*0.7,-1))</f>
        <v>350</v>
      </c>
      <c r="J167" s="106" t="str">
        <f>IF(NOT(ISNA(VLOOKUP(B167,'FL Part Num Mapping'!$A$2:$B$71,1,FALSE))),VLOOKUP(B167,'FL Part Num Mapping'!$A$2:$B$71,2,FALSE),"NFL "&amp; B167)</f>
        <v>NFL Svcs-Cfg-CADir</v>
      </c>
      <c r="K167" s="102">
        <v>1E-4</v>
      </c>
      <c r="L167" s="146" t="s">
        <v>527</v>
      </c>
      <c r="M167" s="146"/>
      <c r="N167" s="146"/>
      <c r="O167" s="155"/>
      <c r="P167" s="150">
        <v>150</v>
      </c>
      <c r="Q167" s="83"/>
      <c r="R167" s="83"/>
      <c r="S167" s="83"/>
      <c r="T167" s="83"/>
      <c r="U167" s="83"/>
      <c r="V167" s="83"/>
      <c r="W167" s="83"/>
      <c r="X167" s="83" t="s">
        <v>755</v>
      </c>
    </row>
    <row r="168" spans="1:24" ht="30" customHeight="1" x14ac:dyDescent="0.25">
      <c r="A168" s="82" t="s">
        <v>756</v>
      </c>
      <c r="B168" s="83" t="s">
        <v>757</v>
      </c>
      <c r="C168" s="82" t="s">
        <v>758</v>
      </c>
      <c r="D168" s="84">
        <f t="shared" si="66"/>
        <v>170</v>
      </c>
      <c r="E168" s="128">
        <f t="shared" si="64"/>
        <v>50</v>
      </c>
      <c r="F168" s="86" t="s">
        <v>178</v>
      </c>
      <c r="G168" s="102">
        <f>_xlfn.IFNA(VLOOKUP(B168,'NY Sole Source'!A:B,2,FALSE), D168*0.7)</f>
        <v>118.99999999999999</v>
      </c>
      <c r="H168" s="102" t="str">
        <f>IF(ISNA(VLOOKUP(B168,'NY Contract'!$A$1:$E$157,2,FALSE)),"NNY "&amp; B168, VLOOKUP(B168,'NY Contract'!$A$1:$E$157,2,FALSE))</f>
        <v>NNY Svcs-Cfg-Copy</v>
      </c>
      <c r="I168" s="106">
        <f>IF(NOT(ISNA(VLOOKUP(B168,'FL Contract Prices'!$A$2:$C$71,3,FALSE))),VLOOKUP(B168,'FL Contract Prices'!$A$2:$C$71,3,FALSE),ROUND(D168*0.7,-1))</f>
        <v>120</v>
      </c>
      <c r="J168" s="106" t="str">
        <f>IF(NOT(ISNA(VLOOKUP(B168,'FL Part Num Mapping'!$A$2:$B$71,1,FALSE))),VLOOKUP(B168,'FL Part Num Mapping'!$A$2:$B$71,2,FALSE),"NFL "&amp; B168)</f>
        <v>NFL Svcs-Cfg-Copy</v>
      </c>
      <c r="K168" s="102">
        <v>1E-4</v>
      </c>
      <c r="L168" s="146" t="str">
        <f t="shared" ref="L168:L177" si="68">"NLA "&amp;B168</f>
        <v>NLA Svcs-Cfg-Copy</v>
      </c>
      <c r="M168" s="146"/>
      <c r="N168" s="146"/>
      <c r="O168" s="155"/>
      <c r="P168" s="150">
        <v>50</v>
      </c>
      <c r="Q168" s="83"/>
      <c r="R168" s="83"/>
      <c r="S168" s="83"/>
      <c r="T168" s="83"/>
      <c r="U168" s="83"/>
      <c r="V168" s="83"/>
      <c r="W168" s="83"/>
      <c r="X168" s="83" t="s">
        <v>759</v>
      </c>
    </row>
    <row r="169" spans="1:24" ht="30" customHeight="1" x14ac:dyDescent="0.25">
      <c r="A169" s="82" t="s">
        <v>760</v>
      </c>
      <c r="B169" s="83" t="s">
        <v>761</v>
      </c>
      <c r="C169" s="82" t="s">
        <v>762</v>
      </c>
      <c r="D169" s="84">
        <f t="shared" si="66"/>
        <v>250</v>
      </c>
      <c r="E169" s="128">
        <f t="shared" si="64"/>
        <v>75</v>
      </c>
      <c r="F169" s="86" t="s">
        <v>178</v>
      </c>
      <c r="G169" s="102">
        <f>_xlfn.IFNA(VLOOKUP(B169,'NY Sole Source'!A:B,2,FALSE), D169*0.7)</f>
        <v>175</v>
      </c>
      <c r="H169" s="102" t="str">
        <f>IF(ISNA(VLOOKUP(B169,'NY Contract'!$A$1:$E$157,2,FALSE)),"NNY "&amp; B169, VLOOKUP(B169,'NY Contract'!$A$1:$E$157,2,FALSE))</f>
        <v>NNY Svcs-Cfg-LockDown</v>
      </c>
      <c r="I169" s="106">
        <f>IF(NOT(ISNA(VLOOKUP(B169,'FL Contract Prices'!$A$2:$C$71,3,FALSE))),VLOOKUP(B169,'FL Contract Prices'!$A$2:$C$71,3,FALSE),ROUND(D169*0.7,-1))</f>
        <v>180</v>
      </c>
      <c r="J169" s="106" t="str">
        <f>IF(NOT(ISNA(VLOOKUP(B169,'FL Part Num Mapping'!$A$2:$B$71,1,FALSE))),VLOOKUP(B169,'FL Part Num Mapping'!$A$2:$B$71,2,FALSE),"NFL "&amp; B169)</f>
        <v>NFL Svcs-Cfg-LockDown</v>
      </c>
      <c r="K169" s="102">
        <v>1E-4</v>
      </c>
      <c r="L169" s="146" t="str">
        <f t="shared" si="68"/>
        <v>NLA Svcs-Cfg-LockDown</v>
      </c>
      <c r="M169" s="146"/>
      <c r="N169" s="146"/>
      <c r="O169" s="155"/>
      <c r="P169" s="150">
        <v>75</v>
      </c>
      <c r="Q169" s="83"/>
      <c r="R169" s="83"/>
      <c r="S169" s="83"/>
      <c r="T169" s="83"/>
      <c r="U169" s="83"/>
      <c r="V169" s="83"/>
      <c r="W169" s="83"/>
      <c r="X169" s="83" t="s">
        <v>763</v>
      </c>
    </row>
    <row r="170" spans="1:24" ht="15" customHeight="1" x14ac:dyDescent="0.25">
      <c r="A170" s="82" t="s">
        <v>764</v>
      </c>
      <c r="B170" s="83" t="s">
        <v>765</v>
      </c>
      <c r="C170" s="82" t="s">
        <v>766</v>
      </c>
      <c r="D170" s="84">
        <f t="shared" si="66"/>
        <v>500</v>
      </c>
      <c r="E170" s="128">
        <f t="shared" si="64"/>
        <v>150</v>
      </c>
      <c r="F170" s="86" t="s">
        <v>178</v>
      </c>
      <c r="G170" s="102">
        <f>_xlfn.IFNA(VLOOKUP(B170,'NY Sole Source'!A:B,2,FALSE), D170*0.7)</f>
        <v>350</v>
      </c>
      <c r="H170" s="102" t="str">
        <f>IF(ISNA(VLOOKUP(B170,'NY Contract'!$A$1:$E$157,2,FALSE)),"NNY "&amp; B170, VLOOKUP(B170,'NY Contract'!$A$1:$E$157,2,FALSE))</f>
        <v>NNY Svcs-Cfg-NCR</v>
      </c>
      <c r="I170" s="106">
        <f>IF(NOT(ISNA(VLOOKUP(B170,'FL Contract Prices'!$A$2:$C$71,3,FALSE))),VLOOKUP(B170,'FL Contract Prices'!$A$2:$C$71,3,FALSE),ROUND(D170*0.7,-1))</f>
        <v>350</v>
      </c>
      <c r="J170" s="106" t="str">
        <f>IF(NOT(ISNA(VLOOKUP(B170,'FL Part Num Mapping'!$A$2:$B$71,1,FALSE))),VLOOKUP(B170,'FL Part Num Mapping'!$A$2:$B$71,2,FALSE),"NFL "&amp; B170)</f>
        <v>NFL Svcs-Cfg-NCR</v>
      </c>
      <c r="K170" s="102">
        <v>1E-4</v>
      </c>
      <c r="L170" s="146" t="str">
        <f t="shared" si="68"/>
        <v>NLA Svcs-Cfg-NCR</v>
      </c>
      <c r="M170" s="146"/>
      <c r="N170" s="146"/>
      <c r="O170" s="155"/>
      <c r="P170" s="150">
        <v>150</v>
      </c>
      <c r="Q170" s="83"/>
      <c r="R170" s="83"/>
      <c r="S170" s="83"/>
      <c r="T170" s="83"/>
      <c r="U170" s="83"/>
      <c r="V170" s="83"/>
      <c r="W170" s="83"/>
      <c r="X170" s="83" t="s">
        <v>767</v>
      </c>
    </row>
    <row r="171" spans="1:24" ht="15" customHeight="1" x14ac:dyDescent="0.25">
      <c r="A171" s="82" t="s">
        <v>768</v>
      </c>
      <c r="B171" s="82" t="s">
        <v>769</v>
      </c>
      <c r="C171" s="82" t="s">
        <v>770</v>
      </c>
      <c r="D171" s="84">
        <f t="shared" si="66"/>
        <v>750</v>
      </c>
      <c r="E171" s="128">
        <f t="shared" si="64"/>
        <v>225</v>
      </c>
      <c r="F171" s="86" t="s">
        <v>178</v>
      </c>
      <c r="G171" s="102">
        <f>_xlfn.IFNA(VLOOKUP(B171,'NY Sole Source'!A:B,2,FALSE), D171*0.7)</f>
        <v>525</v>
      </c>
      <c r="H171" s="102" t="str">
        <f>IF(ISNA(VLOOKUP(B171,'NY Contract'!$A$1:$E$157,2,FALSE)),"NNY "&amp; B171, VLOOKUP(B171,'NY Contract'!$A$1:$E$157,2,FALSE))</f>
        <v>NNY Svcs-Cfg-NIGC</v>
      </c>
      <c r="I171" s="106">
        <f>IF(NOT(ISNA(VLOOKUP(B171,'FL Contract Prices'!$A$2:$C$71,3,FALSE))),VLOOKUP(B171,'FL Contract Prices'!$A$2:$C$71,3,FALSE),ROUND(D171*0.7,-1))</f>
        <v>530</v>
      </c>
      <c r="J171" s="106" t="str">
        <f>IF(NOT(ISNA(VLOOKUP(B171,'FL Part Num Mapping'!$A$2:$B$71,1,FALSE))),VLOOKUP(B171,'FL Part Num Mapping'!$A$2:$B$71,2,FALSE),"NFL "&amp; B171)</f>
        <v>NFL Svcs-Cfg-NIGC</v>
      </c>
      <c r="K171" s="102">
        <v>1E-4</v>
      </c>
      <c r="L171" s="146" t="str">
        <f t="shared" si="68"/>
        <v>NLA Svcs-Cfg-NIGC</v>
      </c>
      <c r="M171" s="146"/>
      <c r="N171" s="146"/>
      <c r="O171" s="155"/>
      <c r="P171" s="150">
        <v>225</v>
      </c>
      <c r="Q171" s="83"/>
      <c r="R171" s="83"/>
      <c r="S171" s="83"/>
      <c r="T171" s="83"/>
      <c r="U171" s="83"/>
      <c r="V171" s="83"/>
      <c r="W171" s="83"/>
      <c r="X171" s="83" t="s">
        <v>771</v>
      </c>
    </row>
    <row r="172" spans="1:24" ht="15" customHeight="1" x14ac:dyDescent="0.25">
      <c r="A172" s="82" t="s">
        <v>772</v>
      </c>
      <c r="B172" s="83" t="s">
        <v>773</v>
      </c>
      <c r="C172" s="82" t="s">
        <v>774</v>
      </c>
      <c r="D172" s="84">
        <f t="shared" si="66"/>
        <v>500</v>
      </c>
      <c r="E172" s="128">
        <f t="shared" si="64"/>
        <v>150</v>
      </c>
      <c r="F172" s="86" t="s">
        <v>178</v>
      </c>
      <c r="G172" s="102">
        <f>_xlfn.IFNA(VLOOKUP(B172,'NY Sole Source'!A:B,2,FALSE), D172*0.7)</f>
        <v>350</v>
      </c>
      <c r="H172" s="102" t="str">
        <f>IF(ISNA(VLOOKUP(B172,'NY Contract'!$A$1:$E$157,2,FALSE)),"NNY "&amp; B172, VLOOKUP(B172,'NY Contract'!$A$1:$E$157,2,FALSE))</f>
        <v>NNY Svcs-Cfg-NVApp</v>
      </c>
      <c r="I172" s="106">
        <f>IF(NOT(ISNA(VLOOKUP(B172,'FL Contract Prices'!$A$2:$C$71,3,FALSE))),VLOOKUP(B172,'FL Contract Prices'!$A$2:$C$71,3,FALSE),ROUND(D172*0.7,-1))</f>
        <v>350</v>
      </c>
      <c r="J172" s="106" t="str">
        <f>IF(NOT(ISNA(VLOOKUP(B172,'FL Part Num Mapping'!$A$2:$B$71,1,FALSE))),VLOOKUP(B172,'FL Part Num Mapping'!$A$2:$B$71,2,FALSE),"NFL "&amp; B172)</f>
        <v>NFL Svcs-Cfg-NVApp</v>
      </c>
      <c r="K172" s="102">
        <v>1E-4</v>
      </c>
      <c r="L172" s="146" t="str">
        <f t="shared" si="68"/>
        <v>NLA Svcs-Cfg-NVApp</v>
      </c>
      <c r="M172" s="146"/>
      <c r="N172" s="146"/>
      <c r="O172" s="155"/>
      <c r="P172" s="150">
        <v>150</v>
      </c>
      <c r="Q172" s="83"/>
      <c r="R172" s="83"/>
      <c r="S172" s="83"/>
      <c r="T172" s="83"/>
      <c r="U172" s="83"/>
      <c r="V172" s="83"/>
      <c r="W172" s="83"/>
      <c r="X172" s="83"/>
    </row>
    <row r="173" spans="1:24" ht="15" customHeight="1" x14ac:dyDescent="0.25">
      <c r="A173" s="82" t="s">
        <v>775</v>
      </c>
      <c r="B173" s="82" t="s">
        <v>776</v>
      </c>
      <c r="C173" s="82" t="s">
        <v>777</v>
      </c>
      <c r="D173" s="84">
        <f t="shared" si="66"/>
        <v>840</v>
      </c>
      <c r="E173" s="128">
        <f t="shared" si="64"/>
        <v>250</v>
      </c>
      <c r="F173" s="86" t="s">
        <v>178</v>
      </c>
      <c r="G173" s="102">
        <f>_xlfn.IFNA(VLOOKUP(B173,'NY Sole Source'!A:B,2,FALSE), D173*0.7)</f>
        <v>470.40000000000003</v>
      </c>
      <c r="H173" s="102" t="str">
        <f>IF(ISNA(VLOOKUP(B173,'NY Contract'!$A$1:$E$157,2,FALSE)),"NNY "&amp; B173, VLOOKUP(B173,'NY Contract'!$A$1:$E$157,2,FALSE))</f>
        <v>NNY Svcs-Cfg-Printer</v>
      </c>
      <c r="I173" s="106">
        <f>IF(NOT(ISNA(VLOOKUP(B173,'FL Contract Prices'!$A$2:$C$71,3,FALSE))),VLOOKUP(B173,'FL Contract Prices'!$A$2:$C$71,3,FALSE),ROUND(D173*0.7,-1))</f>
        <v>590</v>
      </c>
      <c r="J173" s="106" t="str">
        <f>IF(NOT(ISNA(VLOOKUP(B173,'FL Part Num Mapping'!$A$2:$B$71,1,FALSE))),VLOOKUP(B173,'FL Part Num Mapping'!$A$2:$B$71,2,FALSE),"NFL "&amp; B173)</f>
        <v>NFL Svcs-Cfg-Printer</v>
      </c>
      <c r="K173" s="102">
        <v>1E-4</v>
      </c>
      <c r="L173" s="146" t="str">
        <f t="shared" si="68"/>
        <v>NLA Svcs-Cfg-Printer</v>
      </c>
      <c r="M173" s="146"/>
      <c r="N173" s="146"/>
      <c r="O173" s="155"/>
      <c r="P173" s="150">
        <v>250</v>
      </c>
      <c r="Q173" s="83"/>
      <c r="R173" s="83"/>
      <c r="S173" s="83"/>
      <c r="T173" s="83"/>
      <c r="U173" s="83"/>
      <c r="V173" s="83"/>
      <c r="W173" s="83"/>
      <c r="X173" s="83" t="s">
        <v>778</v>
      </c>
    </row>
    <row r="174" spans="1:24" ht="15" customHeight="1" x14ac:dyDescent="0.25">
      <c r="A174" s="82" t="s">
        <v>779</v>
      </c>
      <c r="B174" s="82" t="s">
        <v>780</v>
      </c>
      <c r="C174" s="82" t="s">
        <v>781</v>
      </c>
      <c r="D174" s="84">
        <f t="shared" si="66"/>
        <v>500</v>
      </c>
      <c r="E174" s="128">
        <f t="shared" si="64"/>
        <v>150</v>
      </c>
      <c r="F174" s="86" t="s">
        <v>178</v>
      </c>
      <c r="G174" s="102">
        <f>_xlfn.IFNA(VLOOKUP(B174,'NY Sole Source'!A:B,2,FALSE), D174*0.7)</f>
        <v>280</v>
      </c>
      <c r="H174" s="102" t="str">
        <f>IF(ISNA(VLOOKUP(B174,'NY Contract'!$A$1:$E$157,2,FALSE)),"NNY "&amp; B174, VLOOKUP(B174,'NY Contract'!$A$1:$E$157,2,FALSE))</f>
        <v>NNY Svcs-Cfg-Reconfiguration</v>
      </c>
      <c r="I174" s="106">
        <f>IF(NOT(ISNA(VLOOKUP(B174,'FL Contract Prices'!$A$2:$C$71,3,FALSE))),VLOOKUP(B174,'FL Contract Prices'!$A$2:$C$71,3,FALSE),ROUND(D174*0.7,-1))</f>
        <v>350</v>
      </c>
      <c r="J174" s="106" t="str">
        <f>IF(NOT(ISNA(VLOOKUP(B174,'FL Part Num Mapping'!$A$2:$B$71,1,FALSE))),VLOOKUP(B174,'FL Part Num Mapping'!$A$2:$B$71,2,FALSE),"NFL "&amp; B174)</f>
        <v>NFL Svcs-Cfg-Reconfiguration</v>
      </c>
      <c r="K174" s="102">
        <v>1E-4</v>
      </c>
      <c r="L174" s="146" t="str">
        <f t="shared" si="68"/>
        <v>NLA Svcs-Cfg-Reconfiguration</v>
      </c>
      <c r="M174" s="146"/>
      <c r="N174" s="146"/>
      <c r="O174" s="155"/>
      <c r="P174" s="150">
        <v>150</v>
      </c>
      <c r="Q174" s="83"/>
      <c r="R174" s="83"/>
      <c r="S174" s="83"/>
      <c r="T174" s="83"/>
      <c r="U174" s="83"/>
      <c r="V174" s="83"/>
      <c r="W174" s="83"/>
      <c r="X174" s="83" t="s">
        <v>767</v>
      </c>
    </row>
    <row r="175" spans="1:24" ht="30" customHeight="1" x14ac:dyDescent="0.25">
      <c r="A175" s="82" t="s">
        <v>782</v>
      </c>
      <c r="B175" s="83" t="s">
        <v>783</v>
      </c>
      <c r="C175" s="82" t="s">
        <v>784</v>
      </c>
      <c r="D175" s="84">
        <f t="shared" si="66"/>
        <v>500</v>
      </c>
      <c r="E175" s="128">
        <f t="shared" si="64"/>
        <v>150</v>
      </c>
      <c r="F175" s="86" t="s">
        <v>178</v>
      </c>
      <c r="G175" s="102">
        <f>_xlfn.IFNA(VLOOKUP(B175,'NY Sole Source'!A:B,2,FALSE), D175*0.7)</f>
        <v>350</v>
      </c>
      <c r="H175" s="102" t="str">
        <f>IF(ISNA(VLOOKUP(B175,'NY Contract'!$A$1:$E$157,2,FALSE)),"NNY "&amp; B175, VLOOKUP(B175,'NY Contract'!$A$1:$E$157,2,FALSE))</f>
        <v>NNY Svcs-Cfg-Clean</v>
      </c>
      <c r="I175" s="106">
        <f>IF(NOT(ISNA(VLOOKUP(B175,'FL Contract Prices'!$A$2:$C$71,3,FALSE))),VLOOKUP(B175,'FL Contract Prices'!$A$2:$C$71,3,FALSE),ROUND(D175*0.7,-1))</f>
        <v>350</v>
      </c>
      <c r="J175" s="106" t="str">
        <f>IF(NOT(ISNA(VLOOKUP(B175,'FL Part Num Mapping'!$A$2:$B$71,1,FALSE))),VLOOKUP(B175,'FL Part Num Mapping'!$A$2:$B$71,2,FALSE),"NFL "&amp; B175)</f>
        <v>NFL Svcs-Cfg-Clean</v>
      </c>
      <c r="K175" s="102">
        <v>1E-4</v>
      </c>
      <c r="L175" s="146" t="str">
        <f t="shared" si="68"/>
        <v>NLA Svcs-Cfg-Clean</v>
      </c>
      <c r="M175" s="146"/>
      <c r="N175" s="146"/>
      <c r="O175" s="155"/>
      <c r="P175" s="150">
        <v>150</v>
      </c>
      <c r="Q175" s="83"/>
      <c r="R175" s="83"/>
      <c r="S175" s="83"/>
      <c r="T175" s="83"/>
      <c r="U175" s="83"/>
      <c r="V175" s="83"/>
      <c r="W175" s="83"/>
      <c r="X175" s="83" t="s">
        <v>785</v>
      </c>
    </row>
    <row r="176" spans="1:24" ht="15" customHeight="1" x14ac:dyDescent="0.25">
      <c r="A176" s="82" t="s">
        <v>786</v>
      </c>
      <c r="B176" s="82" t="s">
        <v>787</v>
      </c>
      <c r="C176" s="82" t="s">
        <v>788</v>
      </c>
      <c r="D176" s="84">
        <f t="shared" si="66"/>
        <v>500</v>
      </c>
      <c r="E176" s="128">
        <f t="shared" si="64"/>
        <v>150</v>
      </c>
      <c r="F176" s="86" t="s">
        <v>178</v>
      </c>
      <c r="G176" s="102">
        <f>_xlfn.IFNA(VLOOKUP(B176,'NY Sole Source'!A:B,2,FALSE), D176*0.7)</f>
        <v>350</v>
      </c>
      <c r="H176" s="102" t="str">
        <f>IF(ISNA(VLOOKUP(B176,'NY Contract'!$A$1:$E$157,2,FALSE)),"NNY "&amp; B176, VLOOKUP(B176,'NY Contract'!$A$1:$E$157,2,FALSE))</f>
        <v>NNY Svcs-Cfg-Submission</v>
      </c>
      <c r="I176" s="106">
        <f>IF(NOT(ISNA(VLOOKUP(B176,'FL Contract Prices'!$A$2:$C$71,3,FALSE))),VLOOKUP(B176,'FL Contract Prices'!$A$2:$C$71,3,FALSE),ROUND(D176*0.7,-1))</f>
        <v>350</v>
      </c>
      <c r="J176" s="106" t="str">
        <f>IF(NOT(ISNA(VLOOKUP(B176,'FL Part Num Mapping'!$A$2:$B$71,1,FALSE))),VLOOKUP(B176,'FL Part Num Mapping'!$A$2:$B$71,2,FALSE),"NFL "&amp; B176)</f>
        <v>NFL Svcs-Cfg-Submission</v>
      </c>
      <c r="K176" s="102">
        <v>1E-4</v>
      </c>
      <c r="L176" s="146" t="str">
        <f t="shared" si="68"/>
        <v>NLA Svcs-Cfg-Submission</v>
      </c>
      <c r="M176" s="146"/>
      <c r="N176" s="146"/>
      <c r="O176" s="155"/>
      <c r="P176" s="150">
        <v>150</v>
      </c>
      <c r="Q176" s="83"/>
      <c r="R176" s="83"/>
      <c r="S176" s="83"/>
      <c r="T176" s="83"/>
      <c r="U176" s="83"/>
      <c r="V176" s="83"/>
      <c r="W176" s="83"/>
      <c r="X176" s="83" t="s">
        <v>789</v>
      </c>
    </row>
    <row r="177" spans="1:24" ht="15" customHeight="1" x14ac:dyDescent="0.25">
      <c r="A177" s="82" t="s">
        <v>790</v>
      </c>
      <c r="B177" s="83" t="s">
        <v>791</v>
      </c>
      <c r="C177" s="82" t="s">
        <v>792</v>
      </c>
      <c r="D177" s="84">
        <f t="shared" si="66"/>
        <v>500</v>
      </c>
      <c r="E177" s="128">
        <f t="shared" si="64"/>
        <v>150</v>
      </c>
      <c r="F177" s="86" t="s">
        <v>178</v>
      </c>
      <c r="G177" s="102">
        <f>_xlfn.IFNA(VLOOKUP(B177,'NY Sole Source'!A:B,2,FALSE), D177*0.7)</f>
        <v>350</v>
      </c>
      <c r="H177" s="102" t="str">
        <f>IF(ISNA(VLOOKUP(B177,'NY Contract'!$A$1:$E$157,2,FALSE)),"NNY "&amp; B177, VLOOKUP(B177,'NY Contract'!$A$1:$E$157,2,FALSE))</f>
        <v>NNY Svcs-Office</v>
      </c>
      <c r="I177" s="106">
        <f>IF(NOT(ISNA(VLOOKUP(B177,'FL Contract Prices'!$A$2:$C$71,3,FALSE))),VLOOKUP(B177,'FL Contract Prices'!$A$2:$C$71,3,FALSE),ROUND(D177*0.7,-1))</f>
        <v>350</v>
      </c>
      <c r="J177" s="106" t="str">
        <f>IF(NOT(ISNA(VLOOKUP(B177,'FL Part Num Mapping'!$A$2:$B$71,1,FALSE))),VLOOKUP(B177,'FL Part Num Mapping'!$A$2:$B$71,2,FALSE),"NFL "&amp; B177)</f>
        <v>NFL Svcs-Office</v>
      </c>
      <c r="K177" s="102">
        <v>1E-4</v>
      </c>
      <c r="L177" s="146" t="str">
        <f t="shared" si="68"/>
        <v>NLA Svcs-Office</v>
      </c>
      <c r="M177" s="146"/>
      <c r="N177" s="146"/>
      <c r="O177" s="155"/>
      <c r="P177" s="150">
        <v>150</v>
      </c>
      <c r="Q177" s="83"/>
      <c r="R177" s="83"/>
      <c r="S177" s="83"/>
      <c r="T177" s="83"/>
      <c r="U177" s="83"/>
      <c r="V177" s="83"/>
      <c r="W177" s="83"/>
      <c r="X177" s="83" t="s">
        <v>793</v>
      </c>
    </row>
    <row r="178" spans="1:24" ht="45" customHeight="1" x14ac:dyDescent="0.25">
      <c r="A178" s="82" t="s">
        <v>118</v>
      </c>
      <c r="B178" s="83" t="s">
        <v>794</v>
      </c>
      <c r="C178" s="82" t="s">
        <v>795</v>
      </c>
      <c r="D178" s="84">
        <f t="shared" si="66"/>
        <v>0</v>
      </c>
      <c r="E178" s="128">
        <f t="shared" si="64"/>
        <v>0</v>
      </c>
      <c r="F178" s="86" t="s">
        <v>178</v>
      </c>
      <c r="G178" s="102">
        <f>_xlfn.IFNA(VLOOKUP(B178,'NY Sole Source'!A:B,2,FALSE), D178*0.7)</f>
        <v>0</v>
      </c>
      <c r="H178" s="102" t="str">
        <f>IF(ISNA(VLOOKUP(B178,'NY Contract'!$A$1:$E$157,2,FALSE)),"NNY "&amp; B178, VLOOKUP(B178,'NY Contract'!$A$1:$E$157,2,FALSE))</f>
        <v>NNY Svcs-InstallTrain</v>
      </c>
      <c r="I178" s="106">
        <f>IF(NOT(ISNA(VLOOKUP(B178,'FL Contract Prices'!$A$2:$C$71,3,FALSE))),VLOOKUP(B178,'FL Contract Prices'!$A$2:$C$71,3,FALSE),ROUND(D178*0.7,-1))</f>
        <v>0</v>
      </c>
      <c r="J178" s="106" t="str">
        <f>IF(NOT(ISNA(VLOOKUP(B178,'FL Part Num Mapping'!$A$2:$B$71,1,FALSE))),VLOOKUP(B178,'FL Part Num Mapping'!$A$2:$B$71,2,FALSE),"NFL "&amp; B178)</f>
        <v>NFL Svcs-InstallTrain</v>
      </c>
      <c r="K178" s="102">
        <v>900</v>
      </c>
      <c r="L178" s="146" t="s">
        <v>796</v>
      </c>
      <c r="M178" s="146"/>
      <c r="N178" s="146"/>
      <c r="O178" s="155"/>
      <c r="P178" s="150"/>
      <c r="Q178" s="83"/>
      <c r="R178" s="83"/>
      <c r="S178" s="83"/>
      <c r="T178" s="83"/>
      <c r="U178" s="83"/>
      <c r="V178" s="83"/>
      <c r="W178" s="83"/>
      <c r="X178" s="83" t="s">
        <v>797</v>
      </c>
    </row>
    <row r="179" spans="1:24" ht="30" customHeight="1" x14ac:dyDescent="0.25">
      <c r="A179" s="82" t="s">
        <v>798</v>
      </c>
      <c r="B179" s="83" t="s">
        <v>799</v>
      </c>
      <c r="C179" s="82" t="s">
        <v>800</v>
      </c>
      <c r="D179" s="84">
        <f t="shared" si="66"/>
        <v>0</v>
      </c>
      <c r="E179" s="128">
        <f t="shared" si="64"/>
        <v>0</v>
      </c>
      <c r="F179" s="86" t="s">
        <v>178</v>
      </c>
      <c r="G179" s="102">
        <f>_xlfn.IFNA(VLOOKUP(B179,'NY Sole Source'!A:B,2,FALSE), D179*0.7)</f>
        <v>0</v>
      </c>
      <c r="H179" s="102" t="str">
        <f>IF(ISNA(VLOOKUP(B179,'NY Contract'!$A$1:$E$157,2,FALSE)),"NNY "&amp; B179, VLOOKUP(B179,'NY Contract'!$A$1:$E$157,2,FALSE))</f>
        <v>NNY Svcs-Install</v>
      </c>
      <c r="I179" s="106">
        <f>IF(NOT(ISNA(VLOOKUP(B179,'FL Contract Prices'!$A$2:$C$71,3,FALSE))),VLOOKUP(B179,'FL Contract Prices'!$A$2:$C$71,3,FALSE),ROUND(D179*0.7,-1))</f>
        <v>0</v>
      </c>
      <c r="J179" s="106" t="str">
        <f>IF(NOT(ISNA(VLOOKUP(B179,'FL Part Num Mapping'!$A$2:$B$71,1,FALSE))),VLOOKUP(B179,'FL Part Num Mapping'!$A$2:$B$71,2,FALSE),"NFL "&amp; B179)</f>
        <v>NFL Svcs-Install</v>
      </c>
      <c r="K179" s="102">
        <v>200</v>
      </c>
      <c r="L179" s="146" t="s">
        <v>801</v>
      </c>
      <c r="M179" s="146"/>
      <c r="N179" s="146"/>
      <c r="O179" s="155"/>
      <c r="P179" s="150"/>
      <c r="Q179" s="83"/>
      <c r="R179" s="83"/>
      <c r="S179" s="83"/>
      <c r="T179" s="83"/>
      <c r="U179" s="83"/>
      <c r="V179" s="83"/>
      <c r="W179" s="83"/>
      <c r="X179" s="83" t="s">
        <v>802</v>
      </c>
    </row>
    <row r="180" spans="1:24" ht="30" x14ac:dyDescent="0.25">
      <c r="A180" s="82" t="s">
        <v>803</v>
      </c>
      <c r="B180" s="82" t="s">
        <v>804</v>
      </c>
      <c r="C180" s="82" t="s">
        <v>805</v>
      </c>
      <c r="D180" s="84">
        <f t="shared" si="66"/>
        <v>0</v>
      </c>
      <c r="E180" s="128">
        <f t="shared" si="64"/>
        <v>0</v>
      </c>
      <c r="F180" s="86" t="s">
        <v>178</v>
      </c>
      <c r="G180" s="102">
        <f>_xlfn.IFNA(VLOOKUP(B180,'NY Sole Source'!A:B,2,FALSE), D180*0.7)</f>
        <v>0</v>
      </c>
      <c r="H180" s="102" t="str">
        <f>IF(ISNA(VLOOKUP(B180,'NY Contract'!$A$1:$E$157,2,FALSE)),"NNY "&amp; B180, VLOOKUP(B180,'NY Contract'!$A$1:$E$157,2,FALSE))</f>
        <v>NNY Svcs-Paperwork</v>
      </c>
      <c r="I180" s="106">
        <f>IF(NOT(ISNA(VLOOKUP(B180,'FL Contract Prices'!$A$2:$C$71,3,FALSE))),VLOOKUP(B180,'FL Contract Prices'!$A$2:$C$71,3,FALSE),ROUND(D180*0.7,-1))</f>
        <v>0</v>
      </c>
      <c r="J180" s="106" t="str">
        <f>IF(NOT(ISNA(VLOOKUP(B180,'FL Part Num Mapping'!$A$2:$B$71,1,FALSE))),VLOOKUP(B180,'FL Part Num Mapping'!$A$2:$B$71,2,FALSE),"NFL "&amp; B180)</f>
        <v>NFL Svcs-Paperwork</v>
      </c>
      <c r="K180" s="102">
        <v>1E-4</v>
      </c>
      <c r="L180" s="146" t="str">
        <f>"NLA "&amp;B180</f>
        <v>NLA Svcs-Paperwork</v>
      </c>
      <c r="M180" s="146"/>
      <c r="N180" s="146"/>
      <c r="O180" s="155"/>
      <c r="P180" s="150">
        <v>0</v>
      </c>
      <c r="Q180" s="83"/>
      <c r="R180" s="83"/>
      <c r="S180" s="83"/>
      <c r="T180" s="83"/>
      <c r="U180" s="83"/>
      <c r="V180" s="83"/>
      <c r="W180" s="83"/>
      <c r="X180" s="83" t="s">
        <v>806</v>
      </c>
    </row>
    <row r="181" spans="1:24" ht="30" x14ac:dyDescent="0.25">
      <c r="A181" s="82" t="s">
        <v>807</v>
      </c>
      <c r="B181" s="83" t="s">
        <v>808</v>
      </c>
      <c r="C181" s="82"/>
      <c r="D181" s="84">
        <f t="shared" si="66"/>
        <v>0</v>
      </c>
      <c r="E181" s="128">
        <f t="shared" ref="E181:E188" si="69">P181+Q181+T181+V181</f>
        <v>0</v>
      </c>
      <c r="F181" s="86" t="s">
        <v>178</v>
      </c>
      <c r="G181" s="102">
        <f>_xlfn.IFNA(VLOOKUP(B181,'NY Sole Source'!A:B,2,FALSE), D181*0.7)</f>
        <v>0</v>
      </c>
      <c r="H181" s="102" t="str">
        <f>IF(ISNA(VLOOKUP(B181,'NY Contract'!$A$1:$E$157,2,FALSE)),"NNY "&amp; B181, VLOOKUP(B181,'NY Contract'!$A$1:$E$157,2,FALSE))</f>
        <v>NNY Svcs-Training</v>
      </c>
      <c r="I181" s="106">
        <f>IF(NOT(ISNA(VLOOKUP(B181,'FL Contract Prices'!$A$2:$C$71,3,FALSE))),VLOOKUP(B181,'FL Contract Prices'!$A$2:$C$71,3,FALSE),ROUND(D181*0.7,-1))</f>
        <v>0</v>
      </c>
      <c r="J181" s="106" t="str">
        <f>IF(NOT(ISNA(VLOOKUP(B181,'FL Part Num Mapping'!$A$2:$B$71,1,FALSE))),VLOOKUP(B181,'FL Part Num Mapping'!$A$2:$B$71,2,FALSE),"NFL "&amp; B181)</f>
        <v>NFL Svcs-Training</v>
      </c>
      <c r="K181" s="102">
        <v>600</v>
      </c>
      <c r="L181" s="146" t="s">
        <v>809</v>
      </c>
      <c r="M181" s="146"/>
      <c r="N181" s="146"/>
      <c r="O181" s="155"/>
      <c r="P181" s="150">
        <v>0</v>
      </c>
      <c r="Q181" s="83"/>
      <c r="R181" s="83"/>
      <c r="S181" s="83"/>
      <c r="T181" s="83"/>
      <c r="U181" s="83"/>
      <c r="V181" s="83"/>
      <c r="W181" s="83"/>
      <c r="X181" s="83" t="s">
        <v>810</v>
      </c>
    </row>
    <row r="182" spans="1:24" x14ac:dyDescent="0.25">
      <c r="A182" s="82" t="s">
        <v>811</v>
      </c>
      <c r="B182" s="83" t="s">
        <v>812</v>
      </c>
      <c r="C182" s="82" t="s">
        <v>813</v>
      </c>
      <c r="D182" s="84">
        <f t="shared" ref="D182:D187" si="70">E182</f>
        <v>800</v>
      </c>
      <c r="E182" s="128">
        <f t="shared" si="69"/>
        <v>800</v>
      </c>
      <c r="F182" s="86" t="s">
        <v>178</v>
      </c>
      <c r="G182" s="102">
        <f>_xlfn.IFNA(VLOOKUP(B182,'NY Sole Source'!A:B,2,FALSE), D182*0.9)</f>
        <v>720</v>
      </c>
      <c r="H182" s="102" t="str">
        <f>IF(ISNA(VLOOKUP(B182,'NY Contract'!$A$1:$E$157,2,FALSE)),"NNY "&amp; B182, VLOOKUP(B182,'NY Contract'!$A$1:$E$157,2,FALSE))</f>
        <v>NNY Ship-Cab</v>
      </c>
      <c r="I182" s="106">
        <f>IF(NOT(ISNA(VLOOKUP(B182,'FL Contract Prices'!$A$2:$C$71,3,FALSE))),VLOOKUP(B182,'FL Contract Prices'!$A$2:$C$71,3,FALSE),ROUND(D182*0.9,-1))</f>
        <v>570</v>
      </c>
      <c r="J182" s="106" t="str">
        <f>IF(NOT(ISNA(VLOOKUP(B182,'FL Part Num Mapping'!$A$2:$B$71,1,FALSE))),VLOOKUP(B182,'FL Part Num Mapping'!$A$2:$B$71,2,FALSE),"NFL "&amp; B182)</f>
        <v>SVCS-SHP-CAB</v>
      </c>
      <c r="K182" s="102">
        <v>1E-4</v>
      </c>
      <c r="L182" s="146" t="str">
        <f t="shared" ref="L182:L198" si="71">"NLA "&amp;B182</f>
        <v>NLA Ship-Cab</v>
      </c>
      <c r="M182" s="146"/>
      <c r="N182" s="146"/>
      <c r="O182" s="155"/>
      <c r="P182" s="150">
        <v>800</v>
      </c>
      <c r="Q182" s="83"/>
      <c r="R182" s="83"/>
      <c r="S182" s="83"/>
      <c r="T182" s="83"/>
      <c r="U182" s="83"/>
      <c r="V182" s="83"/>
      <c r="W182" s="83"/>
      <c r="X182" s="83"/>
    </row>
    <row r="183" spans="1:24" ht="30" x14ac:dyDescent="0.25">
      <c r="A183" s="82" t="s">
        <v>814</v>
      </c>
      <c r="B183" s="83" t="s">
        <v>815</v>
      </c>
      <c r="C183" s="82" t="s">
        <v>816</v>
      </c>
      <c r="D183" s="84">
        <f t="shared" si="70"/>
        <v>90</v>
      </c>
      <c r="E183" s="128">
        <f t="shared" si="69"/>
        <v>90</v>
      </c>
      <c r="F183" s="86" t="s">
        <v>178</v>
      </c>
      <c r="G183" s="102">
        <f>_xlfn.IFNA(VLOOKUP(B183,'NY Sole Source'!A:B,2,FALSE), D183*0.9)</f>
        <v>81</v>
      </c>
      <c r="H183" s="102" t="str">
        <f>IF(ISNA(VLOOKUP(B183,'NY Contract'!$A$1:$E$157,2,FALSE)),"NNY "&amp; B183, VLOOKUP(B183,'NY Contract'!$A$1:$E$157,2,FALSE))</f>
        <v>NNY Ship-XL</v>
      </c>
      <c r="I183" s="106">
        <f>IF(NOT(ISNA(VLOOKUP(B183,'FL Contract Prices'!$A$2:$C$71,3,FALSE))),VLOOKUP(B183,'FL Contract Prices'!$A$2:$C$71,3,FALSE),ROUND(D183*0.9,-1))</f>
        <v>80</v>
      </c>
      <c r="J183" s="106" t="str">
        <f>IF(NOT(ISNA(VLOOKUP(B183,'FL Part Num Mapping'!$A$2:$B$71,1,FALSE))),VLOOKUP(B183,'FL Part Num Mapping'!$A$2:$B$71,2,FALSE),"NFL "&amp; B183)</f>
        <v>NFL Ship-XL</v>
      </c>
      <c r="K183" s="102">
        <v>1E-4</v>
      </c>
      <c r="L183" s="146" t="str">
        <f t="shared" si="71"/>
        <v>NLA Ship-XL</v>
      </c>
      <c r="M183" s="146"/>
      <c r="N183" s="146"/>
      <c r="O183" s="155"/>
      <c r="P183" s="150">
        <v>90</v>
      </c>
      <c r="Q183" s="83"/>
      <c r="R183" s="83"/>
      <c r="S183" s="83"/>
      <c r="T183" s="83"/>
      <c r="U183" s="83"/>
      <c r="V183" s="83"/>
      <c r="W183" s="83"/>
      <c r="X183" s="83"/>
    </row>
    <row r="184" spans="1:24" x14ac:dyDescent="0.25">
      <c r="A184" s="82" t="s">
        <v>121</v>
      </c>
      <c r="B184" s="83" t="s">
        <v>817</v>
      </c>
      <c r="C184" s="82" t="s">
        <v>818</v>
      </c>
      <c r="D184" s="84">
        <f t="shared" si="70"/>
        <v>60</v>
      </c>
      <c r="E184" s="128">
        <f t="shared" si="69"/>
        <v>60</v>
      </c>
      <c r="F184" s="86" t="s">
        <v>178</v>
      </c>
      <c r="G184" s="102">
        <f>_xlfn.IFNA(VLOOKUP(B184,'NY Sole Source'!A:B,2,FALSE), D184*0.9)</f>
        <v>54</v>
      </c>
      <c r="H184" s="102" t="str">
        <f>IF(ISNA(VLOOKUP(B184,'NY Contract'!$A$1:$E$157,2,FALSE)),"NNY "&amp; B184, VLOOKUP(B184,'NY Contract'!$A$1:$E$157,2,FALSE))</f>
        <v>NNY Ship-L</v>
      </c>
      <c r="I184" s="106">
        <f>IF(NOT(ISNA(VLOOKUP(B184,'FL Contract Prices'!$A$2:$C$71,3,FALSE))),VLOOKUP(B184,'FL Contract Prices'!$A$2:$C$71,3,FALSE),ROUND(D184*0.9,-1))</f>
        <v>82.08</v>
      </c>
      <c r="J184" s="106" t="str">
        <f>IF(NOT(ISNA(VLOOKUP(B184,'FL Part Num Mapping'!$A$2:$B$71,1,FALSE))),VLOOKUP(B184,'FL Part Num Mapping'!$A$2:$B$71,2,FALSE),"NFL "&amp; B184)</f>
        <v>SVCS-SHP</v>
      </c>
      <c r="K184" s="102">
        <v>1E-4</v>
      </c>
      <c r="L184" s="146" t="str">
        <f t="shared" si="71"/>
        <v>NLA Ship-L</v>
      </c>
      <c r="M184" s="146"/>
      <c r="N184" s="146"/>
      <c r="O184" s="155"/>
      <c r="P184" s="150">
        <v>60</v>
      </c>
      <c r="Q184" s="83"/>
      <c r="R184" s="83"/>
      <c r="S184" s="83"/>
      <c r="T184" s="83"/>
      <c r="U184" s="83"/>
      <c r="V184" s="83"/>
      <c r="W184" s="83"/>
      <c r="X184" s="83"/>
    </row>
    <row r="185" spans="1:24" x14ac:dyDescent="0.25">
      <c r="A185" s="82" t="s">
        <v>819</v>
      </c>
      <c r="B185" s="83" t="s">
        <v>820</v>
      </c>
      <c r="C185" s="82" t="s">
        <v>821</v>
      </c>
      <c r="D185" s="84">
        <f t="shared" si="70"/>
        <v>40</v>
      </c>
      <c r="E185" s="128">
        <f t="shared" si="69"/>
        <v>40</v>
      </c>
      <c r="F185" s="86" t="s">
        <v>178</v>
      </c>
      <c r="G185" s="102">
        <f>_xlfn.IFNA(VLOOKUP(B185,'NY Sole Source'!A:B,2,FALSE), D185*0.9)</f>
        <v>36</v>
      </c>
      <c r="H185" s="102" t="str">
        <f>IF(ISNA(VLOOKUP(B185,'NY Contract'!$A$1:$E$157,2,FALSE)),"NNY "&amp; B185, VLOOKUP(B185,'NY Contract'!$A$1:$E$157,2,FALSE))</f>
        <v>NNY Ship-M</v>
      </c>
      <c r="I185" s="106">
        <f>IF(NOT(ISNA(VLOOKUP(B185,'FL Contract Prices'!$A$2:$C$71,3,FALSE))),VLOOKUP(B185,'FL Contract Prices'!$A$2:$C$71,3,FALSE),ROUND(D185*0.9,-1))</f>
        <v>40</v>
      </c>
      <c r="J185" s="106" t="str">
        <f>IF(NOT(ISNA(VLOOKUP(B185,'FL Part Num Mapping'!$A$2:$B$71,1,FALSE))),VLOOKUP(B185,'FL Part Num Mapping'!$A$2:$B$71,2,FALSE),"NFL "&amp; B185)</f>
        <v>NFL Ship-M</v>
      </c>
      <c r="K185" s="102">
        <v>1E-4</v>
      </c>
      <c r="L185" s="146" t="str">
        <f t="shared" si="71"/>
        <v>NLA Ship-M</v>
      </c>
      <c r="M185" s="146"/>
      <c r="N185" s="146"/>
      <c r="O185" s="155"/>
      <c r="P185" s="150">
        <v>40</v>
      </c>
      <c r="Q185" s="83"/>
      <c r="R185" s="83"/>
      <c r="S185" s="83"/>
      <c r="T185" s="83"/>
      <c r="U185" s="83"/>
      <c r="V185" s="83"/>
      <c r="W185" s="83"/>
      <c r="X185" s="83" t="s">
        <v>822</v>
      </c>
    </row>
    <row r="186" spans="1:24" x14ac:dyDescent="0.25">
      <c r="A186" s="82" t="s">
        <v>823</v>
      </c>
      <c r="B186" s="83" t="s">
        <v>824</v>
      </c>
      <c r="C186" s="82" t="s">
        <v>825</v>
      </c>
      <c r="D186" s="84">
        <f t="shared" si="70"/>
        <v>20</v>
      </c>
      <c r="E186" s="128">
        <f t="shared" si="69"/>
        <v>20</v>
      </c>
      <c r="F186" s="86" t="s">
        <v>178</v>
      </c>
      <c r="G186" s="102">
        <f>_xlfn.IFNA(VLOOKUP(B186,'NY Sole Source'!A:B,2,FALSE), D186*0.9)</f>
        <v>18</v>
      </c>
      <c r="H186" s="102" t="str">
        <f>IF(ISNA(VLOOKUP(B186,'NY Contract'!$A$1:$E$157,2,FALSE)),"NNY "&amp; B186, VLOOKUP(B186,'NY Contract'!$A$1:$E$157,2,FALSE))</f>
        <v>NNY Ship-S</v>
      </c>
      <c r="I186" s="106">
        <f>IF(NOT(ISNA(VLOOKUP(B186,'FL Contract Prices'!$A$2:$C$71,3,FALSE))),VLOOKUP(B186,'FL Contract Prices'!$A$2:$C$71,3,FALSE),ROUND(D186*0.9,-1))</f>
        <v>20</v>
      </c>
      <c r="J186" s="106" t="str">
        <f>IF(NOT(ISNA(VLOOKUP(B186,'FL Part Num Mapping'!$A$2:$B$71,1,FALSE))),VLOOKUP(B186,'FL Part Num Mapping'!$A$2:$B$71,2,FALSE),"NFL "&amp; B186)</f>
        <v>NFL Ship-S</v>
      </c>
      <c r="K186" s="102">
        <v>1E-4</v>
      </c>
      <c r="L186" s="146" t="str">
        <f t="shared" si="71"/>
        <v>NLA Ship-S</v>
      </c>
      <c r="M186" s="146"/>
      <c r="N186" s="146"/>
      <c r="O186" s="155"/>
      <c r="P186" s="150">
        <v>20</v>
      </c>
      <c r="Q186" s="83"/>
      <c r="R186" s="83"/>
      <c r="S186" s="83"/>
      <c r="T186" s="83"/>
      <c r="U186" s="83"/>
      <c r="V186" s="83"/>
      <c r="W186" s="83"/>
      <c r="X186" s="83"/>
    </row>
    <row r="187" spans="1:24" x14ac:dyDescent="0.25">
      <c r="A187" s="82" t="s">
        <v>826</v>
      </c>
      <c r="B187" s="83" t="s">
        <v>827</v>
      </c>
      <c r="C187" s="82" t="s">
        <v>828</v>
      </c>
      <c r="D187" s="84">
        <f t="shared" si="70"/>
        <v>140</v>
      </c>
      <c r="E187" s="128">
        <f t="shared" si="69"/>
        <v>140</v>
      </c>
      <c r="F187" s="86" t="s">
        <v>178</v>
      </c>
      <c r="G187" s="102">
        <f>_xlfn.IFNA(VLOOKUP(B187,'NY Sole Source'!A:B,2,FALSE), D187*0.9)</f>
        <v>126</v>
      </c>
      <c r="H187" s="102" t="str">
        <f>IF(ISNA(VLOOKUP(B187,'NY Contract'!$A$1:$E$157,2,FALSE)),"NNY "&amp; B187, VLOOKUP(B187,'NY Contract'!$A$1:$E$157,2,FALSE))</f>
        <v>NNY Ship-1DSys</v>
      </c>
      <c r="I187" s="106">
        <f>IF(NOT(ISNA(VLOOKUP(B187,'FL Contract Prices'!$A$2:$C$71,3,FALSE))),VLOOKUP(B187,'FL Contract Prices'!$A$2:$C$71,3,FALSE),ROUND(D187*0.9,-1))</f>
        <v>130</v>
      </c>
      <c r="J187" s="106" t="str">
        <f>IF(NOT(ISNA(VLOOKUP(B187,'FL Part Num Mapping'!$A$2:$B$71,1,FALSE))),VLOOKUP(B187,'FL Part Num Mapping'!$A$2:$B$71,2,FALSE),"NFL "&amp; B187)</f>
        <v>NFL Ship-1DSys</v>
      </c>
      <c r="K187" s="102">
        <v>1E-4</v>
      </c>
      <c r="L187" s="146" t="str">
        <f t="shared" si="71"/>
        <v>NLA Ship-1DSys</v>
      </c>
      <c r="M187" s="146"/>
      <c r="N187" s="146"/>
      <c r="O187" s="155"/>
      <c r="P187" s="150">
        <v>140</v>
      </c>
      <c r="Q187" s="83"/>
      <c r="R187" s="83"/>
      <c r="S187" s="83"/>
      <c r="T187" s="83"/>
      <c r="U187" s="83"/>
      <c r="V187" s="83"/>
      <c r="W187" s="83"/>
      <c r="X187" s="83" t="s">
        <v>829</v>
      </c>
    </row>
    <row r="188" spans="1:24" x14ac:dyDescent="0.25">
      <c r="A188" s="94" t="s">
        <v>830</v>
      </c>
      <c r="B188" s="95" t="s">
        <v>831</v>
      </c>
      <c r="C188" s="94" t="s">
        <v>832</v>
      </c>
      <c r="D188" s="84">
        <f>IF(E188&lt;20, ROUNDUP(E188/0.3,0), ROUNDUP(E188/0.3,-1))</f>
        <v>270</v>
      </c>
      <c r="E188" s="128">
        <f t="shared" si="69"/>
        <v>80</v>
      </c>
      <c r="F188" s="86" t="s">
        <v>178</v>
      </c>
      <c r="G188" s="102">
        <f>_xlfn.IFNA(VLOOKUP(B188,'NY Sole Source'!A:B,2,FALSE), D188*0.9)</f>
        <v>243</v>
      </c>
      <c r="H188" s="102" t="str">
        <f>IF(ISNA(VLOOKUP(B188,'NY Contract'!$A$1:$E$157,2,FALSE)),"NNY "&amp; B188, VLOOKUP(B188,'NY Contract'!$A$1:$E$157,2,FALSE))</f>
        <v>NNY SW-SMTP</v>
      </c>
      <c r="I188" s="106">
        <f>IF(NOT(ISNA(VLOOKUP(B188,'FL Contract Prices'!$A$2:$C$71,3,FALSE))),VLOOKUP(B188,'FL Contract Prices'!$A$2:$C$71,3,FALSE),ROUND(D188*0.7,-1))</f>
        <v>190</v>
      </c>
      <c r="J188" s="106" t="str">
        <f>IF(NOT(ISNA(VLOOKUP(B188,'FL Part Num Mapping'!$A$2:$B$71,1,FALSE))),VLOOKUP(B188,'FL Part Num Mapping'!$A$2:$B$71,2,FALSE),"NFL "&amp; B188)</f>
        <v>NFL SW-SMTP</v>
      </c>
      <c r="K188" s="102">
        <v>1E-4</v>
      </c>
      <c r="L188" s="146" t="str">
        <f t="shared" si="71"/>
        <v>NLA SW-SMTP</v>
      </c>
      <c r="M188" s="146"/>
      <c r="N188" s="146"/>
      <c r="O188" s="155"/>
      <c r="P188" s="150">
        <v>80</v>
      </c>
      <c r="Q188" s="83"/>
      <c r="R188" s="83"/>
      <c r="S188" s="83"/>
      <c r="T188" s="83"/>
      <c r="U188" s="83"/>
      <c r="V188" s="83"/>
      <c r="W188" s="83"/>
      <c r="X188" s="95" t="s">
        <v>833</v>
      </c>
    </row>
    <row r="189" spans="1:24" ht="30" x14ac:dyDescent="0.25">
      <c r="A189" s="82" t="s">
        <v>834</v>
      </c>
      <c r="B189" s="83" t="s">
        <v>835</v>
      </c>
      <c r="C189" s="82" t="s">
        <v>836</v>
      </c>
      <c r="D189" s="84">
        <f>D$127+D$116+D$75+D$164</f>
        <v>4890</v>
      </c>
      <c r="E189" s="128">
        <f>E$127+E$116+E$75+E$164</f>
        <v>2173.7735294117647</v>
      </c>
      <c r="F189" s="86" t="s">
        <v>199</v>
      </c>
      <c r="G189" s="102">
        <f>_xlfn.IFNA(VLOOKUP(B189,'NY Sole Source'!A:B,2,FALSE), D189*0.9)</f>
        <v>3863.1000000000004</v>
      </c>
      <c r="H189" s="102" t="str">
        <f>IF(ISNA(VLOOKUP(B189,'NY Contract'!$A$1:$E$157,2,FALSE)),"NNY "&amp; B189, VLOOKUP(B189,'NY Contract'!$A$1:$E$157,2,FALSE))</f>
        <v>NNY Sys-2F-DT</v>
      </c>
      <c r="I189" s="106">
        <f>IF(NOT(ISNA(VLOOKUP(B189,'FL Contract Prices'!$A$2:$C$71,3,FALSE))),VLOOKUP(B189,'FL Contract Prices'!$A$2:$C$71,3,FALSE),ROUND(D189*0.7,-1))</f>
        <v>3947.3157894736801</v>
      </c>
      <c r="J189" s="106" t="str">
        <f>IF(NOT(ISNA(VLOOKUP(B189,'FL Part Num Mapping'!$A$2:$B$71,1,FALSE))),VLOOKUP(B189,'FL Part Num Mapping'!$A$2:$B$71,2,FALSE),"NFL "&amp; B189)</f>
        <v>LS4G-FL-2F-DT</v>
      </c>
      <c r="K189" s="102">
        <v>1E-4</v>
      </c>
      <c r="L189" s="146" t="str">
        <f t="shared" si="71"/>
        <v>NLA Sys-2F-DT</v>
      </c>
      <c r="M189" s="146"/>
      <c r="N189" s="146"/>
      <c r="O189" s="155"/>
      <c r="P189" s="150">
        <f>P$127+P$116+P$75+P$164</f>
        <v>2080</v>
      </c>
      <c r="Q189" s="48"/>
      <c r="R189" s="88"/>
      <c r="S189" s="88"/>
      <c r="T189" s="48"/>
      <c r="U189" s="48"/>
      <c r="V189" s="48"/>
      <c r="W189" s="83"/>
      <c r="X189" s="83"/>
    </row>
    <row r="190" spans="1:24" ht="30" x14ac:dyDescent="0.25">
      <c r="A190" s="82" t="s">
        <v>837</v>
      </c>
      <c r="B190" s="83" t="s">
        <v>838</v>
      </c>
      <c r="C190" s="82" t="s">
        <v>839</v>
      </c>
      <c r="D190" s="84">
        <f>D$127+D$116+D$97+D$164</f>
        <v>4740</v>
      </c>
      <c r="E190" s="128">
        <f>E$127+E$116+E$97+E$164</f>
        <v>2086.1568627450979</v>
      </c>
      <c r="F190" s="86" t="s">
        <v>199</v>
      </c>
      <c r="G190" s="102">
        <f>_xlfn.IFNA(VLOOKUP(B190,'NY Sole Source'!A:B,2,FALSE), D190*0.9)</f>
        <v>3744.6000000000004</v>
      </c>
      <c r="H190" s="102" t="str">
        <f>IF(ISNA(VLOOKUP(B190,'NY Contract'!$A$1:$E$157,2,FALSE)),"NNY "&amp; B190, VLOOKUP(B190,'NY Contract'!$A$1:$E$157,2,FALSE))</f>
        <v>NNY Sys-2F-LT</v>
      </c>
      <c r="I190" s="106">
        <f>IF(NOT(ISNA(VLOOKUP(B190,'FL Contract Prices'!$A$2:$C$71,3,FALSE))),VLOOKUP(B190,'FL Contract Prices'!$A$2:$C$71,3,FALSE),ROUND(D190*0.7,-1))</f>
        <v>3859.894736842105</v>
      </c>
      <c r="J190" s="106" t="str">
        <f>IF(NOT(ISNA(VLOOKUP(B190,'FL Part Num Mapping'!$A$2:$B$71,1,FALSE))),VLOOKUP(B190,'FL Part Num Mapping'!$A$2:$B$71,2,FALSE),"NFL "&amp; B190)</f>
        <v>LS4G-FL-2F-LT</v>
      </c>
      <c r="K190" s="102">
        <v>1E-4</v>
      </c>
      <c r="L190" s="146" t="str">
        <f t="shared" si="71"/>
        <v>NLA Sys-2F-LT</v>
      </c>
      <c r="M190" s="146"/>
      <c r="N190" s="146"/>
      <c r="O190" s="155"/>
      <c r="P190" s="150">
        <f>P$127+P$116+P$97+P$164</f>
        <v>2025</v>
      </c>
      <c r="Q190" s="48"/>
      <c r="R190" s="88"/>
      <c r="S190" s="88"/>
      <c r="T190" s="48"/>
      <c r="U190" s="48"/>
      <c r="V190" s="48"/>
      <c r="W190" s="83"/>
      <c r="X190" s="83"/>
    </row>
    <row r="191" spans="1:24" ht="150" x14ac:dyDescent="0.25">
      <c r="A191" s="82" t="s">
        <v>840</v>
      </c>
      <c r="B191" s="129" t="s">
        <v>841</v>
      </c>
      <c r="C191" s="129" t="s">
        <v>842</v>
      </c>
      <c r="D191" s="84">
        <f>D$108+D$133+D$129+D$67+D$102+D$140+D$42+D$138+D$41+D$44+D$49+D$137+D$98+D$164+D$147*2+D$159+D$184*4+D$30+D$182+D$31</f>
        <v>45480</v>
      </c>
      <c r="E191" s="128">
        <f>E$108+E$133+E$129+E$67+E$102+E$140+E$42+E$138+E$41+E$44+E$49+E$98+E$164+E$147*2+E$159+E$184*4+E$30+E$182+E28</f>
        <v>21219.125228758166</v>
      </c>
      <c r="F191" s="86" t="s">
        <v>199</v>
      </c>
      <c r="G191" s="102">
        <f>_xlfn.IFNA(VLOOKUP(B191,'NY Sole Source'!A:B,2,FALSE), D191*0.9)</f>
        <v>40932</v>
      </c>
      <c r="H191" s="102" t="str">
        <f>IF(ISNA(VLOOKUP(B191,'NY Contract'!$A$1:$E$157,2,FALSE)),"NNY "&amp; B191, VLOOKUP(B191,'NY Contract'!$A$1:$E$157,2,FALSE))</f>
        <v>NNY Sys-1000-CAB</v>
      </c>
      <c r="I191" s="106">
        <f>IF(NOT(ISNA(VLOOKUP(B191,'FL Contract Prices'!$A$2:$C$71,3,FALSE))),VLOOKUP(B191,'FL Contract Prices'!$A$2:$C$71,3,FALSE),ROUND(D191*0.7,-1))</f>
        <v>31840</v>
      </c>
      <c r="J191" s="106" t="str">
        <f>IF(NOT(ISNA(VLOOKUP(B191,'FL Part Num Mapping'!$A$2:$B$71,1,FALSE))),VLOOKUP(B191,'FL Part Num Mapping'!$A$2:$B$71,2,FALSE),"NFL "&amp; B191)</f>
        <v>NFL Sys-1000-CAB</v>
      </c>
      <c r="K191" s="102">
        <v>1E-4</v>
      </c>
      <c r="L191" s="146" t="str">
        <f t="shared" si="71"/>
        <v>NLA Sys-1000-CAB</v>
      </c>
      <c r="M191" s="146"/>
      <c r="N191" s="146"/>
      <c r="O191" s="155"/>
      <c r="P191" s="150">
        <f>P$108+P$133+P$129+P$67+P$102+P$140+P$42+P$138+P$41+P$44+P$49+P$98+P$164+P$147*2+P$159+P$184*4+P$30+P$182+P28</f>
        <v>20649.77</v>
      </c>
      <c r="Q191" s="48"/>
      <c r="R191" s="88"/>
      <c r="S191" s="88"/>
      <c r="T191" s="48"/>
      <c r="U191" s="48"/>
      <c r="V191" s="48"/>
      <c r="W191" s="83"/>
      <c r="X191" s="83"/>
    </row>
    <row r="192" spans="1:24" ht="135" x14ac:dyDescent="0.25">
      <c r="A192" s="82" t="s">
        <v>843</v>
      </c>
      <c r="B192" s="129" t="s">
        <v>844</v>
      </c>
      <c r="C192" s="129" t="s">
        <v>845</v>
      </c>
      <c r="D192" s="128">
        <f>D$108+D$133+D$129+D$67+D$102+D$140+D$42+D$138+D$41+D$44+D$49+D$98+D$164+D$147*2+D$159+D$184*4</f>
        <v>37750</v>
      </c>
      <c r="E192" s="128">
        <f>E$108+E$133+E$129+E$67+E$102+E$140+E$42+E$138+E$41+E$44+E$49+E$98+E$164+E$147*2+E$159+E$184*4</f>
        <v>17016.340915032677</v>
      </c>
      <c r="F192" s="86" t="s">
        <v>199</v>
      </c>
      <c r="G192" s="102">
        <f>_xlfn.IFNA(VLOOKUP(B192,'NY Sole Source'!A:B,2,FALSE), D192*0.9)</f>
        <v>33975</v>
      </c>
      <c r="H192" s="102" t="str">
        <f>IF(ISNA(VLOOKUP(B192,'NY Contract'!$A$1:$E$157,2,FALSE)),"NNY "&amp; B192, VLOOKUP(B192,'NY Contract'!$A$1:$E$157,2,FALSE))</f>
        <v>NNY Sys-1000-DT</v>
      </c>
      <c r="I192" s="106">
        <f>IF(NOT(ISNA(VLOOKUP(B192,'FL Contract Prices'!$A$2:$C$71,3,FALSE))),VLOOKUP(B192,'FL Contract Prices'!$A$2:$C$71,3,FALSE),ROUND(D192*0.7,-1))</f>
        <v>21203.276842105261</v>
      </c>
      <c r="J192" s="106" t="str">
        <f>IF(NOT(ISNA(VLOOKUP(B192,'FL Part Num Mapping'!$A$2:$B$71,1,FALSE))),VLOOKUP(B192,'FL Part Num Mapping'!$A$2:$B$71,2,FALSE),"NFL "&amp; B192)</f>
        <v>LS4G-FL-1000-DT</v>
      </c>
      <c r="K192" s="102">
        <v>1E-4</v>
      </c>
      <c r="L192" s="146" t="str">
        <f t="shared" si="71"/>
        <v>NLA Sys-1000-DT</v>
      </c>
      <c r="M192" s="146"/>
      <c r="N192" s="146"/>
      <c r="O192" s="155"/>
      <c r="P192" s="150">
        <f>P$108+P$133+P$129+P$67+P$102+P$140+P$42+P$138+P$41+P$44+P$49+P$98+P$164+P$147*2+P$159+P$184*4</f>
        <v>16819.77</v>
      </c>
      <c r="Q192" s="48"/>
      <c r="R192" s="88"/>
      <c r="S192" s="88"/>
      <c r="T192" s="48"/>
      <c r="U192" s="48"/>
      <c r="V192" s="48"/>
      <c r="W192" s="83"/>
      <c r="X192" s="83"/>
    </row>
    <row r="193" spans="1:24" ht="150" x14ac:dyDescent="0.25">
      <c r="A193" s="82" t="s">
        <v>846</v>
      </c>
      <c r="B193" s="129" t="s">
        <v>847</v>
      </c>
      <c r="C193" s="129" t="s">
        <v>848</v>
      </c>
      <c r="D193" s="84">
        <f>D$109+D$133+D$129+D$67+D$102+D$140+D$42+D$138+D$41+D$44+D$49+D$137+D$98+D$164+D$147*2+D$159+D$184*4+D$30+D$182+D29</f>
        <v>41480</v>
      </c>
      <c r="E193" s="84">
        <f>E$109+E$133+E$129+E$67+E$102+E$140+E$42+E$138+E$41+E$44+E$49+E$137+E$98+E$164+E$147*2+E$159+E$184*4+E$30+E$182+E29</f>
        <v>19228.811503267971</v>
      </c>
      <c r="F193" s="86" t="s">
        <v>199</v>
      </c>
      <c r="G193" s="102">
        <f>_xlfn.IFNA(VLOOKUP(B193,'NY Sole Source'!A:B,2,FALSE), D193*0.9)</f>
        <v>37332</v>
      </c>
      <c r="H193" s="102" t="str">
        <f>IF(ISNA(VLOOKUP(B193,'NY Contract'!$A$1:$E$157,2,FALSE)),"NNY "&amp; B193, VLOOKUP(B193,'NY Contract'!$A$1:$E$157,2,FALSE))</f>
        <v>NNY Sys-500-CAB</v>
      </c>
      <c r="I193" s="106">
        <f>IF(NOT(ISNA(VLOOKUP(B193,'FL Contract Prices'!$A$2:$C$71,3,FALSE))),VLOOKUP(B193,'FL Contract Prices'!$A$2:$C$71,3,FALSE),ROUND(D193*0.7,-1))</f>
        <v>23599.865263157892</v>
      </c>
      <c r="J193" s="106" t="str">
        <f>IF(NOT(ISNA(VLOOKUP(B193,'FL Part Num Mapping'!$A$2:$B$71,1,FALSE))),VLOOKUP(B193,'FL Part Num Mapping'!$A$2:$B$71,2,FALSE),"NFL "&amp; B193)</f>
        <v>LS4G-FL-500-CAB</v>
      </c>
      <c r="K193" s="102">
        <v>1E-4</v>
      </c>
      <c r="L193" s="146" t="str">
        <f t="shared" si="71"/>
        <v>NLA Sys-500-CAB</v>
      </c>
      <c r="M193" s="146"/>
      <c r="N193" s="146"/>
      <c r="O193" s="155"/>
      <c r="P193" s="150">
        <f>P$109+P$133+P$129+P$67+P$102+P$140+P$42+P$138+P$41+P$44+P$49+P$137+P$98+P$164+P$147*2+P$159+P$184*4+P$30+P$182+P29</f>
        <v>18659.77</v>
      </c>
      <c r="Q193" s="48"/>
      <c r="R193" s="88"/>
      <c r="S193" s="88"/>
      <c r="T193" s="48"/>
      <c r="U193" s="48"/>
      <c r="V193" s="48"/>
      <c r="W193" s="83"/>
      <c r="X193" s="83"/>
    </row>
    <row r="194" spans="1:24" ht="135" x14ac:dyDescent="0.25">
      <c r="A194" s="82" t="s">
        <v>849</v>
      </c>
      <c r="B194" s="129" t="s">
        <v>850</v>
      </c>
      <c r="C194" s="129" t="s">
        <v>851</v>
      </c>
      <c r="D194" s="84">
        <f>D$109+D$133+D$129+D$67+D$102+D$140+D$42+D$138+D$41+D$44+D$49+D$137+D$98+D$164+D$147*2+D$159+D$184*4</f>
        <v>34650</v>
      </c>
      <c r="E194" s="128">
        <f>E$109+E$133+E$129+E$67+E$102+E$140+E$42+E$138+E$41+E$44+E$49+E$98+E$164+E$147*2+E$159+E$184*4</f>
        <v>14866.340915032677</v>
      </c>
      <c r="F194" s="86" t="s">
        <v>199</v>
      </c>
      <c r="G194" s="102">
        <f>_xlfn.IFNA(VLOOKUP(B194,'NY Sole Source'!A:B,2,FALSE), D194*0.9)</f>
        <v>31185</v>
      </c>
      <c r="H194" s="102" t="str">
        <f>IF(ISNA(VLOOKUP(B194,'NY Contract'!$A$1:$E$157,2,FALSE)),"NNY "&amp; B194, VLOOKUP(B194,'NY Contract'!$A$1:$E$157,2,FALSE))</f>
        <v>LS-4G Lite-Ue</v>
      </c>
      <c r="I194" s="106">
        <f>IF(NOT(ISNA(VLOOKUP(B194,'FL Contract Prices'!$A$2:$C$71,3,FALSE))),VLOOKUP(B194,'FL Contract Prices'!$A$2:$C$71,3,FALSE),ROUND(D194*0.7,-1))</f>
        <v>18948.539999999997</v>
      </c>
      <c r="J194" s="106" t="str">
        <f>IF(NOT(ISNA(VLOOKUP(B194,'FL Part Num Mapping'!$A$2:$B$71,1,FALSE))),VLOOKUP(B194,'FL Part Num Mapping'!$A$2:$B$71,2,FALSE),"NFL "&amp; B194)</f>
        <v>LS4G-FL-500-DT</v>
      </c>
      <c r="K194" s="102">
        <v>1E-4</v>
      </c>
      <c r="L194" s="146" t="str">
        <f t="shared" si="71"/>
        <v>NLA Sys-500-DT</v>
      </c>
      <c r="M194" s="146"/>
      <c r="N194" s="146"/>
      <c r="O194" s="155"/>
      <c r="P194" s="150">
        <f>P$109+P$133+P$129+P$67+P$102+P$140+P$42+P$138+P$41+P$44+P$49+P$98+P$164+P$147*2+P$159+P$184*4</f>
        <v>14669.77</v>
      </c>
      <c r="Q194" s="48"/>
      <c r="R194" s="88"/>
      <c r="S194" s="88"/>
      <c r="T194" s="48"/>
      <c r="U194" s="48"/>
      <c r="V194" s="48"/>
      <c r="W194" s="83"/>
      <c r="X194" s="83"/>
    </row>
    <row r="195" spans="1:24" ht="135" x14ac:dyDescent="0.25">
      <c r="A195" s="82" t="s">
        <v>852</v>
      </c>
      <c r="B195" s="129" t="s">
        <v>853</v>
      </c>
      <c r="C195" s="129" t="s">
        <v>854</v>
      </c>
      <c r="D195" s="84">
        <f>D$120+D$133+D$129+D$67+D$102+D$140+D$42+D$138+D$41+D$44+D$49+D$137+D$98+D$164+D$147*2+D$159+D$184*4</f>
        <v>29170</v>
      </c>
      <c r="E195" s="128">
        <f>E$120+E$133+E$129+E$67+E$102+E$140+E$42+E$138+E$41+E$44+E$49+E$98+E$164+E$147*2+E$159+E$184*4</f>
        <v>11440.118692810456</v>
      </c>
      <c r="F195" s="86" t="s">
        <v>199</v>
      </c>
      <c r="G195" s="102">
        <f>_xlfn.IFNA(VLOOKUP(B195,'NY Sole Source'!A:B,2,FALSE), D195*0.9)</f>
        <v>26253</v>
      </c>
      <c r="H195" s="102" t="str">
        <f>IF(ISNA(VLOOKUP(B195,'NY Contract'!$A$1:$E$157,2,FALSE)),"NNY "&amp; B195, VLOOKUP(B195,'NY Contract'!$A$1:$E$157,2,FALSE))</f>
        <v>NNY Sys-RSF-DT</v>
      </c>
      <c r="I195" s="106">
        <f>IF(NOT(ISNA(VLOOKUP(B195,'FL Contract Prices'!$A$2:$C$71,3,FALSE))),VLOOKUP(B195,'FL Contract Prices'!$A$2:$C$71,3,FALSE),ROUND(D195*0.7,-1))</f>
        <v>15109.1715789474</v>
      </c>
      <c r="J195" s="106" t="str">
        <f>IF(NOT(ISNA(VLOOKUP(B195,'FL Part Num Mapping'!$A$2:$B$71,1,FALSE))),VLOOKUP(B195,'FL Part Num Mapping'!$A$2:$B$71,2,FALSE),"NFL "&amp; B195)</f>
        <v>LS4G-FL-RSF-DT</v>
      </c>
      <c r="K195" s="102">
        <v>1E-4</v>
      </c>
      <c r="L195" s="146" t="str">
        <f t="shared" si="71"/>
        <v>NLA Sys-RSF-DT</v>
      </c>
      <c r="M195" s="146"/>
      <c r="N195" s="146"/>
      <c r="O195" s="155"/>
      <c r="P195" s="150">
        <f>P$120+P$133+P$129+P$67+P$102+P$140+P$42+P$138+P$41+P$44+P$49+P$98+P$164+P$147*2+P$159+P$184*4</f>
        <v>11069.77</v>
      </c>
      <c r="Q195" s="48"/>
      <c r="R195" s="88"/>
      <c r="S195" s="88"/>
      <c r="T195" s="48"/>
      <c r="U195" s="48"/>
      <c r="V195" s="48"/>
      <c r="W195" s="83"/>
      <c r="X195" s="83"/>
    </row>
    <row r="196" spans="1:24" ht="30" x14ac:dyDescent="0.25">
      <c r="A196" s="82" t="s">
        <v>855</v>
      </c>
      <c r="B196" s="83" t="s">
        <v>856</v>
      </c>
      <c r="C196" s="82" t="s">
        <v>857</v>
      </c>
      <c r="D196" s="84">
        <f>D$129+D$76+D$110+D$98+D$137+D$164</f>
        <v>9390</v>
      </c>
      <c r="E196" s="128">
        <f>E$129+E$76+E$110+E$98+E$137+E$164</f>
        <v>4425.9303921568626</v>
      </c>
      <c r="F196" s="86" t="s">
        <v>199</v>
      </c>
      <c r="G196" s="102">
        <f>_xlfn.IFNA(VLOOKUP(B196,'NY Sole Source'!A:B,2,FALSE), D196*0.9)</f>
        <v>8451</v>
      </c>
      <c r="H196" s="102" t="str">
        <f>IF(ISNA(VLOOKUP(B196,'NY Contract'!$A$1:$E$157,2,FALSE)),"NNY "&amp; B196, VLOOKUP(B196,'NY Contract'!$A$1:$E$157,2,FALSE))</f>
        <v>LS-4G-Guardian</v>
      </c>
      <c r="I196" s="106">
        <f>IF(NOT(ISNA(VLOOKUP(B196,'FL Contract Prices'!$A$2:$C$71,3,FALSE))),VLOOKUP(B196,'FL Contract Prices'!$A$2:$C$71,3,FALSE),ROUND(D196*0.7,-1))</f>
        <v>6570</v>
      </c>
      <c r="J196" s="106" t="str">
        <f>IF(NOT(ISNA(VLOOKUP(B196,'FL Part Num Mapping'!$A$2:$B$71,1,FALSE))),VLOOKUP(B196,'FL Part Num Mapping'!$A$2:$B$71,2,FALSE),"NFL "&amp; B196)</f>
        <v>NFL Sys-App-DTP-Guard</v>
      </c>
      <c r="K196" s="102">
        <v>1E-4</v>
      </c>
      <c r="L196" s="146" t="str">
        <f t="shared" si="71"/>
        <v>NLA Sys-App-DTP-Guard</v>
      </c>
      <c r="M196" s="146"/>
      <c r="N196" s="146"/>
      <c r="O196" s="155"/>
      <c r="P196" s="150">
        <f>P$129+P$76+P$110+P$98+P$137+P$164</f>
        <v>4320</v>
      </c>
      <c r="Q196" s="48"/>
      <c r="R196" s="88"/>
      <c r="S196" s="88"/>
      <c r="T196" s="48"/>
      <c r="U196" s="48"/>
      <c r="V196" s="48"/>
      <c r="W196" s="83"/>
      <c r="X196" s="83"/>
    </row>
    <row r="197" spans="1:24" ht="45" x14ac:dyDescent="0.25">
      <c r="A197" s="82" t="s">
        <v>858</v>
      </c>
      <c r="B197" s="83" t="s">
        <v>859</v>
      </c>
      <c r="C197" s="82" t="s">
        <v>860</v>
      </c>
      <c r="D197" s="84">
        <f>D$129+D$76+D$110+D$98+D$137+D$164+D$30</f>
        <v>15240</v>
      </c>
      <c r="E197" s="128">
        <f>E$129+E$76+E$110+E$98+E$137+E$164+E$30</f>
        <v>7788.4009803921563</v>
      </c>
      <c r="F197" s="86" t="s">
        <v>199</v>
      </c>
      <c r="G197" s="102">
        <f>_xlfn.IFNA(VLOOKUP(B197,'NY Sole Source'!A:B,2,FALSE), D197*0.9)</f>
        <v>13716</v>
      </c>
      <c r="H197" s="102" t="str">
        <f>IF(ISNA(VLOOKUP(B197,'NY Contract'!$A$1:$E$157,2,FALSE)),"NNY "&amp; B197, VLOOKUP(B197,'NY Contract'!$A$1:$E$157,2,FALSE))</f>
        <v>NNY Sys-App-DTP-Guard-Cab</v>
      </c>
      <c r="I197" s="106">
        <f>IF(NOT(ISNA(VLOOKUP(B197,'FL Contract Prices'!$A$2:$C$71,3,FALSE))),VLOOKUP(B197,'FL Contract Prices'!$A$2:$C$71,3,FALSE),ROUND(D197*0.7,-1))</f>
        <v>10670</v>
      </c>
      <c r="J197" s="106" t="str">
        <f>IF(NOT(ISNA(VLOOKUP(B197,'FL Part Num Mapping'!$A$2:$B$71,1,FALSE))),VLOOKUP(B197,'FL Part Num Mapping'!$A$2:$B$71,2,FALSE),"NFL "&amp; B197)</f>
        <v>NFL Sys-App-DTP-Guard-Cab</v>
      </c>
      <c r="K197" s="102">
        <v>1E-4</v>
      </c>
      <c r="L197" s="146" t="str">
        <f t="shared" si="71"/>
        <v>NLA Sys-App-DTP-Guard-Cab</v>
      </c>
      <c r="M197" s="146"/>
      <c r="N197" s="146"/>
      <c r="O197" s="155"/>
      <c r="P197" s="150">
        <f>P$129+P$76+P$110+P$98+P$137+P$164+P$30</f>
        <v>7320</v>
      </c>
      <c r="Q197" s="48"/>
      <c r="R197" s="88"/>
      <c r="S197" s="88"/>
      <c r="T197" s="48"/>
      <c r="U197" s="48"/>
      <c r="V197" s="48"/>
      <c r="W197" s="83"/>
      <c r="X197" s="83"/>
    </row>
    <row r="198" spans="1:24" ht="30" x14ac:dyDescent="0.25">
      <c r="A198" s="82" t="s">
        <v>861</v>
      </c>
      <c r="B198" s="83" t="s">
        <v>862</v>
      </c>
      <c r="C198" s="82" t="s">
        <v>863</v>
      </c>
      <c r="D198" s="84">
        <f>D$129+D$76+D$113+D$98+D$137+D$164</f>
        <v>7490</v>
      </c>
      <c r="E198" s="128">
        <f>E$129+E$76+E$113+E$98+E$137+E$164</f>
        <v>3235.9303921568626</v>
      </c>
      <c r="F198" s="86" t="s">
        <v>199</v>
      </c>
      <c r="G198" s="102">
        <f>_xlfn.IFNA(VLOOKUP(B198,'NY Sole Source'!A:B,2,FALSE), D198*0.9)</f>
        <v>6741</v>
      </c>
      <c r="H198" s="102" t="str">
        <f>IF(ISNA(VLOOKUP(B198,'NY Contract'!$A$1:$E$157,2,FALSE)),"NNY "&amp; B198, VLOOKUP(B198,'NY Contract'!$A$1:$E$157,2,FALSE))</f>
        <v>NNY Sys-App-DTP-Patrol</v>
      </c>
      <c r="I198" s="106">
        <f>IF(NOT(ISNA(VLOOKUP(B198,'FL Contract Prices'!$A$2:$C$71,3,FALSE))),VLOOKUP(B198,'FL Contract Prices'!$A$2:$C$71,3,FALSE),ROUND(D198*0.7,-1))</f>
        <v>6601.3684210526308</v>
      </c>
      <c r="J198" s="106" t="str">
        <f>IF(NOT(ISNA(VLOOKUP(B198,'FL Part Num Mapping'!$A$2:$B$71,1,FALSE))),VLOOKUP(B198,'FL Part Num Mapping'!$A$2:$B$71,2,FALSE),"NFL "&amp; B198)</f>
        <v>LS4G-FL-PAT-DT</v>
      </c>
      <c r="K198" s="102">
        <v>1E-4</v>
      </c>
      <c r="L198" s="146" t="str">
        <f t="shared" si="71"/>
        <v>NLA Sys-App-DTP-Patrol</v>
      </c>
      <c r="M198" s="146"/>
      <c r="N198" s="146"/>
      <c r="O198" s="155"/>
      <c r="P198" s="150">
        <f>P$129+P$76+P$113+P$98+P$137+P$164</f>
        <v>3130</v>
      </c>
      <c r="Q198" s="48"/>
      <c r="R198" s="88"/>
      <c r="S198" s="88"/>
      <c r="T198" s="48"/>
      <c r="U198" s="48"/>
      <c r="V198" s="48"/>
      <c r="W198" s="83"/>
      <c r="X198" s="83"/>
    </row>
    <row r="199" spans="1:24" ht="30" x14ac:dyDescent="0.25">
      <c r="A199" s="82" t="s">
        <v>864</v>
      </c>
      <c r="B199" s="83" t="s">
        <v>865</v>
      </c>
      <c r="C199" s="82" t="s">
        <v>866</v>
      </c>
      <c r="D199" s="84">
        <f>D$129+D$76+D$117+D$98+D$137+D$164</f>
        <v>6330</v>
      </c>
      <c r="E199" s="128">
        <f>E$129+E$76+E$117+E$98+E$137+E$164</f>
        <v>2515.9303921568626</v>
      </c>
      <c r="F199" s="86" t="s">
        <v>199</v>
      </c>
      <c r="G199" s="102">
        <f>_xlfn.IFNA(VLOOKUP(B199,'NY Sole Source'!A:B,2,FALSE), D199*0.9)</f>
        <v>5697</v>
      </c>
      <c r="H199" s="102" t="str">
        <f>IF(ISNA(VLOOKUP(B199,'NY Contract'!$A$1:$E$157,2,FALSE)),"NNY "&amp; B199, VLOOKUP(B199,'NY Contract'!$A$1:$E$157,2,FALSE))</f>
        <v>NNY Sys-App-DTP-Kojak</v>
      </c>
      <c r="I199" s="106">
        <f>IF(NOT(ISNA(VLOOKUP(B199,'FL Contract Prices'!$A$2:$C$71,3,FALSE))),VLOOKUP(B199,'FL Contract Prices'!$A$2:$C$71,3,FALSE),ROUND(D199*0.7,-1))</f>
        <v>4430</v>
      </c>
      <c r="J199" s="106" t="str">
        <f>IF(NOT(ISNA(VLOOKUP(B199,'FL Part Num Mapping'!$A$2:$B$71,1,FALSE))),VLOOKUP(B199,'FL Part Num Mapping'!$A$2:$B$71,2,FALSE),"NFL "&amp; B199)</f>
        <v>NFL Sys-App-DTP-Kojak</v>
      </c>
      <c r="K199" s="102">
        <v>1E-4</v>
      </c>
      <c r="L199" s="146" t="str">
        <f t="shared" ref="L199:L212" si="72">"NLA "&amp;B199</f>
        <v>NLA Sys-App-DTP-Kojak</v>
      </c>
      <c r="M199" s="146"/>
      <c r="N199" s="146"/>
      <c r="O199" s="155"/>
      <c r="P199" s="150">
        <f>P$129+P$76+P$117+P$98+P$137+P$164</f>
        <v>2410</v>
      </c>
      <c r="Q199" s="48"/>
      <c r="R199" s="88"/>
      <c r="S199" s="88"/>
      <c r="T199" s="48"/>
      <c r="U199" s="48"/>
      <c r="V199" s="48"/>
      <c r="W199" s="83"/>
      <c r="X199" s="83"/>
    </row>
    <row r="200" spans="1:24" ht="30" x14ac:dyDescent="0.25">
      <c r="A200" s="82" t="s">
        <v>867</v>
      </c>
      <c r="B200" s="83" t="s">
        <v>868</v>
      </c>
      <c r="C200" s="82" t="s">
        <v>869</v>
      </c>
      <c r="D200" s="84">
        <f>D$129+D$76+D$117+D$98+D$137+D$164</f>
        <v>6330</v>
      </c>
      <c r="E200" s="128">
        <f>E$129+E$76+E$117+E$98+E$137+E$164</f>
        <v>2515.9303921568626</v>
      </c>
      <c r="F200" s="86" t="s">
        <v>199</v>
      </c>
      <c r="G200" s="102">
        <f>_xlfn.IFNA(VLOOKUP(B200,'NY Sole Source'!A:B,2,FALSE), D200*0.9)</f>
        <v>5697</v>
      </c>
      <c r="H200" s="102" t="str">
        <f>IF(ISNA(VLOOKUP(B200,'NY Contract'!$A$1:$E$157,2,FALSE)),"NNY "&amp; B200, VLOOKUP(B200,'NY Contract'!$A$1:$E$157,2,FALSE))</f>
        <v>NNY Sys-App-DTP-SSD-Kojak</v>
      </c>
      <c r="I200" s="106">
        <f>IF(NOT(ISNA(VLOOKUP(B200,'FL Contract Prices'!$A$2:$C$71,3,FALSE))),VLOOKUP(B200,'FL Contract Prices'!$A$2:$C$71,3,FALSE),ROUND(D200*0.7,-1))</f>
        <v>4430</v>
      </c>
      <c r="J200" s="106" t="str">
        <f>IF(NOT(ISNA(VLOOKUP(B200,'FL Part Num Mapping'!$A$2:$B$71,1,FALSE))),VLOOKUP(B200,'FL Part Num Mapping'!$A$2:$B$71,2,FALSE),"NFL "&amp; B200)</f>
        <v>NFL Sys-App-DTP-SSD-Kojak</v>
      </c>
      <c r="K200" s="102">
        <v>2490</v>
      </c>
      <c r="L200" s="146" t="s">
        <v>870</v>
      </c>
      <c r="M200" s="146"/>
      <c r="N200" s="146"/>
      <c r="O200" s="155"/>
      <c r="P200" s="150">
        <f>800+700+50+400</f>
        <v>1950</v>
      </c>
      <c r="Q200" s="48"/>
      <c r="R200" s="88"/>
      <c r="S200" s="88"/>
      <c r="T200" s="48"/>
      <c r="U200" s="48"/>
      <c r="V200" s="48"/>
      <c r="W200" s="83"/>
      <c r="X200" s="83"/>
    </row>
    <row r="201" spans="1:24" ht="30" x14ac:dyDescent="0.25">
      <c r="A201" s="82" t="s">
        <v>871</v>
      </c>
      <c r="B201" s="83" t="s">
        <v>872</v>
      </c>
      <c r="C201" s="82" t="s">
        <v>873</v>
      </c>
      <c r="D201" s="84">
        <f>D$129+D$76+D$119+D$98+D$137+D$164</f>
        <v>6700</v>
      </c>
      <c r="E201" s="128">
        <f>E$129+E$76+E$119+E$98+E$137+E$164</f>
        <v>2746.9892156862743</v>
      </c>
      <c r="F201" s="86" t="s">
        <v>199</v>
      </c>
      <c r="G201" s="102">
        <f>_xlfn.IFNA(VLOOKUP(B201,'NY Sole Source'!A:B,2,FALSE), D201*0.9)</f>
        <v>6030</v>
      </c>
      <c r="H201" s="102" t="str">
        <f>IF(ISNA(VLOOKUP(B201,'NY Contract'!$A$1:$E$157,2,FALSE)),"NNY "&amp; B201, VLOOKUP(B201,'NY Contract'!$A$1:$E$157,2,FALSE))</f>
        <v>NNY Sys-App-DTP-G10</v>
      </c>
      <c r="I201" s="106">
        <f>IF(NOT(ISNA(VLOOKUP(B201,'FL Contract Prices'!$A$2:$C$71,3,FALSE))),VLOOKUP(B201,'FL Contract Prices'!$A$2:$C$71,3,FALSE),ROUND(D201*0.7,-1))</f>
        <v>4690</v>
      </c>
      <c r="J201" s="106" t="str">
        <f>IF(NOT(ISNA(VLOOKUP(B201,'FL Part Num Mapping'!$A$2:$B$71,1,FALSE))),VLOOKUP(B201,'FL Part Num Mapping'!$A$2:$B$71,2,FALSE),"NFL "&amp; B201)</f>
        <v>NFL Sys-App-DTP-G10</v>
      </c>
      <c r="K201" s="102">
        <v>1E-4</v>
      </c>
      <c r="L201" s="146" t="str">
        <f t="shared" si="72"/>
        <v>NLA Sys-App-DTP-G10</v>
      </c>
      <c r="M201" s="146"/>
      <c r="N201" s="146"/>
      <c r="O201" s="155"/>
      <c r="P201" s="150">
        <f>P$129+P$76+P$119+P$98+P$137+P$164</f>
        <v>2510</v>
      </c>
      <c r="Q201" s="48"/>
      <c r="R201" s="88"/>
      <c r="S201" s="88"/>
      <c r="T201" s="48"/>
      <c r="U201" s="48"/>
      <c r="V201" s="48"/>
      <c r="W201" s="83"/>
      <c r="X201" s="83"/>
    </row>
    <row r="202" spans="1:24" ht="45" x14ac:dyDescent="0.25">
      <c r="A202" s="82" t="s">
        <v>874</v>
      </c>
      <c r="B202" s="83" t="s">
        <v>875</v>
      </c>
      <c r="C202" s="82" t="s">
        <v>876</v>
      </c>
      <c r="D202" s="84">
        <f>D$129+D$96+D$110+D$98+D$137+D$164</f>
        <v>8810</v>
      </c>
      <c r="E202" s="128">
        <f>E$129+E$96+E$110+E$98+E$137+E$164</f>
        <v>4093.3137254901958</v>
      </c>
      <c r="F202" s="86" t="s">
        <v>199</v>
      </c>
      <c r="G202" s="102">
        <f>_xlfn.IFNA(VLOOKUP(B202,'NY Sole Source'!A:B,2,FALSE), D202*0.9)</f>
        <v>7929</v>
      </c>
      <c r="H202" s="102" t="str">
        <f>IF(ISNA(VLOOKUP(B202,'NY Contract'!$A$1:$E$157,2,FALSE)),"NNY "&amp; B202, VLOOKUP(B202,'NY Contract'!$A$1:$E$157,2,FALSE))</f>
        <v>NNY Sys-App-LT-Guard</v>
      </c>
      <c r="I202" s="106">
        <f>IF(NOT(ISNA(VLOOKUP(B202,'FL Contract Prices'!$A$2:$C$71,3,FALSE))),VLOOKUP(B202,'FL Contract Prices'!$A$2:$C$71,3,FALSE),ROUND(D202*0.7,-1))</f>
        <v>6170</v>
      </c>
      <c r="J202" s="106" t="str">
        <f>IF(NOT(ISNA(VLOOKUP(B202,'FL Part Num Mapping'!$A$2:$B$71,1,FALSE))),VLOOKUP(B202,'FL Part Num Mapping'!$A$2:$B$71,2,FALSE),"NFL "&amp; B202)</f>
        <v>NFL Sys-App-LT-Guard</v>
      </c>
      <c r="K202" s="102">
        <v>1E-4</v>
      </c>
      <c r="L202" s="146" t="str">
        <f t="shared" si="72"/>
        <v>NLA Sys-App-LT-Guard</v>
      </c>
      <c r="M202" s="146"/>
      <c r="N202" s="146"/>
      <c r="O202" s="155"/>
      <c r="P202" s="150">
        <f>P$129+P$96+P$110+P$98+P$137+P$164</f>
        <v>4020</v>
      </c>
      <c r="Q202" s="48"/>
      <c r="R202" s="88"/>
      <c r="S202" s="88"/>
      <c r="T202" s="48"/>
      <c r="U202" s="48"/>
      <c r="V202" s="48"/>
      <c r="W202" s="83"/>
      <c r="X202" s="83"/>
    </row>
    <row r="203" spans="1:24" ht="30" x14ac:dyDescent="0.25">
      <c r="A203" s="82" t="s">
        <v>877</v>
      </c>
      <c r="B203" s="83" t="s">
        <v>878</v>
      </c>
      <c r="C203" s="82" t="s">
        <v>879</v>
      </c>
      <c r="D203" s="84">
        <f>D$129+D$96+D$113+D$98+D$137+D$164</f>
        <v>6910</v>
      </c>
      <c r="E203" s="128">
        <f>E$129+E$96+E$113+E$98+E$137+E$164</f>
        <v>2903.3137254901958</v>
      </c>
      <c r="F203" s="86" t="s">
        <v>199</v>
      </c>
      <c r="G203" s="102">
        <f>_xlfn.IFNA(VLOOKUP(B203,'NY Sole Source'!A:B,2,FALSE), D203*0.9)</f>
        <v>6219</v>
      </c>
      <c r="H203" s="102" t="str">
        <f>IF(ISNA(VLOOKUP(B203,'NY Contract'!$A$1:$E$157,2,FALSE)),"NNY "&amp; B203, VLOOKUP(B203,'NY Contract'!$A$1:$E$157,2,FALSE))</f>
        <v>NNY Sys-App-LT-Patrol</v>
      </c>
      <c r="I203" s="106">
        <f>IF(NOT(ISNA(VLOOKUP(B203,'FL Contract Prices'!$A$2:$C$71,3,FALSE))),VLOOKUP(B203,'FL Contract Prices'!$A$2:$C$71,3,FALSE),ROUND(D203*0.7,-1))</f>
        <v>4840</v>
      </c>
      <c r="J203" s="106" t="str">
        <f>IF(NOT(ISNA(VLOOKUP(B203,'FL Part Num Mapping'!$A$2:$B$71,1,FALSE))),VLOOKUP(B203,'FL Part Num Mapping'!$A$2:$B$71,2,FALSE),"NFL "&amp; B203)</f>
        <v>NFL Sys-App-LT-Patrol</v>
      </c>
      <c r="K203" s="102">
        <v>1E-4</v>
      </c>
      <c r="L203" s="146" t="str">
        <f t="shared" si="72"/>
        <v>NLA Sys-App-LT-Patrol</v>
      </c>
      <c r="M203" s="146"/>
      <c r="N203" s="146"/>
      <c r="O203" s="155"/>
      <c r="P203" s="150">
        <f>P$129+P$96+P$113+P$98+P$137+P$164</f>
        <v>2830</v>
      </c>
      <c r="Q203" s="48"/>
      <c r="R203" s="88"/>
      <c r="S203" s="88"/>
      <c r="T203" s="48"/>
      <c r="U203" s="48"/>
      <c r="V203" s="48"/>
      <c r="W203" s="83"/>
      <c r="X203" s="83"/>
    </row>
    <row r="204" spans="1:24" ht="30" x14ac:dyDescent="0.25">
      <c r="A204" s="82" t="s">
        <v>880</v>
      </c>
      <c r="B204" s="83" t="s">
        <v>881</v>
      </c>
      <c r="C204" s="82" t="s">
        <v>882</v>
      </c>
      <c r="D204" s="84">
        <f>D$129+D$96+D$117+D$98+D$137+D$164</f>
        <v>5750</v>
      </c>
      <c r="E204" s="128">
        <f>E$129+E$96+E$117+E$98+E$137+E$164</f>
        <v>2183.3137254901958</v>
      </c>
      <c r="F204" s="86" t="s">
        <v>199</v>
      </c>
      <c r="G204" s="102">
        <f>_xlfn.IFNA(VLOOKUP(B204,'NY Sole Source'!A:B,2,FALSE), D204*0.9)</f>
        <v>5175</v>
      </c>
      <c r="H204" s="102" t="str">
        <f>IF(ISNA(VLOOKUP(B204,'NY Contract'!$A$1:$E$157,2,FALSE)),"NNY "&amp; B204, VLOOKUP(B204,'NY Contract'!$A$1:$E$157,2,FALSE))</f>
        <v>NNY Sys-App-LT-Kojak</v>
      </c>
      <c r="I204" s="106">
        <f>IF(NOT(ISNA(VLOOKUP(B204,'FL Contract Prices'!$A$2:$C$71,3,FALSE))),VLOOKUP(B204,'FL Contract Prices'!$A$2:$C$71,3,FALSE),ROUND(D204*0.7,-1))</f>
        <v>4030</v>
      </c>
      <c r="J204" s="106" t="str">
        <f>IF(NOT(ISNA(VLOOKUP(B204,'FL Part Num Mapping'!$A$2:$B$71,1,FALSE))),VLOOKUP(B204,'FL Part Num Mapping'!$A$2:$B$71,2,FALSE),"NFL "&amp; B204)</f>
        <v>NFL Sys-App-LT-Kojak</v>
      </c>
      <c r="K204" s="102">
        <v>1E-4</v>
      </c>
      <c r="L204" s="146" t="str">
        <f t="shared" si="72"/>
        <v>NLA Sys-App-LT-Kojak</v>
      </c>
      <c r="M204" s="146"/>
      <c r="N204" s="146"/>
      <c r="O204" s="155"/>
      <c r="P204" s="150">
        <f>P$129+P$96+P$117+P$98+P$137+P$164</f>
        <v>2110</v>
      </c>
      <c r="Q204" s="48"/>
      <c r="R204" s="88"/>
      <c r="S204" s="88"/>
      <c r="T204" s="48"/>
      <c r="U204" s="48"/>
      <c r="V204" s="48"/>
      <c r="W204" s="83"/>
      <c r="X204" s="83"/>
    </row>
    <row r="205" spans="1:24" ht="30" x14ac:dyDescent="0.25">
      <c r="A205" s="82" t="s">
        <v>883</v>
      </c>
      <c r="B205" s="83" t="s">
        <v>884</v>
      </c>
      <c r="C205" s="82" t="s">
        <v>885</v>
      </c>
      <c r="D205" s="84">
        <f>D$129+D$76+D$117+D$98+D$137+D$164</f>
        <v>6330</v>
      </c>
      <c r="E205" s="128">
        <f>E$129+E$76+E$117+E$98+E$137+E$164</f>
        <v>2515.9303921568626</v>
      </c>
      <c r="F205" s="86" t="s">
        <v>199</v>
      </c>
      <c r="G205" s="102">
        <f>_xlfn.IFNA(VLOOKUP(B205,'NY Sole Source'!A:B,2,FALSE), D205*0.9)</f>
        <v>5697</v>
      </c>
      <c r="H205" s="102"/>
      <c r="I205" s="106"/>
      <c r="J205" s="106"/>
      <c r="K205" s="102">
        <v>3490</v>
      </c>
      <c r="L205" s="146" t="s">
        <v>886</v>
      </c>
      <c r="M205" s="146"/>
      <c r="N205" s="146"/>
      <c r="O205" s="155"/>
      <c r="P205" s="150">
        <f>900+700+50+400+150</f>
        <v>2200</v>
      </c>
      <c r="Q205" s="48"/>
      <c r="R205" s="88"/>
      <c r="S205" s="88"/>
      <c r="T205" s="48"/>
      <c r="U205" s="48"/>
      <c r="V205" s="48"/>
      <c r="W205" s="83"/>
      <c r="X205" s="83"/>
    </row>
    <row r="206" spans="1:24" ht="120" x14ac:dyDescent="0.25">
      <c r="A206" s="82" t="s">
        <v>887</v>
      </c>
      <c r="B206" s="129" t="s">
        <v>888</v>
      </c>
      <c r="C206" s="129" t="s">
        <v>889</v>
      </c>
      <c r="D206" s="84">
        <f>D$108+D$133+D$67+D$102+D$140+D$42+D$41+D$44+D$164+D$30+D$182</f>
        <v>30220</v>
      </c>
      <c r="E206" s="128">
        <f>E$108+E$133+E$129+E$67+E$102+E$140+E$42+E$41+E$44+E$164+E$30+E$182</f>
        <v>17493.831111111111</v>
      </c>
      <c r="F206" s="86" t="s">
        <v>199</v>
      </c>
      <c r="G206" s="102">
        <f>_xlfn.IFNA(VLOOKUP(B206,'NY Sole Source'!A:B,2,FALSE), D206*0.9)</f>
        <v>27198</v>
      </c>
      <c r="H206" s="102" t="str">
        <f>IF(ISNA(VLOOKUP(B206,'NY Contract'!$A$1:$E$157,2,FALSE)),"NNY "&amp; B206, VLOOKUP(B206,'NY Contract'!$A$1:$E$157,2,FALSE))</f>
        <v>NNY Sys-CRM-1000-HPDT-PH-CAB</v>
      </c>
      <c r="I206" s="106">
        <f>IF(NOT(ISNA(VLOOKUP(B206,'FL Contract Prices'!$A$2:$C$71,3,FALSE))),VLOOKUP(B206,'FL Contract Prices'!$A$2:$C$71,3,FALSE),ROUND(D206*0.7,-1))</f>
        <v>21150</v>
      </c>
      <c r="J206" s="106" t="str">
        <f>IF(NOT(ISNA(VLOOKUP(B206,'FL Part Num Mapping'!$A$2:$B$71,1,FALSE))),VLOOKUP(B206,'FL Part Num Mapping'!$A$2:$B$71,2,FALSE),"NFL "&amp; B206)</f>
        <v>NFL Sys-CRM-1000-HPDT-PH-CAB</v>
      </c>
      <c r="K206" s="102">
        <v>1E-4</v>
      </c>
      <c r="L206" s="146" t="str">
        <f t="shared" si="72"/>
        <v>NLA Sys-CRM-1000-HPDT-PH-CAB</v>
      </c>
      <c r="M206" s="146"/>
      <c r="N206" s="146"/>
      <c r="O206" s="155"/>
      <c r="P206" s="150">
        <f>P$108+P$133+P$129+P$67+P$102+P$140+P$42+P$41+P$44+P$164+P$30+P$182</f>
        <v>16959.77</v>
      </c>
      <c r="Q206" s="48"/>
      <c r="R206" s="88"/>
      <c r="S206" s="88"/>
      <c r="T206" s="48"/>
      <c r="U206" s="48"/>
      <c r="V206" s="48"/>
      <c r="W206" s="83"/>
      <c r="X206" s="83"/>
    </row>
    <row r="207" spans="1:24" ht="90" x14ac:dyDescent="0.25">
      <c r="A207" s="82" t="s">
        <v>890</v>
      </c>
      <c r="B207" s="129" t="s">
        <v>891</v>
      </c>
      <c r="C207" s="129" t="s">
        <v>892</v>
      </c>
      <c r="D207" s="84">
        <f>D$108+D$133+D$67+D$102+D$140+D$42+D59+D$41+D$44+D$164</f>
        <v>23680</v>
      </c>
      <c r="E207" s="128">
        <f>E$108+E$133+E$67+E$102+E$140+E$42+E59+E$41+E$44+E$164</f>
        <v>12590.360522875815</v>
      </c>
      <c r="F207" s="86" t="s">
        <v>199</v>
      </c>
      <c r="G207" s="102">
        <f>_xlfn.IFNA(VLOOKUP(B207,'NY Sole Source'!A:B,2,FALSE), D207*0.9)</f>
        <v>21312</v>
      </c>
      <c r="H207" s="102" t="str">
        <f>IF(ISNA(VLOOKUP(B207,'NY Contract'!$A$1:$E$157,2,FALSE)),"NNY "&amp; B207, VLOOKUP(B207,'NY Contract'!$A$1:$E$157,2,FALSE))</f>
        <v>NNY Sys-CRM-1000-HPDT-PH</v>
      </c>
      <c r="I207" s="106">
        <f>IF(NOT(ISNA(VLOOKUP(B207,'FL Contract Prices'!$A$2:$C$71,3,FALSE))),VLOOKUP(B207,'FL Contract Prices'!$A$2:$C$71,3,FALSE),ROUND(D207*0.7,-1))</f>
        <v>16580</v>
      </c>
      <c r="J207" s="106" t="str">
        <f>IF(NOT(ISNA(VLOOKUP(B207,'FL Part Num Mapping'!$A$2:$B$71,1,FALSE))),VLOOKUP(B207,'FL Part Num Mapping'!$A$2:$B$71,2,FALSE),"NFL "&amp; B207)</f>
        <v>NFL Sys-CRM-1000-HPDT-PH</v>
      </c>
      <c r="K207" s="102">
        <v>1E-4</v>
      </c>
      <c r="L207" s="146" t="str">
        <f t="shared" si="72"/>
        <v>NLA Sys-CRM-1000-HPDT-PH</v>
      </c>
      <c r="M207" s="146"/>
      <c r="N207" s="146"/>
      <c r="O207" s="155"/>
      <c r="P207" s="150">
        <f>P$108+P$133+P$67+P$102+P$140+P$42+P59+P$41+P$44+P$164</f>
        <v>12384.77</v>
      </c>
      <c r="Q207" s="48"/>
      <c r="R207" s="88"/>
      <c r="S207" s="88"/>
      <c r="T207" s="48"/>
      <c r="U207" s="48"/>
      <c r="V207" s="48"/>
      <c r="W207" s="83"/>
      <c r="X207" s="83"/>
    </row>
    <row r="208" spans="1:24" ht="105" x14ac:dyDescent="0.25">
      <c r="A208" s="82" t="s">
        <v>893</v>
      </c>
      <c r="B208" s="129" t="s">
        <v>894</v>
      </c>
      <c r="C208" s="129" t="s">
        <v>895</v>
      </c>
      <c r="D208" s="84">
        <f>D$109+D$133+D$67+D$102+D$140+D$42+D$41+D$44+D$164+D$30+D$182</f>
        <v>26780</v>
      </c>
      <c r="E208" s="128">
        <f>E$109+E$133+E$129+E$67+E$102+E$140+E$42+E$41+E$44+E$164+E$30+E$182</f>
        <v>15343.831111111109</v>
      </c>
      <c r="F208" s="86" t="s">
        <v>199</v>
      </c>
      <c r="G208" s="102">
        <f>_xlfn.IFNA(VLOOKUP(B208,'NY Sole Source'!A:B,2,FALSE), D208*0.9)</f>
        <v>24102</v>
      </c>
      <c r="H208" s="102" t="str">
        <f>IF(ISNA(VLOOKUP(B208,'NY Contract'!$A$1:$E$157,2,FALSE)),"NNY "&amp; B208, VLOOKUP(B208,'NY Contract'!$A$1:$E$157,2,FALSE))</f>
        <v>NNY Sys-CRM-500-HPDT-PH-CAB</v>
      </c>
      <c r="I208" s="106">
        <f>IF(NOT(ISNA(VLOOKUP(B208,'FL Contract Prices'!$A$2:$C$71,3,FALSE))),VLOOKUP(B208,'FL Contract Prices'!$A$2:$C$71,3,FALSE),ROUND(D208*0.7,-1))</f>
        <v>18750</v>
      </c>
      <c r="J208" s="106" t="str">
        <f>IF(NOT(ISNA(VLOOKUP(B208,'FL Part Num Mapping'!$A$2:$B$71,1,FALSE))),VLOOKUP(B208,'FL Part Num Mapping'!$A$2:$B$71,2,FALSE),"NFL "&amp; B208)</f>
        <v>NFL Sys-CRM-500-HPDT-PH-CAB</v>
      </c>
      <c r="K208" s="102">
        <v>1E-4</v>
      </c>
      <c r="L208" s="146" t="str">
        <f t="shared" si="72"/>
        <v>NLA Sys-CRM-500-HPDT-PH-CAB</v>
      </c>
      <c r="M208" s="146"/>
      <c r="N208" s="146"/>
      <c r="O208" s="155"/>
      <c r="P208" s="150">
        <f>P$109+P$133+P$129+P$67+P$102+P$140+P$42+P$41+P$44+P$164+P$30+P$182</f>
        <v>14809.77</v>
      </c>
      <c r="Q208" s="48"/>
      <c r="R208" s="88"/>
      <c r="S208" s="88"/>
      <c r="T208" s="48"/>
      <c r="U208" s="48"/>
      <c r="V208" s="48"/>
      <c r="W208" s="83"/>
      <c r="X208" s="83"/>
    </row>
    <row r="209" spans="1:24" ht="90" x14ac:dyDescent="0.25">
      <c r="A209" s="82" t="s">
        <v>896</v>
      </c>
      <c r="B209" s="129" t="s">
        <v>897</v>
      </c>
      <c r="C209" s="129" t="s">
        <v>898</v>
      </c>
      <c r="D209" s="84">
        <f>D$109+D$133+D$67+D$102+D$140+D$42+D61+D$41+D$44+D$164</f>
        <v>20590</v>
      </c>
      <c r="E209" s="128">
        <f>E$109+E$133+E$67+E$102+E$140+E$42+E61+E$41+E$44+E$164</f>
        <v>10641.831111111109</v>
      </c>
      <c r="F209" s="86" t="s">
        <v>199</v>
      </c>
      <c r="G209" s="102">
        <f>_xlfn.IFNA(VLOOKUP(B209,'NY Sole Source'!A:B,2,FALSE), D209*0.9)</f>
        <v>18531</v>
      </c>
      <c r="H209" s="102" t="str">
        <f>IF(ISNA(VLOOKUP(B209,'NY Contract'!$A$1:$E$157,2,FALSE)),"NNY "&amp; B209, VLOOKUP(B209,'NY Contract'!$A$1:$E$157,2,FALSE))</f>
        <v>NNY Sys-CRM-500-HPDT-PH</v>
      </c>
      <c r="I209" s="106">
        <f>IF(NOT(ISNA(VLOOKUP(B209,'FL Contract Prices'!$A$2:$C$71,3,FALSE))),VLOOKUP(B209,'FL Contract Prices'!$A$2:$C$71,3,FALSE),ROUND(D209*0.7,-1))</f>
        <v>14410</v>
      </c>
      <c r="J209" s="106" t="str">
        <f>IF(NOT(ISNA(VLOOKUP(B209,'FL Part Num Mapping'!$A$2:$B$71,1,FALSE))),VLOOKUP(B209,'FL Part Num Mapping'!$A$2:$B$71,2,FALSE),"NFL "&amp; B209)</f>
        <v>NFL Sys-CRM-500-HPDT-PH</v>
      </c>
      <c r="K209" s="102">
        <v>1E-4</v>
      </c>
      <c r="L209" s="146" t="str">
        <f t="shared" si="72"/>
        <v>NLA Sys-CRM-500-HPDT-PH</v>
      </c>
      <c r="M209" s="146"/>
      <c r="N209" s="146"/>
      <c r="O209" s="155"/>
      <c r="P209" s="150">
        <f>P$109+P$133+P$67+P$102+P$140+P$42+P61+P$41+P$44+P$164</f>
        <v>10449.77</v>
      </c>
      <c r="Q209" s="48"/>
      <c r="R209" s="88"/>
      <c r="S209" s="88"/>
      <c r="T209" s="48"/>
      <c r="U209" s="48"/>
      <c r="V209" s="48"/>
      <c r="W209" s="83"/>
      <c r="X209" s="83"/>
    </row>
    <row r="210" spans="1:24" ht="45" x14ac:dyDescent="0.25">
      <c r="A210" s="82" t="s">
        <v>899</v>
      </c>
      <c r="B210" s="83" t="s">
        <v>900</v>
      </c>
      <c r="C210" s="129" t="s">
        <v>901</v>
      </c>
      <c r="D210" s="84">
        <f>D$133+D$118+D$139</f>
        <v>9630</v>
      </c>
      <c r="E210" s="128">
        <f>E$133+E$118+E$139</f>
        <v>4443.0294117647063</v>
      </c>
      <c r="F210" s="86" t="s">
        <v>178</v>
      </c>
      <c r="G210" s="102">
        <f>_xlfn.IFNA(VLOOKUP(B210,'NY Sole Source'!A:B,2,FALSE), D210*0.9)</f>
        <v>8667</v>
      </c>
      <c r="H210" s="102" t="str">
        <f>IF(ISNA(VLOOKUP(B210,'NY Contract'!$A$1:$E$157,2,FALSE)),"NNY "&amp; B210, VLOOKUP(B210,'NY Contract'!$A$1:$E$157,2,FALSE))</f>
        <v>NNY Sys-MID-NEC45</v>
      </c>
      <c r="I210" s="106">
        <f>IF(NOT(ISNA(VLOOKUP(B210,'FL Contract Prices'!$A$2:$C$71,3,FALSE))),VLOOKUP(B210,'FL Contract Prices'!$A$2:$C$71,3,FALSE),ROUND(D210*0.7,-1))</f>
        <v>6740</v>
      </c>
      <c r="J210" s="106" t="str">
        <f>IF(NOT(ISNA(VLOOKUP(B210,'FL Part Num Mapping'!$A$2:$B$71,1,FALSE))),VLOOKUP(B210,'FL Part Num Mapping'!$A$2:$B$71,2,FALSE),"NFL "&amp; B210)</f>
        <v>NFL Sys-MID-NEC45</v>
      </c>
      <c r="K210" s="102">
        <v>1E-4</v>
      </c>
      <c r="L210" s="146" t="str">
        <f t="shared" si="72"/>
        <v>NLA Sys-MID-NEC45</v>
      </c>
      <c r="M210" s="146"/>
      <c r="N210" s="146"/>
      <c r="O210" s="155"/>
      <c r="P210" s="150">
        <f>P$133+P$118+P$139</f>
        <v>4412.5</v>
      </c>
      <c r="Q210" s="48"/>
      <c r="R210" s="88"/>
      <c r="S210" s="88"/>
      <c r="T210" s="48"/>
      <c r="U210" s="48"/>
      <c r="V210" s="48"/>
      <c r="W210" s="83"/>
      <c r="X210" s="83"/>
    </row>
    <row r="211" spans="1:24" ht="30" x14ac:dyDescent="0.25">
      <c r="A211" s="82" t="s">
        <v>902</v>
      </c>
      <c r="B211" s="83" t="s">
        <v>903</v>
      </c>
      <c r="C211" s="82" t="s">
        <v>904</v>
      </c>
      <c r="D211" s="84">
        <f>D$127+D$76+D$110+D$98+D$137+D$164</f>
        <v>8060</v>
      </c>
      <c r="E211" s="128">
        <f>E$127+E$76+E$110+E$98+E$137+E$164</f>
        <v>4025.9303921568626</v>
      </c>
      <c r="F211" s="86" t="s">
        <v>199</v>
      </c>
      <c r="G211" s="102">
        <f>_xlfn.IFNA(VLOOKUP(B211,'NY Sole Source'!A:B,2,FALSE), D211*0.9)</f>
        <v>7254</v>
      </c>
      <c r="H211" s="102" t="str">
        <f>IF(ISNA(VLOOKUP(B211,'NY Contract'!$A$1:$E$157,2,FALSE)),"NNY "&amp; B211, VLOOKUP(B211,'NY Contract'!$A$1:$E$157,2,FALSE))</f>
        <v>NNY Sys-1TOT-DT-Guard</v>
      </c>
      <c r="I211" s="106">
        <f>IF(NOT(ISNA(VLOOKUP(B211,'FL Contract Prices'!$A$2:$C$71,3,FALSE))),VLOOKUP(B211,'FL Contract Prices'!$A$2:$C$71,3,FALSE),ROUND(D211*0.7,-1))</f>
        <v>5640</v>
      </c>
      <c r="J211" s="106" t="str">
        <f>IF(NOT(ISNA(VLOOKUP(B211,'FL Part Num Mapping'!$A$2:$B$71,1,FALSE))),VLOOKUP(B211,'FL Part Num Mapping'!$A$2:$B$71,2,FALSE),"NFL "&amp; B211)</f>
        <v>NFL Sys-1TOT-DT-Guard</v>
      </c>
      <c r="K211" s="102">
        <v>1E-4</v>
      </c>
      <c r="L211" s="146" t="str">
        <f t="shared" si="72"/>
        <v>NLA Sys-1TOT-DT-Guard</v>
      </c>
      <c r="M211" s="146"/>
      <c r="N211" s="146"/>
      <c r="O211" s="155"/>
      <c r="P211" s="150">
        <f>P$127+P$76+P$110+P$98+P$137+P$164</f>
        <v>3920</v>
      </c>
      <c r="Q211" s="48"/>
      <c r="R211" s="88"/>
      <c r="S211" s="88"/>
      <c r="T211" s="48"/>
      <c r="U211" s="48"/>
      <c r="V211" s="48"/>
      <c r="W211" s="83"/>
      <c r="X211" s="83"/>
    </row>
    <row r="212" spans="1:24" ht="30" x14ac:dyDescent="0.25">
      <c r="A212" s="82" t="s">
        <v>905</v>
      </c>
      <c r="B212" s="83" t="s">
        <v>906</v>
      </c>
      <c r="C212" s="82" t="s">
        <v>904</v>
      </c>
      <c r="D212" s="84">
        <f>D$127+D$97+D$110+D$98+D$137+D$164</f>
        <v>7740</v>
      </c>
      <c r="E212" s="128">
        <f>E$127+E$97+E$110+E$98+E$137+E$164</f>
        <v>3838.3137254901958</v>
      </c>
      <c r="F212" s="86" t="s">
        <v>199</v>
      </c>
      <c r="G212" s="102">
        <f>_xlfn.IFNA(VLOOKUP(B212,'NY Sole Source'!A:B,2,FALSE), D212*0.9)</f>
        <v>6966</v>
      </c>
      <c r="H212" s="102" t="str">
        <f>IF(ISNA(VLOOKUP(B212,'NY Contract'!$A$1:$E$157,2,FALSE)),"NNY "&amp; B212, VLOOKUP(B212,'NY Contract'!$A$1:$E$157,2,FALSE))</f>
        <v>NNY Sys-1TOT-LT-Guard</v>
      </c>
      <c r="I212" s="106">
        <f>IF(NOT(ISNA(VLOOKUP(B212,'FL Contract Prices'!$A$2:$C$71,3,FALSE))),VLOOKUP(B212,'FL Contract Prices'!$A$2:$C$71,3,FALSE),ROUND(D212*0.7,-1))</f>
        <v>5420</v>
      </c>
      <c r="J212" s="106" t="str">
        <f>IF(NOT(ISNA(VLOOKUP(B212,'FL Part Num Mapping'!$A$2:$B$71,1,FALSE))),VLOOKUP(B212,'FL Part Num Mapping'!$A$2:$B$71,2,FALSE),"NFL "&amp; B212)</f>
        <v>NFL Sys-1TOT-LT-Guard</v>
      </c>
      <c r="K212" s="102">
        <v>1E-4</v>
      </c>
      <c r="L212" s="146" t="str">
        <f t="shared" si="72"/>
        <v>NLA Sys-1TOT-LT-Guard</v>
      </c>
      <c r="M212" s="146"/>
      <c r="N212" s="146"/>
      <c r="O212" s="155"/>
      <c r="P212" s="150">
        <f>P$127+P$97+P$110+P$98+P$137+P$164</f>
        <v>3765</v>
      </c>
      <c r="Q212" s="48"/>
      <c r="R212" s="88"/>
      <c r="S212" s="88"/>
      <c r="T212" s="48"/>
      <c r="U212" s="48"/>
      <c r="V212" s="48"/>
      <c r="W212" s="83"/>
      <c r="X212" s="83"/>
    </row>
    <row r="213" spans="1:24" ht="30" x14ac:dyDescent="0.25">
      <c r="A213" s="107" t="s">
        <v>907</v>
      </c>
      <c r="B213" s="108" t="s">
        <v>908</v>
      </c>
      <c r="C213" s="107" t="s">
        <v>909</v>
      </c>
      <c r="D213" s="84">
        <f>IF(E213&lt;20, ROUNDUP(E213/0.3,0), ROUNDUP(E213/0.3,-1))</f>
        <v>2</v>
      </c>
      <c r="E213" s="128">
        <f>P213+Q213+T213+V213</f>
        <v>0.5</v>
      </c>
      <c r="F213" s="86" t="s">
        <v>178</v>
      </c>
      <c r="G213" s="102">
        <f>_xlfn.IFNA(VLOOKUP(B213,'NY Sole Source'!A:B,2,FALSE), D213*0.9)</f>
        <v>1.8</v>
      </c>
      <c r="H213" s="102" t="str">
        <f>IF(ISNA(VLOOKUP(B213,'NY Contract'!$A$1:$E$157,2,FALSE)),"NNY "&amp; B213, VLOOKUP(B213,'NY Contract'!$A$1:$E$157,2,FALSE))</f>
        <v>NNY Trans-Relay</v>
      </c>
      <c r="I213" s="106">
        <f>IF(NOT(ISNA(VLOOKUP(B213,'FL Contract Prices'!$A$2:$C$71,3,FALSE))),VLOOKUP(B213,'FL Contract Prices'!$A$2:$C$71,3,FALSE),ROUND(D213*0.7,-1))</f>
        <v>0</v>
      </c>
      <c r="J213" s="106" t="str">
        <f>IF(NOT(ISNA(VLOOKUP(B213,'FL Part Num Mapping'!$A$2:$B$71,1,FALSE))),VLOOKUP(B213,'FL Part Num Mapping'!$A$2:$B$71,2,FALSE),"NFL "&amp; B213)</f>
        <v>NFL Trans-Relay</v>
      </c>
      <c r="K213" s="102">
        <v>0.75</v>
      </c>
      <c r="L213" s="146" t="s">
        <v>910</v>
      </c>
      <c r="M213" s="146"/>
      <c r="N213" s="146"/>
      <c r="O213" s="155"/>
      <c r="P213" s="150">
        <v>0.5</v>
      </c>
      <c r="Q213" s="83"/>
      <c r="R213" s="83"/>
      <c r="S213" s="83"/>
      <c r="T213" s="83"/>
      <c r="U213" s="83"/>
      <c r="V213" s="83"/>
      <c r="W213" s="83"/>
      <c r="X213" s="83" t="s">
        <v>771</v>
      </c>
    </row>
    <row r="214" spans="1:24" x14ac:dyDescent="0.25">
      <c r="A214" s="130"/>
    </row>
    <row r="215" spans="1:24" x14ac:dyDescent="0.25">
      <c r="A215" s="130"/>
    </row>
    <row r="216" spans="1:24" x14ac:dyDescent="0.25">
      <c r="A216" s="130"/>
    </row>
    <row r="217" spans="1:24" x14ac:dyDescent="0.25">
      <c r="A217" s="130"/>
    </row>
    <row r="218" spans="1:24" x14ac:dyDescent="0.25">
      <c r="A218" s="130"/>
    </row>
    <row r="219" spans="1:24" x14ac:dyDescent="0.25">
      <c r="A219" s="130"/>
    </row>
    <row r="220" spans="1:24" x14ac:dyDescent="0.25">
      <c r="A220" s="130"/>
    </row>
    <row r="221" spans="1:24" x14ac:dyDescent="0.25">
      <c r="A221" s="130"/>
    </row>
    <row r="222" spans="1:24" x14ac:dyDescent="0.25">
      <c r="A222" s="130"/>
    </row>
    <row r="223" spans="1:24" x14ac:dyDescent="0.25">
      <c r="A223" s="130"/>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sheetData>
  <autoFilter ref="A2:Y213" xr:uid="{00000000-0009-0000-0000-000005000000}"/>
  <sortState xmlns:xlrd2="http://schemas.microsoft.com/office/spreadsheetml/2017/richdata2" ref="A3:X213">
    <sortCondition ref="A3:A213"/>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4BB3-5698-49A3-A11D-DC197A78EB72}">
  <sheetPr>
    <tabColor rgb="FFC00000"/>
  </sheetPr>
  <dimension ref="A1:B101"/>
  <sheetViews>
    <sheetView workbookViewId="0">
      <selection sqref="A1:B1048576"/>
    </sheetView>
  </sheetViews>
  <sheetFormatPr defaultRowHeight="15" x14ac:dyDescent="0.25"/>
  <cols>
    <col min="1" max="1" width="23.5703125" bestFit="1" customWidth="1"/>
    <col min="2" max="2" width="8.140625" bestFit="1" customWidth="1"/>
  </cols>
  <sheetData>
    <row r="1" spans="1:2" x14ac:dyDescent="0.25">
      <c r="A1" t="s">
        <v>92</v>
      </c>
      <c r="B1" t="s">
        <v>911</v>
      </c>
    </row>
    <row r="2" spans="1:2" x14ac:dyDescent="0.25">
      <c r="A2" t="s">
        <v>176</v>
      </c>
      <c r="B2">
        <v>957.60000000000014</v>
      </c>
    </row>
    <row r="3" spans="1:2" x14ac:dyDescent="0.25">
      <c r="A3" t="s">
        <v>181</v>
      </c>
      <c r="B3">
        <v>1702.4</v>
      </c>
    </row>
    <row r="4" spans="1:2" x14ac:dyDescent="0.25">
      <c r="A4" t="s">
        <v>184</v>
      </c>
      <c r="B4">
        <v>397.6</v>
      </c>
    </row>
    <row r="5" spans="1:2" x14ac:dyDescent="0.25">
      <c r="A5" t="s">
        <v>217</v>
      </c>
      <c r="B5">
        <v>7011.2000000000007</v>
      </c>
    </row>
    <row r="6" spans="1:2" x14ac:dyDescent="0.25">
      <c r="A6" t="s">
        <v>220</v>
      </c>
      <c r="B6">
        <v>3740.8</v>
      </c>
    </row>
    <row r="7" spans="1:2" x14ac:dyDescent="0.25">
      <c r="A7" t="s">
        <v>222</v>
      </c>
      <c r="B7">
        <v>70011.200000000012</v>
      </c>
    </row>
    <row r="8" spans="1:2" x14ac:dyDescent="0.25">
      <c r="A8" t="s">
        <v>225</v>
      </c>
      <c r="B8">
        <v>39681.600000000006</v>
      </c>
    </row>
    <row r="9" spans="1:2" x14ac:dyDescent="0.25">
      <c r="A9" t="s">
        <v>190</v>
      </c>
      <c r="B9">
        <v>9172.7999999999993</v>
      </c>
    </row>
    <row r="10" spans="1:2" x14ac:dyDescent="0.25">
      <c r="A10" t="s">
        <v>193</v>
      </c>
      <c r="B10">
        <v>14957.600000000002</v>
      </c>
    </row>
    <row r="11" spans="1:2" x14ac:dyDescent="0.25">
      <c r="A11" t="s">
        <v>228</v>
      </c>
      <c r="B11">
        <v>23346.400000000001</v>
      </c>
    </row>
    <row r="12" spans="1:2" x14ac:dyDescent="0.25">
      <c r="A12" t="s">
        <v>213</v>
      </c>
      <c r="B12">
        <v>2822.4</v>
      </c>
    </row>
    <row r="13" spans="1:2" x14ac:dyDescent="0.25">
      <c r="A13" t="s">
        <v>231</v>
      </c>
      <c r="B13">
        <v>14011.2</v>
      </c>
    </row>
    <row r="14" spans="1:2" x14ac:dyDescent="0.25">
      <c r="A14" t="s">
        <v>323</v>
      </c>
      <c r="B14">
        <v>79</v>
      </c>
    </row>
    <row r="15" spans="1:2" x14ac:dyDescent="0.25">
      <c r="A15" t="s">
        <v>241</v>
      </c>
      <c r="B15">
        <v>221.2</v>
      </c>
    </row>
    <row r="16" spans="1:2" x14ac:dyDescent="0.25">
      <c r="A16" t="s">
        <v>245</v>
      </c>
      <c r="B16">
        <v>426.6</v>
      </c>
    </row>
    <row r="17" spans="1:2" x14ac:dyDescent="0.25">
      <c r="A17" t="s">
        <v>617</v>
      </c>
      <c r="B17">
        <v>197.5</v>
      </c>
    </row>
    <row r="18" spans="1:2" x14ac:dyDescent="0.25">
      <c r="A18" t="s">
        <v>269</v>
      </c>
      <c r="B18">
        <v>3276.0000000000005</v>
      </c>
    </row>
    <row r="19" spans="1:2" x14ac:dyDescent="0.25">
      <c r="A19" t="s">
        <v>273</v>
      </c>
      <c r="B19">
        <v>414.4</v>
      </c>
    </row>
    <row r="20" spans="1:2" x14ac:dyDescent="0.25">
      <c r="A20" t="s">
        <v>318</v>
      </c>
      <c r="B20">
        <v>663.6</v>
      </c>
    </row>
    <row r="21" spans="1:2" x14ac:dyDescent="0.25">
      <c r="A21" t="s">
        <v>331</v>
      </c>
      <c r="B21">
        <v>71.099999999999994</v>
      </c>
    </row>
    <row r="22" spans="1:2" x14ac:dyDescent="0.25">
      <c r="A22" t="s">
        <v>340</v>
      </c>
      <c r="B22">
        <v>671.5</v>
      </c>
    </row>
    <row r="23" spans="1:2" x14ac:dyDescent="0.25">
      <c r="A23" t="s">
        <v>355</v>
      </c>
      <c r="B23">
        <v>292.3</v>
      </c>
    </row>
    <row r="24" spans="1:2" x14ac:dyDescent="0.25">
      <c r="A24" t="s">
        <v>335</v>
      </c>
      <c r="B24">
        <v>1011.2</v>
      </c>
    </row>
    <row r="25" spans="1:2" x14ac:dyDescent="0.25">
      <c r="A25" t="s">
        <v>337</v>
      </c>
      <c r="B25">
        <v>2038.2</v>
      </c>
    </row>
    <row r="26" spans="1:2" x14ac:dyDescent="0.25">
      <c r="A26" t="s">
        <v>359</v>
      </c>
      <c r="B26">
        <v>189.60000000000002</v>
      </c>
    </row>
    <row r="27" spans="1:2" x14ac:dyDescent="0.25">
      <c r="A27" t="s">
        <v>363</v>
      </c>
      <c r="B27">
        <v>1406.2</v>
      </c>
    </row>
    <row r="28" spans="1:2" x14ac:dyDescent="0.25">
      <c r="A28" t="s">
        <v>373</v>
      </c>
      <c r="B28">
        <v>718.9</v>
      </c>
    </row>
    <row r="29" spans="1:2" x14ac:dyDescent="0.25">
      <c r="A29" t="s">
        <v>378</v>
      </c>
      <c r="B29">
        <v>229.10000000000002</v>
      </c>
    </row>
    <row r="30" spans="1:2" x14ac:dyDescent="0.25">
      <c r="A30" t="s">
        <v>368</v>
      </c>
      <c r="B30">
        <v>576.70000000000005</v>
      </c>
    </row>
    <row r="31" spans="1:2" x14ac:dyDescent="0.25">
      <c r="A31" t="s">
        <v>400</v>
      </c>
      <c r="B31">
        <v>718.9</v>
      </c>
    </row>
    <row r="32" spans="1:2" x14ac:dyDescent="0.25">
      <c r="A32" t="s">
        <v>390</v>
      </c>
      <c r="B32">
        <v>221.2</v>
      </c>
    </row>
    <row r="33" spans="1:2" x14ac:dyDescent="0.25">
      <c r="A33" t="s">
        <v>394</v>
      </c>
      <c r="B33">
        <v>363.4</v>
      </c>
    </row>
    <row r="34" spans="1:2" x14ac:dyDescent="0.25">
      <c r="A34" t="s">
        <v>403</v>
      </c>
      <c r="B34">
        <v>924.3</v>
      </c>
    </row>
    <row r="35" spans="1:2" x14ac:dyDescent="0.25">
      <c r="A35" t="s">
        <v>417</v>
      </c>
      <c r="B35">
        <v>1532.6</v>
      </c>
    </row>
    <row r="36" spans="1:2" x14ac:dyDescent="0.25">
      <c r="A36" t="s">
        <v>413</v>
      </c>
      <c r="B36">
        <v>1398.3</v>
      </c>
    </row>
    <row r="37" spans="1:2" x14ac:dyDescent="0.25">
      <c r="A37" t="s">
        <v>429</v>
      </c>
      <c r="B37">
        <v>1192.9000000000001</v>
      </c>
    </row>
    <row r="38" spans="1:2" x14ac:dyDescent="0.25">
      <c r="A38" t="s">
        <v>427</v>
      </c>
      <c r="B38">
        <v>1050.7</v>
      </c>
    </row>
    <row r="39" spans="1:2" x14ac:dyDescent="0.25">
      <c r="A39" t="s">
        <v>445</v>
      </c>
      <c r="B39">
        <v>1050.7</v>
      </c>
    </row>
    <row r="40" spans="1:2" x14ac:dyDescent="0.25">
      <c r="A40" t="s">
        <v>441</v>
      </c>
      <c r="B40">
        <v>916.40000000000009</v>
      </c>
    </row>
    <row r="41" spans="1:2" x14ac:dyDescent="0.25">
      <c r="A41" t="s">
        <v>452</v>
      </c>
      <c r="B41">
        <v>402.9</v>
      </c>
    </row>
    <row r="42" spans="1:2" x14ac:dyDescent="0.25">
      <c r="A42" t="s">
        <v>456</v>
      </c>
      <c r="B42">
        <v>1113.9000000000001</v>
      </c>
    </row>
    <row r="43" spans="1:2" x14ac:dyDescent="0.25">
      <c r="A43" t="s">
        <v>471</v>
      </c>
      <c r="B43">
        <v>142.19999999999999</v>
      </c>
    </row>
    <row r="44" spans="1:2" x14ac:dyDescent="0.25">
      <c r="A44" t="s">
        <v>475</v>
      </c>
      <c r="B44">
        <v>126.4</v>
      </c>
    </row>
    <row r="45" spans="1:2" x14ac:dyDescent="0.25">
      <c r="A45" t="s">
        <v>479</v>
      </c>
      <c r="B45">
        <v>126.4</v>
      </c>
    </row>
    <row r="46" spans="1:2" x14ac:dyDescent="0.25">
      <c r="A46" t="s">
        <v>482</v>
      </c>
      <c r="B46">
        <v>173.8</v>
      </c>
    </row>
    <row r="47" spans="1:2" x14ac:dyDescent="0.25">
      <c r="A47" t="s">
        <v>492</v>
      </c>
      <c r="B47">
        <v>1422</v>
      </c>
    </row>
    <row r="48" spans="1:2" x14ac:dyDescent="0.25">
      <c r="A48" t="s">
        <v>508</v>
      </c>
      <c r="B48">
        <v>1003.3</v>
      </c>
    </row>
    <row r="49" spans="1:2" x14ac:dyDescent="0.25">
      <c r="A49" t="s">
        <v>513</v>
      </c>
      <c r="B49">
        <v>2788.7</v>
      </c>
    </row>
    <row r="50" spans="1:2" x14ac:dyDescent="0.25">
      <c r="A50" t="s">
        <v>517</v>
      </c>
      <c r="B50">
        <v>1824.9</v>
      </c>
    </row>
    <row r="51" spans="1:2" x14ac:dyDescent="0.25">
      <c r="A51" t="s">
        <v>524</v>
      </c>
      <c r="B51">
        <v>797.90000000000009</v>
      </c>
    </row>
    <row r="52" spans="1:2" x14ac:dyDescent="0.25">
      <c r="A52" t="s">
        <v>525</v>
      </c>
      <c r="B52">
        <v>102.7</v>
      </c>
    </row>
    <row r="53" spans="1:2" x14ac:dyDescent="0.25">
      <c r="A53" t="s">
        <v>534</v>
      </c>
      <c r="B53">
        <v>189.60000000000002</v>
      </c>
    </row>
    <row r="54" spans="1:2" x14ac:dyDescent="0.25">
      <c r="A54" t="s">
        <v>542</v>
      </c>
      <c r="B54">
        <v>426.6</v>
      </c>
    </row>
    <row r="55" spans="1:2" x14ac:dyDescent="0.25">
      <c r="A55" t="s">
        <v>530</v>
      </c>
      <c r="B55">
        <v>252.8</v>
      </c>
    </row>
    <row r="56" spans="1:2" x14ac:dyDescent="0.25">
      <c r="A56" t="s">
        <v>538</v>
      </c>
      <c r="B56">
        <v>505.6</v>
      </c>
    </row>
    <row r="57" spans="1:2" x14ac:dyDescent="0.25">
      <c r="A57" t="s">
        <v>550</v>
      </c>
      <c r="B57">
        <v>948</v>
      </c>
    </row>
    <row r="58" spans="1:2" x14ac:dyDescent="0.25">
      <c r="A58" t="s">
        <v>554</v>
      </c>
      <c r="B58">
        <v>3681.4</v>
      </c>
    </row>
    <row r="59" spans="1:2" x14ac:dyDescent="0.25">
      <c r="A59" t="s">
        <v>557</v>
      </c>
      <c r="B59">
        <v>711</v>
      </c>
    </row>
    <row r="60" spans="1:2" x14ac:dyDescent="0.25">
      <c r="A60" t="s">
        <v>561</v>
      </c>
      <c r="B60">
        <v>948</v>
      </c>
    </row>
    <row r="61" spans="1:2" x14ac:dyDescent="0.25">
      <c r="A61" t="s">
        <v>565</v>
      </c>
      <c r="B61">
        <v>10988.9</v>
      </c>
    </row>
    <row r="62" spans="1:2" x14ac:dyDescent="0.25">
      <c r="A62" t="s">
        <v>570</v>
      </c>
      <c r="B62">
        <v>3278.5</v>
      </c>
    </row>
    <row r="63" spans="1:2" x14ac:dyDescent="0.25">
      <c r="A63" t="s">
        <v>575</v>
      </c>
      <c r="B63">
        <v>3551.05</v>
      </c>
    </row>
    <row r="64" spans="1:2" x14ac:dyDescent="0.25">
      <c r="A64" t="s">
        <v>568</v>
      </c>
      <c r="B64">
        <v>8271.2999999999993</v>
      </c>
    </row>
    <row r="65" spans="1:2" x14ac:dyDescent="0.25">
      <c r="A65" t="s">
        <v>588</v>
      </c>
      <c r="B65">
        <v>102.7</v>
      </c>
    </row>
    <row r="66" spans="1:2" x14ac:dyDescent="0.25">
      <c r="A66" t="s">
        <v>601</v>
      </c>
      <c r="B66">
        <v>837.40000000000009</v>
      </c>
    </row>
    <row r="67" spans="1:2" x14ac:dyDescent="0.25">
      <c r="A67" t="s">
        <v>591</v>
      </c>
      <c r="B67">
        <v>1023.0500000000001</v>
      </c>
    </row>
    <row r="68" spans="1:2" x14ac:dyDescent="0.25">
      <c r="A68" t="s">
        <v>581</v>
      </c>
      <c r="B68">
        <v>1576.0500000000002</v>
      </c>
    </row>
    <row r="69" spans="1:2" x14ac:dyDescent="0.25">
      <c r="A69" t="s">
        <v>585</v>
      </c>
      <c r="B69">
        <v>1738</v>
      </c>
    </row>
    <row r="70" spans="1:2" x14ac:dyDescent="0.25">
      <c r="A70" t="s">
        <v>605</v>
      </c>
      <c r="B70">
        <v>3942.1000000000004</v>
      </c>
    </row>
    <row r="71" spans="1:2" x14ac:dyDescent="0.25">
      <c r="A71" t="s">
        <v>595</v>
      </c>
      <c r="B71">
        <v>545.1</v>
      </c>
    </row>
    <row r="72" spans="1:2" x14ac:dyDescent="0.25">
      <c r="A72" t="s">
        <v>197</v>
      </c>
      <c r="B72">
        <v>6888.8</v>
      </c>
    </row>
    <row r="73" spans="1:2" x14ac:dyDescent="0.25">
      <c r="A73" t="s">
        <v>202</v>
      </c>
      <c r="B73">
        <v>20626.900000000001</v>
      </c>
    </row>
    <row r="74" spans="1:2" x14ac:dyDescent="0.25">
      <c r="A74" t="s">
        <v>206</v>
      </c>
      <c r="B74">
        <v>13761.8</v>
      </c>
    </row>
    <row r="75" spans="1:2" x14ac:dyDescent="0.25">
      <c r="A75" t="s">
        <v>210</v>
      </c>
      <c r="B75">
        <v>9638</v>
      </c>
    </row>
    <row r="76" spans="1:2" x14ac:dyDescent="0.25">
      <c r="A76" t="s">
        <v>448</v>
      </c>
      <c r="B76">
        <v>481.9</v>
      </c>
    </row>
    <row r="77" spans="1:2" x14ac:dyDescent="0.25">
      <c r="A77" t="s">
        <v>633</v>
      </c>
      <c r="B77">
        <v>750.40000000000009</v>
      </c>
    </row>
    <row r="78" spans="1:2" x14ac:dyDescent="0.25">
      <c r="A78" t="s">
        <v>639</v>
      </c>
      <c r="B78">
        <v>1495.2</v>
      </c>
    </row>
    <row r="79" spans="1:2" x14ac:dyDescent="0.25">
      <c r="A79" t="s">
        <v>642</v>
      </c>
      <c r="B79">
        <v>280</v>
      </c>
    </row>
    <row r="80" spans="1:2" x14ac:dyDescent="0.25">
      <c r="A80" t="s">
        <v>646</v>
      </c>
      <c r="B80">
        <v>750.40000000000009</v>
      </c>
    </row>
    <row r="81" spans="1:2" x14ac:dyDescent="0.25">
      <c r="A81" t="s">
        <v>653</v>
      </c>
      <c r="B81">
        <v>2240</v>
      </c>
    </row>
    <row r="82" spans="1:2" x14ac:dyDescent="0.25">
      <c r="A82" t="s">
        <v>657</v>
      </c>
      <c r="B82">
        <v>3735.2000000000003</v>
      </c>
    </row>
    <row r="83" spans="1:2" x14ac:dyDescent="0.25">
      <c r="A83" t="s">
        <v>661</v>
      </c>
      <c r="B83">
        <v>1400.0000000000002</v>
      </c>
    </row>
    <row r="84" spans="1:2" x14ac:dyDescent="0.25">
      <c r="A84" t="s">
        <v>665</v>
      </c>
      <c r="B84">
        <v>5600.0000000000009</v>
      </c>
    </row>
    <row r="85" spans="1:2" x14ac:dyDescent="0.25">
      <c r="A85" t="s">
        <v>912</v>
      </c>
      <c r="B85">
        <v>1960.0000000000002</v>
      </c>
    </row>
    <row r="86" spans="1:2" x14ac:dyDescent="0.25">
      <c r="A86" t="s">
        <v>667</v>
      </c>
      <c r="B86">
        <v>190.4</v>
      </c>
    </row>
    <row r="87" spans="1:2" x14ac:dyDescent="0.25">
      <c r="A87" t="s">
        <v>673</v>
      </c>
      <c r="B87">
        <v>470.40000000000003</v>
      </c>
    </row>
    <row r="88" spans="1:2" x14ac:dyDescent="0.25">
      <c r="A88" t="s">
        <v>693</v>
      </c>
      <c r="B88">
        <v>1848.0000000000002</v>
      </c>
    </row>
    <row r="89" spans="1:2" x14ac:dyDescent="0.25">
      <c r="A89" t="s">
        <v>677</v>
      </c>
      <c r="B89">
        <v>560</v>
      </c>
    </row>
    <row r="90" spans="1:2" x14ac:dyDescent="0.25">
      <c r="A90" t="s">
        <v>685</v>
      </c>
      <c r="B90">
        <v>560</v>
      </c>
    </row>
    <row r="91" spans="1:2" x14ac:dyDescent="0.25">
      <c r="A91" t="s">
        <v>669</v>
      </c>
      <c r="B91">
        <v>560</v>
      </c>
    </row>
    <row r="92" spans="1:2" x14ac:dyDescent="0.25">
      <c r="A92" t="s">
        <v>744</v>
      </c>
      <c r="B92">
        <v>655.20000000000005</v>
      </c>
    </row>
    <row r="93" spans="1:2" x14ac:dyDescent="0.25">
      <c r="A93" t="s">
        <v>740</v>
      </c>
      <c r="B93">
        <v>280</v>
      </c>
    </row>
    <row r="94" spans="1:2" x14ac:dyDescent="0.25">
      <c r="A94" t="s">
        <v>748</v>
      </c>
      <c r="B94">
        <v>470.40000000000003</v>
      </c>
    </row>
    <row r="95" spans="1:2" x14ac:dyDescent="0.25">
      <c r="A95" t="s">
        <v>187</v>
      </c>
      <c r="B95">
        <v>8422.4000000000015</v>
      </c>
    </row>
    <row r="96" spans="1:2" x14ac:dyDescent="0.25">
      <c r="A96" t="s">
        <v>776</v>
      </c>
      <c r="B96">
        <v>470.40000000000003</v>
      </c>
    </row>
    <row r="97" spans="1:2" x14ac:dyDescent="0.25">
      <c r="A97" t="s">
        <v>780</v>
      </c>
      <c r="B97">
        <v>280</v>
      </c>
    </row>
    <row r="98" spans="1:2" x14ac:dyDescent="0.25">
      <c r="A98" t="s">
        <v>716</v>
      </c>
      <c r="B98">
        <v>1103.2</v>
      </c>
    </row>
    <row r="99" spans="1:2" x14ac:dyDescent="0.25">
      <c r="A99" t="s">
        <v>726</v>
      </c>
      <c r="B99">
        <v>2055.1999999999998</v>
      </c>
    </row>
    <row r="100" spans="1:2" x14ac:dyDescent="0.25">
      <c r="A100" t="s">
        <v>835</v>
      </c>
      <c r="B100">
        <v>3863.1000000000004</v>
      </c>
    </row>
    <row r="101" spans="1:2" x14ac:dyDescent="0.25">
      <c r="A101" t="s">
        <v>838</v>
      </c>
      <c r="B101">
        <v>3744.6000000000004</v>
      </c>
    </row>
  </sheetData>
  <sortState xmlns:xlrd2="http://schemas.microsoft.com/office/spreadsheetml/2017/richdata2" ref="A2:B101">
    <sortCondition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22"/>
  <sheetViews>
    <sheetView zoomScale="145" zoomScaleNormal="145" workbookViewId="0">
      <selection activeCell="H7" sqref="H7"/>
    </sheetView>
  </sheetViews>
  <sheetFormatPr defaultRowHeight="15" outlineLevelCol="1" x14ac:dyDescent="0.25"/>
  <cols>
    <col min="1" max="1" width="13.5703125" style="12" bestFit="1" customWidth="1"/>
    <col min="2" max="2" width="39" bestFit="1" customWidth="1"/>
    <col min="3" max="3" width="14.5703125" bestFit="1" customWidth="1"/>
    <col min="4" max="4" width="11" hidden="1" customWidth="1" outlineLevel="1"/>
    <col min="5" max="5" width="15.5703125" hidden="1" customWidth="1" outlineLevel="1"/>
    <col min="6" max="6" width="12.5703125" hidden="1" customWidth="1" outlineLevel="1"/>
    <col min="7" max="7" width="10.5703125" hidden="1" customWidth="1" outlineLevel="1"/>
    <col min="8" max="8" width="21.5703125" style="2" bestFit="1" customWidth="1" collapsed="1"/>
    <col min="9" max="9" width="13.42578125" bestFit="1" customWidth="1"/>
    <col min="10" max="10" width="7.5703125" bestFit="1" customWidth="1"/>
  </cols>
  <sheetData>
    <row r="1" spans="1:10" ht="15.75" thickBot="1" x14ac:dyDescent="0.3">
      <c r="A1" s="67" t="s">
        <v>913</v>
      </c>
      <c r="B1" s="68" t="s">
        <v>93</v>
      </c>
      <c r="C1" s="68" t="s">
        <v>914</v>
      </c>
      <c r="D1" s="68" t="s">
        <v>915</v>
      </c>
      <c r="E1" s="68" t="s">
        <v>916</v>
      </c>
      <c r="F1" s="68" t="s">
        <v>917</v>
      </c>
      <c r="G1" s="68" t="s">
        <v>918</v>
      </c>
      <c r="H1" s="68" t="s">
        <v>919</v>
      </c>
      <c r="I1" s="69" t="s">
        <v>88</v>
      </c>
      <c r="J1" s="70" t="s">
        <v>84</v>
      </c>
    </row>
    <row r="2" spans="1:10" x14ac:dyDescent="0.25">
      <c r="A2" s="71" t="s">
        <v>920</v>
      </c>
      <c r="B2" s="72" t="s">
        <v>921</v>
      </c>
      <c r="C2" s="73" t="s">
        <v>922</v>
      </c>
      <c r="D2" s="74">
        <v>0.18</v>
      </c>
      <c r="E2" s="74">
        <v>0.4</v>
      </c>
      <c r="F2" s="75"/>
      <c r="G2" s="75"/>
      <c r="H2" s="75"/>
      <c r="I2" s="76" t="s">
        <v>923</v>
      </c>
      <c r="J2" s="75" t="s">
        <v>144</v>
      </c>
    </row>
    <row r="3" spans="1:10" x14ac:dyDescent="0.25">
      <c r="A3" s="77" t="s">
        <v>56</v>
      </c>
      <c r="B3" s="78" t="s">
        <v>924</v>
      </c>
      <c r="C3" s="73" t="s">
        <v>922</v>
      </c>
      <c r="D3" s="74">
        <v>0.2</v>
      </c>
      <c r="E3" s="74">
        <v>0.44</v>
      </c>
      <c r="F3" s="79"/>
      <c r="G3" s="79"/>
      <c r="H3" s="79"/>
      <c r="I3" s="80" t="s">
        <v>925</v>
      </c>
      <c r="J3" s="79" t="s">
        <v>144</v>
      </c>
    </row>
    <row r="4" spans="1:10" x14ac:dyDescent="0.25">
      <c r="A4" s="77" t="s">
        <v>926</v>
      </c>
      <c r="B4" s="78" t="s">
        <v>927</v>
      </c>
      <c r="C4" s="73" t="s">
        <v>922</v>
      </c>
      <c r="D4" s="74">
        <v>0.18</v>
      </c>
      <c r="E4" s="74">
        <v>0.4</v>
      </c>
      <c r="F4" s="79"/>
      <c r="G4" s="79"/>
      <c r="H4" s="79"/>
      <c r="I4" s="80" t="s">
        <v>928</v>
      </c>
      <c r="J4" s="79" t="s">
        <v>146</v>
      </c>
    </row>
    <row r="5" spans="1:10" x14ac:dyDescent="0.25">
      <c r="A5" s="77" t="s">
        <v>929</v>
      </c>
      <c r="B5" s="78" t="s">
        <v>930</v>
      </c>
      <c r="C5" s="73" t="s">
        <v>922</v>
      </c>
      <c r="D5" s="74">
        <v>0.18</v>
      </c>
      <c r="E5" s="74">
        <v>0.37</v>
      </c>
      <c r="F5" s="79"/>
      <c r="G5" s="79"/>
      <c r="H5" s="79"/>
      <c r="I5" s="80" t="s">
        <v>928</v>
      </c>
      <c r="J5" s="79" t="s">
        <v>146</v>
      </c>
    </row>
    <row r="6" spans="1:10" x14ac:dyDescent="0.25">
      <c r="A6" s="77" t="s">
        <v>931</v>
      </c>
      <c r="B6" s="78" t="s">
        <v>932</v>
      </c>
      <c r="C6" s="73" t="s">
        <v>922</v>
      </c>
      <c r="D6" s="74">
        <v>0.16</v>
      </c>
      <c r="E6" s="74">
        <v>0.35</v>
      </c>
      <c r="F6" s="79"/>
      <c r="G6" s="79"/>
      <c r="H6" s="79"/>
      <c r="I6" s="80" t="s">
        <v>925</v>
      </c>
      <c r="J6" s="79" t="s">
        <v>144</v>
      </c>
    </row>
    <row r="7" spans="1:10" x14ac:dyDescent="0.25">
      <c r="A7" s="77" t="s">
        <v>933</v>
      </c>
      <c r="B7" s="78" t="s">
        <v>934</v>
      </c>
      <c r="C7" s="73" t="s">
        <v>922</v>
      </c>
      <c r="D7" s="74">
        <v>0.12</v>
      </c>
      <c r="E7" s="74">
        <v>0.3</v>
      </c>
      <c r="F7" s="79"/>
      <c r="G7" s="79"/>
      <c r="H7" s="79"/>
      <c r="I7" s="80" t="s">
        <v>928</v>
      </c>
      <c r="J7" s="79" t="s">
        <v>146</v>
      </c>
    </row>
    <row r="8" spans="1:10" x14ac:dyDescent="0.25">
      <c r="A8" s="77" t="s">
        <v>935</v>
      </c>
      <c r="B8" s="78" t="s">
        <v>936</v>
      </c>
      <c r="C8" s="73" t="s">
        <v>922</v>
      </c>
      <c r="D8" s="74">
        <v>0.1</v>
      </c>
      <c r="E8" s="74">
        <v>0.25</v>
      </c>
      <c r="F8" s="79"/>
      <c r="G8" s="79"/>
      <c r="H8" s="79"/>
      <c r="I8" s="80" t="s">
        <v>928</v>
      </c>
      <c r="J8" s="79" t="s">
        <v>146</v>
      </c>
    </row>
    <row r="9" spans="1:10" x14ac:dyDescent="0.25">
      <c r="A9" s="77" t="s">
        <v>135</v>
      </c>
      <c r="B9" s="78" t="s">
        <v>135</v>
      </c>
      <c r="C9" s="73" t="s">
        <v>922</v>
      </c>
      <c r="D9" s="74">
        <v>0.22</v>
      </c>
      <c r="E9" s="74">
        <v>0.46</v>
      </c>
      <c r="F9" s="79"/>
      <c r="G9" s="79"/>
      <c r="H9" s="79"/>
      <c r="I9" s="80" t="s">
        <v>928</v>
      </c>
      <c r="J9" s="79" t="s">
        <v>146</v>
      </c>
    </row>
    <row r="10" spans="1:10" x14ac:dyDescent="0.25">
      <c r="A10" s="77" t="s">
        <v>160</v>
      </c>
      <c r="B10" s="78" t="s">
        <v>160</v>
      </c>
      <c r="C10" s="73" t="s">
        <v>160</v>
      </c>
      <c r="D10" s="74"/>
      <c r="E10" s="74"/>
      <c r="F10" s="79"/>
      <c r="G10" s="79"/>
      <c r="H10" s="79" t="s">
        <v>937</v>
      </c>
      <c r="I10" s="80" t="s">
        <v>928</v>
      </c>
      <c r="J10" s="79" t="s">
        <v>146</v>
      </c>
    </row>
    <row r="11" spans="1:10" x14ac:dyDescent="0.25">
      <c r="A11" s="77" t="s">
        <v>162</v>
      </c>
      <c r="B11" s="78" t="s">
        <v>938</v>
      </c>
      <c r="C11" s="73" t="s">
        <v>162</v>
      </c>
      <c r="D11" s="73"/>
      <c r="E11" s="73"/>
      <c r="F11" s="73"/>
      <c r="G11" s="73"/>
      <c r="H11" s="79" t="s">
        <v>939</v>
      </c>
      <c r="I11" s="80" t="s">
        <v>928</v>
      </c>
      <c r="J11" s="79" t="s">
        <v>146</v>
      </c>
    </row>
    <row r="12" spans="1:10" x14ac:dyDescent="0.25">
      <c r="A12" s="77" t="s">
        <v>158</v>
      </c>
      <c r="B12" s="78" t="s">
        <v>158</v>
      </c>
      <c r="C12" s="73" t="s">
        <v>158</v>
      </c>
      <c r="D12" s="74"/>
      <c r="E12" s="74"/>
      <c r="F12" s="79"/>
      <c r="G12" s="79"/>
      <c r="H12" s="79" t="s">
        <v>940</v>
      </c>
      <c r="I12" s="80" t="s">
        <v>928</v>
      </c>
      <c r="J12" s="79" t="s">
        <v>146</v>
      </c>
    </row>
    <row r="13" spans="1:10" x14ac:dyDescent="0.25">
      <c r="A13" s="77" t="s">
        <v>164</v>
      </c>
      <c r="B13" s="78" t="s">
        <v>164</v>
      </c>
      <c r="C13" s="73" t="s">
        <v>164</v>
      </c>
      <c r="D13" s="74"/>
      <c r="E13" s="74"/>
      <c r="F13" s="79"/>
      <c r="G13" s="79"/>
      <c r="H13" s="79" t="s">
        <v>941</v>
      </c>
      <c r="I13" s="80" t="s">
        <v>928</v>
      </c>
      <c r="J13" s="79" t="s">
        <v>146</v>
      </c>
    </row>
    <row r="14" spans="1:10" x14ac:dyDescent="0.25">
      <c r="A14" s="77" t="s">
        <v>942</v>
      </c>
      <c r="B14" s="78" t="s">
        <v>943</v>
      </c>
      <c r="C14" s="73" t="s">
        <v>944</v>
      </c>
      <c r="D14" s="74"/>
      <c r="E14" s="74"/>
      <c r="F14" s="79">
        <v>0.2</v>
      </c>
      <c r="G14" s="79">
        <v>0.3</v>
      </c>
      <c r="H14" s="79"/>
      <c r="I14" s="80" t="s">
        <v>928</v>
      </c>
      <c r="J14" s="79" t="s">
        <v>146</v>
      </c>
    </row>
    <row r="15" spans="1:10" x14ac:dyDescent="0.25">
      <c r="A15" s="77" t="s">
        <v>945</v>
      </c>
      <c r="B15" s="78" t="s">
        <v>946</v>
      </c>
      <c r="C15" s="73" t="s">
        <v>922</v>
      </c>
      <c r="D15" s="74">
        <v>0.21</v>
      </c>
      <c r="E15" s="74">
        <v>0.44</v>
      </c>
      <c r="F15" s="79"/>
      <c r="G15" s="79"/>
      <c r="H15" s="79"/>
      <c r="I15" s="80" t="s">
        <v>928</v>
      </c>
      <c r="J15" s="79" t="s">
        <v>146</v>
      </c>
    </row>
    <row r="16" spans="1:10" x14ac:dyDescent="0.25">
      <c r="A16" s="77" t="s">
        <v>947</v>
      </c>
      <c r="B16" s="78" t="s">
        <v>948</v>
      </c>
      <c r="C16" s="73" t="s">
        <v>922</v>
      </c>
      <c r="D16" s="74">
        <v>0.18</v>
      </c>
      <c r="E16" s="74">
        <v>0.37</v>
      </c>
      <c r="F16" s="79"/>
      <c r="G16" s="79"/>
      <c r="H16" s="79"/>
      <c r="I16" s="80" t="s">
        <v>928</v>
      </c>
      <c r="J16" s="79" t="s">
        <v>146</v>
      </c>
    </row>
    <row r="17" spans="1:10" x14ac:dyDescent="0.25">
      <c r="A17" s="77" t="s">
        <v>949</v>
      </c>
      <c r="B17" s="78" t="s">
        <v>950</v>
      </c>
      <c r="C17" s="73" t="s">
        <v>922</v>
      </c>
      <c r="D17" s="74">
        <v>0.15</v>
      </c>
      <c r="E17" s="74">
        <v>0.3</v>
      </c>
      <c r="F17" s="79"/>
      <c r="G17" s="79"/>
      <c r="H17" s="79"/>
      <c r="I17" s="80" t="s">
        <v>928</v>
      </c>
      <c r="J17" s="79" t="s">
        <v>146</v>
      </c>
    </row>
    <row r="18" spans="1:10" x14ac:dyDescent="0.25">
      <c r="A18" s="77" t="s">
        <v>951</v>
      </c>
      <c r="B18" s="78" t="s">
        <v>952</v>
      </c>
      <c r="C18" s="73" t="s">
        <v>922</v>
      </c>
      <c r="D18" s="74">
        <v>0.24</v>
      </c>
      <c r="E18" s="74">
        <v>0.51</v>
      </c>
      <c r="F18" s="79"/>
      <c r="G18" s="79"/>
      <c r="H18" s="79"/>
      <c r="I18" s="80" t="s">
        <v>928</v>
      </c>
      <c r="J18" s="79" t="s">
        <v>146</v>
      </c>
    </row>
    <row r="19" spans="1:10" x14ac:dyDescent="0.25">
      <c r="A19" s="77" t="s">
        <v>953</v>
      </c>
      <c r="B19" s="78" t="s">
        <v>954</v>
      </c>
      <c r="C19" s="73" t="s">
        <v>922</v>
      </c>
      <c r="D19" s="74">
        <v>0.08</v>
      </c>
      <c r="E19" s="74">
        <v>0.1</v>
      </c>
      <c r="F19" s="79"/>
      <c r="G19" s="79"/>
      <c r="H19" s="79"/>
      <c r="I19" s="80" t="s">
        <v>955</v>
      </c>
      <c r="J19" s="73" t="s">
        <v>142</v>
      </c>
    </row>
    <row r="20" spans="1:10" x14ac:dyDescent="0.25">
      <c r="A20" s="77" t="s">
        <v>956</v>
      </c>
      <c r="B20" s="78" t="s">
        <v>957</v>
      </c>
      <c r="C20" s="73" t="s">
        <v>922</v>
      </c>
      <c r="D20" s="74">
        <v>0.02</v>
      </c>
      <c r="E20" s="74">
        <v>0.02</v>
      </c>
      <c r="F20" s="79"/>
      <c r="G20" s="79"/>
      <c r="H20" s="79"/>
      <c r="I20" s="80" t="s">
        <v>955</v>
      </c>
      <c r="J20" s="73" t="s">
        <v>142</v>
      </c>
    </row>
    <row r="21" spans="1:10" x14ac:dyDescent="0.25">
      <c r="A21" s="77" t="s">
        <v>958</v>
      </c>
      <c r="B21" s="78" t="s">
        <v>959</v>
      </c>
      <c r="C21" s="73" t="s">
        <v>922</v>
      </c>
      <c r="D21" s="74">
        <v>0.05</v>
      </c>
      <c r="E21" s="74">
        <v>0.06</v>
      </c>
      <c r="F21" s="79"/>
      <c r="G21" s="79"/>
      <c r="H21" s="79"/>
      <c r="I21" s="80" t="s">
        <v>955</v>
      </c>
      <c r="J21" s="73" t="s">
        <v>142</v>
      </c>
    </row>
    <row r="22" spans="1:10" x14ac:dyDescent="0.25">
      <c r="A22" s="77" t="s">
        <v>960</v>
      </c>
      <c r="B22" s="78" t="s">
        <v>961</v>
      </c>
      <c r="C22" s="73" t="s">
        <v>922</v>
      </c>
      <c r="D22" s="74">
        <v>0.12</v>
      </c>
      <c r="E22" s="74">
        <v>0.22</v>
      </c>
      <c r="F22" s="79"/>
      <c r="G22" s="79"/>
      <c r="H22" s="79"/>
      <c r="I22" s="80" t="s">
        <v>925</v>
      </c>
      <c r="J22" s="79" t="s">
        <v>144</v>
      </c>
    </row>
  </sheetData>
  <sheetProtection selectLockedCells="1" selectUnlockedCells="1"/>
  <sortState xmlns:xlrd2="http://schemas.microsoft.com/office/spreadsheetml/2017/richdata2" ref="A2:J22">
    <sortCondition ref="A2:A2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Using Sales Activity Sheet</vt:lpstr>
      <vt:lpstr>Blank Quote</vt:lpstr>
      <vt:lpstr>Distributor</vt:lpstr>
      <vt:lpstr>CA Multi Tenprint</vt:lpstr>
      <vt:lpstr>Non_CA Multi Tenprint</vt:lpstr>
      <vt:lpstr>T&amp;C</vt:lpstr>
      <vt:lpstr>Raw BOM</vt:lpstr>
      <vt:lpstr>NY Sole Source</vt:lpstr>
      <vt:lpstr>Pricing Model</vt:lpstr>
      <vt:lpstr>FL Contract Prices</vt:lpstr>
      <vt:lpstr>FL Part Num Mapping</vt:lpstr>
      <vt:lpstr>NY Contract</vt:lpstr>
      <vt:lpstr>Sheet1</vt:lpstr>
      <vt:lpstr>Raw BOM Full</vt:lpstr>
      <vt:lpstr>'Raw BOM Full'!BOM_NAME</vt:lpstr>
      <vt:lpstr>BOM_NAME</vt:lpstr>
      <vt:lpstr>'Blank Quote'!Print_Area</vt:lpstr>
      <vt:lpstr>'CA Multi Tenprint'!Print_Area</vt:lpstr>
      <vt:lpstr>Distributor!Print_Area</vt:lpstr>
      <vt:lpstr>'Non_CA Multi Tenprint'!Print_Area</vt:lpstr>
      <vt:lpstr>'FL Part Num Mapping'!Print_Titles</vt:lpstr>
    </vt:vector>
  </TitlesOfParts>
  <Manager/>
  <Company>Biometrics4ALL,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Biometrics4ALL Sales Quote Sheet, Confidential and Proprietary, Distribution is strictly prohibited</dc:title>
  <dc:subject/>
  <dc:creator>Edward Chen</dc:creator>
  <cp:keywords>Sales Price Quote</cp:keywords>
  <dc:description>Biometrics4ALL company confidential and proprietary.  Document Class:  Company Trade Secret</dc:description>
  <cp:lastModifiedBy>Mekaeel Ahmad</cp:lastModifiedBy>
  <cp:revision/>
  <dcterms:created xsi:type="dcterms:W3CDTF">2015-11-06T23:24:43Z</dcterms:created>
  <dcterms:modified xsi:type="dcterms:W3CDTF">2023-08-02T17:42:09Z</dcterms:modified>
  <cp:category>Sales</cp:category>
  <cp:contentStatus/>
</cp:coreProperties>
</file>