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showInkAnnotation="0" hidePivotFieldList="1" defaultThemeVersion="124226"/>
  <mc:AlternateContent xmlns:mc="http://schemas.openxmlformats.org/markup-compatibility/2006">
    <mc:Choice Requires="x15">
      <x15ac:absPath xmlns:x15ac="http://schemas.microsoft.com/office/spreadsheetml/2010/11/ac" url="M:\1. Quotes\Quote Templates\"/>
    </mc:Choice>
  </mc:AlternateContent>
  <xr:revisionPtr revIDLastSave="0" documentId="13_ncr:1_{211AE31D-CA0A-4219-A123-F837B203D09C}" xr6:coauthVersionLast="47" xr6:coauthVersionMax="47" xr10:uidLastSave="{00000000-0000-0000-0000-000000000000}"/>
  <bookViews>
    <workbookView xWindow="-120" yWindow="-120" windowWidth="29040" windowHeight="15720"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state="hidden"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state="hidden"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9"/>
</workbook>
</file>

<file path=xl/calcChain.xml><?xml version="1.0" encoding="utf-8"?>
<calcChain xmlns="http://schemas.openxmlformats.org/spreadsheetml/2006/main">
  <c r="M2" i="30" l="1"/>
  <c r="L2" i="30"/>
  <c r="I2" i="30"/>
  <c r="H2" i="30"/>
  <c r="G2" i="30"/>
  <c r="B2" i="30"/>
  <c r="E2" i="30"/>
  <c r="C2" i="30"/>
  <c r="E145" i="29"/>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I92" i="24" s="1"/>
  <c r="O92" i="24" s="1"/>
  <c r="U92" i="24" s="1"/>
  <c r="B39" i="24"/>
  <c r="B38" i="24"/>
  <c r="E147" i="24"/>
  <c r="K147" i="24" s="1"/>
  <c r="E146" i="24"/>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A146" i="24"/>
  <c r="G146" i="24" s="1"/>
  <c r="M146" i="24" s="1"/>
  <c r="S146" i="24" s="1"/>
  <c r="C92" i="24"/>
  <c r="V92" i="24" s="1"/>
  <c r="C93" i="24"/>
  <c r="Q93" i="24" s="1"/>
  <c r="R145" i="24"/>
  <c r="R144" i="24"/>
  <c r="I147" i="24"/>
  <c r="O147" i="24" s="1"/>
  <c r="U147" i="24" s="1"/>
  <c r="K146" i="24"/>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A125" i="29" s="1"/>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I91" i="24" l="1"/>
  <c r="O91" i="24" s="1"/>
  <c r="U91" i="24" s="1"/>
  <c r="K91" i="24"/>
  <c r="A93" i="24"/>
  <c r="G93" i="24" s="1"/>
  <c r="M93" i="24" s="1"/>
  <c r="E51" i="1"/>
  <c r="D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I51" i="1"/>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E114" i="1" s="1"/>
  <c r="D114" i="1" s="1"/>
  <c r="I114" i="1" s="1"/>
  <c r="S114" i="1"/>
  <c r="T114" i="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C28" i="29"/>
  <c r="B28" i="29"/>
  <c r="E27" i="29"/>
  <c r="K27" i="29" s="1"/>
  <c r="C27" i="29"/>
  <c r="B27" i="29"/>
  <c r="E26" i="29"/>
  <c r="I26" i="29" s="1"/>
  <c r="O26" i="29" s="1"/>
  <c r="U26" i="29" s="1"/>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A19" i="29" s="1"/>
  <c r="G19" i="29" s="1"/>
  <c r="M19" i="29" s="1"/>
  <c r="S19" i="29" s="1"/>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G125" i="29"/>
  <c r="M125" i="29" s="1"/>
  <c r="S125" i="29" s="1"/>
  <c r="I122" i="29"/>
  <c r="G122" i="29"/>
  <c r="Q122" i="29"/>
  <c r="L122" i="29"/>
  <c r="S122" i="29"/>
  <c r="O140" i="29"/>
  <c r="U140" i="29" s="1"/>
  <c r="AA39" i="17"/>
  <c r="AA38" i="17"/>
  <c r="AA36" i="17"/>
  <c r="AA37" i="17"/>
  <c r="B19" i="24"/>
  <c r="A19" i="24" s="1"/>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V34" i="17" s="1"/>
  <c r="AB34" i="17" s="1"/>
  <c r="AD34" i="17" s="1"/>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E222" i="26" s="1"/>
  <c r="D222" i="26" s="1"/>
  <c r="I222" i="26" s="1"/>
  <c r="P222" i="26"/>
  <c r="V221" i="26"/>
  <c r="S221" i="26"/>
  <c r="T221" i="26" s="1"/>
  <c r="P221" i="26"/>
  <c r="V220" i="26"/>
  <c r="S220" i="26"/>
  <c r="T220" i="26" s="1"/>
  <c r="P220" i="26"/>
  <c r="V219" i="26"/>
  <c r="S219" i="26"/>
  <c r="T219" i="26" s="1"/>
  <c r="P219" i="26"/>
  <c r="V218" i="26"/>
  <c r="S218" i="26"/>
  <c r="T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c r="I191" i="26" s="1"/>
  <c r="E190" i="26"/>
  <c r="D190" i="26" s="1"/>
  <c r="I190" i="26"/>
  <c r="E189" i="26"/>
  <c r="D189" i="26" s="1"/>
  <c r="I189" i="26" s="1"/>
  <c r="E188" i="26"/>
  <c r="D188" i="26" s="1"/>
  <c r="I188" i="26" s="1"/>
  <c r="E187" i="26"/>
  <c r="D187" i="26" s="1"/>
  <c r="I187" i="26" s="1"/>
  <c r="E186" i="26"/>
  <c r="D186" i="26" s="1"/>
  <c r="I186" i="26" s="1"/>
  <c r="E185" i="26"/>
  <c r="D185" i="26" s="1"/>
  <c r="I185" i="26"/>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c r="E172" i="26"/>
  <c r="D172" i="26" s="1"/>
  <c r="I172" i="26" s="1"/>
  <c r="E171" i="26"/>
  <c r="D171" i="26" s="1"/>
  <c r="I171" i="26" s="1"/>
  <c r="E170" i="26"/>
  <c r="D170" i="26"/>
  <c r="I170" i="26" s="1"/>
  <c r="E169" i="26"/>
  <c r="D169" i="26" s="1"/>
  <c r="I169" i="26" s="1"/>
  <c r="E168" i="26"/>
  <c r="D168" i="26" s="1"/>
  <c r="I168" i="26" s="1"/>
  <c r="E167" i="26"/>
  <c r="D167" i="26"/>
  <c r="I167" i="26" s="1"/>
  <c r="E166" i="26"/>
  <c r="D166" i="26" s="1"/>
  <c r="I166" i="26" s="1"/>
  <c r="E165" i="26"/>
  <c r="D165" i="26" s="1"/>
  <c r="I165" i="26" s="1"/>
  <c r="E164" i="26"/>
  <c r="D164" i="26"/>
  <c r="I164" i="26" s="1"/>
  <c r="E163" i="26"/>
  <c r="D163" i="26" s="1"/>
  <c r="I163" i="26" s="1"/>
  <c r="E162" i="26"/>
  <c r="D162" i="26" s="1"/>
  <c r="I162" i="26" s="1"/>
  <c r="I161" i="26"/>
  <c r="E161" i="26"/>
  <c r="D161" i="26" s="1"/>
  <c r="E160" i="26"/>
  <c r="D160" i="26"/>
  <c r="I160" i="26" s="1"/>
  <c r="I159" i="26"/>
  <c r="E159" i="26"/>
  <c r="D159" i="26" s="1"/>
  <c r="E158" i="26"/>
  <c r="D158" i="26"/>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E128" i="26" s="1"/>
  <c r="D128" i="26" s="1"/>
  <c r="S128" i="26"/>
  <c r="T128" i="26" s="1"/>
  <c r="I128" i="26"/>
  <c r="V127" i="26"/>
  <c r="S127" i="26"/>
  <c r="T127" i="26" s="1"/>
  <c r="E127" i="26" s="1"/>
  <c r="D127" i="26" s="1"/>
  <c r="I127" i="26"/>
  <c r="V126" i="26"/>
  <c r="S126" i="26"/>
  <c r="T126" i="26" s="1"/>
  <c r="I126" i="26"/>
  <c r="V125" i="26"/>
  <c r="S125" i="26"/>
  <c r="T125" i="26" s="1"/>
  <c r="V124" i="26"/>
  <c r="S124" i="26"/>
  <c r="T124" i="26" s="1"/>
  <c r="E124" i="26" s="1"/>
  <c r="D124" i="26" s="1"/>
  <c r="I124" i="26" s="1"/>
  <c r="V123" i="26"/>
  <c r="S123" i="26"/>
  <c r="T123" i="26"/>
  <c r="I123" i="26"/>
  <c r="V122" i="26"/>
  <c r="S122" i="26"/>
  <c r="T122" i="26" s="1"/>
  <c r="E122" i="26" s="1"/>
  <c r="D122" i="26" s="1"/>
  <c r="I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c r="E113" i="26" s="1"/>
  <c r="D113" i="26" s="1"/>
  <c r="I113" i="26"/>
  <c r="V112" i="26"/>
  <c r="S112" i="26"/>
  <c r="T112" i="26" s="1"/>
  <c r="E112" i="26" s="1"/>
  <c r="D112" i="26" s="1"/>
  <c r="I112" i="26"/>
  <c r="V111" i="26"/>
  <c r="E111" i="26" s="1"/>
  <c r="D111" i="26" s="1"/>
  <c r="S111" i="26"/>
  <c r="T111" i="26"/>
  <c r="I111" i="26"/>
  <c r="V110" i="26"/>
  <c r="E110" i="26" s="1"/>
  <c r="D110" i="26" s="1"/>
  <c r="I110" i="26" s="1"/>
  <c r="T110" i="26"/>
  <c r="V109" i="26"/>
  <c r="S109" i="26"/>
  <c r="T109" i="26" s="1"/>
  <c r="E109" i="26" s="1"/>
  <c r="D109" i="26" s="1"/>
  <c r="I109" i="26"/>
  <c r="V108" i="26"/>
  <c r="S108" i="26"/>
  <c r="T108" i="26"/>
  <c r="E108" i="26" s="1"/>
  <c r="D108" i="26" s="1"/>
  <c r="I108" i="26" s="1"/>
  <c r="V107" i="26"/>
  <c r="S107" i="26"/>
  <c r="T107" i="26" s="1"/>
  <c r="V106" i="26"/>
  <c r="S106" i="26"/>
  <c r="T106" i="26" s="1"/>
  <c r="E106" i="26" s="1"/>
  <c r="D106" i="26" s="1"/>
  <c r="I106" i="26" s="1"/>
  <c r="V105" i="26"/>
  <c r="S105" i="26"/>
  <c r="T105" i="26"/>
  <c r="P105" i="26"/>
  <c r="V104" i="26"/>
  <c r="S104" i="26"/>
  <c r="T104" i="26"/>
  <c r="I104" i="26"/>
  <c r="V103" i="26"/>
  <c r="S103" i="26"/>
  <c r="T103" i="26"/>
  <c r="I103" i="26"/>
  <c r="V102" i="26"/>
  <c r="S102" i="26"/>
  <c r="T102" i="26"/>
  <c r="V101" i="26"/>
  <c r="S101" i="26"/>
  <c r="T101" i="26" s="1"/>
  <c r="E101" i="26" s="1"/>
  <c r="D101" i="26" s="1"/>
  <c r="I101" i="26" s="1"/>
  <c r="V100" i="26"/>
  <c r="S100" i="26"/>
  <c r="T100" i="26" s="1"/>
  <c r="V99" i="26"/>
  <c r="S99" i="26"/>
  <c r="T99" i="26"/>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E91" i="26" s="1"/>
  <c r="D91" i="26" s="1"/>
  <c r="I91" i="26" s="1"/>
  <c r="V90" i="26"/>
  <c r="T90" i="26"/>
  <c r="Q90" i="26"/>
  <c r="I90" i="26"/>
  <c r="V89" i="26"/>
  <c r="S89" i="26"/>
  <c r="T89" i="26" s="1"/>
  <c r="V88" i="26"/>
  <c r="S88" i="26"/>
  <c r="T88" i="26" s="1"/>
  <c r="V87" i="26"/>
  <c r="S87" i="26"/>
  <c r="T87" i="26"/>
  <c r="V86" i="26"/>
  <c r="S86" i="26"/>
  <c r="T86" i="26" s="1"/>
  <c r="V85" i="26"/>
  <c r="S85" i="26"/>
  <c r="T85" i="26" s="1"/>
  <c r="E85" i="26" s="1"/>
  <c r="D85" i="26" s="1"/>
  <c r="I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E78" i="26" s="1"/>
  <c r="D78" i="26" s="1"/>
  <c r="I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E70" i="26" s="1"/>
  <c r="D70" i="26" s="1"/>
  <c r="I70" i="26" s="1"/>
  <c r="V69" i="26"/>
  <c r="S69" i="26"/>
  <c r="T69" i="26"/>
  <c r="V68" i="26"/>
  <c r="S68" i="26"/>
  <c r="T68" i="26" s="1"/>
  <c r="V67" i="26"/>
  <c r="T67" i="26"/>
  <c r="E67" i="26" s="1"/>
  <c r="D67" i="26" s="1"/>
  <c r="I67" i="26" s="1"/>
  <c r="V66" i="26"/>
  <c r="T66" i="26"/>
  <c r="V65" i="26"/>
  <c r="T65" i="26"/>
  <c r="V64" i="26"/>
  <c r="E64" i="26" s="1"/>
  <c r="D64" i="26" s="1"/>
  <c r="I64" i="26" s="1"/>
  <c r="S64" i="26"/>
  <c r="T64" i="26" s="1"/>
  <c r="V63" i="26"/>
  <c r="S63" i="26"/>
  <c r="T63" i="26" s="1"/>
  <c r="E63" i="26" s="1"/>
  <c r="D63" i="26" s="1"/>
  <c r="I63" i="26" s="1"/>
  <c r="V62" i="26"/>
  <c r="S62" i="26"/>
  <c r="T62" i="26"/>
  <c r="V61" i="26"/>
  <c r="S61" i="26"/>
  <c r="T61" i="26" s="1"/>
  <c r="E61" i="26" s="1"/>
  <c r="D61" i="26" s="1"/>
  <c r="I61" i="26" s="1"/>
  <c r="V60" i="26"/>
  <c r="S60" i="26"/>
  <c r="T60" i="26"/>
  <c r="E60" i="26" s="1"/>
  <c r="D60" i="26" s="1"/>
  <c r="I60" i="26" s="1"/>
  <c r="V59" i="26"/>
  <c r="T59" i="26"/>
  <c r="V58" i="26"/>
  <c r="S58" i="26"/>
  <c r="T58" i="26"/>
  <c r="E58" i="26" s="1"/>
  <c r="D58" i="26" s="1"/>
  <c r="I58" i="26" s="1"/>
  <c r="V57" i="26"/>
  <c r="S57" i="26"/>
  <c r="T57" i="26" s="1"/>
  <c r="E57" i="26" s="1"/>
  <c r="D57" i="26" s="1"/>
  <c r="I57" i="26" s="1"/>
  <c r="V56" i="26"/>
  <c r="S56" i="26"/>
  <c r="T56" i="26" s="1"/>
  <c r="E56" i="26" s="1"/>
  <c r="D56" i="26" s="1"/>
  <c r="I56" i="26" s="1"/>
  <c r="Q56" i="26"/>
  <c r="V55" i="26"/>
  <c r="S55" i="26"/>
  <c r="T55" i="26"/>
  <c r="P55" i="26"/>
  <c r="P209" i="26"/>
  <c r="V54" i="26"/>
  <c r="S54" i="26"/>
  <c r="T54" i="26" s="1"/>
  <c r="P54" i="26"/>
  <c r="P207" i="26" s="1"/>
  <c r="I54" i="26"/>
  <c r="V53" i="26"/>
  <c r="S53" i="26"/>
  <c r="T53" i="26" s="1"/>
  <c r="E53" i="26" s="1"/>
  <c r="D53" i="26" s="1"/>
  <c r="I53" i="26" s="1"/>
  <c r="V52" i="26"/>
  <c r="S52" i="26"/>
  <c r="T52" i="26" s="1"/>
  <c r="V51" i="26"/>
  <c r="S51" i="26"/>
  <c r="T51" i="26" s="1"/>
  <c r="V50" i="26"/>
  <c r="S50" i="26"/>
  <c r="T50" i="26" s="1"/>
  <c r="V49" i="26"/>
  <c r="S49" i="26"/>
  <c r="T49" i="26" s="1"/>
  <c r="I49" i="26"/>
  <c r="V48" i="26"/>
  <c r="S48" i="26"/>
  <c r="T48" i="26" s="1"/>
  <c r="E48" i="26" s="1"/>
  <c r="D48" i="26" s="1"/>
  <c r="I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E37" i="26" s="1"/>
  <c r="D37" i="26" s="1"/>
  <c r="I37" i="26" s="1"/>
  <c r="V36" i="26"/>
  <c r="T36" i="26"/>
  <c r="V35" i="26"/>
  <c r="T35" i="26"/>
  <c r="E35" i="26" s="1"/>
  <c r="D35" i="26" s="1"/>
  <c r="I35" i="26" s="1"/>
  <c r="V34" i="26"/>
  <c r="S34" i="26"/>
  <c r="T34" i="26" s="1"/>
  <c r="E34" i="26" s="1"/>
  <c r="D34" i="26" s="1"/>
  <c r="I34" i="26" s="1"/>
  <c r="V33" i="26"/>
  <c r="T33" i="26"/>
  <c r="E33" i="26" s="1"/>
  <c r="D33" i="26" s="1"/>
  <c r="I33" i="26" s="1"/>
  <c r="V32" i="26"/>
  <c r="T32" i="26"/>
  <c r="V31" i="26"/>
  <c r="T31" i="26"/>
  <c r="E31" i="26" s="1"/>
  <c r="D31" i="26" s="1"/>
  <c r="I31" i="26" s="1"/>
  <c r="V30" i="26"/>
  <c r="T30" i="26"/>
  <c r="V29" i="26"/>
  <c r="S29" i="26"/>
  <c r="T29" i="26" s="1"/>
  <c r="E29" i="26" s="1"/>
  <c r="D29" i="26" s="1"/>
  <c r="I29" i="26"/>
  <c r="V28" i="26"/>
  <c r="T28" i="26"/>
  <c r="P28" i="26"/>
  <c r="P208" i="26" s="1"/>
  <c r="E208" i="26" s="1"/>
  <c r="D208" i="26" s="1"/>
  <c r="I28" i="26"/>
  <c r="V27" i="26"/>
  <c r="T27" i="26"/>
  <c r="E27" i="26" s="1"/>
  <c r="D27" i="26" s="1"/>
  <c r="I27" i="26" s="1"/>
  <c r="V26" i="26"/>
  <c r="S26" i="26"/>
  <c r="T26" i="26" s="1"/>
  <c r="V25" i="26"/>
  <c r="S25" i="26"/>
  <c r="T25" i="26" s="1"/>
  <c r="E25" i="26" s="1"/>
  <c r="D25" i="26" s="1"/>
  <c r="I25" i="26" s="1"/>
  <c r="V24" i="26"/>
  <c r="S24" i="26"/>
  <c r="T24" i="26" s="1"/>
  <c r="V23" i="26"/>
  <c r="S23" i="26"/>
  <c r="T23" i="26" s="1"/>
  <c r="E23" i="26" s="1"/>
  <c r="D23" i="26" s="1"/>
  <c r="I23" i="26" s="1"/>
  <c r="V22" i="26"/>
  <c r="S22" i="26"/>
  <c r="T22" i="26" s="1"/>
  <c r="I22" i="26"/>
  <c r="V21" i="26"/>
  <c r="S21" i="26"/>
  <c r="T21" i="26" s="1"/>
  <c r="E21" i="26" s="1"/>
  <c r="D21" i="26" s="1"/>
  <c r="I21" i="26"/>
  <c r="E20" i="26"/>
  <c r="D20" i="26" s="1"/>
  <c r="I20" i="26" s="1"/>
  <c r="E19" i="26"/>
  <c r="D19" i="26" s="1"/>
  <c r="I19" i="26" s="1"/>
  <c r="V18" i="26"/>
  <c r="S18" i="26"/>
  <c r="T18" i="26"/>
  <c r="V17" i="26"/>
  <c r="S17" i="26"/>
  <c r="T17" i="26" s="1"/>
  <c r="V16" i="26"/>
  <c r="S16" i="26"/>
  <c r="T16" i="26"/>
  <c r="E16" i="26" s="1"/>
  <c r="D16" i="26" s="1"/>
  <c r="I16" i="26" s="1"/>
  <c r="V15" i="26"/>
  <c r="S15" i="26"/>
  <c r="T15" i="26" s="1"/>
  <c r="V14" i="26"/>
  <c r="S14" i="26"/>
  <c r="T14" i="26" s="1"/>
  <c r="E14" i="26" s="1"/>
  <c r="D14" i="26" s="1"/>
  <c r="I14" i="26"/>
  <c r="V13" i="26"/>
  <c r="S13" i="26"/>
  <c r="T13" i="26"/>
  <c r="V12" i="26"/>
  <c r="S12" i="26"/>
  <c r="T12" i="26" s="1"/>
  <c r="I12" i="26"/>
  <c r="V11" i="26"/>
  <c r="S11" i="26"/>
  <c r="T11" i="26" s="1"/>
  <c r="V10" i="26"/>
  <c r="S10" i="26"/>
  <c r="T10" i="26" s="1"/>
  <c r="V9" i="26"/>
  <c r="S9" i="26"/>
  <c r="T9" i="26" s="1"/>
  <c r="V8" i="26"/>
  <c r="S8" i="26"/>
  <c r="T8" i="26" s="1"/>
  <c r="E8" i="26" s="1"/>
  <c r="D8" i="26" s="1"/>
  <c r="I8" i="26" s="1"/>
  <c r="V7" i="26"/>
  <c r="S7" i="26"/>
  <c r="T7" i="26" s="1"/>
  <c r="I7" i="26"/>
  <c r="V6" i="26"/>
  <c r="S6" i="26"/>
  <c r="T6" i="26" s="1"/>
  <c r="E6" i="26" s="1"/>
  <c r="D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E136" i="26"/>
  <c r="D136" i="26" s="1"/>
  <c r="I136" i="26" s="1"/>
  <c r="E218" i="26"/>
  <c r="D218" i="26" s="1"/>
  <c r="I218" i="26" s="1"/>
  <c r="E10" i="26"/>
  <c r="D10" i="26" s="1"/>
  <c r="I10" i="26" s="1"/>
  <c r="P210" i="26"/>
  <c r="P198" i="1"/>
  <c r="V39" i="2"/>
  <c r="V38" i="2"/>
  <c r="V37" i="2"/>
  <c r="V36" i="2"/>
  <c r="N41" i="17"/>
  <c r="Y39" i="17"/>
  <c r="Y38" i="17"/>
  <c r="Y37" i="17"/>
  <c r="C39" i="17"/>
  <c r="B39" i="17"/>
  <c r="C38" i="17"/>
  <c r="B38" i="17"/>
  <c r="A38" i="17" s="1"/>
  <c r="G38" i="17" s="1"/>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E7" i="1" s="1"/>
  <c r="D7" i="1" s="1"/>
  <c r="V6" i="1"/>
  <c r="S6" i="1"/>
  <c r="T6" i="1" s="1"/>
  <c r="E6" i="1" s="1"/>
  <c r="D6" i="1" s="1"/>
  <c r="I6" i="1" s="1"/>
  <c r="V5" i="1"/>
  <c r="S5" i="1"/>
  <c r="T5" i="1" s="1"/>
  <c r="V4" i="1"/>
  <c r="S4" i="1"/>
  <c r="T4" i="1" s="1"/>
  <c r="E4" i="1" s="1"/>
  <c r="D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E124" i="1" s="1"/>
  <c r="D124" i="1" s="1"/>
  <c r="I124" i="1" s="1"/>
  <c r="V123" i="1"/>
  <c r="V122" i="1"/>
  <c r="V121" i="1"/>
  <c r="V11" i="1"/>
  <c r="V10" i="1"/>
  <c r="V9" i="1"/>
  <c r="V8" i="1"/>
  <c r="V120" i="1"/>
  <c r="V119" i="1"/>
  <c r="V115" i="1"/>
  <c r="V112" i="1"/>
  <c r="V110" i="1"/>
  <c r="V109" i="1"/>
  <c r="V108" i="1"/>
  <c r="V107" i="1"/>
  <c r="V106" i="1"/>
  <c r="V104" i="1"/>
  <c r="V103" i="1"/>
  <c r="V102" i="1"/>
  <c r="E102" i="1" s="1"/>
  <c r="D102" i="1" s="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V27" i="1"/>
  <c r="V28" i="1"/>
  <c r="V26" i="1"/>
  <c r="V25" i="1"/>
  <c r="V24" i="1"/>
  <c r="V23" i="1"/>
  <c r="V18" i="1"/>
  <c r="V17" i="1"/>
  <c r="V16" i="1"/>
  <c r="V14" i="1"/>
  <c r="S18" i="1"/>
  <c r="T18" i="1" s="1"/>
  <c r="E18" i="1" s="1"/>
  <c r="D18" i="1" s="1"/>
  <c r="I18" i="1" s="1"/>
  <c r="S17" i="1"/>
  <c r="T17" i="1" s="1"/>
  <c r="E17" i="1" s="1"/>
  <c r="D17" i="1" s="1"/>
  <c r="I17" i="1" s="1"/>
  <c r="S16" i="1"/>
  <c r="T16" i="1" s="1"/>
  <c r="E16" i="1" s="1"/>
  <c r="D16" i="1" s="1"/>
  <c r="I16" i="1" s="1"/>
  <c r="S14" i="1"/>
  <c r="T14" i="1" s="1"/>
  <c r="E14" i="1" s="1"/>
  <c r="D14" i="1" s="1"/>
  <c r="S47" i="1"/>
  <c r="T47" i="1" s="1"/>
  <c r="S46" i="1"/>
  <c r="T46" i="1" s="1"/>
  <c r="E135" i="1"/>
  <c r="V45" i="17"/>
  <c r="Y36" i="17"/>
  <c r="Y19" i="17"/>
  <c r="O16" i="17"/>
  <c r="I16" i="17"/>
  <c r="G16" i="17"/>
  <c r="B16" i="17"/>
  <c r="S16" i="17" s="1"/>
  <c r="B15" i="17"/>
  <c r="G48" i="17" s="1"/>
  <c r="E1" i="17"/>
  <c r="E4" i="17" s="1"/>
  <c r="E128" i="1"/>
  <c r="D128" i="1" s="1"/>
  <c r="E178" i="1"/>
  <c r="D178" i="1" s="1"/>
  <c r="D135" i="1"/>
  <c r="I135"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G170" i="1"/>
  <c r="G166" i="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Q34" i="1"/>
  <c r="T126" i="1"/>
  <c r="E127" i="1"/>
  <c r="D127" i="1" s="1"/>
  <c r="T125" i="1"/>
  <c r="T124" i="1"/>
  <c r="S123" i="1"/>
  <c r="T123" i="1" s="1"/>
  <c r="E123" i="1" s="1"/>
  <c r="D123" i="1" s="1"/>
  <c r="I123" i="1" s="1"/>
  <c r="S101" i="1"/>
  <c r="T101" i="1" s="1"/>
  <c r="S102" i="1"/>
  <c r="T102" i="1" s="1"/>
  <c r="S122" i="1"/>
  <c r="T122" i="1" s="1"/>
  <c r="S121" i="1"/>
  <c r="T121" i="1" s="1"/>
  <c r="E121" i="1" s="1"/>
  <c r="D121" i="1" s="1"/>
  <c r="I121" i="1" s="1"/>
  <c r="S11" i="1"/>
  <c r="T11" i="1" s="1"/>
  <c r="S10" i="1"/>
  <c r="T10" i="1" s="1"/>
  <c r="E10" i="1" s="1"/>
  <c r="D10" i="1" s="1"/>
  <c r="I10" i="1" s="1"/>
  <c r="S9" i="1"/>
  <c r="T9" i="1" s="1"/>
  <c r="E9" i="1" s="1"/>
  <c r="D9" i="1" s="1"/>
  <c r="I9" i="1" s="1"/>
  <c r="S8" i="1"/>
  <c r="T8" i="1" s="1"/>
  <c r="E8" i="1" s="1"/>
  <c r="D8" i="1" s="1"/>
  <c r="S120" i="1"/>
  <c r="T120" i="1" s="1"/>
  <c r="S119" i="1"/>
  <c r="T119" i="1" s="1"/>
  <c r="E119" i="1" s="1"/>
  <c r="D119" i="1" s="1"/>
  <c r="S115" i="1"/>
  <c r="T115" i="1" s="1"/>
  <c r="S112" i="1"/>
  <c r="T112" i="1" s="1"/>
  <c r="E112" i="1" s="1"/>
  <c r="D112" i="1" s="1"/>
  <c r="S110" i="1"/>
  <c r="T110" i="1"/>
  <c r="S109" i="1"/>
  <c r="T109" i="1" s="1"/>
  <c r="E109" i="1" s="1"/>
  <c r="S108" i="1"/>
  <c r="T108" i="1" s="1"/>
  <c r="E108" i="1" s="1"/>
  <c r="S107" i="1"/>
  <c r="T107" i="1" s="1"/>
  <c r="S104" i="1"/>
  <c r="T104" i="1" s="1"/>
  <c r="E104" i="1" s="1"/>
  <c r="D104" i="1" s="1"/>
  <c r="S106" i="1"/>
  <c r="T106" i="1" s="1"/>
  <c r="S99" i="1"/>
  <c r="T99" i="1" s="1"/>
  <c r="E99" i="1" s="1"/>
  <c r="D99" i="1" s="1"/>
  <c r="I99" i="1" s="1"/>
  <c r="S100" i="1"/>
  <c r="T100" i="1" s="1"/>
  <c r="S98" i="1"/>
  <c r="T98" i="1" s="1"/>
  <c r="T103" i="1"/>
  <c r="T29" i="1"/>
  <c r="T84" i="1"/>
  <c r="E84" i="1" s="1"/>
  <c r="D84" i="1" s="1"/>
  <c r="I84" i="1" s="1"/>
  <c r="T85" i="1"/>
  <c r="T83" i="1"/>
  <c r="E86" i="1"/>
  <c r="D86" i="1" s="1"/>
  <c r="I86" i="1" s="1"/>
  <c r="S82" i="1"/>
  <c r="T82" i="1"/>
  <c r="S81" i="1"/>
  <c r="T81" i="1" s="1"/>
  <c r="S80" i="1"/>
  <c r="T80" i="1" s="1"/>
  <c r="E80" i="1" s="1"/>
  <c r="D80" i="1" s="1"/>
  <c r="S78" i="1"/>
  <c r="T78" i="1" s="1"/>
  <c r="S77" i="1"/>
  <c r="T77" i="1" s="1"/>
  <c r="S61" i="1"/>
  <c r="T61" i="1" s="1"/>
  <c r="T59" i="1"/>
  <c r="E59" i="1" s="1"/>
  <c r="D59" i="1" s="1"/>
  <c r="I59" i="1" s="1"/>
  <c r="T58" i="1"/>
  <c r="S97" i="1"/>
  <c r="T97" i="1" s="1"/>
  <c r="S96" i="1"/>
  <c r="T96" i="1"/>
  <c r="S95" i="1"/>
  <c r="T95" i="1"/>
  <c r="E95" i="1" s="1"/>
  <c r="D95" i="1" s="1"/>
  <c r="I95" i="1" s="1"/>
  <c r="S94" i="1"/>
  <c r="T94" i="1" s="1"/>
  <c r="E94" i="1" s="1"/>
  <c r="D94" i="1" s="1"/>
  <c r="I94" i="1" s="1"/>
  <c r="S93" i="1"/>
  <c r="T93" i="1" s="1"/>
  <c r="S92" i="1"/>
  <c r="T92" i="1" s="1"/>
  <c r="T91" i="1"/>
  <c r="E91" i="1" s="1"/>
  <c r="D91" i="1" s="1"/>
  <c r="T90" i="1"/>
  <c r="S89" i="1"/>
  <c r="T89" i="1" s="1"/>
  <c r="E89" i="1" s="1"/>
  <c r="D89" i="1" s="1"/>
  <c r="S88" i="1"/>
  <c r="T88" i="1" s="1"/>
  <c r="S75" i="1"/>
  <c r="T75" i="1" s="1"/>
  <c r="E75" i="1" s="1"/>
  <c r="D75" i="1" s="1"/>
  <c r="I75" i="1" s="1"/>
  <c r="S73" i="1"/>
  <c r="T73" i="1" s="1"/>
  <c r="S72" i="1"/>
  <c r="T72" i="1" s="1"/>
  <c r="E72" i="1" s="1"/>
  <c r="D72" i="1" s="1"/>
  <c r="I72" i="1" s="1"/>
  <c r="S70" i="1"/>
  <c r="T70" i="1" s="1"/>
  <c r="S71" i="1"/>
  <c r="T71" i="1" s="1"/>
  <c r="E71" i="1" s="1"/>
  <c r="D71" i="1" s="1"/>
  <c r="I71" i="1" s="1"/>
  <c r="S65" i="1"/>
  <c r="T65" i="1" s="1"/>
  <c r="E65" i="1" s="1"/>
  <c r="D65" i="1" s="1"/>
  <c r="S56" i="1"/>
  <c r="T56" i="1" s="1"/>
  <c r="E56" i="1" s="1"/>
  <c r="D56" i="1" s="1"/>
  <c r="I56" i="1" s="1"/>
  <c r="S55" i="1"/>
  <c r="T55" i="1" s="1"/>
  <c r="E55" i="1" s="1"/>
  <c r="D55" i="1" s="1"/>
  <c r="I55" i="1" s="1"/>
  <c r="S54" i="1"/>
  <c r="T54" i="1" s="1"/>
  <c r="S57" i="1"/>
  <c r="T57" i="1" s="1"/>
  <c r="S53" i="1"/>
  <c r="T53" i="1" s="1"/>
  <c r="E53" i="1" s="1"/>
  <c r="D53" i="1" s="1"/>
  <c r="I53" i="1" s="1"/>
  <c r="T52" i="1"/>
  <c r="S50" i="1"/>
  <c r="T50" i="1" s="1"/>
  <c r="E50" i="1" s="1"/>
  <c r="S49" i="1"/>
  <c r="T49" i="1" s="1"/>
  <c r="E49" i="1" s="1"/>
  <c r="D49" i="1" s="1"/>
  <c r="I49" i="1" s="1"/>
  <c r="S48" i="1"/>
  <c r="T48" i="1" s="1"/>
  <c r="E48" i="1" s="1"/>
  <c r="D48" i="1" s="1"/>
  <c r="I48" i="1" s="1"/>
  <c r="Q48" i="1"/>
  <c r="S43" i="1"/>
  <c r="T43" i="1" s="1"/>
  <c r="E43" i="1" s="1"/>
  <c r="D43" i="1" s="1"/>
  <c r="I43" i="1" s="1"/>
  <c r="S42" i="1"/>
  <c r="T42" i="1" s="1"/>
  <c r="E42" i="1" s="1"/>
  <c r="D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E31" i="1" s="1"/>
  <c r="D31" i="1" s="1"/>
  <c r="S27" i="1"/>
  <c r="T27" i="1" s="1"/>
  <c r="S28" i="1"/>
  <c r="T28" i="1" s="1"/>
  <c r="E28" i="1" s="1"/>
  <c r="D28" i="1" s="1"/>
  <c r="S25" i="1"/>
  <c r="T25" i="1"/>
  <c r="S26" i="1"/>
  <c r="T26" i="1" s="1"/>
  <c r="E26" i="1" s="1"/>
  <c r="D26" i="1" s="1"/>
  <c r="S24" i="1"/>
  <c r="T24" i="1" s="1"/>
  <c r="S23" i="1"/>
  <c r="T23" i="1"/>
  <c r="E23" i="1" s="1"/>
  <c r="D23" i="1" s="1"/>
  <c r="E73" i="1"/>
  <c r="D73" i="1" s="1"/>
  <c r="D50" i="1"/>
  <c r="I50" i="1" s="1"/>
  <c r="E29" i="1"/>
  <c r="D29" i="1" s="1"/>
  <c r="E122" i="1"/>
  <c r="D122" i="1" s="1"/>
  <c r="I122" i="1" s="1"/>
  <c r="E35" i="1"/>
  <c r="D35" i="1" s="1"/>
  <c r="E100" i="1"/>
  <c r="D100" i="1" s="1"/>
  <c r="I100" i="1" s="1"/>
  <c r="G122" i="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I38" i="17"/>
  <c r="Q39" i="17"/>
  <c r="A21" i="17"/>
  <c r="G21" i="17" s="1"/>
  <c r="R28" i="2"/>
  <c r="N148" i="29"/>
  <c r="N42" i="29"/>
  <c r="E54" i="29"/>
  <c r="E58" i="29" s="1"/>
  <c r="G128" i="29"/>
  <c r="M128" i="29" s="1"/>
  <c r="S128" i="29" s="1"/>
  <c r="K28" i="29"/>
  <c r="Q137" i="29"/>
  <c r="I128" i="29"/>
  <c r="O128" i="29" s="1"/>
  <c r="U128" i="29" s="1"/>
  <c r="Q91" i="29"/>
  <c r="I134" i="29"/>
  <c r="O134" i="29" s="1"/>
  <c r="U134" i="29" s="1"/>
  <c r="A29" i="17"/>
  <c r="G29" i="17" s="1"/>
  <c r="K127" i="29"/>
  <c r="Q72" i="29"/>
  <c r="G135" i="29"/>
  <c r="M135" i="29" s="1"/>
  <c r="S135" i="29" s="1"/>
  <c r="I135" i="29"/>
  <c r="O135" i="29" s="1"/>
  <c r="U135" i="29" s="1"/>
  <c r="A25" i="17"/>
  <c r="G25" i="17" s="1"/>
  <c r="A22" i="29"/>
  <c r="G22" i="29" s="1"/>
  <c r="M22" i="29" s="1"/>
  <c r="S22" i="29" s="1"/>
  <c r="E4" i="2"/>
  <c r="R33" i="2"/>
  <c r="G154" i="29"/>
  <c r="N42" i="24"/>
  <c r="N42" i="17"/>
  <c r="V140" i="29"/>
  <c r="X140" i="29" s="1"/>
  <c r="Y32" i="2" l="1"/>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M21" i="24"/>
  <c r="S21" i="24" s="1"/>
  <c r="G21" i="24"/>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19" i="24"/>
  <c r="M19" i="24" s="1"/>
  <c r="S19" i="24" s="1"/>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88" i="24"/>
  <c r="T88" i="24" s="1"/>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57" i="24"/>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R80" i="24"/>
  <c r="T80" i="24" s="1"/>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8" i="24"/>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R73" i="24"/>
  <c r="T73" i="24" s="1"/>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Y140" i="24" l="1"/>
  <c r="AA140" i="24" s="1"/>
  <c r="Y86" i="24"/>
  <c r="AA86" i="24" s="1"/>
  <c r="AB32" i="17"/>
  <c r="AD32" i="17" s="1"/>
  <c r="T30" i="29"/>
  <c r="E56" i="24"/>
  <c r="G96" i="1"/>
  <c r="Z19" i="17"/>
  <c r="R125" i="29"/>
  <c r="Y125" i="29" s="1"/>
  <c r="AA125" i="29" s="1"/>
  <c r="Z30" i="2"/>
  <c r="AB30" i="2" s="1"/>
  <c r="R31" i="29"/>
  <c r="Z84" i="29"/>
  <c r="AB84" i="29" s="1"/>
  <c r="R77" i="24"/>
  <c r="T77" i="24" s="1"/>
  <c r="E205" i="1"/>
  <c r="E209" i="1"/>
  <c r="E194" i="1"/>
  <c r="G82" i="1"/>
  <c r="G41" i="1"/>
  <c r="D98" i="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M22" i="24"/>
  <c r="S22" i="24" s="1"/>
  <c r="G22" i="24"/>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M139" i="24"/>
  <c r="S139" i="24" s="1"/>
  <c r="G139" i="24"/>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X19" i="17"/>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Y19" i="29"/>
  <c r="AA19" i="29" s="1"/>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X138" i="29" l="1"/>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X43" i="29"/>
  <c r="R43" i="29" s="1"/>
  <c r="T76" i="29"/>
  <c r="Y76" i="29"/>
  <c r="AA76" i="29" s="1"/>
  <c r="X95" i="29" s="1"/>
  <c r="Z23" i="29"/>
  <c r="AB23" i="29" s="1"/>
  <c r="Y23" i="29"/>
  <c r="AA23" i="29" s="1"/>
  <c r="X42" i="29" s="1"/>
  <c r="R42" i="29" s="1"/>
  <c r="T23" i="29"/>
  <c r="T23" i="2"/>
  <c r="Y23" i="2"/>
  <c r="AA23" i="2" s="1"/>
  <c r="D92" i="24"/>
  <c r="R92" i="24" s="1"/>
  <c r="T92" i="24" s="1"/>
  <c r="I210" i="1"/>
  <c r="G210" i="1"/>
  <c r="X23" i="24"/>
  <c r="X131" i="24"/>
  <c r="X97" i="24"/>
  <c r="S97" i="24" s="1"/>
  <c r="V97" i="24" s="1"/>
  <c r="X19" i="24"/>
  <c r="G211" i="1"/>
  <c r="I211" i="1"/>
  <c r="X42" i="2"/>
  <c r="R42" i="2" s="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c r="S42" i="29" l="1"/>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V43" i="29"/>
  <c r="S96" i="29"/>
  <c r="S149" i="29"/>
  <c r="D147" i="24"/>
  <c r="R147" i="24" s="1"/>
  <c r="T147" i="24" s="1"/>
  <c r="D93" i="24"/>
  <c r="R93" i="24" s="1"/>
  <c r="T93" i="24" s="1"/>
  <c r="T145" i="24"/>
  <c r="R146" i="24"/>
  <c r="T146" i="24" s="1"/>
  <c r="R97" i="24"/>
  <c r="S42" i="2"/>
  <c r="V42" i="2" s="1"/>
  <c r="R150" i="24"/>
  <c r="X99" i="24"/>
  <c r="S99" i="24" s="1"/>
  <c r="X45" i="24"/>
  <c r="S45" i="24" s="1"/>
  <c r="S42" i="24"/>
  <c r="V42" i="24" s="1"/>
  <c r="R96" i="24"/>
  <c r="X153" i="24"/>
  <c r="S153" i="24" s="1"/>
  <c r="R151" i="24"/>
  <c r="F37" i="24"/>
  <c r="F36" i="24"/>
  <c r="F38" i="24"/>
  <c r="T144" i="24"/>
  <c r="S43" i="24"/>
  <c r="V43" i="24" s="1"/>
  <c r="T90" i="24"/>
  <c r="V42" i="29" l="1"/>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S44" i="17" s="1"/>
  <c r="S46" i="17" s="1"/>
  <c r="AE37" i="17"/>
  <c r="Z37" i="17"/>
  <c r="X37" i="17" s="1"/>
  <c r="AD37" i="17"/>
  <c r="S150" i="29"/>
  <c r="S152" i="29" s="1"/>
  <c r="S97" i="29"/>
  <c r="S99" i="29" s="1"/>
  <c r="S44" i="24"/>
  <c r="S46" i="24" s="1"/>
  <c r="AA42" i="17" l="1"/>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<sst xmlns="http://schemas.openxmlformats.org/spreadsheetml/2006/main" count="4783" uniqueCount="1958">
  <si>
    <t>Shipping</t>
  </si>
  <si>
    <t>Storage Time (Month)</t>
  </si>
  <si>
    <t>Shelf Space</t>
  </si>
  <si>
    <t>Storage Cost</t>
  </si>
  <si>
    <t>Notes</t>
  </si>
  <si>
    <t>HW - CABINET - 110V Power Supply</t>
  </si>
  <si>
    <t>HW - CABINET - 220V Power Supply</t>
  </si>
  <si>
    <t>HW - CABINET - Camera Enclosure</t>
  </si>
  <si>
    <t>Std</t>
  </si>
  <si>
    <t>HW - CABINET - Control Panel</t>
  </si>
  <si>
    <t>HW - CABINET - Fan Filters</t>
  </si>
  <si>
    <t>HW - CABINET - Fans</t>
  </si>
  <si>
    <t>HW - CABINET - Height Adjustable Kiosk</t>
  </si>
  <si>
    <t>HW - CABINET - Legs</t>
  </si>
  <si>
    <t>HW - CABINET - Monitor Mounting Bracket</t>
  </si>
  <si>
    <t>HW - CABINET - Motor Cable</t>
  </si>
  <si>
    <t>HW - CABINET - Scanner Mounting Screws</t>
  </si>
  <si>
    <t>HW - CABINET - Tie Straps</t>
  </si>
  <si>
    <t>HW - CABLE - Extra Long Ethernet</t>
  </si>
  <si>
    <t>HW - CABLE - Standard Ethernet</t>
  </si>
  <si>
    <t>HW - CABLE - USB</t>
  </si>
  <si>
    <t>HW - CAMERA - 18% Gray Backdrop</t>
  </si>
  <si>
    <t>HW - CAMERA - Canon EOS</t>
  </si>
  <si>
    <t>HW - CAMERA - Extended Zoom Lens</t>
  </si>
  <si>
    <t>HW - CAMERA - Hot Shoe</t>
  </si>
  <si>
    <t>HW - CAMERA - Large Ring Flash</t>
  </si>
  <si>
    <t>HW - CAMERA - Monopod</t>
  </si>
  <si>
    <t>HW - CAMERA - On-Camera Ring Flash</t>
  </si>
  <si>
    <t>HW - CAMERA - POWER - Canon EOS</t>
  </si>
  <si>
    <t>HW - CAMERA - Tripod</t>
  </si>
  <si>
    <t>HW - CAMERA - Web Cam</t>
  </si>
  <si>
    <t>HW - CASE - Backpack</t>
  </si>
  <si>
    <t>HW - CASE - Others</t>
  </si>
  <si>
    <t>Small Case Pelican 1470</t>
  </si>
  <si>
    <t>HW - CASE - Palmprint "In-Case Operation"</t>
  </si>
  <si>
    <t>SKB 1SKB19-RSF4U, Including tray</t>
  </si>
  <si>
    <t>HW - CASE - Palmprint Roller Case</t>
  </si>
  <si>
    <t>HW - CASE - Tenprint Roller Case</t>
  </si>
  <si>
    <t>Pelican 1560, Victory Foams - Ordered in set of 10.</t>
  </si>
  <si>
    <t>HW - DESKTOP - High Performance Home Edition</t>
  </si>
  <si>
    <t>HW - DESKTOP - HighPerformance Pro Edition</t>
  </si>
  <si>
    <t>HW - DESKTOP - Performance Home Edition</t>
  </si>
  <si>
    <t>HW - DESKTOP - Performance Pro Edition</t>
  </si>
  <si>
    <t>HW - DESKTOP - Standard Home Edition</t>
  </si>
  <si>
    <t>HW - DESKTOP - Standard Pro Edition</t>
  </si>
  <si>
    <t>HW - LAPTOP - High Performance Home Edition</t>
  </si>
  <si>
    <t>HW - LAPTOP - High Performance Pro Edition</t>
  </si>
  <si>
    <t>HW - LAPTOP - Performance Home Edition</t>
  </si>
  <si>
    <t>HW - LAPTOP - Performance Pro Edition</t>
  </si>
  <si>
    <t>HW - LAPTOP - POWER</t>
  </si>
  <si>
    <t>HW - LAPTOP - Rugged for Palmprint Pro Edition</t>
  </si>
  <si>
    <t>HW - LAPTOP - Rugged for Tenprint Pro Edition</t>
  </si>
  <si>
    <t>HW - LAPTOP - Security Lock</t>
  </si>
  <si>
    <t>HW - LAPTOP - Standard Home Edition</t>
  </si>
  <si>
    <t>HW - LAPTOP - Standard Pro Edition</t>
  </si>
  <si>
    <t>HW - MONITOR - 20"-22"</t>
  </si>
  <si>
    <t>HW - MONITOR - 23" and up</t>
  </si>
  <si>
    <t>HW - MONITOR - CABLE - VGA / DVI / HDMI</t>
  </si>
  <si>
    <t>HW - MONITOR - Touch Screen</t>
  </si>
  <si>
    <t>HW - MONITOR - Touch Screen 24" and up</t>
  </si>
  <si>
    <t>HW - OTHER - 1D Barcode Reader</t>
  </si>
  <si>
    <t>HW - OTHER - 2D Barcode Reader</t>
  </si>
  <si>
    <t>HW - OTHER - Baby Wipes</t>
  </si>
  <si>
    <t>HW - OTHER - Computer Speaker</t>
  </si>
  <si>
    <t>HW - OTHER - Corn Husker Lotion</t>
  </si>
  <si>
    <t>HW - OTHER - Cross Match Silicon Pad</t>
  </si>
  <si>
    <t>HW - OTHER - Dual Lock Velcro (1" Square)</t>
  </si>
  <si>
    <t>HW - OTHER - Electronic Signature Pad</t>
  </si>
  <si>
    <t>HW - OTHER - Epson Flatbed Scanner</t>
  </si>
  <si>
    <t>HW - OTHER - Ethernet Adapter</t>
  </si>
  <si>
    <t>HW - OTHER - Ethernet Adapter (Server)</t>
  </si>
  <si>
    <t>HW - OTHER - Firewire Card (Laptop)</t>
  </si>
  <si>
    <t>HW - OTHER - Firewire Card (PCI)</t>
  </si>
  <si>
    <t>HW - OTHER - Firewire Card (PCIe 1X)</t>
  </si>
  <si>
    <t>HW - OTHER - Foot Pedal (Small)</t>
  </si>
  <si>
    <t>HW - OTHER - Hard Drive</t>
  </si>
  <si>
    <t>HW - OTHER - KVM</t>
  </si>
  <si>
    <t>HW - OTHER - Magnetic Strip Reader</t>
  </si>
  <si>
    <t>HW - OTHER - Memory</t>
  </si>
  <si>
    <t>HW - OTHER - Micro Fiber Cloth</t>
  </si>
  <si>
    <t>HW - OTHER - Misc Accessories</t>
  </si>
  <si>
    <t>HW - OTHER - Modem</t>
  </si>
  <si>
    <t>HW - OTHER - Mouse Pad</t>
  </si>
  <si>
    <t>HW - OTHER - Network Switch</t>
  </si>
  <si>
    <t>HW - OTHER - Power Transformer</t>
  </si>
  <si>
    <t>HW - OTHER - Printer Toner</t>
  </si>
  <si>
    <t>HW - OTHER - Projector</t>
  </si>
  <si>
    <t>HW - OTHER - USB Hub</t>
  </si>
  <si>
    <t>HW - POWER - Battery Charger</t>
  </si>
  <si>
    <t>HW - POWER - Charger and 4 Batteries</t>
  </si>
  <si>
    <t>HW - POWER - Laptop Battery</t>
  </si>
  <si>
    <t>HW - POWER - PC Power Cord</t>
  </si>
  <si>
    <t>HW - POWER - Power Strip</t>
  </si>
  <si>
    <t>HW - POWER - Rechargeable Batteries</t>
  </si>
  <si>
    <t>HW - POWER - UPS</t>
  </si>
  <si>
    <t>HW - PRINTER - Duplex</t>
  </si>
  <si>
    <t>HW - PRINTER - High Volume Duplex</t>
  </si>
  <si>
    <t>HW - PRINTER - Simplex</t>
  </si>
  <si>
    <t>HW - READER - Suprema Passport</t>
  </si>
  <si>
    <t>HW - SCANNER - CABLE - Firewire</t>
  </si>
  <si>
    <t>HW - SCANNER - CABLE - USB</t>
  </si>
  <si>
    <t>HW - SCANNER - Cross Match 1000Px</t>
  </si>
  <si>
    <t>HW - SCANNER - Cross Match 500P</t>
  </si>
  <si>
    <t>HW - SCANNER - Cross Match Guardian MD</t>
  </si>
  <si>
    <t>HW - SCANNER - Cross Match Guardian Module</t>
  </si>
  <si>
    <t>HW - SCANNER - Cross Match Guardian USB</t>
  </si>
  <si>
    <t>HW - SCANNER - Cross Match Patrol</t>
  </si>
  <si>
    <t>HW - SCANNER - i3 DigID Mini</t>
  </si>
  <si>
    <t>HW - SCANNER - POWER</t>
  </si>
  <si>
    <t>HW - SCANNER - Suprema Palmprint</t>
  </si>
  <si>
    <t>HW - SCANNER - Suprema Tenprint</t>
  </si>
  <si>
    <t>HW - SERVER - Enterprise CMS</t>
  </si>
  <si>
    <t>HW - SERVER - General</t>
  </si>
  <si>
    <t>HW - SERVER - Performance CMS</t>
  </si>
  <si>
    <t>HW - SERVER - Standard CMS</t>
  </si>
  <si>
    <t>$24K/Mo Rent (8500SF), Stack 3 levels</t>
  </si>
  <si>
    <t>Bulk</t>
  </si>
  <si>
    <t>HW-USB-AMini</t>
  </si>
  <si>
    <t xml:space="preserve"> Bill To:</t>
  </si>
  <si>
    <t>Date</t>
  </si>
  <si>
    <t>Estimate Number</t>
  </si>
  <si>
    <t>Representitive</t>
  </si>
  <si>
    <t xml:space="preserve"> Ship To:</t>
  </si>
  <si>
    <t>Part Number</t>
  </si>
  <si>
    <t>Description</t>
  </si>
  <si>
    <t>Qty</t>
  </si>
  <si>
    <t>Unit Price</t>
  </si>
  <si>
    <t>Extended Price</t>
  </si>
  <si>
    <t>Net Terms</t>
  </si>
  <si>
    <t>Shipping Method</t>
  </si>
  <si>
    <t xml:space="preserve">QUOTE ACCEPTED </t>
  </si>
  <si>
    <t>Address Line 2</t>
  </si>
  <si>
    <t>City, State Zip</t>
  </si>
  <si>
    <t>Due on Rcpt</t>
  </si>
  <si>
    <t>Intl Hard</t>
  </si>
  <si>
    <t>Pricing Type</t>
  </si>
  <si>
    <t>FL Contract</t>
  </si>
  <si>
    <t>NY Contract</t>
  </si>
  <si>
    <t>WA Contract</t>
  </si>
  <si>
    <t>Pricing Types</t>
  </si>
  <si>
    <t>Federal Applicant</t>
  </si>
  <si>
    <t>Out of State App</t>
  </si>
  <si>
    <t>(Sign Here):</t>
  </si>
  <si>
    <t>Discount Based</t>
  </si>
  <si>
    <t>Cost Based</t>
  </si>
  <si>
    <t>Biometrics4ALL, Inc. (U.S. FEIN: 20-2609462)</t>
  </si>
  <si>
    <t>Phone: 714-568-9888 Option 3 (Sales)</t>
  </si>
  <si>
    <t>(Print Name):                                                 Date:</t>
  </si>
  <si>
    <t>Old BOM</t>
  </si>
  <si>
    <t>HW-Cab-CamBox</t>
  </si>
  <si>
    <t>HW-Cab-CtrlPanel</t>
  </si>
  <si>
    <t>HW-Cab</t>
  </si>
  <si>
    <t>HW-Cab-Leg</t>
  </si>
  <si>
    <t>HW-Cab-Bracket</t>
  </si>
  <si>
    <t>HW-Cab-Screw</t>
  </si>
  <si>
    <t>HW-Cable-Cat5L</t>
  </si>
  <si>
    <t>HW-Cable-Cat5S</t>
  </si>
  <si>
    <t>HW-CamDSLR</t>
  </si>
  <si>
    <t>HW-CamLensExt</t>
  </si>
  <si>
    <t>HW-CamHotShoe</t>
  </si>
  <si>
    <t>HW-CamFlashRing</t>
  </si>
  <si>
    <t>HW-CamFlashRingS</t>
  </si>
  <si>
    <t>HW-CamMonoPod</t>
  </si>
  <si>
    <t>HW-CamDSLRPower</t>
  </si>
  <si>
    <t>HW-CamTripod</t>
  </si>
  <si>
    <t>HW-CamWebcam</t>
  </si>
  <si>
    <t>HW-DT-HP-Home</t>
  </si>
  <si>
    <t>HW-DT-HP-Pro</t>
  </si>
  <si>
    <t>HW-DT-P-Home</t>
  </si>
  <si>
    <t>HW-DT-P-Pro</t>
  </si>
  <si>
    <t>HW-DT-Std-Home</t>
  </si>
  <si>
    <t>HW-DT-Std-Pro</t>
  </si>
  <si>
    <t>HW-LT-HP-Home</t>
  </si>
  <si>
    <t>HW-LT-HP-Pro</t>
  </si>
  <si>
    <t>HW-LT-P-Home</t>
  </si>
  <si>
    <t>HW-LT-P-Pro</t>
  </si>
  <si>
    <t>HW-LT-Std-Home</t>
  </si>
  <si>
    <t>HW-LT-Std-Pro</t>
  </si>
  <si>
    <t>HW-LT-RHP-Home</t>
  </si>
  <si>
    <t>HW-LT-RStd-Pro</t>
  </si>
  <si>
    <t>HW-LT-Power</t>
  </si>
  <si>
    <t>HW-LT-SecurLock</t>
  </si>
  <si>
    <t>HW-Monitor20</t>
  </si>
  <si>
    <t>HW-Monitor23</t>
  </si>
  <si>
    <t>HW-Monitor23T</t>
  </si>
  <si>
    <t>HW-Monitor20T</t>
  </si>
  <si>
    <t>HW-Barcode1</t>
  </si>
  <si>
    <t>HW-Barcode2</t>
  </si>
  <si>
    <t>HW-CornHusker</t>
  </si>
  <si>
    <t>HW-CMT-Silicon</t>
  </si>
  <si>
    <t>HW-DualLock</t>
  </si>
  <si>
    <t>HW-SignPad</t>
  </si>
  <si>
    <t>HW-Flatbed</t>
  </si>
  <si>
    <t>HW-Ether-Svr</t>
  </si>
  <si>
    <t>HW-Ether-DT</t>
  </si>
  <si>
    <t>HW-FW-LT</t>
  </si>
  <si>
    <t>HW-FW-DT</t>
  </si>
  <si>
    <t>HW-FootPedal</t>
  </si>
  <si>
    <t>HW-Magtrip</t>
  </si>
  <si>
    <t>HW-Cloth</t>
  </si>
  <si>
    <t>HW-ModemDT</t>
  </si>
  <si>
    <t>HW-PowerTrans</t>
  </si>
  <si>
    <t>HW-USBHub</t>
  </si>
  <si>
    <t>HW-Scan-1000Px</t>
  </si>
  <si>
    <t>HW-Scan-500P</t>
  </si>
  <si>
    <t>HW-Scan-Patrol</t>
  </si>
  <si>
    <t>HW-Scan-i3Mini</t>
  </si>
  <si>
    <t>HW-Scan-CMTPower</t>
  </si>
  <si>
    <t>HW-Scan-200</t>
  </si>
  <si>
    <t>HW-Scan-Module</t>
  </si>
  <si>
    <t>HW-Scan-Guard</t>
  </si>
  <si>
    <t>HW-Scan-RSF</t>
  </si>
  <si>
    <t>HW-Server-Perf</t>
  </si>
  <si>
    <t>Hardware-Cabinet-Parts-Power Supply Controller (110V)</t>
  </si>
  <si>
    <t>Hardware-Cabinet-Parts-Power Supply Controller (220V)</t>
  </si>
  <si>
    <t>Hardware-Cabinet-Parts-Camera Enclosure for Camera and Ring Flash</t>
  </si>
  <si>
    <t>Hardware-Cabinet-Electric Height Adjustable Cabinet/Kiosk</t>
  </si>
  <si>
    <t>Hardware-Cabinet-Parts-Monitor Mounting Bracket</t>
  </si>
  <si>
    <t>Hardware-Cabinet-Parts-Motor Cable</t>
  </si>
  <si>
    <t>Hardware-Cabinet-Parts-Mounting Screw</t>
  </si>
  <si>
    <t>Hardware-Camera-Gray Backdrop</t>
  </si>
  <si>
    <t>Hardware-Cable-USB A to Mini connector</t>
  </si>
  <si>
    <t>HW-Cable-USBAM</t>
  </si>
  <si>
    <t>Hardware-Camera-Digital SLR Camera</t>
  </si>
  <si>
    <t>Hardware-Camera-Zoom Lens</t>
  </si>
  <si>
    <t>Hardware-Camera-Hot Shoe</t>
  </si>
  <si>
    <t>Hardware-Camera-Professional High Power Ring Flash</t>
  </si>
  <si>
    <t>Hardware-Camera-Monopod</t>
  </si>
  <si>
    <t>Hardware-Camera-On-Camera Close Range Ring Flash</t>
  </si>
  <si>
    <t>Hardware-Camera-Camera Power Supply</t>
  </si>
  <si>
    <t>Hardware-Camera-Tripod</t>
  </si>
  <si>
    <t>Hardware-Camera-Webcam</t>
  </si>
  <si>
    <t>Hardware-Case-Rugged Case for Palmprint Portable System and operation inside the case including mounting and battery</t>
  </si>
  <si>
    <t>Hardware-Case-Rugged Roller Case for Transporting Palmprint Portable System</t>
  </si>
  <si>
    <t>Hardware-Case-Rugged Roller Case for Tenprint Portable System</t>
  </si>
  <si>
    <t>Hardware-Case-Backpack for tenprint scanner and laptop</t>
  </si>
  <si>
    <t>Hardware-Cable-Monitor Cable (e.g. HDMI, DVI, VGA, etc.)</t>
  </si>
  <si>
    <t>Hardware-1D Barcode Reader</t>
  </si>
  <si>
    <t>Hardware-2D Barcode Reader</t>
  </si>
  <si>
    <t>Hardware-Corn Husker Lotion</t>
  </si>
  <si>
    <t>Hardware-Crossmatch Silicon Pad 5 Pack</t>
  </si>
  <si>
    <t>Hardware-Dual Lock (1" Square)</t>
  </si>
  <si>
    <t>Hardware-Electronic Signature Pad</t>
  </si>
  <si>
    <t>Hardware-Epson Flatbed Scanner</t>
  </si>
  <si>
    <t>Hardware-Magnetic Strip Reader</t>
  </si>
  <si>
    <t>Hardware-USB Hub</t>
  </si>
  <si>
    <t>Hardware-Ethernet PCI Card for Servers</t>
  </si>
  <si>
    <t>Hardware-Firewire Card for Laptops</t>
  </si>
  <si>
    <t>Hardware-Firewire Card for Desktops</t>
  </si>
  <si>
    <t>Hardware-Firewire Card for Desktops with PCIe 1X interface</t>
  </si>
  <si>
    <t>Hardware-Microfiber Cloth</t>
  </si>
  <si>
    <t>Hardware-External Modem</t>
  </si>
  <si>
    <t>Hardware-Basic Power Inverter Transformer</t>
  </si>
  <si>
    <t>Hardware-Battery Charger</t>
  </si>
  <si>
    <t>Hardware-Battery Charger and 4 Batteries</t>
  </si>
  <si>
    <t>Hardware-UPS Battery</t>
  </si>
  <si>
    <t>Hardware-Printer-Duplex</t>
  </si>
  <si>
    <t>Hardware-Suprema Passport Reader (Standard)</t>
  </si>
  <si>
    <t>Hardware-Cable-Firewire</t>
  </si>
  <si>
    <t>Hardware-Scanner-i3 DigID Mini</t>
  </si>
  <si>
    <t>Hardware-Scanner-Crossmatch 1000Px</t>
  </si>
  <si>
    <t>Hardware-Scanner-Crossmatch 500P</t>
  </si>
  <si>
    <t>Hardware-Scanner-Crossmatch Guardian Module</t>
  </si>
  <si>
    <t>Hardware-Scanner-Crossmatch Guardian USB</t>
  </si>
  <si>
    <t>Hardware-Scanner-Crossmatch Patrol</t>
  </si>
  <si>
    <t>Hardware-Scanner-Crossmatch Guardian 200</t>
  </si>
  <si>
    <t>Hardware-Scanner-Suprema Real Scan F Tenprint/Palmprint</t>
  </si>
  <si>
    <t>HW-Server-Ent</t>
  </si>
  <si>
    <t>HW-Server-Std</t>
  </si>
  <si>
    <t>SHIPPING - Overnight</t>
  </si>
  <si>
    <t>SHIPPING - Std Ground</t>
  </si>
  <si>
    <t>SUPPORT - Warranty</t>
  </si>
  <si>
    <t>SVCS - Automatic 30 Day Transaction Purge</t>
  </si>
  <si>
    <t>SVCS - CA PSP Setup</t>
  </si>
  <si>
    <t>SVCS - CAL-DOJ Direct Setup</t>
  </si>
  <si>
    <t>SVCS - Configuration</t>
  </si>
  <si>
    <t>SVCS - FL PSP Setup</t>
  </si>
  <si>
    <t>SVCS - In-office</t>
  </si>
  <si>
    <t>SVCS - Installation</t>
  </si>
  <si>
    <t>SVCS - NCR Setup</t>
  </si>
  <si>
    <t>SVCS - NIGC PSP Setup</t>
  </si>
  <si>
    <t>SVCS - NV S&amp;F Setup</t>
  </si>
  <si>
    <t>SVCS - NYSP CMS Server Setup</t>
  </si>
  <si>
    <t>SVCS - On-Site</t>
  </si>
  <si>
    <t>SVCS - Printing Configuration</t>
  </si>
  <si>
    <t>SVCS - Remote (Phone)</t>
  </si>
  <si>
    <t>SVCS - Training</t>
  </si>
  <si>
    <t>SW - LS4G - Active Directory (AD)</t>
  </si>
  <si>
    <t>SW - LS4G - CardScan</t>
  </si>
  <si>
    <t>SW - LS4G - Child ID</t>
  </si>
  <si>
    <t>SW - LS4G - CMS Workflow Interface</t>
  </si>
  <si>
    <t>SW - LS4G - Copy Out Fingerprints</t>
  </si>
  <si>
    <t>SW - LS4G - Lock down</t>
  </si>
  <si>
    <t>SW - LS4G - No Palm Setup</t>
  </si>
  <si>
    <t>SW - LS4G - NV APP</t>
  </si>
  <si>
    <t>SW - LS4G - NY Admission</t>
  </si>
  <si>
    <t>SW - LS4G - NY Applicant</t>
  </si>
  <si>
    <t>SW - LS4G - NY Signature</t>
  </si>
  <si>
    <t>SW - LS4G - Photo</t>
  </si>
  <si>
    <t>SW - LS4G - Practice Mode</t>
  </si>
  <si>
    <t>SW - LS4G - Printing</t>
  </si>
  <si>
    <t>SW - SMTP Relay</t>
  </si>
  <si>
    <t>SW - Starter Paperwork</t>
  </si>
  <si>
    <t>SW - LS4G - Data Export</t>
  </si>
  <si>
    <t>SW - LS4G - Data Import</t>
  </si>
  <si>
    <t>Services-Configuration</t>
  </si>
  <si>
    <t>Services-In-office</t>
  </si>
  <si>
    <t>Svcs-Training</t>
  </si>
  <si>
    <t>Svcs-Cfg-CAPSP</t>
  </si>
  <si>
    <t>Svcs-Cfg-CADir</t>
  </si>
  <si>
    <t>Svcs-Cfg</t>
  </si>
  <si>
    <t>Svcs-Office</t>
  </si>
  <si>
    <t>Svcs-Cfg-NCR</t>
  </si>
  <si>
    <t>Svcs-Cfg-NIGC</t>
  </si>
  <si>
    <t>Svcs-Cfg-NVApp</t>
  </si>
  <si>
    <t>Svcs-Cfg-Printer</t>
  </si>
  <si>
    <t>Svcs-Phone</t>
  </si>
  <si>
    <t>Svcs-Cfg-AD</t>
  </si>
  <si>
    <t>Svcs-Cfg-Copy</t>
  </si>
  <si>
    <t>Svcs-Cfg-LockDown</t>
  </si>
  <si>
    <t>LS4G-CardScan</t>
  </si>
  <si>
    <t>LS4G-Child</t>
  </si>
  <si>
    <t>LS4G-LS2CMS</t>
  </si>
  <si>
    <t>LS4G-Photo</t>
  </si>
  <si>
    <t>LS4G-Printing</t>
  </si>
  <si>
    <t>LS4G-SIG</t>
  </si>
  <si>
    <t>LS4G-Practice</t>
  </si>
  <si>
    <t>Services-Active Directory (AD) Setup</t>
  </si>
  <si>
    <t>LS4G-SAM</t>
  </si>
  <si>
    <t>Software-SMTP Email Relay Software</t>
  </si>
  <si>
    <t>Svcs-Paperwork</t>
  </si>
  <si>
    <t>Services-Starter Paperwork</t>
  </si>
  <si>
    <t>Delivery</t>
  </si>
  <si>
    <t>Sub Total:</t>
  </si>
  <si>
    <t>Total:</t>
  </si>
  <si>
    <t>Company / Agency</t>
  </si>
  <si>
    <t>Billing Contact</t>
  </si>
  <si>
    <t>Bill To Address</t>
  </si>
  <si>
    <t>Shipping Contact</t>
  </si>
  <si>
    <t>Ship To Address</t>
  </si>
  <si>
    <t>Customer Product Description</t>
  </si>
  <si>
    <t>Current Parts Description (incl. SKU Numbers)</t>
  </si>
  <si>
    <t>Bulk, Std,
Pickup,
Search</t>
  </si>
  <si>
    <t>Svcs-OnsiteCA</t>
  </si>
  <si>
    <t>Svcs-OnsiteUS</t>
  </si>
  <si>
    <t>Svcs-OnsiteIntl</t>
  </si>
  <si>
    <t>Taxable</t>
  </si>
  <si>
    <t>Hardware-Cabinet-Parts-Height Adjustment Control Panel</t>
  </si>
  <si>
    <t>SW - LS4G - Service Affiliate Member (SAM)</t>
  </si>
  <si>
    <t>HW-Backdrop</t>
  </si>
  <si>
    <t>LiveScan 4th Gen Software-CardScan Module</t>
  </si>
  <si>
    <t>LiveScan 4th Gen Software-Child ID Module</t>
  </si>
  <si>
    <t>LiveScan 4th Gen Software-Electronic Signature Module</t>
  </si>
  <si>
    <t>LiveScan 4th Gen Software-LiveScan to CMS Connection Module</t>
  </si>
  <si>
    <t>LiveScan 4th Gen Software-Photo Module</t>
  </si>
  <si>
    <t>LiveScan 4th Gen Software-Practice Mode</t>
  </si>
  <si>
    <t>LiveScan 4th Gen Software-Printing Module</t>
  </si>
  <si>
    <t>LiveScan 4th Gen Software-Service Affiliate Member (SAM) Module</t>
  </si>
  <si>
    <t>Svcs-OnsiteAdd</t>
  </si>
  <si>
    <t>$30/Hr | Bulk: 0min | Std:10 min | Pickup: 10 min | Search: 30 min</t>
  </si>
  <si>
    <t>Based on W"xL" (H is not considered)</t>
  </si>
  <si>
    <t>General: 3m
Std Elec: 2m
Warranty Sens: 1m</t>
  </si>
  <si>
    <t>SW-SMTP</t>
  </si>
  <si>
    <t>Base Cost</t>
  </si>
  <si>
    <t>Net Cost</t>
  </si>
  <si>
    <t>Yes</t>
  </si>
  <si>
    <t>No</t>
  </si>
  <si>
    <t>Order Type</t>
  </si>
  <si>
    <t>Order Process Cost</t>
  </si>
  <si>
    <t>List Price</t>
  </si>
  <si>
    <t>Sales Tax Rate</t>
  </si>
  <si>
    <t>Price Override</t>
  </si>
  <si>
    <t>Intl Medium</t>
  </si>
  <si>
    <t>Maintenance-Initial Year Warranty</t>
  </si>
  <si>
    <t>Maint-Warr</t>
  </si>
  <si>
    <t>HW-Scan-1000</t>
  </si>
  <si>
    <t>HW-Scan-500</t>
  </si>
  <si>
    <t>Hardware-Scanner-Crossmatch 1000 (USB Connector)</t>
  </si>
  <si>
    <t>Hardware-Scanner-Crossmatch 500 (USB Connector)</t>
  </si>
  <si>
    <t>LA Contract</t>
  </si>
  <si>
    <t>Shipping-Ground for Cabinet</t>
  </si>
  <si>
    <t>Shipping-Overnight System</t>
  </si>
  <si>
    <t>Ship-Cab</t>
  </si>
  <si>
    <t>Ship-1DSys</t>
  </si>
  <si>
    <t>Ship-L</t>
  </si>
  <si>
    <t>Ship-S</t>
  </si>
  <si>
    <t>Ship-M</t>
  </si>
  <si>
    <t>Ship-XL</t>
  </si>
  <si>
    <t>Shipping-Ground for Extra Large Package (e.g. Printer)</t>
  </si>
  <si>
    <t>Pricing Method</t>
  </si>
  <si>
    <t xml:space="preserve">Pricing Method: </t>
  </si>
  <si>
    <t>Los Angeles Contract</t>
  </si>
  <si>
    <t>Contract NY</t>
  </si>
  <si>
    <t>Contract LA</t>
  </si>
  <si>
    <t>Contract FL</t>
  </si>
  <si>
    <t>Contract WA</t>
  </si>
  <si>
    <t>Foreign</t>
  </si>
  <si>
    <t>Private</t>
  </si>
  <si>
    <t>T&amp;C</t>
  </si>
  <si>
    <t>CA PSP Private Sector Customers</t>
  </si>
  <si>
    <t>Contract (If Applicable)</t>
  </si>
  <si>
    <t>CA PSP Private Sector Large</t>
  </si>
  <si>
    <t>Public</t>
  </si>
  <si>
    <t>L/C</t>
  </si>
  <si>
    <t>PT65343</t>
  </si>
  <si>
    <t>Net 30</t>
  </si>
  <si>
    <t>Net 10</t>
  </si>
  <si>
    <t>Standard Desktop | Guardian 200 | Magstrip Reader | 21"+ LED</t>
  </si>
  <si>
    <t>Standard Desktop | i3 Mini | Magstrip Reader | 21"+ LED</t>
  </si>
  <si>
    <t>3rd Party SMTP software</t>
  </si>
  <si>
    <t>FedEx Overnight Standard</t>
  </si>
  <si>
    <t>FedEx Ground (Small Box)</t>
  </si>
  <si>
    <t>FedEx Ground (Medium Box)</t>
  </si>
  <si>
    <t>FedEx Ground (Large Box)</t>
  </si>
  <si>
    <t>FedEx Ground (Printer Size Box)</t>
  </si>
  <si>
    <t>FedEx Freight for Cabinet</t>
  </si>
  <si>
    <t>Getting Started Paperwork</t>
  </si>
  <si>
    <t>Remote Service by Phone</t>
  </si>
  <si>
    <t>Setup Printer and Configure Cards</t>
  </si>
  <si>
    <t>Onsite Service anywhere in California</t>
  </si>
  <si>
    <t>Onsite Service anywhere in the U.S.</t>
  </si>
  <si>
    <t>Onsite Service anywhere in the world (customer pays expenses)</t>
  </si>
  <si>
    <t>Add-on day to any onsite service</t>
  </si>
  <si>
    <t>Svcs-Cfg-CMS</t>
  </si>
  <si>
    <t>Configure CMS</t>
  </si>
  <si>
    <t>Configure for NV Applicant S&amp;F Submission</t>
  </si>
  <si>
    <t>Configure for NIGC Connection and Submission</t>
  </si>
  <si>
    <t>Configure for NCR Submission via CMS</t>
  </si>
  <si>
    <t>Lockdown LiveScan for Kiosk mode operation</t>
  </si>
  <si>
    <t>Customer comes to Biometrics4ALL office</t>
  </si>
  <si>
    <t>Configure for NIST file or Fingerprint File to copy out to local folder</t>
  </si>
  <si>
    <t>Svcs-Cfg-Clean</t>
  </si>
  <si>
    <t>Services-Configuration-Setup for auto record purge</t>
  </si>
  <si>
    <t>Configure for X number of days to automatically purge records</t>
  </si>
  <si>
    <t>Configuration Services (generic)</t>
  </si>
  <si>
    <t>Configure for Cal-DOJ direct submission</t>
  </si>
  <si>
    <t>Hardware-Foot Pedal with USB Connector</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</si>
  <si>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</si>
  <si>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Parts Sale</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</si>
  <si>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</si>
  <si>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Tax</t>
  </si>
  <si>
    <t>Standard Desktop Pro| i3 Mini | Magstrip Reader | 21"+ LED</t>
  </si>
  <si>
    <t>Sales Tax</t>
  </si>
  <si>
    <t>Sales Rep</t>
  </si>
  <si>
    <t>Contract Number</t>
  </si>
  <si>
    <t xml:space="preserve">HW Off List: </t>
  </si>
  <si>
    <t>Non-HW Off List:</t>
  </si>
  <si>
    <t xml:space="preserve">HW Cost Plus: </t>
  </si>
  <si>
    <t xml:space="preserve">Non-HW Cost Plus: </t>
  </si>
  <si>
    <t>HW Off List</t>
  </si>
  <si>
    <t>Non-HW Off List</t>
  </si>
  <si>
    <t>HW Cost Plus</t>
  </si>
  <si>
    <t>Non-HW Cost Plus</t>
  </si>
  <si>
    <t>Hardware-Cabinet-Parts-Dust Filter (120mm)</t>
  </si>
  <si>
    <t>Hardware-Cabinet-Parts-Dust Filter (80mm)</t>
  </si>
  <si>
    <t>Internal-Hardware-Basic Network Switch</t>
  </si>
  <si>
    <t>INT-HW-Ether-Switch</t>
  </si>
  <si>
    <t>Internal-Hardware-KVM</t>
  </si>
  <si>
    <t>INT-HW-KVM</t>
  </si>
  <si>
    <t>Internal-Hardware-Misc Accessories</t>
  </si>
  <si>
    <t>INT-HW-Misc</t>
  </si>
  <si>
    <t>Internal-Hardware-Mouse Pad</t>
  </si>
  <si>
    <t>INT-HW-MousePad</t>
  </si>
  <si>
    <t>Internal-Hardware-Power Strip</t>
  </si>
  <si>
    <t>INT-HW-PowerStrip</t>
  </si>
  <si>
    <t>Internal-Hardware-Printer Toner</t>
  </si>
  <si>
    <t>INT-HW-Printer-Toner</t>
  </si>
  <si>
    <t>Internal-Hardware-Projector</t>
  </si>
  <si>
    <t>INT-HW-Projector</t>
  </si>
  <si>
    <t>Hardware-Battery (4)</t>
  </si>
  <si>
    <t>HW-BatteryAA4</t>
  </si>
  <si>
    <t>HW-BatteryAA4Chrg</t>
  </si>
  <si>
    <t>HW-BatteryChrg</t>
  </si>
  <si>
    <t>HW-Cab-Filter120</t>
  </si>
  <si>
    <t>HW-Cab-Filter80</t>
  </si>
  <si>
    <t>HW-Cab-CamBoxBall</t>
  </si>
  <si>
    <t>HW-Cab-MotorCable</t>
  </si>
  <si>
    <t>Hardware-Cabinet-Parts-Power Leg</t>
  </si>
  <si>
    <t>HW-Cable-USBAB10</t>
  </si>
  <si>
    <t>Hardware-Cable-USB A to B connector  (10ft)</t>
  </si>
  <si>
    <t>Hardware-Cable-USB A to B connector  (5-6ft)</t>
  </si>
  <si>
    <t>HW-Cable-FireWire</t>
  </si>
  <si>
    <t>HW-Cable-Monitor</t>
  </si>
  <si>
    <t>Hardware-Cable-Ethernet Cable (10ft)</t>
  </si>
  <si>
    <t>Hardware-Cable-Ethernet Cable (5-6ft)</t>
  </si>
  <si>
    <t>Hardware-Cabinet-Parts-USB Exhaust Fan (80mm)</t>
  </si>
  <si>
    <t>HW-Cab-Fan80</t>
  </si>
  <si>
    <t>HW-Cab-PS220V</t>
  </si>
  <si>
    <t>HW-Cab-PS110V</t>
  </si>
  <si>
    <t>HW-Cable-USBAB6</t>
  </si>
  <si>
    <t>Hardware-Cabinet-Parts-Enclosure Ball Mount</t>
  </si>
  <si>
    <t>Hardware-Case-Rugged Small Hand Carry Case</t>
  </si>
  <si>
    <t>HW-Case-InCase</t>
  </si>
  <si>
    <t>HW-Case-Backpack</t>
  </si>
  <si>
    <t>HW-Case-Small</t>
  </si>
  <si>
    <t>HW-Case-TP</t>
  </si>
  <si>
    <t>HW-Case-PP</t>
  </si>
  <si>
    <t>Hardware-Power Supply for Laptops</t>
  </si>
  <si>
    <t>HW-PowerLaptop</t>
  </si>
  <si>
    <t>Hardware-Hard Drive 500+GB for Desktop</t>
  </si>
  <si>
    <t>Hardware-Hard Drive 500+GB for Laptop</t>
  </si>
  <si>
    <t>HW-BatteryLT</t>
  </si>
  <si>
    <t>Hardware-Battery for Laptop</t>
  </si>
  <si>
    <t>Hardware-Computer RAM 4GB for Desktop</t>
  </si>
  <si>
    <t>HW-RAM-4GBDT</t>
  </si>
  <si>
    <t>Hardware-Computer RAM 4GB for Laptop</t>
  </si>
  <si>
    <t>HW-RAM-4GBLT</t>
  </si>
  <si>
    <t>Hardware-Monitor-Between 20-22" depending on stock at the time of delivery</t>
  </si>
  <si>
    <t>Hardware-Monitor-23" or larger depending on stock at the time of delivery</t>
  </si>
  <si>
    <t>Hardware-Monitor-Touch Screen-Size between 20"-22" depending on stock at the time of delivery</t>
  </si>
  <si>
    <t>Hardware-Monitor-Touch Screen-Size 23" or larger depending on stock at the time of delivery</t>
  </si>
  <si>
    <t>HW-Scan-PatroNTAA</t>
  </si>
  <si>
    <t>HW-Server-Base</t>
  </si>
  <si>
    <t>Hardware-Tie Strap (Small)</t>
  </si>
  <si>
    <t>Hardware-Tie Strap (Medium)</t>
  </si>
  <si>
    <t>HW-TieStrapM</t>
  </si>
  <si>
    <t>HW-TieStrapS</t>
  </si>
  <si>
    <t>HW-PassportSupStd</t>
  </si>
  <si>
    <t>HW-BatteryUPS</t>
  </si>
  <si>
    <t>HW-PrinterSimplex</t>
  </si>
  <si>
    <t>HW-PrinterDuplex</t>
  </si>
  <si>
    <t>HW-PrinterSimplexHD</t>
  </si>
  <si>
    <t>Hardware-Printer-Simplex (Heavy Duty)</t>
  </si>
  <si>
    <t>Hardware-Printer-Simplex (Basic)</t>
  </si>
  <si>
    <t>Hardware-Sample Baby Wipes (1 Pack)</t>
  </si>
  <si>
    <t>HW-BabyWipe</t>
  </si>
  <si>
    <t>Hardware-Scanner-Crossmatch-Power Supply</t>
  </si>
  <si>
    <t>Svcs-Install</t>
  </si>
  <si>
    <t>No Tax Disc</t>
  </si>
  <si>
    <t>Taxed Disc</t>
  </si>
  <si>
    <t>Ext T Disc</t>
  </si>
  <si>
    <t>Ext NT Disc</t>
  </si>
  <si>
    <t>Shipping-Ground for Large Package</t>
  </si>
  <si>
    <t>Shipping-Ground for Medium Package</t>
  </si>
  <si>
    <t>Shipping-Ground for Small Package</t>
  </si>
  <si>
    <t>Std. Contract (if Applicable)</t>
  </si>
  <si>
    <t>Services-Configuration-Applicant Systems</t>
  </si>
  <si>
    <t>Services-Configuration-CA PSP Setup</t>
  </si>
  <si>
    <t>Services-Configuration-CAL-DOJ Direct Setup</t>
  </si>
  <si>
    <t>Svcs-Cfg-Applicant</t>
  </si>
  <si>
    <t>Custom Description</t>
  </si>
  <si>
    <t>Hardware 1D Barcode Reader</t>
  </si>
  <si>
    <t>Hardware 2D Barcode Reader</t>
  </si>
  <si>
    <t>Hardware Basic Power Inverter Transformer</t>
  </si>
  <si>
    <t>Hardware Battery (4)</t>
  </si>
  <si>
    <t>Hardware Battery Charger</t>
  </si>
  <si>
    <t>Hardware Battery Charger and 4 Batteries</t>
  </si>
  <si>
    <t>Hardware Battery for Laptop</t>
  </si>
  <si>
    <t>Hardware Cabinet Electric Height Adjustable Cabinet/Kiosk</t>
  </si>
  <si>
    <t>Hardware Cabinet Parts Camera Enclosure for Camera and Ring Flash</t>
  </si>
  <si>
    <t>Hardware Cabinet Parts Dust Filter (120mm)</t>
  </si>
  <si>
    <t>Hardware Cabinet Parts Dust Filter (80mm)</t>
  </si>
  <si>
    <t>Hardware Cabinet Parts Enclosure Ball Mount</t>
  </si>
  <si>
    <t>Hardware Cabinet Parts Height Adjustment Control Panel</t>
  </si>
  <si>
    <t>Hardware Cabinet Parts Monitor Mounting Bracket</t>
  </si>
  <si>
    <t>Hardware Cabinet Parts Motor Cable</t>
  </si>
  <si>
    <t>Hardware Cabinet Parts Mounting Screw</t>
  </si>
  <si>
    <t>Hardware Cabinet Parts Power Leg</t>
  </si>
  <si>
    <t>Hardware Cabinet Parts Power Supply Controller (110V)</t>
  </si>
  <si>
    <t>Hardware Cabinet Parts Power Supply Controller (220V)</t>
  </si>
  <si>
    <t>Hardware Cabinet Parts USB Exhaust Fan (80mm)</t>
  </si>
  <si>
    <t>Hardware Cable Ethernet Cable (10ft)</t>
  </si>
  <si>
    <t>Hardware Cable Ethernet Cable (5 6ft)</t>
  </si>
  <si>
    <t>Hardware Cable Firewire</t>
  </si>
  <si>
    <t>Hardware Cable Monitor Cable (e.g. HDMI, DVI, VGA, etc.)</t>
  </si>
  <si>
    <t>Hardware Cable USB A to B connector  (10ft)</t>
  </si>
  <si>
    <t>Hardware Cable USB A to B connector  (5 6ft)</t>
  </si>
  <si>
    <t>Hardware Cable USB A to Mini connector</t>
  </si>
  <si>
    <t>Hardware Camera Camera Power Supply</t>
  </si>
  <si>
    <t>Hardware Camera Digital SLR Camera</t>
  </si>
  <si>
    <t>Hardware Camera Gray Backdrop</t>
  </si>
  <si>
    <t>Hardware Camera Hot Shoe</t>
  </si>
  <si>
    <t>Hardware Camera Monopod</t>
  </si>
  <si>
    <t>Hardware Camera On Camera Close Range Ring Flash</t>
  </si>
  <si>
    <t>Hardware Camera Professional High Power Ring Flash</t>
  </si>
  <si>
    <t>Hardware Camera Tripod</t>
  </si>
  <si>
    <t>Hardware Camera Webcam</t>
  </si>
  <si>
    <t>Hardware Camera Zoom Lens</t>
  </si>
  <si>
    <t>Hardware Case Backpack for tenprint scanner and laptop</t>
  </si>
  <si>
    <t>Hardware Case Rugged Case for Palmprint Portable System and operation inside the case including mounting and battery</t>
  </si>
  <si>
    <t>Hardware Case Rugged Roller Case for Tenprint Portable System</t>
  </si>
  <si>
    <t>Hardware Case Rugged Roller Case for Transporting Palmprint Portable System</t>
  </si>
  <si>
    <t>Hardware Case Rugged Small Hand Carry Case</t>
  </si>
  <si>
    <t>Hardware Computer RAM 4GB for Desktop</t>
  </si>
  <si>
    <t>Hardware Computer RAM 4GB for Laptop</t>
  </si>
  <si>
    <t>Hardware Corn Husker Lotion</t>
  </si>
  <si>
    <t>Hardware Crossmatch Silicon Pad 5 Pack</t>
  </si>
  <si>
    <t>Hardware Dual Lock (1" Square)</t>
  </si>
  <si>
    <t>Hardware Electronic Signature Pad</t>
  </si>
  <si>
    <t>Hardware Epson Flatbed Scanner</t>
  </si>
  <si>
    <t>Hardware Ethernet PCI Card for Desktop</t>
  </si>
  <si>
    <t>Hardware Ethernet PCI Card for Servers</t>
  </si>
  <si>
    <t>Hardware External Modem</t>
  </si>
  <si>
    <t>Hardware Firewire Card for Desktops</t>
  </si>
  <si>
    <t>Hardware Firewire Card for Desktops with PCIe 1X interface</t>
  </si>
  <si>
    <t>Hardware Firewire Card for Laptops</t>
  </si>
  <si>
    <t>Hardware Foot Pedal with USB Connector</t>
  </si>
  <si>
    <t>Hardware Hard Drive 500+GB for Desktop</t>
  </si>
  <si>
    <t>Hardware Hard Drive 500+GB for Laptop</t>
  </si>
  <si>
    <t>Hardware Magnetic Strip Reader</t>
  </si>
  <si>
    <t>Hardware Microfiber Cloth</t>
  </si>
  <si>
    <t>Hardware Monitor 23" or larger depending on stock at the time of delivery</t>
  </si>
  <si>
    <t>Hardware Monitor Between 20 22" depending on stock at the time of delivery</t>
  </si>
  <si>
    <t>Hardware Monitor Touch Screen Size 23" or larger depending on stock at the time of delivery</t>
  </si>
  <si>
    <t>Hardware Monitor Touch Screen Size between 20" 22" depending on stock at the time of delivery</t>
  </si>
  <si>
    <t>Hardware Power Supply for Laptops</t>
  </si>
  <si>
    <t>Hardware Printer Simplex (Basic)</t>
  </si>
  <si>
    <t>Hardware Printer Simplex (Heavy Duty)</t>
  </si>
  <si>
    <t>Hardware Sample Baby Wipes (1 Pack)</t>
  </si>
  <si>
    <t>Hardware Scanner Crossmatch 1000 (USB Connector)</t>
  </si>
  <si>
    <t>Hardware Scanner Crossmatch 1000Px</t>
  </si>
  <si>
    <t>Hardware Scanner Crossmatch 500 (USB Connector)</t>
  </si>
  <si>
    <t>Hardware Scanner Crossmatch 500P</t>
  </si>
  <si>
    <t>Hardware Scanner Crossmatch Guardian 200</t>
  </si>
  <si>
    <t>Hardware Scanner Crossmatch Guardian Module</t>
  </si>
  <si>
    <t>Hardware Scanner Crossmatch Guardian USB</t>
  </si>
  <si>
    <t>Hardware Scanner Crossmatch Patrol</t>
  </si>
  <si>
    <t>Hardware Scanner Crossmatch Patrol (Non TAA)</t>
  </si>
  <si>
    <t>Hardware Scanner Crossmatch Power Supply</t>
  </si>
  <si>
    <t>Hardware Scanner i3 DigID Mini</t>
  </si>
  <si>
    <t>Hardware Scanner Suprema Real Scan F Tenprint/Palmprint</t>
  </si>
  <si>
    <t>Hardware SERVER CMS Base  (Window Server OS Std Ed, SQL Std Ed, 1TB Mirrored HDD, 16GB RAM)</t>
  </si>
  <si>
    <t>Hardware SERVER CMS Enterprise (Window Server OS Std Ed, SQL Std Ed, RAID 5 with 4TB HDD, 128GB RAM)</t>
  </si>
  <si>
    <t>Hardware SERVER CMS Performance  (Window Server OS Std Ed, SQL Std Ed, RAID 5 with 2TB HDD, 64GB RAM)</t>
  </si>
  <si>
    <t>Hardware SERVER CMS Standard (Window Server OS Std Ed, SQL Std Ed, RAID 5 with 1TB HDD, 32GB RAM)</t>
  </si>
  <si>
    <t>Hardware Speaker Small</t>
  </si>
  <si>
    <t>Hardware Suprema Passport Reader (Standard)</t>
  </si>
  <si>
    <t>Hardware Tie Strap (Medium)</t>
  </si>
  <si>
    <t>Hardware Tie Strap (Small)</t>
  </si>
  <si>
    <t>Hardware UPS Battery</t>
  </si>
  <si>
    <t>Hardware USB Hub</t>
  </si>
  <si>
    <t>Internal Hardware Basic Network Switch</t>
  </si>
  <si>
    <t>Internal Hardware KVM</t>
  </si>
  <si>
    <t>Internal Hardware Misc Accessories</t>
  </si>
  <si>
    <t>Internal Hardware Mouse Pad</t>
  </si>
  <si>
    <t>Internal Hardware Power Strip</t>
  </si>
  <si>
    <t>Internal Hardware Printer Toner</t>
  </si>
  <si>
    <t>Internal Hardware Projector</t>
  </si>
  <si>
    <t>LiveScan 4th Gen Software CardScan Module</t>
  </si>
  <si>
    <t>LiveScan 4th Gen Software Child ID Module</t>
  </si>
  <si>
    <t>LiveScan 4th Gen Software Electronic Signature Module</t>
  </si>
  <si>
    <t>LiveScan 4th Gen Software LiveScan to CMS Connection Module</t>
  </si>
  <si>
    <t>LiveScan 4th Gen Software Photo Module</t>
  </si>
  <si>
    <t>LiveScan 4th Gen Software Practice Mode</t>
  </si>
  <si>
    <t>LiveScan 4th Gen Software Printing Module</t>
  </si>
  <si>
    <t>LiveScan 4th Gen Software Service Affiliate Member (SAM) Module</t>
  </si>
  <si>
    <t>Services Active Directory (AD) Setup</t>
  </si>
  <si>
    <t>Services Configuration CA PSP Setup</t>
  </si>
  <si>
    <t>For additional assistance, please contact our sales team
Phone: (714) 568-9888, Option 3
Fax: (866) 888-8768
Email: sales@biometrics4ALL.com
Website: www.Biometrics4ALL.com</t>
  </si>
  <si>
    <r>
      <rPr>
        <sz val="8"/>
        <color theme="1"/>
        <rFont val="Calibri"/>
        <family val="2"/>
        <scheme val="minor"/>
      </rPr>
      <t xml:space="preserve">(subject to change) </t>
    </r>
    <r>
      <rPr>
        <b/>
        <sz val="10"/>
        <color theme="1"/>
        <rFont val="Calibri"/>
        <family val="2"/>
        <scheme val="minor"/>
      </rPr>
      <t>Sales Tax:</t>
    </r>
  </si>
  <si>
    <t>LS4G-Applicant</t>
  </si>
  <si>
    <t>LS4G-Criminal</t>
  </si>
  <si>
    <t>LiveScan 4th Gen Software Single TOT Module</t>
  </si>
  <si>
    <t>LiveScan 4th Gen Software- Add-on Single TOT Module</t>
  </si>
  <si>
    <t>LS4G-AddSingleTOT</t>
  </si>
  <si>
    <t>LiveScan 4th Gen Software-Driver License and ID Reading software</t>
  </si>
  <si>
    <t>LS4G-IDCard</t>
  </si>
  <si>
    <t>Maintenance-24 X 7 Onsite</t>
  </si>
  <si>
    <t>Maintenance-24 X 7 Remote with Cross Ship</t>
  </si>
  <si>
    <t>Maintenance-9 X 5 (8am - 5pm, M-F) Onsite</t>
  </si>
  <si>
    <t>Maintenance-9 X 5 (8am - 5pm, M-F) Remote with Cross Ship</t>
  </si>
  <si>
    <t>Maintenance-9 X 5 (8am - 5pm, M-F) Remote with 7 Year Technology Refresh</t>
  </si>
  <si>
    <t>Maint-24X7-Onsite</t>
  </si>
  <si>
    <t>Maint-24X7-Remote</t>
  </si>
  <si>
    <t>Maintenance-9X5 Software Only Support Applicant</t>
  </si>
  <si>
    <t>Maint-9X5-SW-App</t>
  </si>
  <si>
    <t>Maintenance-9X5 Software Only Support Criminal</t>
  </si>
  <si>
    <t>Maint-9X5-SW-Crim</t>
  </si>
  <si>
    <t>Maint-9X5-Onsite</t>
  </si>
  <si>
    <t>Maint-9X5-Remote</t>
  </si>
  <si>
    <t>Maint-9X5-7Year</t>
  </si>
  <si>
    <t>Svcs-InstallTrain</t>
  </si>
  <si>
    <t>Services-Installation and Training Session 4hrs (Must add a Service Method, e.g. Onsite or Remote)</t>
  </si>
  <si>
    <t>Services-Installation Session 4hrs (Must add Service Method, e.g. Onsite or Remote)</t>
  </si>
  <si>
    <t>LiveScan 4th Gen Software-Applicant CA TOT Module</t>
  </si>
  <si>
    <t>App CA Large</t>
  </si>
  <si>
    <t>App CA Private</t>
  </si>
  <si>
    <t>App CA Public</t>
  </si>
  <si>
    <t>CA PSP Public Sector Customers</t>
  </si>
  <si>
    <t>Channel Resale</t>
  </si>
  <si>
    <t>LiveScan 4th Gen Software-Applicant TOT Module</t>
  </si>
  <si>
    <t>Hardware-Camera-Package (DSLR Camera, Power Adapter, Tripod, On-lens Ring Flash)</t>
  </si>
  <si>
    <t>HW-CamPackage</t>
  </si>
  <si>
    <t>HW-CamPackageC</t>
  </si>
  <si>
    <t>1110-14-PAP</t>
  </si>
  <si>
    <t>Search</t>
  </si>
  <si>
    <t>Custom Cost</t>
  </si>
  <si>
    <t>Custom Pricing Cost Based</t>
  </si>
  <si>
    <t>Intl Easy</t>
  </si>
  <si>
    <t>International Easy</t>
  </si>
  <si>
    <t>International Medium</t>
  </si>
  <si>
    <t>Services-Installation and Training Session 4hrs (see Service Method for price)</t>
  </si>
  <si>
    <t>Services-Installation Session 4hrs (see Service Method for price)</t>
  </si>
  <si>
    <t>Services-Training-4hrs (see Service Method for price) Max 3 People</t>
  </si>
  <si>
    <t>Services Method-Remote (Phone)</t>
  </si>
  <si>
    <t>Services Method-One Day Onsite Service in California (Includes Travel and Expenses)</t>
  </si>
  <si>
    <t>Services Method-One Day Onsite Service anywhere in the U.S. (includes Travel and Expenses)</t>
  </si>
  <si>
    <t>Services Method-One Day Onsite International (Travel and Expenses not included)</t>
  </si>
  <si>
    <t>Services Method-On Site Additional Day</t>
  </si>
  <si>
    <t>HW-DT-Std-Mon-Home</t>
  </si>
  <si>
    <t>HW-DT-Std-Mon-Pro</t>
  </si>
  <si>
    <t>Discount-One Time-Off of taxable Items</t>
  </si>
  <si>
    <t>Discount-Taxable</t>
  </si>
  <si>
    <t>Special one time discount off taxable items</t>
  </si>
  <si>
    <t>Discount-One Time-Off of non-taxable Items</t>
  </si>
  <si>
    <t>Discount-Non Taxable</t>
  </si>
  <si>
    <t>Special one time discount off non-taxable items</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</si>
  <si>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</si>
  <si>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 Auto Calculated using the Shipping City and State</t>
  </si>
  <si>
    <t>LS4G-Applicant-CA</t>
  </si>
  <si>
    <t>HW-HD-DT</t>
  </si>
  <si>
    <t>HW-HD-LT</t>
  </si>
  <si>
    <t>HW-FW-DT-PCI1x</t>
  </si>
  <si>
    <t>HW-Speaker</t>
  </si>
  <si>
    <t>Hardware-Speaker</t>
  </si>
  <si>
    <t>Must be Scanner</t>
  </si>
  <si>
    <t>Transfer of Ownership or System Reconfiguration</t>
  </si>
  <si>
    <t>Svcs-Cfg-Reconfiguration</t>
  </si>
  <si>
    <t>Sys-App-DT-Guard</t>
  </si>
  <si>
    <t>Sys-App-DT i3</t>
  </si>
  <si>
    <t>Sys-App-LT-Guard</t>
  </si>
  <si>
    <t>Sys-App-LT i3</t>
  </si>
  <si>
    <t>Sys-1TOT-DT-Guard</t>
  </si>
  <si>
    <t>Sys-1TOT-DT i3</t>
  </si>
  <si>
    <t>Sys-1TOT-LT-Guard</t>
  </si>
  <si>
    <t>Sys-1TOT-LT i3</t>
  </si>
  <si>
    <t>Sys-App-DT-Patrol</t>
  </si>
  <si>
    <t>Trans-Relay</t>
  </si>
  <si>
    <t>Transaction Relay Fee (Per Transaction)</t>
  </si>
  <si>
    <t>Transaction-Relay Fees-Per Transaction</t>
  </si>
  <si>
    <t>Budgetary Quote for U.S. Large Customers</t>
  </si>
  <si>
    <t>Budgetary Quote for U.S. Small Customers</t>
  </si>
  <si>
    <t>International Hard or Budgetary</t>
  </si>
  <si>
    <t>LiveScan 4th Gen Software-Criminal TOT Module</t>
  </si>
  <si>
    <t>LiveScan 4th Gen Software Criminal TOTs Module</t>
  </si>
  <si>
    <t>LiveScan 4th Gen Software-Applicant TOTs Module</t>
  </si>
  <si>
    <t>Hardware-Desktop-High Performance with Windows Home (No Monitor)</t>
  </si>
  <si>
    <t>Hardware-Desktop-High Performance with Windows Pro (No Monitor)</t>
  </si>
  <si>
    <t>Hardware-Desktop-Performance with Windows Home (No Monitor)</t>
  </si>
  <si>
    <t>Hardware-Laptop-High Performance with Windows Home Edition</t>
  </si>
  <si>
    <t>Hardware Laptop High Performance with Windows Home Edition</t>
  </si>
  <si>
    <t>Hardware-Laptop-High Performance with Windows Pro Edition</t>
  </si>
  <si>
    <t>Hardware Laptop High Performance with Windows Pro Edition</t>
  </si>
  <si>
    <t>Hardware-Laptop-Parts-Power Supply</t>
  </si>
  <si>
    <t>Hardware Laptop Parts Power Supply</t>
  </si>
  <si>
    <t>Hardware-Laptop-Parts-Security Lock</t>
  </si>
  <si>
    <t>Hardware Laptop Parts Security Lock</t>
  </si>
  <si>
    <t>Hardware-Laptop-Performance with Windows Home Edition</t>
  </si>
  <si>
    <t>Hardware Laptop Performance with Windows Home Edition</t>
  </si>
  <si>
    <t>Hardware-Laptop-Performance with Windows Pro Edition</t>
  </si>
  <si>
    <t>Hardware Laptop Performance with Windows Pro Edition</t>
  </si>
  <si>
    <t>Hardware-Laptop-Rugged High Performance with Windows Pro Edition</t>
  </si>
  <si>
    <t>Hardware Laptop Rugged High Performance with Windows Pro Edition</t>
  </si>
  <si>
    <t>Hardware-Laptop-Rugged Standard with Windows Pro Edition</t>
  </si>
  <si>
    <t>Hardware Laptop Rugged Standard with Windows Pro Edition</t>
  </si>
  <si>
    <t>Hardware-Laptop-Standard with Windows Home Edition</t>
  </si>
  <si>
    <t>Hardware Laptop Standard with Windows Home Edition</t>
  </si>
  <si>
    <t>Hardware-Laptop-Standard with Windows Pro Edition</t>
  </si>
  <si>
    <t>Hardware Laptop Standard with Windows Pro Edition</t>
  </si>
  <si>
    <t>Hardware Desktop High Performance with Windows Home (No Monitor)</t>
  </si>
  <si>
    <t>Hardware Desktop HighPerformance with Windows Pro (No Monitor)</t>
  </si>
  <si>
    <t>Hardware Desktop Performance with Windows Home (No Monitor)</t>
  </si>
  <si>
    <t>Hardware-Desktop-Performance with Windows Pro (No Monitor)</t>
  </si>
  <si>
    <t>Hardware-Desktop-Standard with Windows Home (No Monitor)</t>
  </si>
  <si>
    <t>Hardware Desktop Standard with Windows Home (No Monitor)</t>
  </si>
  <si>
    <t>Hardware-Desktop-Standard with Windows Home (with 20-22" Monitor)</t>
  </si>
  <si>
    <t>Hardware Desktop Standard with Windows Home (with 20-22" Monitor)</t>
  </si>
  <si>
    <t>Hardware-Desktop-Standard with Windows Pro (No Monitor)</t>
  </si>
  <si>
    <t>Hardware Desktop Standard with Windows Pro (No Monitor)</t>
  </si>
  <si>
    <t>Hardware-Desktop-Standard with Windows Pro (with 20-22" Monitor)</t>
  </si>
  <si>
    <t>Hardware Desktop Standard with Windows Pro (with 20-22" Monitor)</t>
  </si>
  <si>
    <t>CMS-Base (up to 15 LiveScans or 15,000 Transactions Per Year)</t>
  </si>
  <si>
    <t>CMS-Enterprise (over 150 LiveScans or over 150,000 Transactions Per Year)</t>
  </si>
  <si>
    <t>CMS-Performance (up to 150 LiveScans or 150,000 Transactions Per Year)</t>
  </si>
  <si>
    <t>CMS-Standard (up to 75 LiveScans or 75,000 Transactions Per Year)</t>
  </si>
  <si>
    <t>Hardware-Desktop-Performance with Windows Home (with 20-22" Monitor)</t>
  </si>
  <si>
    <t>Hardware-Desktop-Performance with Windows Pro (with 20-22" Monitor)</t>
  </si>
  <si>
    <t>HW-DT-P-Mon-Home</t>
  </si>
  <si>
    <t>HW-DT-P-Mon-Pro</t>
  </si>
  <si>
    <t>Hardware-Desktop-High Performance with Windows Home (with 20-22" Monitor)</t>
  </si>
  <si>
    <t>Hardware-Desktop-High Performance with Windows Pro (with 20-22" Monitor)</t>
  </si>
  <si>
    <t>HW-DT-HP-Mon-Home</t>
  </si>
  <si>
    <t>HW-DT-HP-Mon-Pro</t>
  </si>
  <si>
    <t>Hardware Desktop HighPerformance with Windows Pro (with 20-22" Monitor)</t>
  </si>
  <si>
    <t>Hardware Desktop High Performance with Windows Home (with 20-22" Monitor)</t>
  </si>
  <si>
    <t>Hardware Desktop Performance with Windows Pro (with 20-22" Monitor)</t>
  </si>
  <si>
    <t>Hardware Desktop Performance with Windows Home (with 20-22" Monitor)</t>
  </si>
  <si>
    <t>Sys-RSF-DT</t>
  </si>
  <si>
    <t>Sys-500-DT</t>
  </si>
  <si>
    <t>Sys-1000-DT</t>
  </si>
  <si>
    <t>Sys-500-Cab</t>
  </si>
  <si>
    <t>Maint-Warr-3Yr</t>
  </si>
  <si>
    <t>Maintenance-Initial 3 Year Warranty</t>
  </si>
  <si>
    <t>Svcs-OnsiteUS-Free</t>
  </si>
  <si>
    <t>Onsite Service anywhere in the U.S. - Free as a part of System Purchase Per Contract.  Incl. travel costs</t>
  </si>
  <si>
    <t>Services Method-One Day Onsite in the U.S. Free as part of a system purchase per contract</t>
  </si>
  <si>
    <t>System-ALL TOTs-Crossmatch 500 Scanner-High Performance Desktop, Touch Screen-Photo Module-Camera-Tripod-Printing Module-Printer-Signature Pad-Magstrip</t>
  </si>
  <si>
    <t>System-ALL TOTs-Crossmatch 1000 Scanner-High Performance Desktop, Touch Screen-Photo Module-Camera-Tripod-Printing Module-Printer-Signature Pad-Magstrip</t>
  </si>
  <si>
    <t>System-ALL TOTs-Crossmatch 500 Scanner-High Performance Desktop, Touch Screen-Photo Module-Camera-RingFlash-Cabinet-Printing Module-Printer-Signature Pad-Magstrip</t>
  </si>
  <si>
    <t>Sys-App-DT-G10</t>
  </si>
  <si>
    <t>Hardware Scanner Suprema G10 Tenprint</t>
  </si>
  <si>
    <t>HW-Scan-G10</t>
  </si>
  <si>
    <t>Hardware-Scanner-Suprema G10 Tenprint</t>
  </si>
  <si>
    <t>LS4G Applicant | Standard Desktop Pro| i3 Mini | Magstrip Reader | 21"+ LED</t>
  </si>
  <si>
    <t>Sys-App-DT-Guard-Cab</t>
  </si>
  <si>
    <t>Sys-2F-LT</t>
  </si>
  <si>
    <t>Sys-2F-DT</t>
  </si>
  <si>
    <t>LS4G 2 Finger Software | Laptop | IBT Watson</t>
  </si>
  <si>
    <t>LS4G 2 Finger Software | Standard Desktop | IBT Watson | 21"+ LED</t>
  </si>
  <si>
    <t>LS4G Mobile LiveScan System: LiveScan Software, Submission Software
NEC NeoScan45 Scanner</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</si>
  <si>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</si>
  <si>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</si>
  <si>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Hardware-Printer-Duplex (Heavy)</t>
  </si>
  <si>
    <t>HW-PrinterDuplexHD</t>
  </si>
  <si>
    <t>Hardware Printer Duplex (Heavy Duty)</t>
  </si>
  <si>
    <t>Hardware Printer Duplex (Basic)</t>
  </si>
  <si>
    <t>Hardware-Scanner-IBT Watson</t>
  </si>
  <si>
    <t>Hardware Scanner IBT Watson 2 Finger</t>
  </si>
  <si>
    <t>HW-Scan-Watson</t>
  </si>
  <si>
    <t>HW-Mobile-iPhone</t>
  </si>
  <si>
    <t>Hardware-iPhone</t>
  </si>
  <si>
    <t>Hardware-Scanner-NeoScan45</t>
  </si>
  <si>
    <t>HW-Scan-NeoScan45</t>
  </si>
  <si>
    <t>Hardware Scanner NEC NeoScan 45</t>
  </si>
  <si>
    <t>LiveScan 4th Gen Software-Barcode Reading Software</t>
  </si>
  <si>
    <t>LS4G-BC</t>
  </si>
  <si>
    <t>LiveScan 4th Gen Software Barcode Reading Software</t>
  </si>
  <si>
    <t>LiveScan 4th Gen Software-Data 1 Way</t>
  </si>
  <si>
    <t>LiveScan 4th Gen Software-Data 2 Way</t>
  </si>
  <si>
    <t>LS4G-Data-2Way</t>
  </si>
  <si>
    <t>LS4G-Data-1Way</t>
  </si>
  <si>
    <t>LiveScan 4th Gen Software Data 1 Way Interchange</t>
  </si>
  <si>
    <t>LiveScan 4th Gen Software Data 2 Way Interchange</t>
  </si>
  <si>
    <t>LiveScan 4th Gen Software Data 1 Way Existing</t>
  </si>
  <si>
    <t>LS4G-Data1WayExist</t>
  </si>
  <si>
    <t>LiveScan 4th Gen Software-Data 1 Way (Existing)</t>
  </si>
  <si>
    <t>LS4G Mobile LiveScan Software License: single Type of Transaction (TOT), single submission package</t>
  </si>
  <si>
    <t>LS4G-Mobile</t>
  </si>
  <si>
    <t>10 additional LiveScan connections license for CMS Software</t>
  </si>
  <si>
    <t>1,000 additional monthly transaction throughput license for CMS Software</t>
  </si>
  <si>
    <t>5,000 additional transaction storage for CMS Software.</t>
  </si>
  <si>
    <t>CMS Printer Software License for Standard Print Formats.</t>
  </si>
  <si>
    <t>CMS data interface with foreign systems for one way data exchange (input or output)</t>
  </si>
  <si>
    <t>CMS data interface with foreign systems for two way data exchange (input and output)</t>
  </si>
  <si>
    <t>CMS-10Connect</t>
  </si>
  <si>
    <t>CMS-1000Trans</t>
  </si>
  <si>
    <t>CMS-5000Store</t>
  </si>
  <si>
    <t>CMS-Print</t>
  </si>
  <si>
    <t>CMS-Int1</t>
  </si>
  <si>
    <t>CMS-Int2</t>
  </si>
  <si>
    <t>CMS-Standard</t>
  </si>
  <si>
    <t>CMS-Performance</t>
  </si>
  <si>
    <t>CMS-High Performance</t>
  </si>
  <si>
    <t>CMS-Enterprise</t>
  </si>
  <si>
    <t>CMS-Base</t>
  </si>
  <si>
    <t>Sys-MID-NEC45</t>
  </si>
  <si>
    <t>Hardware-Scanner-Crossmatch Patrol (Non-TAA)  *** Not Available Yet</t>
  </si>
  <si>
    <t>Hardware-Camera-Package Cabinet (DSLR Camera, Power Adapter, High Power Ring Flash)</t>
  </si>
  <si>
    <t>CMS-1,000 additional monthly transaction throughput software license</t>
  </si>
  <si>
    <t>CMS-10 additional LiveScan connections license software license</t>
  </si>
  <si>
    <t>CMS-Data interface with foreign systems for one way data exchange (input or output)</t>
  </si>
  <si>
    <t>CMS-Data interface with foreign systems for two way data exchange (input and output)</t>
  </si>
  <si>
    <t>CMS-Printing Software License for Standard Print Formats.</t>
  </si>
  <si>
    <t>CMS-Hardware-Base (Window Server OS Std Ed, SQL Std Ed, 1TB Mirrored HDD, 16GB RAM)</t>
  </si>
  <si>
    <t>CMS-Hardware-Enterprise (Window Server OS Std Ed, SQL Std Ed, RAID 5 with 4TB HDD, 128GB RAM)</t>
  </si>
  <si>
    <t>CMS-Hardware-Performance  (Window Server OS Std Ed, SQL Std Ed, RAID 5 with 2TB HDD, 64GB RAM)</t>
  </si>
  <si>
    <t>CMS-Hardware-Standard (Window Server OS Std Ed, SQL Std Ed, RAID 5 with 1TB HDD, 32GB RAM)</t>
  </si>
  <si>
    <t>CMS-Software-Base (up to 15 Clients or 15,000 Transactions Per Year)</t>
  </si>
  <si>
    <t>CMS-Software-Enterprise (over 120 Clients or over 120,000 Transactions Per Year)</t>
  </si>
  <si>
    <t>CMS-Software-Standard (up to 30 Clients or 30,000 Transactions Per Year)</t>
  </si>
  <si>
    <t>CMS-Software-Performance (up to 60 Clients or 60,000 Transactions Per Year)</t>
  </si>
  <si>
    <t>CMS-Software-High Performance (up to 120 Clients or 120,000 Transactions Per Year)</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</si>
  <si>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</si>
  <si>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</si>
  <si>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</si>
  <si>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</si>
  <si>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</si>
  <si>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</si>
  <si>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</si>
  <si>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</si>
  <si>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</si>
  <si>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</si>
  <si>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</si>
  <si>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</si>
  <si>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t>LS LiveScan Series Remote Training. Training for a maximum of 3 Trainees</t>
  </si>
  <si>
    <t>CMS Server Basic Configuration, Installation &amp; Training (3 days on-site at any Contiguous US location). Training for a maximum of 5 people.</t>
  </si>
  <si>
    <t>LS-Series On-Site Training. Training for a maximum of 5 Trainees</t>
  </si>
  <si>
    <t>LS-Series LiveScan System Installation  (1 day on-site)</t>
  </si>
  <si>
    <t>LS LiveScan Series Basic Configuration, Installation &amp; Training (1 day on-site). Maximum of 5 trainees</t>
  </si>
  <si>
    <t>Professional Services</t>
  </si>
  <si>
    <t>LS-Series LiveScan System Configuration</t>
  </si>
  <si>
    <t>LS-Series LiveScan Component Shipping</t>
  </si>
  <si>
    <t>LS-Series LiveScan System Shipping</t>
  </si>
  <si>
    <t>Cabinet Shipping</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</si>
  <si>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</si>
  <si>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LSMID-NEC45</t>
  </si>
  <si>
    <t>Integrated Signature Capture Software</t>
  </si>
  <si>
    <t xml:space="preserve">Printer Software </t>
  </si>
  <si>
    <t>Additional Photo Capture Software, must be combined with LS-Series LiveScan system.</t>
  </si>
  <si>
    <t>LS4G Mobile LiveScan Software: single Type of Transaction (TOT), single submission package</t>
  </si>
  <si>
    <t>LiveScan data interface with foreign systems for two way data exchange (input and output)</t>
  </si>
  <si>
    <t>Interfaces after 16s of SW-DataEx-1 or SW-DataEx-2 have been exhausted</t>
  </si>
  <si>
    <t>LiveScan data interface with foreign systems for one way data exchange (input or output)</t>
  </si>
  <si>
    <t>LS4G FDLE Criminal LiveScan Software: single Type of Transaction (TOT), single submission package</t>
  </si>
  <si>
    <t>Software to process barcode</t>
  </si>
  <si>
    <t>LS4G FL Applicant LiveScan Software: Florida Level II Transaction (TOT), FDLE Submission package</t>
  </si>
  <si>
    <t>Additional Type of Transaction (TOT), must be combined with LS-Series LiveScan system</t>
  </si>
  <si>
    <t>Digital Signature Pad</t>
  </si>
  <si>
    <t>HW-SIG</t>
  </si>
  <si>
    <t>500ppi 2 Finger Scanner, IBT-Watson 2 Finger Scanner</t>
  </si>
  <si>
    <t>500ppi Tenprint and Palmprint Scanner: Suprema-RealScan-F</t>
  </si>
  <si>
    <t>500ppi Tenprint Scanner: Cross Match Patrol</t>
  </si>
  <si>
    <t>NEC NeoScan45 Mobile Scanner</t>
  </si>
  <si>
    <t>500ppi Tenprint Scanner: I3 DigID Mini</t>
  </si>
  <si>
    <t>500ppi Tenprint Scanner: Suprema-RealScan-10</t>
  </si>
  <si>
    <t>500ppi Tenprint and Palmprint Scanner: Cross Match 500</t>
  </si>
  <si>
    <t>500ppi Tenprint Scanner: Cross Match Guardian 200, integrated with LS4G</t>
  </si>
  <si>
    <t>1000ppi Tenprint and Palmprint Scanner: Cross Match 1000</t>
  </si>
  <si>
    <t>FBI Certified  Fingerprint Card Printer: Single-Sided Printer</t>
  </si>
  <si>
    <t>FBI Certified  Fingerprint Card Printer: Heavy-Duty Dual-Sided Printer</t>
  </si>
  <si>
    <t>FBI Certified  Fingerprint Card Printer: Dual-Sided Printer</t>
  </si>
  <si>
    <t>20"+ Touch Screen LCD Monitor</t>
  </si>
  <si>
    <t>Apple iPhone</t>
  </si>
  <si>
    <t>USB Magstrip Reader for Driver</t>
  </si>
  <si>
    <t>Notebook Computer for LiveScan System, Windows 7 or Windows 8.1</t>
  </si>
  <si>
    <t>High Performance Notebook Computer for LiveScan System</t>
  </si>
  <si>
    <t>USB Foot Pedal for hands free operation</t>
  </si>
  <si>
    <t>High Performance Desktop Computer with 20" or larger LCD Monitor, Windows 7 or Windows 8.1</t>
  </si>
  <si>
    <t>Clearinghouse TOT Package:  Integration with Clearinghouse Scheduling System, Photo Capture Software for LS-Series Applicant LiveScan System, DSLR Camera and Tripod to mount Camera and Flash integrated into Photo Capture Software.</t>
  </si>
  <si>
    <t>Commercial-of-the-Shelf (COTS) High-Resolution DSLR Camera, Tripod, Ring Flash, HW Integration</t>
  </si>
  <si>
    <t>Commercial-of-the-Shelf (COTS) High-Resolution Still Camera, integrated with LiveScan Software</t>
  </si>
  <si>
    <t>All steel camera enclosure for ACC-KIOSK, includes high-output ring flash</t>
  </si>
  <si>
    <t>LS400 ergonomically designed Electronic Height Adjustable all steel cabinet for any LiveScan system</t>
  </si>
  <si>
    <t>2D barcode reader</t>
  </si>
  <si>
    <t>1D barcode reader</t>
  </si>
  <si>
    <t>CMS Printer Software for Standard Print Formats.</t>
  </si>
  <si>
    <t>Central Management Server (CMS) Software; basic Central Management Server Software, Manages up to 10 (ten) "Fewer than 10 Print Mobile Devices"</t>
  </si>
  <si>
    <t>Central Management Server Software - Processes up to 1,000 transactions per month (scalable to 500,000 transactions per month) and license to connect up to 10 LS-Series LiveScan systems (scalable to 1,000 units). Up to 5,000 transaction archive storage management.</t>
  </si>
  <si>
    <t>10 additional LiveScan connections for CMS Software</t>
  </si>
  <si>
    <t>1,000 additional monthly transaction throughput for CMS Software</t>
  </si>
  <si>
    <t xml:space="preserve">Maintenance for Year 6              </t>
  </si>
  <si>
    <t xml:space="preserve">Maintenance for Year 5             </t>
  </si>
  <si>
    <t xml:space="preserve">Maintenance for Year 4              </t>
  </si>
  <si>
    <t>Contract Price</t>
  </si>
  <si>
    <t>CMS-5,000 additional transaction storage for software license. (During Initial Purchase only)</t>
  </si>
  <si>
    <t>System-Mobile ID SW- NEC NeoScan 45 two Finger Scanner</t>
  </si>
  <si>
    <t>Hardware-Camera-Package Cabinet (DSLR Camera, Power Adapter, High Power Ring Flash, Camera Enclosure )</t>
  </si>
  <si>
    <t>System-2 Finger TOT-IBT Watson Scanner-Standard Pro Desktop</t>
  </si>
  <si>
    <t>System-2 Finger TOT-IBT Watson Scanner-Standard Pro Laptop</t>
  </si>
  <si>
    <t>System-Single TOT-LiveScan SW-Desktop Pro-Crossmatch Guardian 200 Scanner</t>
  </si>
  <si>
    <t>System-Single TOT-LiveScan SW-Laptop Home-Crossmatch Guardian 200 Scanner</t>
  </si>
  <si>
    <t>System-Single TOT-LiveScan SW-Laptop Home-i3 DigID Mini Scanner</t>
  </si>
  <si>
    <t>LS4G Applicant | Standard Desktop Pro | i3 Mini | Magstrip Reader | 21"+ LED</t>
  </si>
  <si>
    <t>LS4G Applicant | Standard Desktop Pro | Guardian 200 | Magstrip Reader | 21"+ LED</t>
  </si>
  <si>
    <t>LS4G Applicant | Standard Desktop Pro  Suprema G10 | Magstrip Reader | 21"+ LED</t>
  </si>
  <si>
    <t>LS4G Applicant | Standard Desktop Pro | Guardian 200 | Cabinet | Magstrip Reader | 21"+ LED</t>
  </si>
  <si>
    <t>LS4G Applicant | Standard Desktop Home | Guardian 200 | Magstrip Reader | 21"+ LED</t>
  </si>
  <si>
    <t>System-Single TOT-LiveScan SW-Desktop Pro-i3 DigID Mini Scanner</t>
  </si>
  <si>
    <t>System-ALL TOTs-Suprema RealScan F Scanner-High Performance Desktop, Touch Screen-Photo Module-Camera-Tripod-Printing Module-Printer-Signature Pad-Magstrip-ID Module</t>
  </si>
  <si>
    <t>System-Applicant-LiveScan SW-Desktop Pro-Crossmatch Patrol Scanner-Magstrip-ID Module</t>
  </si>
  <si>
    <t>System-Applicant-LiveScan SW-Desktop Pro-i3 DigID Mini Scanner-Magstrip-ID Module</t>
  </si>
  <si>
    <t>System-Applicant-LiveScan SW-Desktop Pro-Suprema G10 Scanner-Magstrip-ID Module</t>
  </si>
  <si>
    <t>System-Applicant-LiveScan SW-Desktop Pro-Crossmatch Guardian 200 Scanner-Magstrip-ID Module</t>
  </si>
  <si>
    <t>System-Applicant-LiveScan SW-Desktop Pro-Crossmatch Guardian 200 Scanner-Magstrip-ID Module-Cabinet</t>
  </si>
  <si>
    <t>System-Applicant-LiveScan SW-Laptop Home-Crossmatch Guardian 200 Scanner-Magstrip-ID Module</t>
  </si>
  <si>
    <t>System-Applicant-LiveScan SW-Laptop Home-i3 DigID Mini Scanner-Magstrip-ID Module</t>
  </si>
  <si>
    <r>
      <t xml:space="preserve">SKB 3R1919-14B-EW, </t>
    </r>
    <r>
      <rPr>
        <sz val="11"/>
        <color rgb="FFFF0000"/>
        <rFont val="Calibri"/>
        <family val="2"/>
        <scheme val="minor"/>
      </rPr>
      <t>NO</t>
    </r>
    <r>
      <rPr>
        <sz val="11"/>
        <color theme="1"/>
        <rFont val="Calibri"/>
        <family val="2"/>
        <scheme val="minor"/>
      </rPr>
      <t xml:space="preserve"> Foam cost</t>
    </r>
  </si>
  <si>
    <t>Hardware-Ethernet PCI Card for Desktop</t>
  </si>
  <si>
    <t>AUTHORIZED DISTRIBUTOR QUOTE</t>
  </si>
  <si>
    <t>Integrated Photo Capture Software (When ordered without Booking Module)</t>
  </si>
  <si>
    <t>LS4G-Photo-Only</t>
  </si>
  <si>
    <t>Custom Disc M</t>
  </si>
  <si>
    <t>Custom Disc L</t>
  </si>
  <si>
    <t>Custom Disc S</t>
  </si>
  <si>
    <t>Svcs-Cfg-Submission</t>
  </si>
  <si>
    <t>Services-Configuration-Submission Setup</t>
  </si>
  <si>
    <t>Configure for Submission</t>
  </si>
  <si>
    <t>Services-Configuration-Printing</t>
  </si>
  <si>
    <t>Services-Configuration-Reconfig</t>
  </si>
  <si>
    <t>Services-Configuration-NV S&amp;F Setup</t>
  </si>
  <si>
    <t>Services-Configuration-NIGC PSP Setup</t>
  </si>
  <si>
    <t>Services-Configuration-NCR Setup</t>
  </si>
  <si>
    <t>Services-Configuration-Lock down Windows from users</t>
  </si>
  <si>
    <t>Services-Configuration-Copy NIST or Fingerprint Files to designated local folder</t>
  </si>
  <si>
    <t>CMS-Configuration-Services</t>
  </si>
  <si>
    <t>CMS Server Basic Configuration, Installation &amp; Training (1 days on-site at any Contiguous US location). Training for a maximum of 5 people.</t>
  </si>
  <si>
    <t>NY Part #</t>
  </si>
  <si>
    <t>FL Part #</t>
  </si>
  <si>
    <t>LA Part #</t>
  </si>
  <si>
    <t>WA Part #</t>
  </si>
  <si>
    <t>LS4G-Data-1WayExist</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</si>
  <si>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</si>
  <si>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</si>
  <si>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Maintenance-24 X 7 Remote with Cross Ship and with 7 Year Technology Refresh</t>
  </si>
  <si>
    <t>Maintenance-24 X 7 Onsite and with 7 Year Technology Refresh</t>
  </si>
  <si>
    <t>Hardware Cable USB A to B connector  (5-6ft)</t>
  </si>
  <si>
    <t>System-ALL TOTs-Suprema RSF Scanner-High Performance Desktop-Touchscreen-Photo SW-Camera-Tripod-Printer SW-Signature Pad-Magstrip-1D Onsite-3yr 24/7</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</si>
  <si>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</si>
  <si>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HW - OTHER - Crossmatch Silicon Pad</t>
  </si>
  <si>
    <t>HW - SCANNER - Crossmatch Guardian MD</t>
  </si>
  <si>
    <t>HW - SCANNER - Crossmatch Guardian Module</t>
  </si>
  <si>
    <t>HW - SCANNER - Crossmatch Patrol</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</si>
  <si>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</si>
  <si>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</si>
  <si>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Sys-500-CAB</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</si>
  <si>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</si>
  <si>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</si>
  <si>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</si>
  <si>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System-CRM TOTs-Crossmatch 500 Scanner-High Performance Desktop-Touchscreen-Photo SW-Camera-AB Ring Flash-Cabinet</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</si>
  <si>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</si>
  <si>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System-ALL TOTs-Crossmatch 500 Scanner-High Performance Desktop-Touchscreen-Photo SW-Camera-AB Ring Flash-Printer SW-Signature Pad-Magstrip-1D Onsite-3yr 24/7-Cabinet-Ship</t>
  </si>
  <si>
    <t>System-ALL TOTs-Crossmatch 1000 Scanner-High Performance Desktop-Touchscreen-Photo SW-Camera-AB Ring Flash-Printer SW-Signature Pad-Magstrip-1D Onsite-3yr 24/7-Cabinet-Ship</t>
  </si>
  <si>
    <t>System-ALL TOTs-Crossmatch 500 Scanner-High Performance Desktop-Touchscreen-Photo SW-Camera-Tripod-Printer SW-Signature Pad-Magstrip-1D Onsite-3yr 24/7-Ship</t>
  </si>
  <si>
    <t>System-ALL TOTs-Crossmatch 1000 Scanner-High Performance Desktop-Touchscreen-Photo SW-Camera-Tripod-Printer SW-Signature Pad-Magstrip-1D Onsite-3yr 24/7-Ship</t>
  </si>
  <si>
    <t>System-CRM TOTs-Crossmatch 1000 Scanner-High Performance Desktop-Touchscreen-Photo SW-Camera-AB Ring Flash-Cabinet</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</si>
  <si>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</si>
  <si>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Sys-CRM-500-HPDT-PH-CAB</t>
  </si>
  <si>
    <t>Sys-CRM-1000-HPDT-PH-CAB</t>
  </si>
  <si>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</si>
  <si>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</si>
  <si>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</si>
  <si>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</si>
  <si>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</si>
  <si>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</si>
  <si>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System-Applicant TOT-Desktop Pro-Crossmatch Guardian 200 Scanner-Magstrip-ID Module</t>
  </si>
  <si>
    <t>System-Applicant-LiveScan SW-Desktop Pro-IBT Kojak Scanner-Magstrip-ID Module</t>
  </si>
  <si>
    <t>LS4G Applicant | Standard Desktop Pro IBT Kojak | Magstrip Reader | 21"+ LED</t>
  </si>
  <si>
    <t>Hardware-Scanner-IBT Kojak</t>
  </si>
  <si>
    <t>HW-Scan-Kojak</t>
  </si>
  <si>
    <t>Hardware Scanner IBT Kojak Tenprint</t>
  </si>
  <si>
    <t>LS4G Applicant | Standard Lapotp Home | Guardian 200 | Magstrip Reader</t>
  </si>
  <si>
    <t>Sys-App-DTP-Guard-Cab</t>
  </si>
  <si>
    <t>Sys-App-DTP-Guard</t>
  </si>
  <si>
    <t>Sys-App-DTP-Patrol</t>
  </si>
  <si>
    <t>Sys-App-DTP-Kojak</t>
  </si>
  <si>
    <t>Sys-App-DTP-G10</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</si>
  <si>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</si>
  <si>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</si>
  <si>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</si>
  <si>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</si>
  <si>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</si>
  <si>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</si>
  <si>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App Other</t>
  </si>
  <si>
    <t>App Federal</t>
  </si>
  <si>
    <t>Budget US Lg</t>
  </si>
  <si>
    <t>Budget US Sm</t>
  </si>
  <si>
    <t>FDLE-019-16</t>
  </si>
  <si>
    <t>SW-LS300</t>
  </si>
  <si>
    <t>SW-LS-ADD-TOT</t>
  </si>
  <si>
    <t>HW-TPP-1000PPI</t>
  </si>
  <si>
    <t>ACC-USB-PEDAL</t>
  </si>
  <si>
    <t>SW-LS-ADD-PC</t>
  </si>
  <si>
    <t>ACC-CAM</t>
  </si>
  <si>
    <t>SW-LSINT2</t>
  </si>
  <si>
    <t>Maint-24X7-Remote-7</t>
  </si>
  <si>
    <t>Maintenance-24 X 7 Remote with Cross Ship 7 Year Refresh</t>
  </si>
  <si>
    <t>HW-HPDT</t>
  </si>
  <si>
    <t>ACC-KIOSK</t>
  </si>
  <si>
    <t>SW-LSINT1</t>
  </si>
  <si>
    <t>ACC-KIOSK-CE</t>
  </si>
  <si>
    <t>SW-LSSC</t>
  </si>
  <si>
    <t>ACC-SigPad</t>
  </si>
  <si>
    <t>SW-CMSINT2</t>
  </si>
  <si>
    <t>New Part Number</t>
  </si>
  <si>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</si>
  <si>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</si>
  <si>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</si>
  <si>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</si>
  <si>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</si>
  <si>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</si>
  <si>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</si>
  <si>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</si>
  <si>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</si>
  <si>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</si>
  <si>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</si>
  <si>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</si>
  <si>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</si>
  <si>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</si>
  <si>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</si>
  <si>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</si>
  <si>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</si>
  <si>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</si>
  <si>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</si>
  <si>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</si>
  <si>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</si>
  <si>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</si>
  <si>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LSMID-FL-NEC45</t>
  </si>
  <si>
    <t>LS4G FDLE Mobile LiveScan System: LiveScan Software License, Rapid ID, Submission to FDLE, One Day On-Site Installation and Training, 3 Year 24/7 Warranty*.
NEC NeoScan45 Scanner</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</si>
  <si>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</si>
  <si>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</si>
  <si>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</si>
  <si>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</si>
  <si>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</si>
  <si>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</si>
  <si>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</si>
  <si>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</si>
  <si>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ACC-Foot-USB</t>
  </si>
  <si>
    <t>ACC-Mag</t>
  </si>
  <si>
    <t>USB Magstripe Reader for Driver License</t>
  </si>
  <si>
    <t>ACC-Monitor-T</t>
  </si>
  <si>
    <t>ACC-Print-D</t>
  </si>
  <si>
    <t>ACC-Print-D-HD</t>
  </si>
  <si>
    <t>ACC-Print-S</t>
  </si>
  <si>
    <t>HW-DT-HP</t>
  </si>
  <si>
    <t>1000ppi Tenprint and PalmPrint Scanner: Cross Match 1000</t>
  </si>
  <si>
    <t>500ppi TenPrint Scanner: Cross Match Guardian 200, integrated with LS4G</t>
  </si>
  <si>
    <t>500ppi Tenprint and PalmPrint Scanner: Cross Match 500</t>
  </si>
  <si>
    <t>HW-Scan-i3</t>
  </si>
  <si>
    <t>500ppi TenPrint Scanner: I3 DigID Mini</t>
  </si>
  <si>
    <t>500ppi TenPrint Scanner: Cross Match Patrol</t>
  </si>
  <si>
    <t>HW-Scan-RS10</t>
  </si>
  <si>
    <t>500ppi TenPrint Scanner: Suprema-RealScan-10</t>
  </si>
  <si>
    <t>500ppi TenPrint and PalmPrint Scanner: Suprema-RealScan-F</t>
  </si>
  <si>
    <t>HW-LT-HP</t>
  </si>
  <si>
    <t>HW-LT-STD</t>
  </si>
  <si>
    <t>HW-PDA-Apple</t>
  </si>
  <si>
    <t>Apple i-Phone</t>
  </si>
  <si>
    <t>HW-Scan-NEC45</t>
  </si>
  <si>
    <t>SW-BC</t>
  </si>
  <si>
    <t>Software License to process barcode</t>
  </si>
  <si>
    <t>SW-DataEx-1</t>
  </si>
  <si>
    <t>LiveScan data interface with foreign systems for one way data exchange (input or output). Covers up to 16 licenses</t>
  </si>
  <si>
    <t>SW-DataEx-2</t>
  </si>
  <si>
    <t>LiveScan data interface with foreign systems for two way data exchange (input and output). Covers up to 16 licenses</t>
  </si>
  <si>
    <t>SW-DataEx-Add</t>
  </si>
  <si>
    <t>Interface Licenses after 16 licenses of SW-DataEx-1 or SW-DataEx-2 have been exhaused</t>
  </si>
  <si>
    <t>SW-LS4G-FL-APP</t>
  </si>
  <si>
    <t>LS4G FL Applicant LiveScan Software License: Florida Level II Transaction (TOT), FDLE Submission package</t>
  </si>
  <si>
    <t>SW-LS4G-FL-CRM</t>
  </si>
  <si>
    <t>LS4G FDLE Criminal LiveScan Software License: single Type of Transaction (TOT), single submission package</t>
  </si>
  <si>
    <t>SW-Photo</t>
  </si>
  <si>
    <t>Integrated Photo Capture Software License</t>
  </si>
  <si>
    <t>SW-Photo-ADD</t>
  </si>
  <si>
    <t>SW-Print</t>
  </si>
  <si>
    <t xml:space="preserve">Printer Software License </t>
  </si>
  <si>
    <t>SW-Signature</t>
  </si>
  <si>
    <t>Integrated Signature Capture Software License</t>
  </si>
  <si>
    <t>SW-TOT-ADD</t>
  </si>
  <si>
    <t>Additional Type of Transaction (TOT), must be combined with LS-Series LiveScan system.</t>
  </si>
  <si>
    <t>SW-LS4G-MOB</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</si>
  <si>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</si>
  <si>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</si>
  <si>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</si>
  <si>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</si>
  <si>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SVCS-CFG</t>
  </si>
  <si>
    <t>SVCS-PROF</t>
  </si>
  <si>
    <t>SVCS-SHP</t>
  </si>
  <si>
    <t>SVCS-SHP-CAB</t>
  </si>
  <si>
    <t>SVCS-Train-OS</t>
  </si>
  <si>
    <t>LS-Series On-Site Training. Training for a maximum of 5 people.</t>
  </si>
  <si>
    <t>SVCS-Train-RM</t>
  </si>
  <si>
    <t>LS LiveScan Series Remote Training. Training for a maximum of 3 people.</t>
  </si>
  <si>
    <t>SVCS-SHP-MOB</t>
  </si>
  <si>
    <t>SVCS-TR-REM-MOB</t>
  </si>
  <si>
    <t>LS Mobile LiveScan Series Remote Training. Training for a maximum of 3 people.</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</si>
  <si>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</si>
  <si>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</si>
  <si>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</si>
  <si>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</si>
  <si>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</si>
  <si>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SW-CMS10CON</t>
  </si>
  <si>
    <t>SW-CMS1000TP</t>
  </si>
  <si>
    <t>SW-CMS5000S</t>
  </si>
  <si>
    <t>SW-CMSLSPS</t>
  </si>
  <si>
    <t>SW-CMSINT1</t>
  </si>
  <si>
    <t>SCVS-Onsite-CMS</t>
  </si>
  <si>
    <t>FL Part Number</t>
  </si>
  <si>
    <t>HW-FBS</t>
  </si>
  <si>
    <t>HW-TPP-500PPI</t>
  </si>
  <si>
    <t>HW-TP-500PPI</t>
  </si>
  <si>
    <t>SW-LS-ADD-FBS</t>
  </si>
  <si>
    <t xml:space="preserve">680-48-00-035641 </t>
  </si>
  <si>
    <t>SVCS-INST</t>
  </si>
  <si>
    <t>LS-Series LiveScan System configuration</t>
  </si>
  <si>
    <t>CMS Server Basic Configuration, Installation &amp; Training (3 days on-site at any Contiguous US location)</t>
  </si>
  <si>
    <t>SCVS-CFGINSTTRCMS</t>
  </si>
  <si>
    <t>LS Livescan Series Basic Configuration, Installation &amp; Training (Additional day add-on to SCVS-CFGINSTRLS)</t>
  </si>
  <si>
    <t>SCVS-CFGINSTTRLSADD</t>
  </si>
  <si>
    <t>LS Livescan Series Basic Configuration, Installation &amp; Training (1 day on-site at any Contiguous US location)</t>
  </si>
  <si>
    <t>SCVS-CFGINSTTRLS</t>
  </si>
  <si>
    <t>Printer Software License for Standard Print Formats for any LS-Series LiveScan system.</t>
  </si>
  <si>
    <t>SW-LSPS</t>
  </si>
  <si>
    <t>Integrated Signature Capture Software License for any LS-Series LiveScan system.</t>
  </si>
  <si>
    <t>Software License to process identification (Driver's License, State ID's, etc…) for any LS-Series LiveScan system.</t>
  </si>
  <si>
    <t>SW-LSID</t>
  </si>
  <si>
    <t>LiveScan data interface with foreign systems for two way data exchange (input and output) - $4,995 license fee minimum per interface</t>
  </si>
  <si>
    <t>LiveScan data interface with foreign systems for one way data exchange (input or output) - $3,995 license fee minimum per interface</t>
  </si>
  <si>
    <t>Additional Connectivity and/or Submission license for any LS-Series LiveScan system.</t>
  </si>
  <si>
    <t>SW-LSCON</t>
  </si>
  <si>
    <t>Additional Flatbed Scanning Software, must be combined with LS-Series LiveScan system.</t>
  </si>
  <si>
    <t>Integrated Photo Capture Software License for any LS-Series LiveScan system.</t>
  </si>
  <si>
    <t>SW-LSPC</t>
  </si>
  <si>
    <t>LS 300 Criminal LiveScan Software License: single Type of Transaction (TOT), single submission package</t>
  </si>
  <si>
    <t>LS200 Applicant LiveScan Software License: single Type of Transaction (TOT), single submission package</t>
  </si>
  <si>
    <t>SW-LS200</t>
  </si>
  <si>
    <t>LS400 ergonomically designed all steel cabinet for any LS-Series LiveScan system.</t>
  </si>
  <si>
    <t>Large Pelican Case for LiveScan System (laptop only), with Anti-Static Foam Padding.</t>
  </si>
  <si>
    <t>ACC-CC-L</t>
  </si>
  <si>
    <t>Medium Pelican Case for TPP LiveScan System (laptop only), with Anti-Static Foam Padding.</t>
  </si>
  <si>
    <t>ACC-CC-M</t>
  </si>
  <si>
    <t>Small Pelican Case for TP LiveScan System (tenprint with laptop) with Anti-Static Foam Padding.</t>
  </si>
  <si>
    <t>ACC-CC-S</t>
  </si>
  <si>
    <t>Upgrade to 21" Touch Screen LCD Monitor</t>
  </si>
  <si>
    <t>ACC-UPG-21T</t>
  </si>
  <si>
    <t>21" Touch Screen LCD Monitor</t>
  </si>
  <si>
    <t>ACC-21T</t>
  </si>
  <si>
    <t>ACC-PD</t>
  </si>
  <si>
    <t>ACC-PS</t>
  </si>
  <si>
    <t>ACC-BarC2</t>
  </si>
  <si>
    <t>ACC-BarC1</t>
  </si>
  <si>
    <t>Flatbed Scanner</t>
  </si>
  <si>
    <t>500ppi TenPrint scanner: Cross Match Guardian</t>
  </si>
  <si>
    <t>Upgrade the Lite-Ue scanner of any LS-G4 system to a 1000PX scanner. Must purchase in conjunction with LS-4G Lite-Ue.</t>
  </si>
  <si>
    <t>HW-UPG-Ue-1000PX</t>
  </si>
  <si>
    <t>CMS Archive Storage Hardware Upgrade - per additional 20,000 transactions.  Must purchase in conjunction with HW-CMSServer or CMS.</t>
  </si>
  <si>
    <t>HW-CMSServerStorUPGR</t>
  </si>
  <si>
    <t>Server Computer with Windows Server 2003 OS (or higher version), for use with CMS software, up to 5,000 transactions storage capacity</t>
  </si>
  <si>
    <t>HW-CMSServer</t>
  </si>
  <si>
    <t>High Performance Computer Upgrade for LiveScan System (mandatory for 1,000ppi operation, optional for 500ppi)</t>
  </si>
  <si>
    <t>HW-UPG-HPCOMPUTER</t>
  </si>
  <si>
    <t>Rugged laptop Computer for LiveScan System Meets MIL-STD-810F, IP65</t>
  </si>
  <si>
    <t>HW-RDLT</t>
  </si>
  <si>
    <t>HW-HPLT</t>
  </si>
  <si>
    <t>Notebook Computer for LiveScan System</t>
  </si>
  <si>
    <t>HW-LT</t>
  </si>
  <si>
    <t>High Performance Desktop Computer with 17" or larger LCD Monitor</t>
  </si>
  <si>
    <t>Desktop Computer for LiveScan system with 17" or larger LCD Monitor</t>
  </si>
  <si>
    <t>HW-DT</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</si>
  <si>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</si>
  <si>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CMS</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</si>
  <si>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</si>
  <si>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LS-4G-JKLite-Ue</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</si>
  <si>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</si>
  <si>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LS-4G-JKGuardian</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</si>
  <si>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</si>
  <si>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 Lite-Ue</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</si>
  <si>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</si>
  <si>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</si>
  <si>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</si>
  <si>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LS-4G-Lite-Xe</t>
  </si>
  <si>
    <t xml:space="preserve">Product/Model Number </t>
  </si>
  <si>
    <t xml:space="preserve"> Product Description </t>
  </si>
  <si>
    <t>NYS Net Price</t>
  </si>
  <si>
    <t>HW-UPG-Xe-Guardian</t>
  </si>
  <si>
    <t>Upgrade the Lite-Xe scanner of any LS-G4 system to a Cross Match Guardian scanner. Must purchase in conjunction with LS-4G Lite-Xe.</t>
  </si>
  <si>
    <t>No Charge</t>
  </si>
  <si>
    <t>HW-UPG-Ue-500P</t>
  </si>
  <si>
    <t>Upgrade the Lite-Ue scanner of any LS-G4 system to a 500P scanner. Must purchase in conjunction with LS-4G Lite-Ue.</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</si>
  <si>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</si>
  <si>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</si>
  <si>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</si>
  <si>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</si>
  <si>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</si>
  <si>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</si>
  <si>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</si>
  <si>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</si>
  <si>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</si>
  <si>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</si>
  <si>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</si>
  <si>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</si>
  <si>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</si>
  <si>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</si>
  <si>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</si>
  <si>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</si>
  <si>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</si>
  <si>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</si>
  <si>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</si>
  <si>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</si>
  <si>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SVCS-SR-HW-DT</t>
  </si>
  <si>
    <t>12 months remote maintenance and cross ship support for Desktop Computer for LiveScan system with 17" or larger LCD Monitor</t>
  </si>
  <si>
    <t>SVCS-SR-HW-HPDT</t>
  </si>
  <si>
    <t>12 months remote maintenance and cross ship support for High Performance Desktop Computer with 17" or larger LCD Monitor</t>
  </si>
  <si>
    <t>SVCS-SR-HW-LT</t>
  </si>
  <si>
    <t>12 months remote maintenance and cross ship support for Notebook Computer for LiveScan System</t>
  </si>
  <si>
    <t>SVCS-SR-HW-HPLT</t>
  </si>
  <si>
    <t>12 months remote maintenance and cross ship support for High Performance Notebook Computer for LiveScan System</t>
  </si>
  <si>
    <t>SVCS-SR-HW-RDLT</t>
  </si>
  <si>
    <t>12 months remote maintenance and cross ship support for Rugged laptop Computer for LiveScan System Meets MIL-STD-810F, IP65</t>
  </si>
  <si>
    <t>SVCS-SR-HW-CMSServer</t>
  </si>
  <si>
    <t>12 months remote maintenance and cross ship support for Server Computer with Windows Server 2003 OS (or higher version), for use with CMS software, up to 5,000 transactions storage capacity</t>
  </si>
  <si>
    <t>SVCS-SR-HW-CMSServerStorUPGR</t>
  </si>
  <si>
    <t>12 months remote maintenance and cross ship support for CMS Archive Storage Hardware Upgrade - per additional 20,000 transactions.</t>
  </si>
  <si>
    <t>SVCS-SR-HW-TP-500PPI</t>
  </si>
  <si>
    <t>12 months remote maintenance and cross ship support for 500ppi TenPrint scanner: Cross Match Guardian</t>
  </si>
  <si>
    <t>SVCS-SR-HW-TPP-500PPI</t>
  </si>
  <si>
    <t>12 months remote maintenance and cross ship support for 500ppi Tenprint and PalmPrint scanner: Cross Match 500P</t>
  </si>
  <si>
    <t>SVCS-SR-HW-TPP-1000PPI</t>
  </si>
  <si>
    <t>12 months remote maintenance and cross ship support for 1000ppi Tenprint and PalmPrint scanner: Cross Match 1000PX</t>
  </si>
  <si>
    <t>SVCS-SOS-HW-DT</t>
  </si>
  <si>
    <t>12 months on-site maintenance for Desktop Computer for LiveScan system with 17" or larger LCD Monitor</t>
  </si>
  <si>
    <t>SVCS-SOS-HW-HPDT</t>
  </si>
  <si>
    <t>12 months on-site maintenance for High Performance Desktop Computer with 17" or larger LCD Monitor</t>
  </si>
  <si>
    <t>SVCS-SOS-HW-LT</t>
  </si>
  <si>
    <t>12 months on-site maintenance for Notebook Computer for LiveScan System</t>
  </si>
  <si>
    <t>SVCS-SOS-HW-HPLT</t>
  </si>
  <si>
    <t>12 months on-site maintenance for High Performance Notebook Computer for LiveScan System</t>
  </si>
  <si>
    <t>SVCS-SOS-HW-RDLT</t>
  </si>
  <si>
    <t>12 months on-site maintenance for Rugged laptop Computer for LiveScan System Meets MIL-STD-810F, IP65</t>
  </si>
  <si>
    <t>SVCS-SOS-HW-CMSServer</t>
  </si>
  <si>
    <t>12 months on-site maintenance for Server Computer with Windows Server 2003 OS (or higher version), for use with CMS software, up to 5,000 transactions storage capacity</t>
  </si>
  <si>
    <t>SVCS-SOS-HW-CMSServerStorUPGR</t>
  </si>
  <si>
    <t>12 months on-site maintenance for CMS Archive Storage Hardware Upgrade - per additional 20,000 transactions.</t>
  </si>
  <si>
    <t>SVCS-SOS-HW-TP-500PPI</t>
  </si>
  <si>
    <t>12 months on-site maintenance for 500ppi TenPrint scanner: Cross Match Guardian</t>
  </si>
  <si>
    <t>SVCS-SOS-HW-TPP-500PPI</t>
  </si>
  <si>
    <t>12 months on-site maintenance for 500ppi Tenprint and PalmPrint scanner: Cross Match 500P</t>
  </si>
  <si>
    <t>SVCS-SOS-HW-TPP-1000PPI</t>
  </si>
  <si>
    <t>12 months on-site maintenance for 1000ppi Tenprint and PalmPrint scanner: Cross Match 1000PX</t>
  </si>
  <si>
    <t>SVCS-ACC-SR-CAM</t>
  </si>
  <si>
    <t>12 months remote maintenance and cross ship support for Commercial-of-the-Shelf (COTS) High-Resolution Still Camera, integrated with Livescan Software</t>
  </si>
  <si>
    <t>SVCS-ACC-SR-SigPad</t>
  </si>
  <si>
    <t>12 months remote maintenance and cross ship support for Digital Signature Pad</t>
  </si>
  <si>
    <t>SVCS-ACC-SR-Mag</t>
  </si>
  <si>
    <t>12 months remote maintenance and cross ship support for USB Magstripe Reader for Driver License</t>
  </si>
  <si>
    <t>SVCS-ACC-SR-BarC1</t>
  </si>
  <si>
    <t>12 months remote maintenance and cross ship support for 1D barcode reader</t>
  </si>
  <si>
    <t>SVCS-ACC-SR-BarC2</t>
  </si>
  <si>
    <t>12 months remote maintenance and cross ship support for 2D barcode reader</t>
  </si>
  <si>
    <t>SVCS-ACC-SR-PS</t>
  </si>
  <si>
    <t>12 months remote maintenance and cross ship support for FBI Certified  Fingerprint Card Printer: Single-Sided Printer</t>
  </si>
  <si>
    <t>SVCS-ACC-SR-PD</t>
  </si>
  <si>
    <t>12 months remote maintenance and cross ship support for FBI Certified  Fingerprint Card Printer: Dual-Sided Printer</t>
  </si>
  <si>
    <t>SVCS-ACC-SR-21T</t>
  </si>
  <si>
    <t>12 months remote maintenance and cross ship support for 21" Touch Screen LCD Monitor</t>
  </si>
  <si>
    <t>SVCS-ACC-SR-UPG-21T</t>
  </si>
  <si>
    <t>12 months remote maintenance and cross ship support for Upgrade to 21" Touch Screen LCD Monitor</t>
  </si>
  <si>
    <t>SVCS-ACC-SR-USB-PEDAL</t>
  </si>
  <si>
    <t>12 months remote maintenance and cross ship support for USB Foot Pedal for hands free operation</t>
  </si>
  <si>
    <t>SVCS-ACC-SR-CC-S</t>
  </si>
  <si>
    <t>12 months remote maintenance and cross ship support for Small Pelican Case for TP LiveScan System (tenprint with laptop) with Anti-Static Foam Padding.</t>
  </si>
  <si>
    <t>SVCS-ACC-SR-CC-M</t>
  </si>
  <si>
    <t>12 months remote maintenance and cross ship support for Medium Pelican Case for TPP LiveScan System (laptop only), with Anti-Static Foam Padding.</t>
  </si>
  <si>
    <t>SVCS-ACC-SR-CC-L</t>
  </si>
  <si>
    <t>12 months remote maintenance and cross ship support for Large Pelican Case for LiveScan System (laptop only), with Anti-Static Foam Padding.</t>
  </si>
  <si>
    <t>SVCS-ACC-SR-KIOSK</t>
  </si>
  <si>
    <t>12 months remote maintenance and cross ship support for LS400 ergonomically designed all steel cabinet for any LS-Series LiveScan system.</t>
  </si>
  <si>
    <t>SVCS-ACC-SR-KIOSK-CE</t>
  </si>
  <si>
    <t>12 months remote maintenance and cross ship support for All steel camera enclosure for ACC-KIOSK, includes high-output ring flash</t>
  </si>
  <si>
    <t>SVCS-ACC-SOS-CAM</t>
  </si>
  <si>
    <t>12 months on-site support for Commercial-of-the-Shelf (COTS) High-Resolution Still Camera, integrated with Livescan Software</t>
  </si>
  <si>
    <t>SVCS-ACC-SOS-SigPad</t>
  </si>
  <si>
    <t>12 months on-site support for Digital Signature Pad</t>
  </si>
  <si>
    <t>SVCS-ACC-SOS-Mag</t>
  </si>
  <si>
    <t>12 months on-site support for USB Magstripe Reader for Driver License</t>
  </si>
  <si>
    <t>SVCS-ACC-SOS-BarC1</t>
  </si>
  <si>
    <t>12 months on-site support for 1D barcode reader</t>
  </si>
  <si>
    <t>SVCS-ACC-SOS-BarC2</t>
  </si>
  <si>
    <t>12 months on-site support for 2D barcode reader</t>
  </si>
  <si>
    <t>SVCS-ACC-SOS-PS</t>
  </si>
  <si>
    <t>12 months on-site support for FBI Certified  Fingerprint Card Printer: Single-Sided Printer</t>
  </si>
  <si>
    <t>SVCS-ACC-SOS-PD</t>
  </si>
  <si>
    <t>12 months on-site support for FBI Certified  Fingerprint Card Printer: Dual-Sided Printer</t>
  </si>
  <si>
    <t>SVCS-ACC-SOS-21T</t>
  </si>
  <si>
    <t>12 months on-site support for 21" Touch Screen LCD Monitor</t>
  </si>
  <si>
    <t>SVCS-ACC-SOS-UPG-21T</t>
  </si>
  <si>
    <t>12 months on-site support for Upgrade to 21" Touch Screen LCD Monitor</t>
  </si>
  <si>
    <t>SVCS-ACC-SOS-USB-PEDAL</t>
  </si>
  <si>
    <t>12 months on-site support for USB Foot Pedal for hands free operation</t>
  </si>
  <si>
    <t>SVCS-ACC-SOS-CC-S</t>
  </si>
  <si>
    <t>12 months on-site support for Small Pelican Case for TP LiveScan System (tenprint with laptop) with Anti-Static Foam Padding.</t>
  </si>
  <si>
    <t>SVCS-ACC-SOS-CC-M</t>
  </si>
  <si>
    <t>12 months on-site support for Medium Pelican Case for TPP LiveScan System (laptop only), with Anti-Static Foam Padding.</t>
  </si>
  <si>
    <t>SVCS-ACC-SOS-CC-L</t>
  </si>
  <si>
    <t>12 months on-site support for Large Pelican Case for LiveScan System (laptop only), with Anti-Static Foam Padding.</t>
  </si>
  <si>
    <t>SVCS-ACC-SOS-KIOSK</t>
  </si>
  <si>
    <t>12 months on-site support for LS400 ergonomically designed all steel cabinet for any LS-Series LiveScan system.</t>
  </si>
  <si>
    <t>SVCS-ACC-SOS-KIOSK-CE</t>
  </si>
  <si>
    <t>12 months on-site support for All steel camera enclosure for ACC-KIOSK, includes high-output ring flash</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</si>
  <si>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</si>
  <si>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</si>
  <si>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</si>
  <si>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</si>
  <si>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SVCS-SW-SR-LSPC</t>
  </si>
  <si>
    <t>12 months remote support for LS Series Livescan, includes: help-desk support and software upgrades for Integrated Photo Capture Software License for any LS-Series LiveScan system.</t>
  </si>
  <si>
    <t>SVCS-SW-SR-LS-ADD-TOT</t>
  </si>
  <si>
    <t>12 months remote support for LS Series Livescan, includes: help-desk support and software upgrades for Additional Type of Transaction (TOT), must be combined with LS-Series LiveScan system.</t>
  </si>
  <si>
    <t>SVCS-SW-SR-LS-ADD-PC</t>
  </si>
  <si>
    <t>12 months remote support for LS Series Livescan, includes: help-desk support and software upgrades for Photo Capture, must be combined with LS-Series LiveScan system.</t>
  </si>
  <si>
    <t>SVCS-SW-SR-LS-ADD-FBS</t>
  </si>
  <si>
    <t>12 months remote support for LS Series Livescan, includes: help-desk support and software upgrades for Flatbed Scanning, must be combined with LS-Series LiveScan system.</t>
  </si>
  <si>
    <t>SVCS-SW-SR-LSCON</t>
  </si>
  <si>
    <t>12 months remote support for LS Series Livescan, includes: help-desk support and software upgrades for Additional Connectivity and/or Submission license for any LS-Series LiveScan system.</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</si>
  <si>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</si>
  <si>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</si>
  <si>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SVCS-SW-SR-LSINT2</t>
  </si>
  <si>
    <t>12 months remote support for LS Series Livescan, includes: help-desk support and software upgrades for LiveScan data interface with foreign systems for two way data exchange (input and output) - Configuration fee may apply on low volume</t>
  </si>
  <si>
    <t>SVCS-SW-SR-LSID</t>
  </si>
  <si>
    <t>12 months remote support for LS Series Livescan, includes: help-desk support and software upgrades for Software License to process identification (Driver's License, State ID's, etc…) for any LS-Series LiveScan system.</t>
  </si>
  <si>
    <t>SVCS-SW-SR-LSSC</t>
  </si>
  <si>
    <t>12 months remote support for LS Series Livescan, includes: help-desk support and software upgrades for Integrated Signature Capture Software License for any LS-Series LiveScan system.</t>
  </si>
  <si>
    <t>SVCS-SW-SR-LSPS</t>
  </si>
  <si>
    <t>12 months remote support for LS Series Livescan, includes: help-desk support and software upgrades for Printer Software License for Standard Print Formats for any LS-Series LiveScan system.</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</si>
  <si>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</si>
  <si>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</si>
  <si>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SVCS-SW-SR-CMS10CON</t>
  </si>
  <si>
    <t>12 months remote support for LS Series Livescan, includes: help-desk support and software upgrades for 10 additional LiveScan connections license for CMS Software</t>
  </si>
  <si>
    <t>SVCS-SW-SR-CMS1000TP</t>
  </si>
  <si>
    <t>12 months remote support for LS Series Livescan, includes: help-desk support and software upgrades for 1,000 additional monthly transaction throughput license for CMS Software</t>
  </si>
  <si>
    <t>SVCS-SW-SR-CMS5000S</t>
  </si>
  <si>
    <t>12 months remote support for LS Series Livescan, includes: help-desk support and software upgrades for 5,000 additional transaction storage for CMS Software.</t>
  </si>
  <si>
    <t>SVCS-SW-SR-CMSINT1</t>
  </si>
  <si>
    <t>12 months remote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</si>
  <si>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</si>
  <si>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</si>
  <si>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</si>
  <si>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</si>
  <si>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</si>
  <si>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</si>
  <si>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SVCS-SW-SOS-LSPC</t>
  </si>
  <si>
    <t>12 months on-site support for LS Series Livescan, includes: help-desk support and software upgrades for Integrated Photo Capture Software License for any LS-Series LiveScan system.</t>
  </si>
  <si>
    <t>SVCS-SW-SOS-LS-ADD-TOT</t>
  </si>
  <si>
    <t>12 months on-site support for LS Series Livescan, includes: help-desk support and software upgrades for Additional Type of Transaction (TOT), must be combined with LS-Series LiveScan system.</t>
  </si>
  <si>
    <t>SVCS-SW-SOS-LS-ADD-PC</t>
  </si>
  <si>
    <t>12 months on-site support for LS Series Livescan, includes: help-desk support and software upgrades for Photo Capture, must be combined with LS-Series LiveScan system.</t>
  </si>
  <si>
    <t>SVCS-SW-SOS-LS-ADD-FBS</t>
  </si>
  <si>
    <t>12 months on-site support for LS Series Livescan, includes: help-desk support and software upgrades for Flatbed Scanning, must be combined with LS-Series LiveScan system.</t>
  </si>
  <si>
    <t>SVCS-SW-SOS-LSCON</t>
  </si>
  <si>
    <t>12 months on-site support for LS Series Livescan, includes: help-desk support and software upgrades for Additional Connectivity and/or Submission license for any LS-Series LiveScan system.</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</si>
  <si>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</si>
  <si>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</si>
  <si>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SVCS-SW-SOS-LSINT2</t>
  </si>
  <si>
    <t>12 months on-site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</si>
  <si>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</si>
  <si>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</si>
  <si>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SVCS-SW-SOS-LSSC</t>
  </si>
  <si>
    <t>12 months on-site support for LS Series Livescan, includes: help-desk support and software upgrades for Integrated Signature Capture Software License for any LS-Series LiveScan system.</t>
  </si>
  <si>
    <t>SVCS-SW-SOS-LSPS</t>
  </si>
  <si>
    <t>12 months on-site support for LS Series Livescan, includes: help-desk support and software upgrades for Printer Software License for Standard Print Formats for any LS-Series LiveScan system.</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</si>
  <si>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</si>
  <si>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</si>
  <si>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SVCS-SW-SOS-CMS10CON</t>
  </si>
  <si>
    <t>12 months on-site support for LS Series Livescan, includes: help-desk support and software upgrades for 10 additional LiveScan connections license for CMS Software</t>
  </si>
  <si>
    <t>SVCS-SW-SOS-CMS1000TP</t>
  </si>
  <si>
    <t>12 months on-site support for LS Series Livescan, includes: help-desk support and software upgrades for 1,000 additional monthly transaction throughput license for CMS Software</t>
  </si>
  <si>
    <t>SVCS-SW-SOS-CMS5000S</t>
  </si>
  <si>
    <t>12 months on-site support for LS Series Livescan, includes: help-desk support and software upgrades for 5,000 additional transaction storage for CMS Software.</t>
  </si>
  <si>
    <t>SVCS-SW-SOS-CMSINT1</t>
  </si>
  <si>
    <t>12 months on-site support for LS Series Livescan, includes: help-desk support and software upgrades for CMS data interface with foreign systems for one way data exchange (input or output)</t>
  </si>
  <si>
    <t>SVCS-SW-SOS-CMSINT2</t>
  </si>
  <si>
    <t>12 months on-site support for LS Series Livescan, includes: help-desk support and software upgrades for CMS data interface with foreign systems for two way data exchange (input and output)</t>
  </si>
  <si>
    <t>Current Part Num</t>
  </si>
  <si>
    <t>B4ALL Part Num</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</si>
  <si>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</si>
  <si>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t>1000ppi Tenprint and PalmPrint scanner: Cross Match 1000</t>
  </si>
  <si>
    <t>500ppi Tenprint and PalmPrint scanner: Cross Match 500</t>
  </si>
  <si>
    <t>HW-HD-SSD200</t>
  </si>
  <si>
    <t xml:space="preserve">Hardware-Hard Drive 200+GB Solid State (SSD) </t>
  </si>
  <si>
    <t>Greater than $500K</t>
  </si>
  <si>
    <t>Greater than $150K</t>
  </si>
  <si>
    <t>Less than $150K</t>
  </si>
  <si>
    <t>Parts Sale to Customer Not Under Maint.</t>
  </si>
  <si>
    <t>SAM Profit Sharing Refundable Deposit</t>
  </si>
  <si>
    <t>Deposit</t>
  </si>
  <si>
    <t>Ground</t>
  </si>
  <si>
    <t>Services-Training-4hrs (Also see Service Method) Max 3 People</t>
  </si>
  <si>
    <t>Services-Installation Session 4hrs (Also see Service Method)</t>
  </si>
  <si>
    <t>Included</t>
  </si>
  <si>
    <t xml:space="preserve">962-46-00-039542 and 924-35-00-035649 </t>
  </si>
  <si>
    <t>Custom Super</t>
  </si>
  <si>
    <t>Super Competitive Situation</t>
  </si>
  <si>
    <t>CMS-Software-DoubleTake Replication Software (must purchase in packs of 2)</t>
  </si>
  <si>
    <t>CMS-DoubleTake</t>
  </si>
  <si>
    <t>LS4G Applicant | Standard Desktop Pro | Patrol | Magstrip Reader | 21"+ LED</t>
  </si>
  <si>
    <t>Services Method-Three Day Onsite Service anywhere in the U.S. (includes Travel and Expenses)</t>
  </si>
  <si>
    <t>Svcs-OnsiteUS-3</t>
  </si>
  <si>
    <t>3 Days Onsite Service anywhere in the U.S.</t>
  </si>
  <si>
    <t>HW-Scan-Patrol-Sili</t>
  </si>
  <si>
    <t>Hardware Epson V600 Flatbed Scanner</t>
  </si>
  <si>
    <t>Hardware Epson V800 Flatbed Scanner</t>
  </si>
  <si>
    <t>HW-Flatbed-V600</t>
  </si>
  <si>
    <t>HW-Flatbed-V800</t>
  </si>
  <si>
    <t>Hardware-Epson V600 Flatbed Scanner</t>
  </si>
  <si>
    <t>Hardware-Epson V800 Flatbed Scanner</t>
  </si>
  <si>
    <t>Hardware-Scanner-Crossmatch Guardian 200 with Silicon Pad</t>
  </si>
  <si>
    <t>HW-Scan-200-Pad</t>
  </si>
  <si>
    <t>HW-CMT-Silicon-20</t>
  </si>
  <si>
    <t>Hardware Scanner Crossmatch Guardian 200 (920191-00)</t>
  </si>
  <si>
    <t>Hardware Scanner Crossmatch Guardian 200 with Pad (920191-01)</t>
  </si>
  <si>
    <t>Hardware Scanner Crossmatch Guardian Module (920185-004)</t>
  </si>
  <si>
    <t>Hardware Scanner Crossmatch Patrol (920162-003)</t>
  </si>
  <si>
    <t>Hardware Scanner Crossmatch Patrol (TAA+Pad) (920162-004)</t>
  </si>
  <si>
    <t>HW-CMT-Silicon-G</t>
  </si>
  <si>
    <t>Hardware-Crossmatch Silicon Pad 5 Pack (Patrol)</t>
  </si>
  <si>
    <t>Hardware Crossmatch Silicon Pad 5 Pack Patrol (900242)</t>
  </si>
  <si>
    <t>Hardware-Crossmatch Silicon Pad 5 Pack (LS500 or 1000)</t>
  </si>
  <si>
    <t>Hardware Crossmatch Silicon Pad 20 Pack Guardian (900424-002)</t>
  </si>
  <si>
    <t>Hardware-Crossmatch Silicon Pad 20 Pack (Guardian)</t>
  </si>
  <si>
    <t>HW-CMT-Silicon-PP</t>
  </si>
  <si>
    <t>Hardware Crossmatch Silicon Pad 5 Pack LS500|1000 (900280)</t>
  </si>
  <si>
    <t>Hardware-Crossmatch Silicon Pad 20 Pack (LS500 or 1000)</t>
  </si>
  <si>
    <t>Hardware Crossmatch Silicon Pad 20 Pack LS500|1000 (900281)</t>
  </si>
  <si>
    <t>HW-CMT-Silicon-PP-20</t>
  </si>
  <si>
    <t>Hardware-Firewire Card (Custom Quote)</t>
  </si>
  <si>
    <t>Hardware-Printer-Duplex (Requires High Performance Computer and 16GB RAM)</t>
  </si>
  <si>
    <t>Hardware-Printer-Duplex (Heavy) (Requires High Performance Computer and 16GB RAM)</t>
  </si>
  <si>
    <t>Hardware-Printer-Simplex (Basic) (Requires  Performance Computer and 12GB RAM)</t>
  </si>
  <si>
    <t>Hardware-Printer-Simplex (Heavy Duty) (Requires  Performance Computer and 12GB RAM)</t>
  </si>
  <si>
    <t>Hardware Printer Duplex (Basic) (Requires High Performance Computer and 16GB RAM)</t>
  </si>
  <si>
    <t>Hardware Printer Duplex (Heavy Duty) (Requires High Performance Computer and 16GB RAM)</t>
  </si>
  <si>
    <t>Hardware Printer Simplex (Basic) (Requires Performance Computer and 12GB RAM)</t>
  </si>
  <si>
    <t>Hardware Scanner Crossmatch 1000 (920190-00US)</t>
  </si>
  <si>
    <t>Hardware Scanner Crossmatch 500 (920189-00US)</t>
  </si>
  <si>
    <t>Hardware-Crossmatch Silicon Pad 5 Pack (Guardian 200)</t>
  </si>
  <si>
    <t>Hardware Crossmatch Silicon Pad 5 Pack Guardian 200(900424-001)</t>
  </si>
  <si>
    <t>System-Applicant-LiveScan SW-Desktop Pro SSD-IBT Kojak Scanner-Magstrip-ID Module</t>
  </si>
  <si>
    <t>LS4G Applicant | Standard Desktop Pro SSD | IBT Kojak | Magstrip Reader | 21"+ LED</t>
  </si>
  <si>
    <t>Sys-App-DTP-SSD-Kojak</t>
  </si>
  <si>
    <t>System-Applicant-LiveScan SW-Laptop Pro SSD-IBT Kojak Scanner-Magstrip-ID Module-Backpack</t>
  </si>
  <si>
    <t>Sys-App-LTP-SSD-Kojak-Case</t>
  </si>
  <si>
    <t>LS4G Applicant | Standard Laptop Pro | SSD | IBT Kojak | Magstrip Reader | Backpack Case</t>
  </si>
  <si>
    <r>
      <t xml:space="preserve">QUOTE ACCEPTED </t>
    </r>
    <r>
      <rPr>
        <b/>
        <sz val="14"/>
        <color theme="1"/>
        <rFont val="Calibri"/>
        <family val="2"/>
        <scheme val="minor"/>
      </rPr>
      <t>(or send purchase order)</t>
    </r>
  </si>
  <si>
    <t>Contact Email | Phone</t>
  </si>
  <si>
    <t>Ship Email | Phone</t>
  </si>
  <si>
    <t>For additional assistance, please contact our sales team
Phone: (714) 568-9888, Option 2
Fax: (866) 888-8768
Email: sales@biometrics4ALL.com
Website: www.Biometrics4ALL.com</t>
  </si>
  <si>
    <r>
      <t xml:space="preserve">Replacement? </t>
    </r>
    <r>
      <rPr>
        <sz val="11"/>
        <color rgb="FFC00000"/>
        <rFont val="Calibri"/>
        <family val="2"/>
        <scheme val="minor"/>
      </rPr>
      <t>(Enter LSID)</t>
    </r>
  </si>
  <si>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</si>
  <si>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</si>
  <si>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</si>
  <si>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</si>
  <si>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</si>
  <si>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</si>
  <si>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</si>
  <si>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</si>
  <si>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</si>
  <si>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</si>
  <si>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</si>
  <si>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</si>
  <si>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</si>
  <si>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</si>
  <si>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</si>
  <si>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</si>
  <si>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</si>
  <si>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</si>
  <si>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</si>
  <si>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</si>
  <si>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</si>
  <si>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</si>
  <si>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</si>
  <si>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</si>
  <si>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</si>
  <si>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</si>
  <si>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</si>
  <si>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</si>
  <si>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</si>
  <si>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</si>
  <si>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</si>
  <si>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</si>
  <si>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</si>
  <si>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</si>
  <si>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</si>
  <si>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</si>
  <si>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</si>
  <si>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</si>
  <si>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</si>
  <si>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</si>
  <si>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</si>
  <si>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</si>
  <si>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</si>
  <si>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</si>
  <si>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</si>
  <si>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</si>
  <si>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</si>
  <si>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</si>
  <si>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Hardware-Scanner-Crossmatch Patrol (Pad)</t>
  </si>
  <si>
    <t>Hardware-Camera-Package (DSLR Camera, Power Adapter, Tripod, Flash Dispersing Filter)</t>
  </si>
  <si>
    <t>Hardware-Camera-Flash Dispersing Filter</t>
  </si>
  <si>
    <t>Hardware Camera Flash Dispersing Filter</t>
  </si>
  <si>
    <t>HW-CamFlashFilter</t>
  </si>
  <si>
    <t>CA App LiveScan</t>
  </si>
  <si>
    <t>Quote Sent</t>
  </si>
  <si>
    <t>Software</t>
  </si>
  <si>
    <t>Each</t>
  </si>
  <si>
    <t>Printer Software License for Standard Print Formats for any CMS.</t>
  </si>
  <si>
    <t>SW-CMS-PS</t>
  </si>
  <si>
    <t>Software Maint</t>
  </si>
  <si>
    <t>Year</t>
  </si>
  <si>
    <t>12 months 9 to 5, Monday to Friday remote support for LS Series Livescan, includes: help-desk support and software upgrades for Integrated Signature Capture Software License for any LS-Series LiveScan system.</t>
  </si>
  <si>
    <t>SVCS-SW-SR-LSSC-9-5-M-F</t>
  </si>
  <si>
    <t>12 months 24/7 remote support for LS Series Livescan, includes: help-desk support and software upgrades for Integrated Signature Capture Software License for any LS-Series LiveScan system.</t>
  </si>
  <si>
    <t>SVCS-SW-SR-LSSC-24/7</t>
  </si>
  <si>
    <t>12 months 9 to 5, Monday to Friday remote support for LS Series Livescan, includes: help-desk support and software upgrades for Printer Software License for Standard Print Formats for any LS-Series LiveScan system.</t>
  </si>
  <si>
    <t>SVCS-SW-SR-LSPS-9-5-M-F</t>
  </si>
  <si>
    <t>12 months 24/7 remote support for LS Series Livescan, includes: help-desk support and software upgrades for Printer Software License for Standard Print Formats for any LS-Series LiveScan system.</t>
  </si>
  <si>
    <t>SVCS-SW-SR-LSPS-24/7</t>
  </si>
  <si>
    <t>12 months 9 to 5, Monday to Friday remote support for LS Series Livescan, includes: help-desk support and software upgrades for Integrated Photo Capture Software License for any LS-Series LiveScan system.</t>
  </si>
  <si>
    <t>SVCS-SW-SR-LSPC-9-5-M-F</t>
  </si>
  <si>
    <t>12 months 24/7 remote support for LS Series Livescan, includes: help-desk support and software upgrades for Integrated Photo Capture Software License for any LS-Series LiveScan system.</t>
  </si>
  <si>
    <t>SVCS-SW-SR-LSPC-24/7</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</si>
  <si>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</si>
  <si>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SVCS-SW-SR-LSINT2-9-5-M-F</t>
  </si>
  <si>
    <t>12 months 24/7 remote support for LS Series Livescan, includes: help-desk support and software upgrades for LiveScan data interface with foreign systems for two way data exchange (input and output) - Configuration fee may apply on low volume</t>
  </si>
  <si>
    <t>SVCS-SW-SR-LSINT2-24/7</t>
  </si>
  <si>
    <t>12 months 9 to 5, Monday to Friday remote support for LS Series Livescan, includes: help-desk support and software upgrades for LiveScan data interface with foreign systems for one way data exchange (input or output)</t>
  </si>
  <si>
    <t>SVCS-SW-SR-LSINT1-9-5-M-F</t>
  </si>
  <si>
    <t>12 months 24/7 remote support for LS Series Livescan, includes: help-desk support and software upgrades for LiveScan data interface with foreign systems for one way data exchange (input or output) - configuration fee may apply on low volume</t>
  </si>
  <si>
    <t>SVCS-SW-SR-LSINT1-24/7</t>
  </si>
  <si>
    <t>12 months 9 to 5, Monday to Friday remote support for LS Series Livescan, includes: help-desk support and software upgrades for Software License to process identification (Driver's License, State ID's, etc…) for any LS-Series LiveScan system.</t>
  </si>
  <si>
    <t>SVCS-SW-SR-LSID-9-5-M-F</t>
  </si>
  <si>
    <t>12 months 24/7 remote support for LS Series Livescan, includes: help-desk support and software upgrades for Software License to process identification (Driver's License, State ID's, etc…) for any LS-Series LiveScan system.</t>
  </si>
  <si>
    <t>SVCS-SW-SR-LSID-24/7</t>
  </si>
  <si>
    <t>12 months 9 to 5, Monday to Friday remote support for LS Series Livescan, includes: help-desk support and software upgrades for Additional Connectivity and/or Submission license for any LS-Series LiveScan system.</t>
  </si>
  <si>
    <t>SVCS-SW-SR-LSCON-9-5-M-F</t>
  </si>
  <si>
    <t>12 months 24/7 remote support for LS Series Livescan, includes: help-desk support and software upgrades for Additional Connectivity and/or Submission license for any LS-Series LiveScan system.</t>
  </si>
  <si>
    <t>SVCS-SW-SR-LSCON-24/7</t>
  </si>
  <si>
    <t>12 months 9 to 5, Monday to Friday remote support for LS Series Livescan, includes: help-desk support and software upgrades for Additional Type of Transaction (TOT), must be combined with LS-Series LiveScan system.</t>
  </si>
  <si>
    <t>SVCS-SW-SR-LS-ADD-TOT-9-5-M- F</t>
  </si>
  <si>
    <t>12 months 24/7 remote support for LS Series Livescan, includes: help-desk support and software upgrades for Additional Type of Transaction (TOT), must be combined with LS-Series LiveScan system.</t>
  </si>
  <si>
    <t>SVCS-SW-SR-LS-ADD-TOT-24/7</t>
  </si>
  <si>
    <t>12 months 9 to 5, Monday to Friday remote support for LS Series Livescan, includes: help-desk support and software upgrades for Photo Capture, must be combined with LS-Series LiveScan system.</t>
  </si>
  <si>
    <t>SVCS-SW-SR-LS-ADD-PC-9-5-M- F</t>
  </si>
  <si>
    <t>12 months 24/7 remote support for LS Series Livescan, includes: help-desk support and software upgrades for Photo Capture, must be combined with LS-Series LiveScan system.</t>
  </si>
  <si>
    <t>SVCS-SW-SR-LS-ADD-PC-24/7</t>
  </si>
  <si>
    <t>12 months 9 to 5, Monday to Friday remote support for LS Series Livescan, includes: help-desk support and software upgrades for Flatbed Scanning, must be combined with LS-Series LiveScan system.</t>
  </si>
  <si>
    <t>SVCS-SW-SR-LS-ADD-FBS-9-5-M- F</t>
  </si>
  <si>
    <t>12 months 24/7 remote support for LS Series Livescan, includes: help-desk support and software upgrades for Flatbed Scanning, must be combined with LS-Series LiveScan system.</t>
  </si>
  <si>
    <t>SVCS-SW-SR-LS-ADD-FBS-24/7</t>
  </si>
  <si>
    <t>12 months 9 to 5, Monday to Friday remote support for LS Series Livescan, includes: help-desk support and software upgrades for LS 300 Criminal LiveScan Software License: single Type of Transaction (TOT), single submission package</t>
  </si>
  <si>
    <t>SVCS-SW-SR-LS300-9-5-M-F</t>
  </si>
  <si>
    <t>12 months 24/7 remote support for LS Series Livescan, includes: help-desk support and software upgrades for LS 300 Criminal LiveScan Software License: single Type of Transaction (TOT), single submission package</t>
  </si>
  <si>
    <t>SVCS-SW-SR-LS300-24/7</t>
  </si>
  <si>
    <t>12 months 9 to 5, Monday to Friday remote support for LS Series Livescan, includes: help-desk support and software upgrades for LS200 Applicant LiveScan Software License: single Type of Transaction (TOT), single submission package</t>
  </si>
  <si>
    <t>SVCS-SW-SR-LS200-9-5-M-F</t>
  </si>
  <si>
    <t>12 months 24/7 remote support for LS Series Livescan, includes: help-desk support and software upgrades for LS200 Applicant LiveScan Software License: single Type of Transaction (TOT), single submission package</t>
  </si>
  <si>
    <t>SVCS-SW-SR-LS200/24/7</t>
  </si>
  <si>
    <t>12 months 24/7 remote maintenance and cross ship support Printer Software License for Standard Print Formats for any LS-Series LiveScan system.</t>
  </si>
  <si>
    <t>SVCS-SW-SR-CMS-PS-24/7</t>
  </si>
  <si>
    <t>12 months 9 to 5, Monday to Friday remote support for LS Series Livescan, includes: help-desk support and software upgrades for CMS data interface with foreign systems for two way data exchange (input and output)</t>
  </si>
  <si>
    <t>SVCS-SW-SR-CMSINT2-9-5-M-F</t>
  </si>
  <si>
    <t>12 months 24/7 remote support for LS Series Livescan, includes: help-desk support and software upgrades for CMS data interface with foreign systems for two way data exchange (input and output)</t>
  </si>
  <si>
    <t>SVCS-SW-SR-CMSINT2-24/7</t>
  </si>
  <si>
    <t>12 months 9 to 5, Monday to Friday remote support for LS Series Livescan, includes: help-desk support and software upgrades for CMS data interface with foreign systems for one way data exchange (input or output)</t>
  </si>
  <si>
    <t>SVCS-SW-SR-CMSINT1-9-5-M-F</t>
  </si>
  <si>
    <t>12 months 24/7 remote support for LS Series Livescan, includes: help-desk support and software upgrades for CMS data interface with foreign systems for one way data exchange (input or output)</t>
  </si>
  <si>
    <t>SVCS-SW-SR-CMSINT1-24/7</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</si>
  <si>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</si>
  <si>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SVCS-SW-SR-CMS-9-5-M-F</t>
  </si>
  <si>
    <t>12 months 9 to 5, Monday to Friday remote support for LS Series Livescan, includes: help-desk support and software upgrades for 5,000 additional transaction storage for CMS Software.</t>
  </si>
  <si>
    <t>SVCS-SW-SR-CMS5000S-9-5-M-F</t>
  </si>
  <si>
    <t>12 months 24/7 remote support for LS Series Livescan, includes: help-desk support and software upgrades for 5,000 additional transaction storage for CMS Software.</t>
  </si>
  <si>
    <t>SVCS-SW-SR-CMS5000S-24/7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</si>
  <si>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</si>
  <si>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SVCS-SW-SR-CMS-24/7</t>
  </si>
  <si>
    <t>12 months 9 to 5, Monday to Friday remote support for LS Series Livescan, includes: help-desk support and software upgrades for 10 additional LiveScan connections license for CMS Software</t>
  </si>
  <si>
    <t>SVCS-SW-SR-CMS10CON-9-5-M- F</t>
  </si>
  <si>
    <t>12 months 24/7 remote support for LS Series Livescan, includes: help-desk support and software upgrades for 10 additional LiveScan connections license for CMS Software</t>
  </si>
  <si>
    <t>SVCS-SW-SR-CMS10CON-24/7</t>
  </si>
  <si>
    <t>12 months 9 to 5, Monday to Friday remote support for LS Series Livescan, includes: help-desk support and software upgrades for 1,000 additional monthly transaction throughput license for CMS Software</t>
  </si>
  <si>
    <t>SVCS-SW-SR-CMS1000TP-9-5-M- F</t>
  </si>
  <si>
    <t>12 months 24/7 remote support for LS Series Livescan, includes: help-desk support and software upgrades for 1,000 additional monthly transaction throughput license for CMS Software</t>
  </si>
  <si>
    <t>SVCS-SW-SR-CMS1000TP-24/7</t>
  </si>
  <si>
    <t>12 months 9 to 5, Monday to Friday on-site support for LS Series Livescan, includes: help-desk support and software upgrades for Integrated Signature Capture Software License for any LS-Series LiveScan system.</t>
  </si>
  <si>
    <t>SVCS-SW-SOS-LSSC-9-5-M-F</t>
  </si>
  <si>
    <t>12 months 9 to 5, Monday to Friday on-site support for LS Series Livescan, includes: help-desk support and software upgrades for Printer Software License for Standard Print Formats for any LS-Series LiveScan system.</t>
  </si>
  <si>
    <t>SVCS-SW-SOS-LSPS-9-5-M-F</t>
  </si>
  <si>
    <t>12 months 9 to 5, Monday to Friday on-site support for LS Series Livescan, includes: help-desk support and software upgrades for Integrated Photo Capture Software License for any LS-Series LiveScan system.</t>
  </si>
  <si>
    <t>SVCS-SW-SOS-LSPC-9-5-M-F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</si>
  <si>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</si>
  <si>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SVCS-SW-SOS-LSINT2-9-5-M-F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</si>
  <si>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</si>
  <si>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SVCS-SW-SOS-LSINT1-9-5-M-F</t>
  </si>
  <si>
    <t>12 months 9 to 5, Monday to Friday on-site support for LS Series Livescan, includes: help-desk support and software upgrades for Software License to process identification (Driver's License, State ID's, etc…) for any LS-Series LiveScan system.</t>
  </si>
  <si>
    <t>SVCS-SW-SOS-LSID-9-5-M-F</t>
  </si>
  <si>
    <t>12 months 9 to 5, Monday to Friday on-site support for LS Series Livescan, includes: help-desk support and software upgrades for Additional Connectivity and/or Submission license for any LS-Series LiveScan system.</t>
  </si>
  <si>
    <t>SVCS-SW-SOS-LSCON-9-5-M-F</t>
  </si>
  <si>
    <t>12 months 9 to 5, Monday to Friday on-site support for LS Series Livescan, includes: help-desk support and software upgrades for Additional Type of Transaction (TOT), must be combined with LS-Series LiveScan system.</t>
  </si>
  <si>
    <t>SVCS-SW-SOS-LS-ADD-TOT-9-5- M-F</t>
  </si>
  <si>
    <t>12 months 9 to 5, Monday to Friday on-site support for LS Series Livescan, includes: help-desk support and software upgrades for Photo Capture, must be combined with LS-Series LiveScan system.</t>
  </si>
  <si>
    <t>SVCS-SW-SOS-LS-ADD-PC-9-5-M- F</t>
  </si>
  <si>
    <t>12 months 9 to 5, Monday to Friday on-site support for LS Series Livescan, includes: help-desk support and software upgrades for Flatbed Scanning, must be combined with LS-Series LiveScan system.</t>
  </si>
  <si>
    <t>SVCS-SW-SOS-LS-ADD-FBS-9-5- M-F</t>
  </si>
  <si>
    <t>12 months 9 to 5, Monday to Friday on-site support for LS Series Livescan, includes: help-desk support and software upgrades for LS 300 Criminal LiveScan Software License: single Type of Transaction (TOT), single submission package</t>
  </si>
  <si>
    <t>SVCS-SW-SOS-LS300-9-5-M-F</t>
  </si>
  <si>
    <t>12 months 9 to 5, Monday to Friday on-site support for LS Series Livescan, includes: help-desk support and software upgrades for LS200 Applicant LiveScan Software License: single Type of Transaction (TOT), single submission package</t>
  </si>
  <si>
    <t>SVCS-SW-SOS-LS200-9-5-M-F</t>
  </si>
  <si>
    <t>12 months 9 to 5, Monday to Friday on-site maintenance support for Printer Software License for Standard Print Formats for any LS-Series LiveScan system.</t>
  </si>
  <si>
    <t>SVCS-SW-SOS-CMS-SPS-9-5-M-F</t>
  </si>
  <si>
    <t>12 months 9 to 5, Monday to Friday on-site support for LS Series Livescan, includes: help-desk support and software upgrades for CMS data interface with foreign systems for two way data exchange (input and output)</t>
  </si>
  <si>
    <t>SVCS-SW-SOS-CMSINT2-9-5-M-F</t>
  </si>
  <si>
    <t>12 months 9 to 5, Monday to Friday on-site support for LS Series Livescan, includes: help-desk support and software upgrades for CMS data interface with foreign systems for one way data exchange (input or output)</t>
  </si>
  <si>
    <t>SVCS-SW-SOS-CMSINT1-9-5-M-F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</si>
  <si>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</si>
  <si>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SVCS-SW-SOS-CMS-9-5-M-F</t>
  </si>
  <si>
    <t>12 months 9 to 5, Monday to Friday on-site support for LS Series Livescan, includes: help-desk support and software upgrades for 5,000 additional transaction storage for CMS Software.</t>
  </si>
  <si>
    <t>SVCS-SW-SOS-CMS5000S-9-5-M- F</t>
  </si>
  <si>
    <t>12 months 9 to 5, Monday to Friday on-site support for LS Series Livescan, includes: help-desk support and software upgrades for 10 additional LiveScan connections license for CMS Software</t>
  </si>
  <si>
    <t>SVCS-SW-SOS-CMS10CON-9-5- M-F</t>
  </si>
  <si>
    <t>12 months 9 to 5, Monday to Friday on-site support for LS Series Livescan, includes: help-desk support and software upgrades for 1,000 additional monthly transaction throughput license for CMS Software</t>
  </si>
  <si>
    <t>SVCS-SW-SOS-CMS1000TP-9-5- M-F</t>
  </si>
  <si>
    <t>System Maint</t>
  </si>
  <si>
    <t>12 months 9 to 5, Monday to Friday remote support for LS Series Livescan, includes: help-desk support, software upgrades, and hardware cross ship support.</t>
  </si>
  <si>
    <t>SVCS-SR-LS-TPP-JK-500P-9-5-M- F</t>
  </si>
  <si>
    <t>12 months 24/7 remote support for LS Series Livescan, includes: help-desk support, software upgrades, and hardware cross ship support.</t>
  </si>
  <si>
    <t>SVCS-SR-LS-TPP-JK-500P-24/7</t>
  </si>
  <si>
    <t>SVCS-SR-LS-TPP-500P-9-5-M-F</t>
  </si>
  <si>
    <t>SVCS-SR-LS-TPP-500P-24/7</t>
  </si>
  <si>
    <t>SVCS-SR-LS-TPP-1000PX-9-5-M- F</t>
  </si>
  <si>
    <t>SVCS-SR-LS-Tenprint-JK-9-5-M-F</t>
  </si>
  <si>
    <t>SVCS-SR-LS-Tenprint-JK-24/7</t>
  </si>
  <si>
    <t>SVCS-SR-LS-Tenprint-9-5-M-F</t>
  </si>
  <si>
    <t>SVCS-SR-LS-Tenprint-24/7</t>
  </si>
  <si>
    <t>SVCS-SR-HW-TPP-JK-1000PX-9-5 M-F</t>
  </si>
  <si>
    <t>SVCS-SR-HW-TPP-JK-1000PX- 24/7</t>
  </si>
  <si>
    <t>Hardware Maint</t>
  </si>
  <si>
    <t>12 months 9 to 5, Monday to Friday remote maintenance and cross ship support for 500ppi Tenprint and PalmPrint scanner: Cross Match 500P</t>
  </si>
  <si>
    <t>SVCS-SR-HW-TPP-500PPI-9-5-M- F</t>
  </si>
  <si>
    <t>12 months 24/7 remote maintenance and cross ship support for 500ppi Tenprint and PalmPrint scanner: Cross Match 500P</t>
  </si>
  <si>
    <t>SVCS-SR-HW-TPP-500PPI-24/7</t>
  </si>
  <si>
    <t>SVCS-SR-HW-TPP-1000PX-24/7</t>
  </si>
  <si>
    <t>12 months 9 to 5, Monday to Friday remote maintenance and cross ship support for 1000ppi Tenprint and PalmPrint scanner: Cross Match 1000PX</t>
  </si>
  <si>
    <t>SVCS-SR-HW-TPP-1000PPI-9-5- M-F</t>
  </si>
  <si>
    <t>12 months 24/7 remote maintenance and cross ship support for 1000ppi Tenprint and PalmPrint scanner: Cross Match 1000PX</t>
  </si>
  <si>
    <t>SVCS-SR-HW-TPP-1000PPI-24/7</t>
  </si>
  <si>
    <t>12 months 9 to 5, Monday to Friday remote maintenance and cross ship support for 500ppi TenPrint scanner: Cross Match Guardian</t>
  </si>
  <si>
    <t>SVCS-SR-HW-TP-500PPI-9-5-M-F</t>
  </si>
  <si>
    <t>12 months 24/7 remote maintenance and cross ship support for 500ppi TenPrint scanner: Cross Match Guardian</t>
  </si>
  <si>
    <t>SVCS-SR-HW-TP-500PPI-24/7</t>
  </si>
  <si>
    <t>12 months 9 to 5, Monday to Friday remote maintenance and cross ship support for Rugged laptop Computer for LiveScan System Meets MIL-STD- 810F, IP65</t>
  </si>
  <si>
    <t>SVCS-SR-HW-RDLT-9-5-M-F</t>
  </si>
  <si>
    <t>12 months 24/7 remote maintenance and cross ship support for Rugged laptop Computer for LiveScan System Meets MIL-STD-810F, IP65</t>
  </si>
  <si>
    <t>SVCS-SR-HW-RDLT-24/7</t>
  </si>
  <si>
    <t>12 months 9 to 5, Monday to Friday remote maintenance and cross ship support for Notebook Computer for LiveScan System</t>
  </si>
  <si>
    <t>SVCS-SR-HW-LT-9-5-M-F</t>
  </si>
  <si>
    <t>12 months 24/7 remote maintenance and cross ship support for Notebook Computer for LiveScan System</t>
  </si>
  <si>
    <t>SVCS-SR-HW-LT-24/7</t>
  </si>
  <si>
    <t>12 months 9 to 5, Monday to Friday remote maintenance and cross ship support for High Performance Notebook Computer for LiveScan System</t>
  </si>
  <si>
    <t>SVCS-SR-HW-HPLT-9-5-M-F</t>
  </si>
  <si>
    <t>12 months 24/7 remote maintenance and cross ship support for High Performance Notebook Computer for LiveScan System</t>
  </si>
  <si>
    <t>SVCS-SR-HW-HPLT-24/7</t>
  </si>
  <si>
    <t>12 months 9 to 5, Monday to Friday remote maintenance and cross ship support for High Performance Desktop Computer with 17" or larger LCD Monitor</t>
  </si>
  <si>
    <t>SVCS-SR-HW-HPDT-9-5-M-F</t>
  </si>
  <si>
    <t>12 months 24/7 remote maintenance and cross ship support for High Performance Desktop Computer with 17" or larger LCD Monitor</t>
  </si>
  <si>
    <t>SVCS-SR-HW-HPDT-24/7</t>
  </si>
  <si>
    <t>12 months 9 to 5, Monday to Friday remote maintenance and cross ship support for Desktop Computer for LiveScan system with 17" or larger LCD Monitor</t>
  </si>
  <si>
    <t>SVCS-SR-HW-DT-9-5-M-F</t>
  </si>
  <si>
    <t>12 months 24/7 remote maintenance and cross ship support for Desktop Computer for LiveScan system with 17" or larger LCD Monitor</t>
  </si>
  <si>
    <t>SVCS-SR-HW-DT-24/7</t>
  </si>
  <si>
    <t>12 months 9 to 5, Monday to Friday remote maintenance and cross ship support for CMS Archive Storage Hardware Upgrade - per additional 20,000 transactions.</t>
  </si>
  <si>
    <t>SVCS-SR-HW-CMSServerStorUPGR-9-5-M-F</t>
  </si>
  <si>
    <t>12 months 24/7 remote maintenance and cross ship support for CMS Archive Storage Hardware Upgrade - per additional 20,000 transactions.</t>
  </si>
  <si>
    <t>SVCS-SR-HW-CMSServerStorUPGR-24/7</t>
  </si>
  <si>
    <t>12 months 9 to 5, Monday to Friday remote maintenance and cross ship support for Server Computer with Windows Server 2003 OS (or higher version), for use with CMS software, up to 5,000 transactions storage capacity</t>
  </si>
  <si>
    <t>SVCS-SR-HW-CMSServer-9-5-M- F</t>
  </si>
  <si>
    <t>12 months 24/7 remote maintenance and cross ship support for Server Computer with Windows Server 2003 OS (or higher version), for use with CMS software, up to 5,000 transactions storage capacity</t>
  </si>
  <si>
    <t>SVCS-SR-HW-CMSServer-24/7</t>
  </si>
  <si>
    <t>12 months 9 to 5, Monday to Friday remote maintenance for CMS Server, including: help-desk support, software upgrades, and hardware cross ship support</t>
  </si>
  <si>
    <t>SVCS-SR-CMS-9-5-M-F</t>
  </si>
  <si>
    <t>12 months 24/7 remote maintenance for CMS Server, including: help-desk support, software upgrades, and hardware cross ship support</t>
  </si>
  <si>
    <t>SVCS-SR-CMS-24/7</t>
  </si>
  <si>
    <t>12 months 9 to 5, Monday to Friday on-site support for LS Series Livescan, includes: help-desk support, software upgrades, and hardware support.</t>
  </si>
  <si>
    <t>SVCS-SOS-LS-Guardian-JK-9-5-M- F</t>
  </si>
  <si>
    <t>SVCS-SOS-LS-Guardian-9-5-M-F</t>
  </si>
  <si>
    <t>SVCS-SOS-LS-500P-JK-9-5-M-F</t>
  </si>
  <si>
    <t>SVCS-SOS-LS-500P-9-5-M-F</t>
  </si>
  <si>
    <t>SVCS-SOS-LS-1000PX-JK-9-5-M-F</t>
  </si>
  <si>
    <t>SVCS-SOS-LS-1000PX-9-5-M-F</t>
  </si>
  <si>
    <t>12 months 9 to 5, Monday to Friday on-site maintenance for 500ppi Tenprint and PalmPrint scanner: Cross Match 500P</t>
  </si>
  <si>
    <t>SVCS-SOS-HW-TPP-500PPI-9-5- M-F</t>
  </si>
  <si>
    <t>12 months 9 to 5, Monday to Friday on-site maintenance for 1000ppi Tenprint and PalmPrint scanner: Cross Match 1000PX</t>
  </si>
  <si>
    <t>SVCS-SOS-HW-TPP-1000PPI-9-5- M-F</t>
  </si>
  <si>
    <t>12 months 9 to 5, Monday to Friday on-site maintenance for 500ppi TenPrint scanner: Cross Match Guardian</t>
  </si>
  <si>
    <t>SVCS-SOS-HW-TP-500PPI-9-5-M- F</t>
  </si>
  <si>
    <t>12 months 9 to 5, Monday to Friday on-site maintenance for Rugged laptop Computer for LiveScan System Meets MIL-STD-810F, IP65</t>
  </si>
  <si>
    <t>SVCS-SOS-HW-RDLT-9-5-M-F</t>
  </si>
  <si>
    <t>12 months 9 to 5, Monday to Friday on-site maintenance for Notebook Computer for LiveScan System</t>
  </si>
  <si>
    <t>SVCS-SOS-HW-LT-9-5-M-F</t>
  </si>
  <si>
    <t>12 months 9 to 5, Monday to Friday on-site maintenance for High Performance Notebook Computer for LiveScan System</t>
  </si>
  <si>
    <t>SVCS-SOS-HW-HPLT-9-5-M-F</t>
  </si>
  <si>
    <t>12 months 9 to 5, Monday to Friday on-site maintenance for High Performance Desktop Computer with 17" or larger LCD Monitor</t>
  </si>
  <si>
    <t>SVCS-SOS-HW-HPDT-9-5-M-F</t>
  </si>
  <si>
    <t>12 months 9 to 5, Monday to Friday on-site maintenance for Desktop Computer for LiveScan system with 17" or larger LCD Monitor</t>
  </si>
  <si>
    <t>SVCS-SOS-HW-DT-9-5-M-F</t>
  </si>
  <si>
    <t>12 months 9 to 5, Monday to Friday on-site maintenance for CMS Archive Storage Hardware Upgrade - per additional 20,000 transactions.</t>
  </si>
  <si>
    <t>SVCS-SOS-HW-CMSServerStorUPGR-9-5-M-F</t>
  </si>
  <si>
    <t>12 months 9 to 5, Monday to Friday on-site maintenance for Server Computer with Windows Server 2003 OS (or higher version), for use with CMS software, up to 5,000 transactions storage capacity</t>
  </si>
  <si>
    <t>SVCS-SOS-HW-CMSServer-9-5- M-F</t>
  </si>
  <si>
    <t>12 months 9 to 5, Monday to Friday on-site maintenance for CMS Server (Contiguous US), including: help-desk support, software upgrades, and hardware support</t>
  </si>
  <si>
    <t>SVCS-SOS-CMS-9-5-M-F</t>
  </si>
  <si>
    <t>Services</t>
  </si>
  <si>
    <t>Hour</t>
  </si>
  <si>
    <t>Trip</t>
  </si>
  <si>
    <t>12 months 9 to 5, Monday to Friday remote maintenance and cross ship support for USB Foot Pedal for hands free operation</t>
  </si>
  <si>
    <t>SVCS-ACC-SR-USB-PEDAL-9-5-M- F</t>
  </si>
  <si>
    <t>12 months 24/7 remote maintenance and cross ship support for USB Foot Pedal for hands free operation</t>
  </si>
  <si>
    <t>SVCS-ACC-SR-USB-PEDAL-24/7</t>
  </si>
  <si>
    <t>12 months 9 to 5, Monday to Friday remote maintenance and cross ship support for Upgrade to 21" Touch Screen LCD Monitor</t>
  </si>
  <si>
    <t>SVCS-ACC-SR-UPG-21T-9-5-M-F</t>
  </si>
  <si>
    <t>12 months 24/7 remote maintenance and cross ship support for Upgrade to 21" Touch Screen LCD Monitor</t>
  </si>
  <si>
    <t>SVCS-ACC-SR-UPG-21T-24/7</t>
  </si>
  <si>
    <t>12 months 9 to 5, Monday to Friday remote maintenance and cross ship support for Tripod to mount camera, and ring flash with software integration into LS200 mugshot SW</t>
  </si>
  <si>
    <t>SVCS-ACC-SR-TRI-RFL-9-5-M-F</t>
  </si>
  <si>
    <t>12 months 9 to 5, Monday to Friday remote maintenance and cross ship support for Tripod to mount camera</t>
  </si>
  <si>
    <t>SVCS-ACC-SR-TRI-9-5-M-F</t>
  </si>
  <si>
    <t>12 months 24/7 remote maintenance and cross ship support for  Tripod to mount camera</t>
  </si>
  <si>
    <t>SVCS-ACC-SR-TRI-24/7</t>
  </si>
  <si>
    <t>12 months 9 to 5, Monday to Friday remote maintenance and cross ship support for Digital Signature Pad</t>
  </si>
  <si>
    <t>SVCS-ACC-SR-SigPad-9-5-M-F</t>
  </si>
  <si>
    <t>12 months 24/7 remote maintenance and cross ship support for Digital Signature Pad</t>
  </si>
  <si>
    <t>SVCS-ACC-SR-SigPad-24/7</t>
  </si>
  <si>
    <t>12 months 9 to 5, Monday to Friday remote maintenance and cross ship support for FBI Certified  Fingerprint Card Printer: Single-Sided Printer</t>
  </si>
  <si>
    <t>SVCS-ACC-SR-PS-9-5-M-F</t>
  </si>
  <si>
    <t>12 months 24/7 remote maintenance and cross ship support for FBI Certified  Fingerprint Card Printer: Single-Sided Printer</t>
  </si>
  <si>
    <t>SVCS-ACC-SR-PS-24/7</t>
  </si>
  <si>
    <t>12 months 9 to 5, Monday to Friday remote maintenance and cross ship support for FBI Certified  Fingerprint Card Printer: Dual-Sided Printer</t>
  </si>
  <si>
    <t>SVCS-ACC-SR-PD-9-5-M-F</t>
  </si>
  <si>
    <t>12 months 24/7 remote maintenance and cross ship support for FBI Certified  Fingerprint Card Printer: Dual-Sided Printer</t>
  </si>
  <si>
    <t>SVCS-ACC-SR-PD-24/7</t>
  </si>
  <si>
    <t>12 months 9 to 5, Monday to Friday remote maintenance and cross ship support for USB Magstripe Reader for Driver License</t>
  </si>
  <si>
    <t>SVCS-ACC-SR-Mag-9-5-M-F</t>
  </si>
  <si>
    <t>12 months 24/7 remote maintenance and cross ship support for USB Magstripe Reader for Driver License</t>
  </si>
  <si>
    <t>SVCS-ACC-SR-Mag-24/7</t>
  </si>
  <si>
    <t>12 months 9 to 5, Monday to Friday remote maintenance and cross ship support for All steel camera enclosure for ACC-KIOSK, includes high-output ring flash</t>
  </si>
  <si>
    <t>SVCS-ACC-SR-KIOSK-CE-9-5-M-F</t>
  </si>
  <si>
    <t>12 months 24/7 remote maintenance and cross ship support for All steel camera enclosure for ACC-KIOSK, includes high-output ring flash</t>
  </si>
  <si>
    <t>SVCS-ACC-SR-KIOSK-CE-24/7</t>
  </si>
  <si>
    <t>12 months 9 to 5, Monday to Friday remote maintenance and cross ship support for LS400 ergonomically designed all steel cabinet for any LS-Series LiveScan system.</t>
  </si>
  <si>
    <t>SVCS-ACC-SR-KIOSK-9-5-M-F</t>
  </si>
  <si>
    <t>12 months 24/7 remote maintenance and cross ship support for LS400 ergonomically designed all steel cabinet for any LS-Series LiveScan system.</t>
  </si>
  <si>
    <t>SVCS-ACC-SR-KIOSK-24/7</t>
  </si>
  <si>
    <t>12 months 9 to 5, Monday to Friday remote maintenance and cross ship support for Small Pelican Case for TP LiveScan System (tenprint with laptop) with Anti-Static Foam Padding.</t>
  </si>
  <si>
    <t>SVCS-ACC-SR-CC-S-9-5-M-F</t>
  </si>
  <si>
    <t>12 months 24/7 remote maintenance and cross ship support for Small Pelican Case for TP LiveScan System (tenprint with laptop) with Anti-Static Foam Padding.</t>
  </si>
  <si>
    <t>SVCS-ACC-SR-CC-S-24/7</t>
  </si>
  <si>
    <t>12 months 9 to 5, Monday to Friday remote maintenance and cross ship support for Medium Pelican Case for TPP LiveScan System (laptop only), with Anti-Static Foam Padding.</t>
  </si>
  <si>
    <t>SVCS-ACC-SR-CC-M-9-5-M-F</t>
  </si>
  <si>
    <t>12 months 24/7 remote maintenance and cross ship support for Medium Pelican Case for TPP LiveScan System (laptop only), with Anti-Static Foam Padding.</t>
  </si>
  <si>
    <t>SVCS-ACC-SR-CC-M-24/7</t>
  </si>
  <si>
    <t>12 months 9 to 5, Monday to Friday remote maintenance and cross ship support for Large Pelican Case for LiveScan System (laptop only), with Anti- Static Foam Padding.</t>
  </si>
  <si>
    <t>SVCS-ACC-SR-CC-L-9-5-M-F</t>
  </si>
  <si>
    <t>12 months 24/7 remote maintenance and cross ship support for Large Pelican Case for LiveScan System (laptop only), with Anti-Static Foam Padding.</t>
  </si>
  <si>
    <t>SVCS-ACC-SR-CC-L-24/7</t>
  </si>
  <si>
    <t>12 months 9 to 5, Monday to Friday remote maintenance and cross ship support for Commercial-of-the-Shelf (COTS) High-Resolution Still Camera, integrated with Livescan Software</t>
  </si>
  <si>
    <t>SVCS-ACC-SR-CAM-9-5-M-F</t>
  </si>
  <si>
    <t>12 months 24/7 remote maintenance and cross ship support for Commercial-of-the-Shelf (COTS) High-Resolution Still Camera, integrated with Livescan Software</t>
  </si>
  <si>
    <t>SVCS-ACC-SR-CAM-24/7</t>
  </si>
  <si>
    <t>12 months 9 to 5, Monday to Friday remote maintenance and cross ship support for 2D barcode reader</t>
  </si>
  <si>
    <t>SVCS-ACC-SR-BarC2-9-5-M-F</t>
  </si>
  <si>
    <t>12 months 24/7 remote maintenance and cross ship support for 2D barcode reader</t>
  </si>
  <si>
    <t>SVCS-ACC-SR-BarC2-24/7</t>
  </si>
  <si>
    <t>12 months 9 to 5, Monday to Friday remote maintenance and cross ship support for 1D barcode reader</t>
  </si>
  <si>
    <t>SVCS-ACC-SR-BarC1-9-5-M-F</t>
  </si>
  <si>
    <t>12 months 24/7 remote maintenance and cross ship support for 1D barcode reader</t>
  </si>
  <si>
    <t>SVCS-ACC-SR-BarC1-24/7</t>
  </si>
  <si>
    <t>12 months 9 to 5, Monday to Friday remote maintenance and cross ship support for 21" Touch Screen LCD Monitor</t>
  </si>
  <si>
    <t>SVCS-ACC-SR-21T-9-5-M-F</t>
  </si>
  <si>
    <t>12 months 24/7 remote maintenance and cross ship support for 21" Touch Screen LCD Monitor</t>
  </si>
  <si>
    <t>SVCS-ACC-SR-21T-24/7</t>
  </si>
  <si>
    <t>12 months 9 to 5, Monday to Friday on-site support for USB Foot Pedal for hands free operation</t>
  </si>
  <si>
    <t>SVCS-ACC-SOS-USB-PEDAL-9-5- M-F</t>
  </si>
  <si>
    <t>12 months 9 to 5, Monday to Friday on-site support for Upgrade to 21" Touch Screen LCD Monitor</t>
  </si>
  <si>
    <t>SVCS-ACC-SOS-UPG-21T-9-5-M- F</t>
  </si>
  <si>
    <t>12 months 9 to 5, Monday to Friday on-site maintenance and cross ship support for tripod to mount camera, and ring flash with software integration into LS200 mugshot SW</t>
  </si>
  <si>
    <t>SVCS-ACC-SOS-TRI-RFL-9-5-M-F</t>
  </si>
  <si>
    <t>12 months 9 to 5, Monday to Friday on-site maintenance and cross ship support for Tripod to mount camera</t>
  </si>
  <si>
    <t>SVCS-ACC-SOS-TRI-9-5-M-F</t>
  </si>
  <si>
    <t>12 months 9 to 5, Monday to Friday on-site support for Digital Signature Pad</t>
  </si>
  <si>
    <t>SVCS-ACC-SOS-SigPad-9-5-M-F</t>
  </si>
  <si>
    <t>12 months 9 to 5, Monday to Friday on-site support for FBI Certified Fingerprint Card Printer: Single-Sided Printer</t>
  </si>
  <si>
    <t>SVCS-ACC-SOS-PS-9-5-M-F</t>
  </si>
  <si>
    <t>12 months 9 to 5, Monday to Friday on-site support for FBI Certified Fingerprint Card Printer: Dual-Sided Printer</t>
  </si>
  <si>
    <t>SVCS-ACC-SOS-PD-9-5-M-F</t>
  </si>
  <si>
    <t>12 months 9 to 5, Monday to Friday on-site support for USB Magstripe Reader for Driver License</t>
  </si>
  <si>
    <t>SVCS-ACC-SOS-Mag-9-5-M-F</t>
  </si>
  <si>
    <t>12 months 9 to 5, Monday to Friday on-site support for All steel camera enclosure for ACC-KIOSK, includes high-output ring flash</t>
  </si>
  <si>
    <t>SVCS-ACC-SOS-KIOSK-CE-9-5-M- F</t>
  </si>
  <si>
    <t>12 months 9 to 5, Monday to Friday on-site support for LS400 ergonomically designed all steel cabinet for any LS-Series LiveScan system.</t>
  </si>
  <si>
    <t>SVCS-ACC-SOS-KIOSK-9-5-M-F</t>
  </si>
  <si>
    <t>12 months 9 to 5, Monday to Friday on-site support for Small Pelican Case for TP LiveScan System (tenprint with laptop) with Anti-Static Foam Padding.</t>
  </si>
  <si>
    <t>SVCS-ACC-SOS-CC-S-9-5-M-F</t>
  </si>
  <si>
    <t>12 months 9 to 5, Monday to Friday on-site support for Medium Pelican Case for TPP LiveScan System (laptop only), with Anti-Static Foam Padding.</t>
  </si>
  <si>
    <t>SVCS-ACC-SOS-CC-M-9-5-M-F</t>
  </si>
  <si>
    <t>12 months 9 to 5, Monday to Friday on-site support for Large Pelican Case for LiveScan System (laptop only), with Anti-Static Foam Padding.</t>
  </si>
  <si>
    <t>SVCS-ACC-SOS-CC-L-9-5-M-F</t>
  </si>
  <si>
    <t>12 months 9 to 5, Monday to Friday on-site support for Commercial-of-the- Shelf (COTS) High-Resolution Still Camera, integrated with Livescan Software</t>
  </si>
  <si>
    <t>SVCS-ACC-SOS-CAM-9-5-M-F</t>
  </si>
  <si>
    <t>12 months 9 to 5, Monday to Friday on-site support for 2D barcode reader</t>
  </si>
  <si>
    <t>SVCS-ACC-SOS-BarC2-9-5-M-F</t>
  </si>
  <si>
    <t>12 months 9 to 5, Monday to Friday on-site support for 1D barcode reader</t>
  </si>
  <si>
    <t>SVCS-ACC-SOS-BarC1-9-5-M-F</t>
  </si>
  <si>
    <t>12 months 9 to 5, Monday to Friday on-site support for 21" Touch Screen LCD Monitor</t>
  </si>
  <si>
    <t>SVCS-ACC-SOS-21T-9-5-M-F</t>
  </si>
  <si>
    <t>12 months 9 to 5, Monday to Friday remote maintenance for Printer Software License for Standard Print Formats for any LS-Series LiveScan system.</t>
  </si>
  <si>
    <t>SCVS-SW-SR-CMS-PS-9-5-M-F</t>
  </si>
  <si>
    <t>Session</t>
  </si>
  <si>
    <t>Systems</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</si>
  <si>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</si>
  <si>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</si>
  <si>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</si>
  <si>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</si>
  <si>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</si>
  <si>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</si>
  <si>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</si>
  <si>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 Criminal LiveScan Software License: single Type of Transaction (TOT), single submission package</t>
  </si>
  <si>
    <t>LS4G Applicant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</si>
  <si>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</si>
  <si>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</si>
  <si>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</si>
  <si>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LS-4G-1000</t>
  </si>
  <si>
    <t>Hardware</t>
  </si>
  <si>
    <t>High Performance Computer Upgrade for LiveScan System (mandatory for 1,000ppi operation, optional for Crossmatch 500 ppi)</t>
  </si>
  <si>
    <t>HW-UPG-21T</t>
  </si>
  <si>
    <t>500ppi TenPrint and PalmPrint scanner: Suprema Real Scan F</t>
  </si>
  <si>
    <t xml:space="preserve">500ppi TenPrint scanner: Crossmatch Patrol (Non-TAA) </t>
  </si>
  <si>
    <t>500ppi TenPrint scanner: IBT Kojak</t>
  </si>
  <si>
    <t>500ppi TenPrint scanner: Suprema G10</t>
  </si>
  <si>
    <t>Crossmatch 500 ppi Tenprint and PalmPrint scanner: Crossmatch 500 (Palm)</t>
  </si>
  <si>
    <t>Crossmatch 500 ppi TenPrint scanner: Crossmatch Guardian</t>
  </si>
  <si>
    <t>1000ppi Tenprint and PalmPrint scanner: Crossmatch 1000 (Palm)</t>
  </si>
  <si>
    <t>USB Magstrip Reader for Driver License</t>
  </si>
  <si>
    <t>Small Pelican Case for TP LiveScan System (tenprint with laptop) with Anti- Static Foam Padding.</t>
  </si>
  <si>
    <t>Tripod to mount camera</t>
  </si>
  <si>
    <t>Tripod to mount camera, and ring flash with software integration into LS4G mugshot SW</t>
  </si>
  <si>
    <t>LS4G - Cabinet ergonomically designed all steel cabinet for any LS-Series LiveScan system.</t>
  </si>
  <si>
    <t>Percentage Discount</t>
  </si>
  <si>
    <t>List Price / MSRP</t>
  </si>
  <si>
    <t>Category / Group (identifier if applicable)</t>
  </si>
  <si>
    <t>Unit of Measurement</t>
  </si>
  <si>
    <t>Product Description</t>
  </si>
  <si>
    <t>Product/Model Number</t>
  </si>
  <si>
    <t>sales@biometrics4all.com</t>
  </si>
  <si>
    <t>echen@biometrics4all.com</t>
  </si>
  <si>
    <t>LS4G-Data-2WayExist</t>
  </si>
  <si>
    <t>NY Price</t>
  </si>
  <si>
    <t>QS: 20191222</t>
  </si>
  <si>
    <t>Sys-App-LTPP-Kojak-Case (line 2)</t>
  </si>
  <si>
    <t>680-48-00-035640 (Line 7)</t>
  </si>
  <si>
    <t>Sys-App-DTPP-Kojak (line 1)</t>
  </si>
  <si>
    <t>680-48-00-035640 (Line 6)</t>
  </si>
  <si>
    <t>680-48-00-035640
(Line 5)</t>
  </si>
  <si>
    <t>680-48-00-035640 (line 10)</t>
  </si>
  <si>
    <t>680-48-00-046916 (line 11)</t>
  </si>
  <si>
    <t>680-48-00-040416 (Line 8)</t>
  </si>
  <si>
    <t>680-48-00-035640 (line 9)</t>
  </si>
  <si>
    <t>680-48-00-046916 (Line 12 with 1 or 2)</t>
  </si>
  <si>
    <t>18300 Von Karman Ave, Suite 700, Irvine, CA 92612</t>
  </si>
  <si>
    <t>MA-IS-1840286-8</t>
  </si>
  <si>
    <t>HW-CamWebcam-4K</t>
  </si>
  <si>
    <t>Hardware Camera 4K Webcam Package (mini tripod, ring light, configuration and integration)</t>
  </si>
  <si>
    <t>Hardware Camera Webcam Package (mini tripod, ring light, configuration and integration)</t>
  </si>
  <si>
    <t>Hardware-Camera-Webcam-4K-Package (mini tripod, ring light, configuration and integration)</t>
  </si>
  <si>
    <t>Hardware-Camera-Webcam Package (mini tripod, ring light, configuration and integration)</t>
  </si>
  <si>
    <t xml:space="preserve"> </t>
  </si>
  <si>
    <t>EC</t>
  </si>
  <si>
    <t>Standard with Windows 11</t>
  </si>
  <si>
    <t>Auto populate personal information with a swipe of a driver's license from anywhere on the screen</t>
  </si>
  <si>
    <t xml:space="preserve">To perform services shown in the line above. </t>
  </si>
  <si>
    <t>Cross Ship</t>
  </si>
  <si>
    <t>Software Only coverage, per system</t>
  </si>
  <si>
    <t>Software and Hardware Coverage, per system</t>
  </si>
  <si>
    <t>Pick one of the following 2 Maintenance options in the 12th month.  We recommend picking 2nd line if processing more than 1,200 transactions per year.</t>
  </si>
  <si>
    <t>Pick ONE of the following capture methods at the time of capture (TWO DIFFERENT BUTTONS on the screen):</t>
  </si>
  <si>
    <t>Transaction Fee - NEW FLATS ONLY Method (10 to 15 second fingerprinting): $4.00 per transaction with no cap ($2.80 per trans for 501(c)(3) organizations)</t>
  </si>
  <si>
    <t>Transaction Fee - Traditional FLATS and ROLLS Method (1 to 10 minutes method): $0.75 per transaction with $150 per monthly cap</t>
  </si>
  <si>
    <t>Name</t>
  </si>
  <si>
    <t>Business</t>
  </si>
  <si>
    <t>Email</t>
  </si>
  <si>
    <t>Number</t>
  </si>
  <si>
    <t>Address1</t>
  </si>
  <si>
    <t>Address2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</si>
</sst>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1" xfId="0" applyFont="1" applyBorder="1" applyAlignment="1">
      <alignment horizontal="left" vertical="center" wrapText="1" shrinkToFit="1"/>
    </xf>
    <xf numFmtId="8" fontId="16" fillId="0" borderId="23" xfId="1" applyNumberFormat="1" applyFont="1" applyBorder="1" applyAlignment="1">
      <alignment horizontal="right" vertical="center" wrapText="1" shrinkToFit="1"/>
    </xf>
    <xf numFmtId="8" fontId="16" fillId="0" borderId="1" xfId="1" applyNumberFormat="1" applyFont="1" applyBorder="1" applyAlignment="1">
      <alignment horizontal="right" vertical="center" wrapText="1" shrinkToFit="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5" fillId="3" borderId="25" xfId="0" applyFont="1" applyFill="1" applyBorder="1" applyAlignment="1">
      <alignment horizontal="center" vertical="center"/>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8" fontId="10" fillId="0" borderId="23"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44" fontId="0" fillId="0" borderId="1"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44" fontId="16" fillId="0" borderId="1" xfId="1" applyFont="1" applyBorder="1" applyAlignment="1">
      <alignment horizontal="right" vertical="center" wrapText="1" shrinkToFi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41" fillId="0" borderId="0" xfId="0" applyFont="1" applyAlignment="1">
      <alignment horizontal="lef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2" fillId="5" borderId="60" xfId="0" applyFont="1" applyFill="1" applyBorder="1" applyAlignment="1">
      <alignment horizontal="right" vertical="center"/>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chael@sfbayareap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15"/>
  <sheetViews>
    <sheetView tabSelected="1" zoomScale="115" workbookViewId="0">
      <selection activeCell="B11" sqref="B11"/>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1515</v>
      </c>
      <c r="B1" s="268" t="s">
        <v>1516</v>
      </c>
      <c r="C1" s="266" t="s">
        <v>1517</v>
      </c>
      <c r="D1" s="268" t="s">
        <v>1518</v>
      </c>
      <c r="E1" s="268" t="s">
        <v>1519</v>
      </c>
      <c r="F1" s="268" t="s">
        <v>1520</v>
      </c>
      <c r="G1" s="269" t="s">
        <v>1521</v>
      </c>
      <c r="H1" s="268" t="s">
        <v>1522</v>
      </c>
      <c r="I1" s="268" t="s">
        <v>1523</v>
      </c>
      <c r="J1" s="268" t="s">
        <v>1524</v>
      </c>
      <c r="K1" s="268" t="s">
        <v>1525</v>
      </c>
      <c r="L1" s="268" t="s">
        <v>1526</v>
      </c>
      <c r="M1" s="268" t="s">
        <v>132</v>
      </c>
      <c r="N1" s="268" t="s">
        <v>1527</v>
      </c>
      <c r="O1" s="268" t="s">
        <v>1528</v>
      </c>
      <c r="P1" s="269" t="s">
        <v>1529</v>
      </c>
      <c r="Q1" s="269" t="s">
        <v>1530</v>
      </c>
      <c r="R1" s="268" t="s">
        <v>1531</v>
      </c>
      <c r="S1" s="268" t="s">
        <v>1532</v>
      </c>
      <c r="T1" s="270"/>
      <c r="U1" s="271" t="s">
        <v>1533</v>
      </c>
      <c r="V1" s="272"/>
      <c r="W1" s="273"/>
      <c r="X1" s="274" t="s">
        <v>1534</v>
      </c>
      <c r="Y1" s="275"/>
      <c r="Z1" s="268" t="s">
        <v>1535</v>
      </c>
      <c r="AA1" s="276" t="s">
        <v>1536</v>
      </c>
      <c r="AB1" s="276" t="s">
        <v>1537</v>
      </c>
      <c r="AC1" s="277"/>
      <c r="AD1" s="268" t="s">
        <v>1538</v>
      </c>
      <c r="AE1" s="277" t="s">
        <v>1539</v>
      </c>
      <c r="AF1" s="278" t="s">
        <v>1540</v>
      </c>
      <c r="AG1" s="279" t="s">
        <v>1541</v>
      </c>
      <c r="AH1" s="266" t="s">
        <v>1542</v>
      </c>
      <c r="AI1" s="276" t="s">
        <v>1543</v>
      </c>
      <c r="AJ1" s="276" t="s">
        <v>1544</v>
      </c>
      <c r="AK1" s="268" t="s">
        <v>1545</v>
      </c>
      <c r="AL1" s="268" t="s">
        <v>1546</v>
      </c>
      <c r="AM1" s="268" t="s">
        <v>1547</v>
      </c>
      <c r="AN1" s="268" t="s">
        <v>443</v>
      </c>
      <c r="AO1" s="266" t="s">
        <v>1548</v>
      </c>
      <c r="AP1" s="268" t="s">
        <v>1549</v>
      </c>
      <c r="AQ1" s="268"/>
      <c r="AR1" s="280" t="s">
        <v>1550</v>
      </c>
      <c r="AS1" s="268" t="s">
        <v>1551</v>
      </c>
      <c r="AT1" s="280" t="s">
        <v>1552</v>
      </c>
      <c r="AU1" s="268" t="s">
        <v>1553</v>
      </c>
      <c r="AV1" s="281"/>
      <c r="AW1" s="266"/>
      <c r="AX1" s="266"/>
      <c r="AY1" s="266"/>
      <c r="AZ1" s="266"/>
      <c r="BA1" s="266"/>
      <c r="BB1" s="266"/>
      <c r="BC1" s="266"/>
      <c r="BD1" s="266"/>
      <c r="BE1" s="266"/>
      <c r="BF1" s="266" t="s">
        <v>1554</v>
      </c>
      <c r="BG1" s="281" t="s">
        <v>1555</v>
      </c>
      <c r="BH1" s="281" t="s">
        <v>1556</v>
      </c>
      <c r="BI1" s="281" t="s">
        <v>1557</v>
      </c>
      <c r="BJ1" s="281" t="s">
        <v>1558</v>
      </c>
      <c r="BK1" s="281" t="s">
        <v>1559</v>
      </c>
      <c r="BL1" s="281" t="s">
        <v>1560</v>
      </c>
      <c r="BM1" s="281" t="s">
        <v>1561</v>
      </c>
      <c r="BN1" s="281" t="s">
        <v>1562</v>
      </c>
    </row>
    <row r="2" spans="1:66" ht="45" x14ac:dyDescent="0.25">
      <c r="A2">
        <v>300</v>
      </c>
      <c r="B2" s="285" t="str">
        <f>IF(ISBLANK(C11), "Business Name", C11)</f>
        <v>Business Name</v>
      </c>
      <c r="C2" s="286">
        <f ca="1">TODAY()</f>
        <v>45110</v>
      </c>
      <c r="E2" s="285" t="str">
        <f>IF(ISBLANK(C11), "Business Name", C11)</f>
        <v>Business Name</v>
      </c>
      <c r="G2" s="285" t="str">
        <f>IF(ISBLANK(C13), "Number", C13)</f>
        <v>Number</v>
      </c>
      <c r="H2" s="285" t="str">
        <f>IF(ISBLANK(C10), "LastName | FirstName", C10)</f>
        <v>LastName | FirstName</v>
      </c>
      <c r="I2" s="287" t="str">
        <f>IF(ISBLANK(C12), "email", C12)</f>
        <v>email</v>
      </c>
      <c r="L2" s="285" t="str">
        <f>IF(ISBLANK(C14), "Address1", C14)</f>
        <v>Address1</v>
      </c>
      <c r="M2" s="285" t="str">
        <f>IF(ISBLANK(C15), "City, State Zip", C15)</f>
        <v>City, State Zip</v>
      </c>
      <c r="R2" t="s">
        <v>1568</v>
      </c>
      <c r="S2" t="s">
        <v>1569</v>
      </c>
      <c r="U2">
        <v>42975</v>
      </c>
      <c r="BF2" t="str">
        <f>TRIM(MID(H2, FIND("|",H2)+1,100))</f>
        <v>FirstName</v>
      </c>
      <c r="BG2" t="str">
        <f>TRIM(LEFT(H2, FIND("|",H2)-1))</f>
        <v>LastName</v>
      </c>
      <c r="BH2" t="s">
        <v>1918</v>
      </c>
      <c r="BI2" t="s">
        <v>1919</v>
      </c>
    </row>
    <row r="3" spans="1:66" x14ac:dyDescent="0.25">
      <c r="E3" t="s">
        <v>1940</v>
      </c>
    </row>
    <row r="10" spans="1:66" x14ac:dyDescent="0.25">
      <c r="B10" t="s">
        <v>1952</v>
      </c>
    </row>
    <row r="11" spans="1:66" x14ac:dyDescent="0.25">
      <c r="B11" t="s">
        <v>1953</v>
      </c>
    </row>
    <row r="12" spans="1:66" x14ac:dyDescent="0.25">
      <c r="B12" t="s">
        <v>1954</v>
      </c>
    </row>
    <row r="13" spans="1:66" x14ac:dyDescent="0.25">
      <c r="B13" t="s">
        <v>1955</v>
      </c>
    </row>
    <row r="14" spans="1:66" x14ac:dyDescent="0.25">
      <c r="B14" t="s">
        <v>1956</v>
      </c>
    </row>
    <row r="15" spans="1:66" x14ac:dyDescent="0.25">
      <c r="B15" t="s">
        <v>1957</v>
      </c>
    </row>
  </sheetData>
  <dataValidations count="1">
    <dataValidation type="date" operator="greaterThan" allowBlank="1" showInputMessage="1" showErrorMessage="1" sqref="U1" xr:uid="{B89618D1-DF41-4C0B-8B56-5AB8BB0D45F8}">
      <formula1>36526</formula1>
    </dataValidation>
  </dataValidations>
  <hyperlinks>
    <hyperlink ref="I2" r:id="rId1" display="michael@sfbayareapi.com" xr:uid="{FD18EB68-CD4B-470C-A354-B77F052E8905}"/>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1166</v>
      </c>
      <c r="B1" s="125" t="s">
        <v>124</v>
      </c>
      <c r="C1" s="125" t="s">
        <v>943</v>
      </c>
      <c r="D1" s="125" t="s">
        <v>942</v>
      </c>
      <c r="E1" s="125" t="s">
        <v>941</v>
      </c>
      <c r="F1" s="124" t="s">
        <v>940</v>
      </c>
    </row>
    <row r="2" spans="1:7" ht="15.75" x14ac:dyDescent="0.25">
      <c r="A2" s="117" t="s">
        <v>845</v>
      </c>
      <c r="B2" s="115" t="s">
        <v>939</v>
      </c>
      <c r="C2" s="120">
        <v>501.6</v>
      </c>
      <c r="D2" s="120">
        <v>90.287999999999997</v>
      </c>
      <c r="E2" s="120">
        <v>90.287999999999997</v>
      </c>
      <c r="F2" s="121">
        <v>90.287999999999997</v>
      </c>
      <c r="G2" t="str">
        <f>VLOOKUP(A2,'FL Part Num Mapping'!A:B,2, FALSE)</f>
        <v>SW-CMS1000TP</v>
      </c>
    </row>
    <row r="3" spans="1:7" ht="15.75" x14ac:dyDescent="0.25">
      <c r="A3" s="117" t="s">
        <v>844</v>
      </c>
      <c r="B3" s="115" t="s">
        <v>938</v>
      </c>
      <c r="C3" s="120">
        <v>984.2</v>
      </c>
      <c r="D3" s="120">
        <v>177.15600000000001</v>
      </c>
      <c r="E3" s="120">
        <v>177.15600000000001</v>
      </c>
      <c r="F3" s="121">
        <v>177.15600000000001</v>
      </c>
      <c r="G3" t="str">
        <f>VLOOKUP(A3,'FL Part Num Mapping'!A:B,2, FALSE)</f>
        <v>SW-CMS10CON</v>
      </c>
    </row>
    <row r="4" spans="1:7" ht="15.75" x14ac:dyDescent="0.25">
      <c r="A4" s="117" t="s">
        <v>846</v>
      </c>
      <c r="B4" s="115" t="s">
        <v>840</v>
      </c>
      <c r="C4" s="120">
        <v>197.6</v>
      </c>
      <c r="D4" s="120">
        <v>35.567999999999998</v>
      </c>
      <c r="E4" s="120">
        <v>35.567999999999998</v>
      </c>
      <c r="F4" s="121">
        <v>35.567999999999998</v>
      </c>
      <c r="G4" t="str">
        <f>VLOOKUP(A4,'FL Part Num Mapping'!A:B,2, FALSE)</f>
        <v>SW-CMS5000S</v>
      </c>
    </row>
    <row r="5" spans="1:7" ht="47.25" x14ac:dyDescent="0.25">
      <c r="A5" s="116" t="s">
        <v>854</v>
      </c>
      <c r="B5" s="115" t="s">
        <v>937</v>
      </c>
      <c r="C5" s="120">
        <v>7695</v>
      </c>
      <c r="D5" s="120">
        <v>1385.1</v>
      </c>
      <c r="E5" s="120">
        <v>1385.1</v>
      </c>
      <c r="F5" s="121">
        <v>1385.1</v>
      </c>
      <c r="G5" t="str">
        <f>VLOOKUP(A5,'FL Part Num Mapping'!A:B,2, FALSE)</f>
        <v>SW-CMS</v>
      </c>
    </row>
    <row r="6" spans="1:7" ht="31.5" x14ac:dyDescent="0.25">
      <c r="A6" s="116" t="s">
        <v>854</v>
      </c>
      <c r="B6" s="115" t="s">
        <v>936</v>
      </c>
      <c r="C6" s="120">
        <v>5000</v>
      </c>
      <c r="D6" s="120">
        <v>900</v>
      </c>
      <c r="E6" s="120">
        <v>900</v>
      </c>
      <c r="F6" s="121">
        <v>900</v>
      </c>
      <c r="G6" t="str">
        <f>VLOOKUP(A6,'FL Part Num Mapping'!A:B,2, FALSE)</f>
        <v>SW-CMS</v>
      </c>
    </row>
    <row r="7" spans="1:7" ht="15.75" x14ac:dyDescent="0.25">
      <c r="A7" s="117" t="s">
        <v>848</v>
      </c>
      <c r="B7" s="115" t="s">
        <v>842</v>
      </c>
      <c r="C7" s="120">
        <v>4936.2</v>
      </c>
      <c r="D7" s="120">
        <v>888.51599999999996</v>
      </c>
      <c r="E7" s="120">
        <v>888.51599999999996</v>
      </c>
      <c r="F7" s="121">
        <v>888.51599999999996</v>
      </c>
      <c r="G7" t="str">
        <f>VLOOKUP(A7,'FL Part Num Mapping'!A:B,2, FALSE)</f>
        <v>SW-CMSINT1</v>
      </c>
    </row>
    <row r="8" spans="1:7" ht="15.75" x14ac:dyDescent="0.25">
      <c r="A8" s="117" t="s">
        <v>849</v>
      </c>
      <c r="B8" s="115" t="s">
        <v>843</v>
      </c>
      <c r="C8" s="120">
        <v>8736.2000000000007</v>
      </c>
      <c r="D8" s="120">
        <v>1572.5160000000001</v>
      </c>
      <c r="E8" s="120">
        <v>1572.5160000000001</v>
      </c>
      <c r="F8" s="121">
        <v>1572.5160000000001</v>
      </c>
      <c r="G8" t="str">
        <f>VLOOKUP(A8,'FL Part Num Mapping'!A:B,2, FALSE)</f>
        <v>SW-CMSINT2</v>
      </c>
    </row>
    <row r="9" spans="1:7" ht="15.75" x14ac:dyDescent="0.25">
      <c r="A9" s="117" t="s">
        <v>847</v>
      </c>
      <c r="B9" s="115" t="s">
        <v>935</v>
      </c>
      <c r="C9" s="120">
        <v>4503</v>
      </c>
      <c r="D9" s="120">
        <v>810.54</v>
      </c>
      <c r="E9" s="120">
        <v>810.54</v>
      </c>
      <c r="F9" s="121">
        <v>810.54</v>
      </c>
      <c r="G9" t="str">
        <f>VLOOKUP(A9,'FL Part Num Mapping'!A:B,2, FALSE)</f>
        <v>SW-CMSLSPS</v>
      </c>
    </row>
    <row r="10" spans="1:7" ht="15.75" x14ac:dyDescent="0.25">
      <c r="A10" s="116" t="s">
        <v>186</v>
      </c>
      <c r="B10" s="115" t="s">
        <v>934</v>
      </c>
      <c r="C10" s="120">
        <v>206.14999999999998</v>
      </c>
      <c r="D10" s="120">
        <v>19.949999999999996</v>
      </c>
      <c r="E10" s="120">
        <v>19.949999999999996</v>
      </c>
      <c r="F10" s="121">
        <v>19.949999999999996</v>
      </c>
      <c r="G10" t="str">
        <f>VLOOKUP(A10,'FL Part Num Mapping'!A:B,2, FALSE)</f>
        <v>ACC-BarCode1</v>
      </c>
    </row>
    <row r="11" spans="1:7" ht="15.75" x14ac:dyDescent="0.25">
      <c r="A11" s="116" t="s">
        <v>187</v>
      </c>
      <c r="B11" s="115" t="s">
        <v>933</v>
      </c>
      <c r="C11" s="120">
        <v>382.84999999999997</v>
      </c>
      <c r="D11" s="120">
        <v>37.049999999999997</v>
      </c>
      <c r="E11" s="120">
        <v>37.049999999999997</v>
      </c>
      <c r="F11" s="121">
        <v>37.049999999999997</v>
      </c>
      <c r="G11" t="str">
        <f>VLOOKUP(A11,'FL Part Num Mapping'!A:B,2, FALSE)</f>
        <v>ACC-BarCode2</v>
      </c>
    </row>
    <row r="12" spans="1:7" ht="15.75" x14ac:dyDescent="0.25">
      <c r="A12" s="116" t="s">
        <v>151</v>
      </c>
      <c r="B12" s="115" t="s">
        <v>932</v>
      </c>
      <c r="C12" s="120">
        <v>4235.22</v>
      </c>
      <c r="D12" s="120">
        <v>409.86</v>
      </c>
      <c r="E12" s="120">
        <v>409.86</v>
      </c>
      <c r="F12" s="121">
        <v>409.86</v>
      </c>
      <c r="G12" t="str">
        <f>VLOOKUP(A12,'FL Part Num Mapping'!A:B,2, FALSE)</f>
        <v>ACC-CAB</v>
      </c>
    </row>
    <row r="13" spans="1:7" ht="15.75" x14ac:dyDescent="0.25">
      <c r="A13" s="116" t="s">
        <v>149</v>
      </c>
      <c r="B13" s="115" t="s">
        <v>931</v>
      </c>
      <c r="C13" s="120">
        <v>920.7</v>
      </c>
      <c r="D13" s="120">
        <v>89.1</v>
      </c>
      <c r="E13" s="120">
        <v>89.1</v>
      </c>
      <c r="F13" s="121">
        <v>89.1</v>
      </c>
      <c r="G13" t="str">
        <f>VLOOKUP(A13,'FL Part Num Mapping'!A:B,2, FALSE)</f>
        <v>ACC-CAB-CamBox</v>
      </c>
    </row>
    <row r="14" spans="1:7" ht="15.75" x14ac:dyDescent="0.25">
      <c r="A14" s="116" t="s">
        <v>157</v>
      </c>
      <c r="B14" s="115" t="s">
        <v>930</v>
      </c>
      <c r="C14" s="120">
        <v>1048.4199999999998</v>
      </c>
      <c r="D14" s="120">
        <v>101.45999999999998</v>
      </c>
      <c r="E14" s="120">
        <v>101.45999999999998</v>
      </c>
      <c r="F14" s="121">
        <v>101.45999999999998</v>
      </c>
      <c r="G14" t="str">
        <f>VLOOKUP(A14,'FL Part Num Mapping'!A:B,2, FALSE)</f>
        <v>ACC-DSLR</v>
      </c>
    </row>
    <row r="15" spans="1:7" ht="15.75" x14ac:dyDescent="0.25">
      <c r="A15" s="116" t="s">
        <v>682</v>
      </c>
      <c r="B15" s="115" t="s">
        <v>929</v>
      </c>
      <c r="C15" s="120">
        <v>1636.2419999999997</v>
      </c>
      <c r="D15" s="120">
        <v>158.34599999999998</v>
      </c>
      <c r="E15" s="120">
        <v>158.34599999999998</v>
      </c>
      <c r="F15" s="121">
        <v>158.34599999999998</v>
      </c>
      <c r="G15" t="str">
        <f>VLOOKUP(A15,'FL Part Num Mapping'!A:B,2, FALSE)</f>
        <v>ACC-DSLR-RF-TRI</v>
      </c>
    </row>
    <row r="16" spans="1:7" ht="31.5" x14ac:dyDescent="0.25">
      <c r="A16" s="116" t="s">
        <v>682</v>
      </c>
      <c r="B16" s="115" t="s">
        <v>928</v>
      </c>
      <c r="C16" s="120">
        <v>1811.84</v>
      </c>
      <c r="D16" s="120">
        <v>326.13119999999998</v>
      </c>
      <c r="E16" s="120">
        <v>326.13119999999998</v>
      </c>
      <c r="F16" s="121">
        <v>326.13119999999998</v>
      </c>
      <c r="G16" t="str">
        <f>VLOOKUP(A16,'FL Part Num Mapping'!A:B,2, FALSE)</f>
        <v>ACC-DSLR-RF-TRI</v>
      </c>
    </row>
    <row r="17" spans="1:7" ht="15.75" x14ac:dyDescent="0.25">
      <c r="A17" s="116" t="s">
        <v>167</v>
      </c>
      <c r="B17" s="115" t="s">
        <v>927</v>
      </c>
      <c r="C17" s="120">
        <v>1207.45</v>
      </c>
      <c r="D17" s="120">
        <v>116.85</v>
      </c>
      <c r="E17" s="120">
        <v>116.85</v>
      </c>
      <c r="F17" s="121">
        <v>116.85</v>
      </c>
      <c r="G17" t="str">
        <f>VLOOKUP(A17,'FL Part Num Mapping'!A:B,2, FALSE)</f>
        <v>HW-DT-HP</v>
      </c>
    </row>
    <row r="18" spans="1:7" ht="15.75" x14ac:dyDescent="0.25">
      <c r="A18" s="116" t="s">
        <v>197</v>
      </c>
      <c r="B18" s="115" t="s">
        <v>926</v>
      </c>
      <c r="C18" s="120">
        <v>194.36999999999998</v>
      </c>
      <c r="D18" s="120">
        <v>18.809999999999995</v>
      </c>
      <c r="E18" s="120">
        <v>18.809999999999995</v>
      </c>
      <c r="F18" s="121">
        <v>18.809999999999995</v>
      </c>
      <c r="G18" t="str">
        <f>VLOOKUP(A18,'FL Part Num Mapping'!A:B,2, FALSE)</f>
        <v>ACC-Foot-USB</v>
      </c>
    </row>
    <row r="19" spans="1:7" ht="15.75" x14ac:dyDescent="0.25">
      <c r="A19" s="116" t="s">
        <v>173</v>
      </c>
      <c r="B19" s="115" t="s">
        <v>925</v>
      </c>
      <c r="C19" s="120">
        <v>1207.45</v>
      </c>
      <c r="D19" s="120">
        <v>116.85</v>
      </c>
      <c r="E19" s="120">
        <v>116.85</v>
      </c>
      <c r="F19" s="121">
        <v>116.85</v>
      </c>
      <c r="G19" t="str">
        <f>VLOOKUP(A19,'FL Part Num Mapping'!A:B,2, FALSE)</f>
        <v>HW-LT-HP</v>
      </c>
    </row>
    <row r="20" spans="1:7" ht="15.75" x14ac:dyDescent="0.25">
      <c r="A20" s="116" t="s">
        <v>177</v>
      </c>
      <c r="B20" s="115" t="s">
        <v>924</v>
      </c>
      <c r="C20" s="120">
        <v>854.05</v>
      </c>
      <c r="D20" s="120">
        <v>82.649999999999991</v>
      </c>
      <c r="E20" s="120">
        <v>82.649999999999991</v>
      </c>
      <c r="F20" s="121">
        <v>82.649999999999991</v>
      </c>
      <c r="G20" t="str">
        <f>VLOOKUP(A20,'FL Part Num Mapping'!A:B,2, FALSE)</f>
        <v>HW-LT-STD</v>
      </c>
    </row>
    <row r="21" spans="1:7" ht="15.75" x14ac:dyDescent="0.25">
      <c r="A21" s="116" t="s">
        <v>198</v>
      </c>
      <c r="B21" s="115" t="s">
        <v>923</v>
      </c>
      <c r="C21" s="120">
        <v>88.35</v>
      </c>
      <c r="D21" s="120">
        <v>8.5499999999999989</v>
      </c>
      <c r="E21" s="120">
        <v>8.5499999999999989</v>
      </c>
      <c r="F21" s="121">
        <v>8.5499999999999989</v>
      </c>
      <c r="G21" t="str">
        <f>VLOOKUP(A21,'FL Part Num Mapping'!A:B,2, FALSE)</f>
        <v>ACC-Mag</v>
      </c>
    </row>
    <row r="22" spans="1:7" ht="15.75" x14ac:dyDescent="0.25">
      <c r="A22" s="116" t="s">
        <v>819</v>
      </c>
      <c r="B22" s="115" t="s">
        <v>922</v>
      </c>
      <c r="C22" s="120">
        <v>1059.0219999999999</v>
      </c>
      <c r="D22" s="120">
        <v>102.48599999999999</v>
      </c>
      <c r="E22" s="120">
        <v>102.48599999999999</v>
      </c>
      <c r="F22" s="121">
        <v>102.48599999999999</v>
      </c>
      <c r="G22" t="str">
        <f>VLOOKUP(A22,'FL Part Num Mapping'!A:B,2, FALSE)</f>
        <v>HW-PDA-Apple</v>
      </c>
    </row>
    <row r="23" spans="1:7" ht="15.75" x14ac:dyDescent="0.25">
      <c r="A23" s="116" t="s">
        <v>185</v>
      </c>
      <c r="B23" s="115" t="s">
        <v>921</v>
      </c>
      <c r="C23" s="120">
        <v>371.07</v>
      </c>
      <c r="D23" s="120">
        <v>35.909999999999997</v>
      </c>
      <c r="E23" s="120">
        <v>35.909999999999997</v>
      </c>
      <c r="F23" s="121">
        <v>35.909999999999997</v>
      </c>
      <c r="G23" t="str">
        <f>VLOOKUP(A23,'FL Part Num Mapping'!A:B,2, FALSE)</f>
        <v>ACC-Monitor-T</v>
      </c>
    </row>
    <row r="24" spans="1:7" ht="15.75" x14ac:dyDescent="0.25">
      <c r="A24" s="116" t="s">
        <v>520</v>
      </c>
      <c r="B24" s="115" t="s">
        <v>920</v>
      </c>
      <c r="C24" s="120">
        <v>2877.4199999999996</v>
      </c>
      <c r="D24" s="120">
        <v>278.45999999999992</v>
      </c>
      <c r="E24" s="120">
        <v>278.45999999999992</v>
      </c>
      <c r="F24" s="121">
        <v>278.45999999999992</v>
      </c>
      <c r="G24" t="str">
        <f>VLOOKUP(A24,'FL Part Num Mapping'!A:B,2, FALSE)</f>
        <v>ACC-Print-D</v>
      </c>
    </row>
    <row r="25" spans="1:7" ht="15.75" x14ac:dyDescent="0.25">
      <c r="A25" s="116" t="s">
        <v>813</v>
      </c>
      <c r="B25" s="115" t="s">
        <v>919</v>
      </c>
      <c r="C25" s="120">
        <v>3834.902173913043</v>
      </c>
      <c r="D25" s="120">
        <v>371.11956521739125</v>
      </c>
      <c r="E25" s="120">
        <v>371.11956521739125</v>
      </c>
      <c r="F25" s="121">
        <v>371.11956521739125</v>
      </c>
      <c r="G25" t="str">
        <f>VLOOKUP(A25,'FL Part Num Mapping'!A:B,2, FALSE)</f>
        <v>ACC-Print-D-HD</v>
      </c>
    </row>
    <row r="26" spans="1:7" ht="15.75" x14ac:dyDescent="0.25">
      <c r="A26" s="116" t="s">
        <v>519</v>
      </c>
      <c r="B26" s="115" t="s">
        <v>918</v>
      </c>
      <c r="C26" s="120">
        <v>942.4</v>
      </c>
      <c r="D26" s="120">
        <v>91.2</v>
      </c>
      <c r="E26" s="120">
        <v>91.2</v>
      </c>
      <c r="F26" s="121">
        <v>91.2</v>
      </c>
      <c r="G26" t="str">
        <f>VLOOKUP(A26,'FL Part Num Mapping'!A:B,2, FALSE)</f>
        <v>ACC-Print-S</v>
      </c>
    </row>
    <row r="27" spans="1:7" ht="15.75" x14ac:dyDescent="0.25">
      <c r="A27" s="116" t="s">
        <v>375</v>
      </c>
      <c r="B27" s="115" t="s">
        <v>917</v>
      </c>
      <c r="C27" s="120">
        <v>14901.699999999999</v>
      </c>
      <c r="D27" s="120">
        <v>1442.1</v>
      </c>
      <c r="E27" s="120">
        <v>1442.1</v>
      </c>
      <c r="F27" s="121">
        <v>1442.1</v>
      </c>
      <c r="G27" t="str">
        <f>VLOOKUP(A27,'FL Part Num Mapping'!A:B,2, FALSE)</f>
        <v>HW-Scan-1000</v>
      </c>
    </row>
    <row r="28" spans="1:7" ht="15.75" x14ac:dyDescent="0.25">
      <c r="A28" s="116" t="s">
        <v>208</v>
      </c>
      <c r="B28" s="115" t="s">
        <v>916</v>
      </c>
      <c r="C28" s="120">
        <v>4225.4859999999999</v>
      </c>
      <c r="D28" s="120">
        <v>408.91800000000001</v>
      </c>
      <c r="E28" s="120">
        <v>408.91800000000001</v>
      </c>
      <c r="F28" s="121">
        <v>408.91800000000001</v>
      </c>
      <c r="G28" t="str">
        <f>VLOOKUP(A28,'FL Part Num Mapping'!A:B,2, FALSE)</f>
        <v>HW-Scan-200</v>
      </c>
    </row>
    <row r="29" spans="1:7" ht="15.75" x14ac:dyDescent="0.25">
      <c r="A29" s="116" t="s">
        <v>376</v>
      </c>
      <c r="B29" s="115" t="s">
        <v>915</v>
      </c>
      <c r="C29" s="120">
        <v>11132.1</v>
      </c>
      <c r="D29" s="120">
        <v>1077.3</v>
      </c>
      <c r="E29" s="120">
        <v>1077.3</v>
      </c>
      <c r="F29" s="121">
        <v>1077.3</v>
      </c>
      <c r="G29" t="str">
        <f>VLOOKUP(A29,'FL Part Num Mapping'!A:B,2, FALSE)</f>
        <v>HW-Scan-500</v>
      </c>
    </row>
    <row r="30" spans="1:7" ht="15.75" x14ac:dyDescent="0.25">
      <c r="A30" s="116" t="s">
        <v>801</v>
      </c>
      <c r="B30" s="115" t="s">
        <v>914</v>
      </c>
      <c r="C30" s="120">
        <v>2709.4</v>
      </c>
      <c r="D30" s="120">
        <v>262.2</v>
      </c>
      <c r="E30" s="120">
        <v>262.2</v>
      </c>
      <c r="F30" s="121">
        <v>262.2</v>
      </c>
      <c r="G30" t="str">
        <f>VLOOKUP(A30,'FL Part Num Mapping'!A:B,2, FALSE)</f>
        <v>HW-Scan-RS10</v>
      </c>
    </row>
    <row r="31" spans="1:7" ht="15.75" x14ac:dyDescent="0.25">
      <c r="A31" s="116" t="s">
        <v>206</v>
      </c>
      <c r="B31" s="115" t="s">
        <v>913</v>
      </c>
      <c r="C31" s="120">
        <v>2105.0859999999998</v>
      </c>
      <c r="D31" s="120">
        <v>203.71799999999999</v>
      </c>
      <c r="E31" s="120">
        <v>203.71799999999999</v>
      </c>
      <c r="F31" s="121">
        <v>203.71799999999999</v>
      </c>
      <c r="G31" t="str">
        <f>VLOOKUP(A31,'FL Part Num Mapping'!A:B,2, FALSE)</f>
        <v>HW-Scan-i3</v>
      </c>
    </row>
    <row r="32" spans="1:7" ht="15.75" x14ac:dyDescent="0.25">
      <c r="A32" s="116" t="s">
        <v>822</v>
      </c>
      <c r="B32" s="115" t="s">
        <v>912</v>
      </c>
      <c r="C32" s="120">
        <v>3121.7</v>
      </c>
      <c r="D32" s="120">
        <v>302.09999999999997</v>
      </c>
      <c r="E32" s="120">
        <v>302.09999999999997</v>
      </c>
      <c r="F32" s="121">
        <v>302.09999999999997</v>
      </c>
      <c r="G32" t="str">
        <f>VLOOKUP(A32,'FL Part Num Mapping'!A:B,2, FALSE)</f>
        <v>HW-Scan-NEC45</v>
      </c>
    </row>
    <row r="33" spans="1:7" ht="15.75" x14ac:dyDescent="0.25">
      <c r="A33" s="116" t="s">
        <v>205</v>
      </c>
      <c r="B33" s="115" t="s">
        <v>911</v>
      </c>
      <c r="C33" s="120">
        <v>2709.4</v>
      </c>
      <c r="D33" s="120">
        <v>262.2</v>
      </c>
      <c r="E33" s="120">
        <v>262.2</v>
      </c>
      <c r="F33" s="121">
        <v>262.2</v>
      </c>
      <c r="G33" t="e">
        <f>VLOOKUP(A33,'FL Part Num Mapping'!A:B,2, FALSE)</f>
        <v>#N/A</v>
      </c>
    </row>
    <row r="34" spans="1:7" ht="15.75" x14ac:dyDescent="0.25">
      <c r="A34" s="116" t="s">
        <v>211</v>
      </c>
      <c r="B34" s="115" t="s">
        <v>910</v>
      </c>
      <c r="C34" s="120">
        <v>8835</v>
      </c>
      <c r="D34" s="120">
        <v>855</v>
      </c>
      <c r="E34" s="120">
        <v>855</v>
      </c>
      <c r="F34" s="121">
        <v>855</v>
      </c>
      <c r="G34" t="str">
        <f>VLOOKUP(A34,'FL Part Num Mapping'!A:B,2, FALSE)</f>
        <v>HW-Scan-RSF</v>
      </c>
    </row>
    <row r="35" spans="1:7" ht="15.75" x14ac:dyDescent="0.25">
      <c r="A35" s="116" t="s">
        <v>818</v>
      </c>
      <c r="B35" s="115" t="s">
        <v>909</v>
      </c>
      <c r="C35" s="120">
        <v>356.25</v>
      </c>
      <c r="D35" s="120">
        <v>34.475806451612904</v>
      </c>
      <c r="E35" s="120">
        <v>34.475806451612904</v>
      </c>
      <c r="F35" s="121">
        <v>34.475806451612904</v>
      </c>
      <c r="G35" t="str">
        <f>VLOOKUP(A35,'FL Part Num Mapping'!A:B,2, FALSE)</f>
        <v>HW-Scan-Watson</v>
      </c>
    </row>
    <row r="36" spans="1:7" ht="15.75" x14ac:dyDescent="0.25">
      <c r="A36" s="116" t="s">
        <v>908</v>
      </c>
      <c r="B36" s="115" t="s">
        <v>907</v>
      </c>
      <c r="C36" s="120">
        <v>459.42</v>
      </c>
      <c r="D36" s="120">
        <v>44.46</v>
      </c>
      <c r="E36" s="120">
        <v>44.46</v>
      </c>
      <c r="F36" s="121">
        <v>44.46</v>
      </c>
      <c r="G36" t="str">
        <f>VLOOKUP(A36,'FL Part Num Mapping'!A:B,2, FALSE)</f>
        <v>ACC-SigPad</v>
      </c>
    </row>
    <row r="37" spans="1:7" ht="15.75" x14ac:dyDescent="0.25">
      <c r="A37" s="116" t="s">
        <v>654</v>
      </c>
      <c r="B37" s="115" t="s">
        <v>906</v>
      </c>
      <c r="C37" s="120">
        <v>937.68799999999999</v>
      </c>
      <c r="D37" s="120">
        <v>90.744</v>
      </c>
      <c r="E37" s="120">
        <v>90.744</v>
      </c>
      <c r="F37" s="121">
        <v>90.744</v>
      </c>
      <c r="G37" t="str">
        <f>VLOOKUP(A37,'FL Part Num Mapping'!A:B,2, FALSE)</f>
        <v>SW-TOT-ADD</v>
      </c>
    </row>
    <row r="38" spans="1:7" ht="15.75" x14ac:dyDescent="0.25">
      <c r="A38" s="116" t="s">
        <v>650</v>
      </c>
      <c r="B38" s="115" t="s">
        <v>905</v>
      </c>
      <c r="C38" s="120">
        <v>2586.8880000000004</v>
      </c>
      <c r="D38" s="120">
        <v>250.34400000000002</v>
      </c>
      <c r="E38" s="120">
        <v>250.34400000000002</v>
      </c>
      <c r="F38" s="121">
        <v>250.34400000000002</v>
      </c>
      <c r="G38" t="str">
        <f>VLOOKUP(A38,'FL Part Num Mapping'!A:B,2, FALSE)</f>
        <v>SW-LS4G-FL-APP</v>
      </c>
    </row>
    <row r="39" spans="1:7" ht="15.75" x14ac:dyDescent="0.25">
      <c r="A39" s="116" t="s">
        <v>825</v>
      </c>
      <c r="B39" s="115" t="s">
        <v>904</v>
      </c>
      <c r="C39" s="120">
        <v>202.61600000000001</v>
      </c>
      <c r="D39" s="120">
        <v>19.608000000000001</v>
      </c>
      <c r="E39" s="120">
        <v>19.608000000000001</v>
      </c>
      <c r="F39" s="121">
        <v>19.608000000000001</v>
      </c>
      <c r="G39" t="str">
        <f>VLOOKUP(A39,'FL Part Num Mapping'!A:B,2, FALSE)</f>
        <v>SW-BC</v>
      </c>
    </row>
    <row r="40" spans="1:7" ht="15.75" x14ac:dyDescent="0.25">
      <c r="A40" s="116" t="s">
        <v>651</v>
      </c>
      <c r="B40" s="115" t="s">
        <v>903</v>
      </c>
      <c r="C40" s="120">
        <v>4047.6080000000002</v>
      </c>
      <c r="D40" s="120">
        <v>391.70400000000001</v>
      </c>
      <c r="E40" s="120">
        <v>391.70400000000001</v>
      </c>
      <c r="F40" s="121">
        <v>391.70400000000001</v>
      </c>
      <c r="G40" t="str">
        <f>VLOOKUP(A40,'FL Part Num Mapping'!A:B,2, FALSE)</f>
        <v>SW-LS4G-FL-CRM</v>
      </c>
    </row>
    <row r="41" spans="1:7" ht="15.75" x14ac:dyDescent="0.25">
      <c r="A41" s="116" t="s">
        <v>830</v>
      </c>
      <c r="B41" s="115" t="s">
        <v>902</v>
      </c>
      <c r="C41" s="120">
        <v>3764.8880000000004</v>
      </c>
      <c r="D41" s="120">
        <v>364.34399999999999</v>
      </c>
      <c r="E41" s="120">
        <v>364.34399999999999</v>
      </c>
      <c r="F41" s="121">
        <v>364.34399999999999</v>
      </c>
      <c r="G41" t="str">
        <f>VLOOKUP(A41,'FL Part Num Mapping'!A:B,2, FALSE)</f>
        <v>SW-DataEx-1</v>
      </c>
    </row>
    <row r="42" spans="1:7" ht="15.75" x14ac:dyDescent="0.25">
      <c r="A42" s="116" t="s">
        <v>834</v>
      </c>
      <c r="B42" s="115" t="s">
        <v>901</v>
      </c>
      <c r="C42" s="120">
        <v>224.2</v>
      </c>
      <c r="D42" s="120">
        <v>21.696774193548386</v>
      </c>
      <c r="E42" s="120">
        <v>21.696774193548386</v>
      </c>
      <c r="F42" s="121">
        <v>21.696774193548386</v>
      </c>
      <c r="G42" t="str">
        <f>VLOOKUP(A42,'FL Part Num Mapping'!A:B,2, FALSE)</f>
        <v>SW-DataEx-Add</v>
      </c>
    </row>
    <row r="43" spans="1:7" ht="15.75" x14ac:dyDescent="0.25">
      <c r="A43" s="116" t="s">
        <v>829</v>
      </c>
      <c r="B43" s="115" t="s">
        <v>900</v>
      </c>
      <c r="C43" s="120">
        <v>4707.2880000000005</v>
      </c>
      <c r="D43" s="120">
        <v>455.54400000000004</v>
      </c>
      <c r="E43" s="120">
        <v>455.54400000000004</v>
      </c>
      <c r="F43" s="121">
        <v>455.54400000000004</v>
      </c>
      <c r="G43" t="str">
        <f>VLOOKUP(A43,'FL Part Num Mapping'!A:B,2, FALSE)</f>
        <v>SW-DataEx-2</v>
      </c>
    </row>
    <row r="44" spans="1:7" ht="15.75" x14ac:dyDescent="0.25">
      <c r="A44" s="117" t="s">
        <v>837</v>
      </c>
      <c r="B44" s="115" t="s">
        <v>899</v>
      </c>
      <c r="C44" s="120">
        <v>619.99999999999989</v>
      </c>
      <c r="D44" s="120">
        <v>59.999999999999986</v>
      </c>
      <c r="E44" s="120">
        <v>59.999999999999986</v>
      </c>
      <c r="F44" s="121">
        <v>59.999999999999986</v>
      </c>
      <c r="G44" t="str">
        <f>VLOOKUP(A44,'FL Part Num Mapping'!A:B,2, FALSE)</f>
        <v>SW-LS4G-MOB</v>
      </c>
    </row>
    <row r="45" spans="1:7" ht="15.75" x14ac:dyDescent="0.25">
      <c r="A45" s="116" t="s">
        <v>323</v>
      </c>
      <c r="B45" s="115" t="s">
        <v>898</v>
      </c>
      <c r="C45" s="120">
        <v>937.68799999999999</v>
      </c>
      <c r="D45" s="120">
        <v>90.744</v>
      </c>
      <c r="E45" s="120">
        <v>90.744</v>
      </c>
      <c r="F45" s="121">
        <v>90.744</v>
      </c>
      <c r="G45" t="str">
        <f>VLOOKUP(A45,'FL Part Num Mapping'!A:B,2, FALSE)</f>
        <v>SW-Photo</v>
      </c>
    </row>
    <row r="46" spans="1:7" ht="15.75" x14ac:dyDescent="0.25">
      <c r="A46" s="116" t="s">
        <v>970</v>
      </c>
      <c r="B46" s="115" t="s">
        <v>969</v>
      </c>
      <c r="C46" s="120">
        <v>3293.6880000000001</v>
      </c>
      <c r="D46" s="120">
        <v>318.74400000000003</v>
      </c>
      <c r="E46" s="120">
        <v>318.74400000000003</v>
      </c>
      <c r="F46" s="121">
        <v>318.74400000000003</v>
      </c>
      <c r="G46" t="e">
        <f>VLOOKUP(A46,'FL Part Num Mapping'!A:B,2, FALSE)</f>
        <v>#N/A</v>
      </c>
    </row>
    <row r="47" spans="1:7" ht="15.75" x14ac:dyDescent="0.25">
      <c r="A47" s="116" t="s">
        <v>324</v>
      </c>
      <c r="B47" s="115" t="s">
        <v>897</v>
      </c>
      <c r="C47" s="120">
        <v>245.02399999999997</v>
      </c>
      <c r="D47" s="120">
        <v>31.2</v>
      </c>
      <c r="E47" s="120">
        <v>31.2</v>
      </c>
      <c r="F47" s="121">
        <v>31.2</v>
      </c>
      <c r="G47" t="str">
        <f>VLOOKUP(A47,'FL Part Num Mapping'!A:B,2, FALSE)</f>
        <v>SW-Print</v>
      </c>
    </row>
    <row r="48" spans="1:7" ht="15.75" x14ac:dyDescent="0.25">
      <c r="A48" s="116" t="s">
        <v>325</v>
      </c>
      <c r="B48" s="115" t="s">
        <v>896</v>
      </c>
      <c r="C48" s="120">
        <v>80.103999999999999</v>
      </c>
      <c r="D48" s="120">
        <v>7.7519999999999989</v>
      </c>
      <c r="E48" s="120">
        <v>7.7519999999999989</v>
      </c>
      <c r="F48" s="121">
        <v>7.7519999999999989</v>
      </c>
      <c r="G48" t="str">
        <f>VLOOKUP(A48,'FL Part Num Mapping'!A:B,2, FALSE)</f>
        <v>SW-Signature</v>
      </c>
    </row>
    <row r="49" spans="1:7" ht="31.5" x14ac:dyDescent="0.25">
      <c r="A49" s="117" t="s">
        <v>895</v>
      </c>
      <c r="B49" s="115" t="s">
        <v>894</v>
      </c>
      <c r="C49" s="114">
        <v>3360</v>
      </c>
      <c r="D49" s="114">
        <v>604.79999999999995</v>
      </c>
      <c r="E49" s="114">
        <v>604.79999999999995</v>
      </c>
      <c r="F49" s="113">
        <v>604.79999999999995</v>
      </c>
      <c r="G49" t="str">
        <f>VLOOKUP(A49,'FL Part Num Mapping'!A:B,2, FALSE)</f>
        <v>LSMID-FL-NEC45</v>
      </c>
    </row>
    <row r="50" spans="1:7" ht="15.75" x14ac:dyDescent="0.25">
      <c r="A50" s="116" t="s">
        <v>382</v>
      </c>
      <c r="B50" s="115" t="s">
        <v>893</v>
      </c>
      <c r="C50" s="120">
        <v>570</v>
      </c>
      <c r="D50" s="123"/>
      <c r="E50" s="123"/>
      <c r="F50" s="122"/>
      <c r="G50" t="str">
        <f>VLOOKUP(A50,'FL Part Num Mapping'!A:B,2, FALSE)</f>
        <v>SVCS-SHP-CAB</v>
      </c>
    </row>
    <row r="51" spans="1:7" ht="15.75" x14ac:dyDescent="0.25">
      <c r="A51" s="116" t="s">
        <v>384</v>
      </c>
      <c r="B51" s="115" t="s">
        <v>892</v>
      </c>
      <c r="C51" s="120">
        <v>82.08</v>
      </c>
      <c r="D51" s="123"/>
      <c r="E51" s="123"/>
      <c r="F51" s="122"/>
      <c r="G51" t="str">
        <f>VLOOKUP(A51,'FL Part Num Mapping'!A:B,2, FALSE)</f>
        <v>SVCS-SHP</v>
      </c>
    </row>
    <row r="52" spans="1:7" ht="15.75" x14ac:dyDescent="0.25">
      <c r="A52" s="116" t="s">
        <v>384</v>
      </c>
      <c r="B52" s="115" t="s">
        <v>891</v>
      </c>
      <c r="C52" s="120">
        <v>41.04</v>
      </c>
      <c r="D52" s="120"/>
      <c r="E52" s="120"/>
      <c r="F52" s="121"/>
      <c r="G52" t="str">
        <f>VLOOKUP(A52,'FL Part Num Mapping'!A:B,2, FALSE)</f>
        <v>SVCS-SHP</v>
      </c>
    </row>
    <row r="53" spans="1:7" ht="15.75" x14ac:dyDescent="0.25">
      <c r="A53" s="116" t="s">
        <v>310</v>
      </c>
      <c r="B53" s="115" t="s">
        <v>890</v>
      </c>
      <c r="C53" s="120">
        <v>300.2</v>
      </c>
      <c r="D53" s="123"/>
      <c r="E53" s="123"/>
      <c r="F53" s="122"/>
      <c r="G53" t="str">
        <f>VLOOKUP(A53,'FL Part Num Mapping'!A:B,2, FALSE)</f>
        <v>SVCS-CFG</v>
      </c>
    </row>
    <row r="54" spans="1:7" ht="15.75" x14ac:dyDescent="0.25">
      <c r="A54" s="116" t="s">
        <v>310</v>
      </c>
      <c r="B54" s="115" t="s">
        <v>889</v>
      </c>
      <c r="C54" s="120">
        <v>121.6</v>
      </c>
      <c r="D54" s="123"/>
      <c r="E54" s="123"/>
      <c r="F54" s="122"/>
      <c r="G54" t="str">
        <f>VLOOKUP(A54,'FL Part Num Mapping'!A:B,2, FALSE)</f>
        <v>SVCS-CFG</v>
      </c>
    </row>
    <row r="55" spans="1:7" ht="15.75" x14ac:dyDescent="0.25">
      <c r="A55" s="116" t="s">
        <v>344</v>
      </c>
      <c r="B55" s="115" t="s">
        <v>888</v>
      </c>
      <c r="C55" s="120">
        <v>0</v>
      </c>
      <c r="D55" s="119"/>
      <c r="E55" s="119"/>
      <c r="F55" s="118"/>
      <c r="G55" t="str">
        <f>VLOOKUP(A55,'FL Part Num Mapping'!A:B,2, FALSE)</f>
        <v>SCVS-OnSite-1</v>
      </c>
    </row>
    <row r="56" spans="1:7" ht="15.75" x14ac:dyDescent="0.25">
      <c r="A56" s="116" t="s">
        <v>358</v>
      </c>
      <c r="B56" s="115" t="s">
        <v>887</v>
      </c>
      <c r="C56" s="120">
        <v>0</v>
      </c>
      <c r="D56" s="119"/>
      <c r="E56" s="119"/>
      <c r="F56" s="118"/>
      <c r="G56" t="str">
        <f>VLOOKUP(A56,'FL Part Num Mapping'!A:B,2, FALSE)</f>
        <v>SCVS-OnSite-2</v>
      </c>
    </row>
    <row r="57" spans="1:7" ht="15.75" x14ac:dyDescent="0.25">
      <c r="A57" s="116" t="s">
        <v>344</v>
      </c>
      <c r="B57" s="115" t="s">
        <v>886</v>
      </c>
      <c r="C57" s="120">
        <v>0</v>
      </c>
      <c r="D57" s="119"/>
      <c r="E57" s="119"/>
      <c r="F57" s="118"/>
      <c r="G57" t="str">
        <f>VLOOKUP(A57,'FL Part Num Mapping'!A:B,2, FALSE)</f>
        <v>SCVS-OnSite-1</v>
      </c>
    </row>
    <row r="58" spans="1:7" ht="31.5" x14ac:dyDescent="0.25">
      <c r="A58" s="116" t="s">
        <v>344</v>
      </c>
      <c r="B58" s="115" t="s">
        <v>985</v>
      </c>
      <c r="C58" s="120">
        <v>1592.2</v>
      </c>
      <c r="D58" s="120">
        <v>601.23599999999999</v>
      </c>
      <c r="E58" s="120">
        <v>601.23599999999999</v>
      </c>
      <c r="F58" s="121">
        <v>601.23599999999999</v>
      </c>
      <c r="G58" t="str">
        <f>VLOOKUP(A58,'FL Part Num Mapping'!A:B,2, FALSE)</f>
        <v>SCVS-OnSite-1</v>
      </c>
    </row>
    <row r="59" spans="1:7" ht="31.5" x14ac:dyDescent="0.25">
      <c r="A59" s="116" t="s">
        <v>1464</v>
      </c>
      <c r="B59" s="115" t="s">
        <v>885</v>
      </c>
      <c r="C59" s="120">
        <v>3340.2</v>
      </c>
      <c r="D59" s="120">
        <v>601.23599999999999</v>
      </c>
      <c r="E59" s="120">
        <v>601.23599999999999</v>
      </c>
      <c r="F59" s="121">
        <v>601.23599999999999</v>
      </c>
      <c r="G59" t="str">
        <f>VLOOKUP(A59,'FL Part Num Mapping'!A:B,2, FALSE)</f>
        <v>SCVS-Onsite-CMS</v>
      </c>
    </row>
    <row r="60" spans="1:7" ht="15.75" x14ac:dyDescent="0.25">
      <c r="A60" s="116" t="s">
        <v>316</v>
      </c>
      <c r="B60" s="115" t="s">
        <v>884</v>
      </c>
      <c r="C60" s="120">
        <v>300.2</v>
      </c>
      <c r="D60" s="119"/>
      <c r="E60" s="119"/>
      <c r="F60" s="118"/>
      <c r="G60" t="str">
        <f>VLOOKUP(A60,'FL Part Num Mapping'!A:B,2, FALSE)</f>
        <v>SVCS-Train-RM</v>
      </c>
    </row>
    <row r="61" spans="1:7" ht="63" x14ac:dyDescent="0.25">
      <c r="A61" s="117" t="s">
        <v>789</v>
      </c>
      <c r="B61" s="115" t="s">
        <v>883</v>
      </c>
      <c r="C61" s="114">
        <v>21203.276842105261</v>
      </c>
      <c r="D61" s="114">
        <v>2806.3160526315787</v>
      </c>
      <c r="E61" s="114">
        <v>2806.3160526315787</v>
      </c>
      <c r="F61" s="113">
        <v>2806.3160526315787</v>
      </c>
      <c r="G61" t="str">
        <f>VLOOKUP(A61,'FL Part Num Mapping'!A:B,2, FALSE)</f>
        <v>LS4G-FL-1000-DT</v>
      </c>
    </row>
    <row r="62" spans="1:7" ht="47.25" x14ac:dyDescent="0.25">
      <c r="A62" s="116" t="s">
        <v>806</v>
      </c>
      <c r="B62" s="115" t="s">
        <v>882</v>
      </c>
      <c r="C62" s="114">
        <v>3947.3157894736801</v>
      </c>
      <c r="D62" s="114">
        <v>1246.5207756232701</v>
      </c>
      <c r="E62" s="114">
        <v>1246.5207756232683</v>
      </c>
      <c r="F62" s="113">
        <v>1246.5207756232701</v>
      </c>
      <c r="G62" t="str">
        <f>VLOOKUP(A62,'FL Part Num Mapping'!A:B,2, FALSE)</f>
        <v>LS4G-FL-2F-DT</v>
      </c>
    </row>
    <row r="63" spans="1:7" ht="47.25" x14ac:dyDescent="0.25">
      <c r="A63" s="116" t="s">
        <v>805</v>
      </c>
      <c r="B63" s="115" t="s">
        <v>881</v>
      </c>
      <c r="C63" s="114">
        <v>3859.894736842105</v>
      </c>
      <c r="D63" s="114">
        <v>914.18559556786693</v>
      </c>
      <c r="E63" s="114">
        <v>914.18559556786693</v>
      </c>
      <c r="F63" s="113">
        <v>914.18559556786693</v>
      </c>
      <c r="G63" t="str">
        <f>VLOOKUP(A63,'FL Part Num Mapping'!A:B,2, FALSE)</f>
        <v>LS4G-FL-2F-LT</v>
      </c>
    </row>
    <row r="64" spans="1:7" ht="63" x14ac:dyDescent="0.25">
      <c r="A64" s="117" t="s">
        <v>790</v>
      </c>
      <c r="B64" s="115" t="s">
        <v>880</v>
      </c>
      <c r="C64" s="114">
        <v>23599.865263157892</v>
      </c>
      <c r="D64" s="114">
        <v>3123.511578947368</v>
      </c>
      <c r="E64" s="114">
        <v>3123.511578947368</v>
      </c>
      <c r="F64" s="113">
        <v>3123.511578947368</v>
      </c>
      <c r="G64" t="str">
        <f>VLOOKUP(A64,'FL Part Num Mapping'!A:B,2, FALSE)</f>
        <v>LS4G-FL-500-CAB</v>
      </c>
    </row>
    <row r="65" spans="1:7" ht="63" x14ac:dyDescent="0.25">
      <c r="A65" s="117" t="s">
        <v>788</v>
      </c>
      <c r="B65" s="115" t="s">
        <v>879</v>
      </c>
      <c r="C65" s="114">
        <v>18948.539999999997</v>
      </c>
      <c r="D65" s="114">
        <v>2507.8949999999995</v>
      </c>
      <c r="E65" s="114">
        <v>2507.8949999999995</v>
      </c>
      <c r="F65" s="113">
        <v>2507.8949999999995</v>
      </c>
      <c r="G65" t="str">
        <f>VLOOKUP(A65,'FL Part Num Mapping'!A:B,2, FALSE)</f>
        <v>LS4G-FL-500-DT</v>
      </c>
    </row>
    <row r="66" spans="1:7" ht="47.25" x14ac:dyDescent="0.25">
      <c r="A66" s="116" t="s">
        <v>719</v>
      </c>
      <c r="B66" s="115" t="s">
        <v>878</v>
      </c>
      <c r="C66" s="114">
        <v>4768.9473684210516</v>
      </c>
      <c r="D66" s="114">
        <v>631.18421052631572</v>
      </c>
      <c r="E66" s="114">
        <v>631.18421052631572</v>
      </c>
      <c r="F66" s="113">
        <v>631.18421052631572</v>
      </c>
      <c r="G66" t="str">
        <f>VLOOKUP(A66,'FL Part Num Mapping'!A:B,2, FALSE)</f>
        <v>LS4G-FL-I3-DT</v>
      </c>
    </row>
    <row r="67" spans="1:7" ht="47.25" x14ac:dyDescent="0.25">
      <c r="A67" s="116" t="s">
        <v>799</v>
      </c>
      <c r="B67" s="115" t="s">
        <v>877</v>
      </c>
      <c r="C67" s="114">
        <v>6433.1578947368416</v>
      </c>
      <c r="D67" s="114">
        <v>851.4473684210526</v>
      </c>
      <c r="E67" s="114">
        <v>851.4473684210526</v>
      </c>
      <c r="F67" s="113">
        <v>851.4473684210526</v>
      </c>
      <c r="G67" t="str">
        <f>VLOOKUP(A67,'FL Part Num Mapping'!A:B,2, FALSE)</f>
        <v>LS4G-FL-RS10-DT</v>
      </c>
    </row>
    <row r="68" spans="1:7" ht="47.25" x14ac:dyDescent="0.25">
      <c r="A68" s="116" t="s">
        <v>718</v>
      </c>
      <c r="B68" s="115" t="s">
        <v>876</v>
      </c>
      <c r="C68" s="114">
        <v>8430.2105263157882</v>
      </c>
      <c r="D68" s="114">
        <v>1115.7631578947369</v>
      </c>
      <c r="E68" s="114">
        <v>1115.7631578947369</v>
      </c>
      <c r="F68" s="113">
        <v>1115.7631578947369</v>
      </c>
      <c r="G68" t="str">
        <f>VLOOKUP(A68,'FL Part Num Mapping'!A:B,2, FALSE)</f>
        <v>LS4G-FL-200-DT</v>
      </c>
    </row>
    <row r="69" spans="1:7" ht="47.25" x14ac:dyDescent="0.25">
      <c r="A69" s="116" t="s">
        <v>804</v>
      </c>
      <c r="B69" s="115" t="s">
        <v>875</v>
      </c>
      <c r="C69" s="114">
        <v>12965.22</v>
      </c>
      <c r="D69" s="114">
        <v>1715.9849999999999</v>
      </c>
      <c r="E69" s="114">
        <v>1715.9849999999999</v>
      </c>
      <c r="F69" s="113">
        <v>1715.9849999999999</v>
      </c>
      <c r="G69" t="str">
        <f>VLOOKUP(A69,'FL Part Num Mapping'!A:B,2, FALSE)</f>
        <v>LS4G-FL-200-CAB</v>
      </c>
    </row>
    <row r="70" spans="1:7" ht="47.25" x14ac:dyDescent="0.25">
      <c r="A70" s="116" t="s">
        <v>1033</v>
      </c>
      <c r="B70" s="115" t="s">
        <v>874</v>
      </c>
      <c r="C70" s="114">
        <v>6601.3684210526308</v>
      </c>
      <c r="D70" s="114">
        <v>873.71052631578937</v>
      </c>
      <c r="E70" s="114">
        <v>873.71052631578937</v>
      </c>
      <c r="F70" s="113">
        <v>873.71052631578937</v>
      </c>
      <c r="G70" t="str">
        <f>VLOOKUP(A70,'FL Part Num Mapping'!A:B,2, FALSE)</f>
        <v>LS4G-FL-PAT-DT</v>
      </c>
    </row>
    <row r="71" spans="1:7" ht="63.75" thickBot="1" x14ac:dyDescent="0.3">
      <c r="A71" s="112" t="s">
        <v>787</v>
      </c>
      <c r="B71" s="111" t="s">
        <v>873</v>
      </c>
      <c r="C71" s="110">
        <v>15109.1715789474</v>
      </c>
      <c r="D71" s="110">
        <v>1602.6844736842106</v>
      </c>
      <c r="E71" s="110">
        <v>1602.6844736842106</v>
      </c>
      <c r="F71" s="109">
        <v>1602.6844736842106</v>
      </c>
      <c r="G71" t="str">
        <f>VLOOKUP(A71,'FL Part Num Mapping'!A:B,2, FALSE)</f>
        <v>LS4G-FL-RSF-DT</v>
      </c>
    </row>
  </sheetData>
  <sheetProtection algorithmName="SHA-512" hashValue="HlAahqk+fHufAWRUnBwQW1sLV/riU4BPdwcH6Z4ggo4sPZdEIO1sqFhy0o1fk+/hDbtbNHxs3yypUMtIzn8doQ==" saltValue="Xt6RxKJJKo3bT8zEPX8IXw==" spinCount="100000" sheet="1" objects="1" scenarios="1"/>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1063</v>
      </c>
      <c r="B1" s="205" t="s">
        <v>123</v>
      </c>
      <c r="C1" s="205" t="s">
        <v>124</v>
      </c>
    </row>
    <row r="2" spans="1:3" x14ac:dyDescent="0.25">
      <c r="A2" s="215" t="s">
        <v>845</v>
      </c>
      <c r="B2" s="214" t="s">
        <v>1161</v>
      </c>
      <c r="C2" s="211" t="s">
        <v>839</v>
      </c>
    </row>
    <row r="3" spans="1:3" x14ac:dyDescent="0.25">
      <c r="A3" s="215" t="s">
        <v>844</v>
      </c>
      <c r="B3" s="214" t="s">
        <v>1160</v>
      </c>
      <c r="C3" s="211" t="s">
        <v>838</v>
      </c>
    </row>
    <row r="4" spans="1:3" x14ac:dyDescent="0.25">
      <c r="A4" s="215" t="s">
        <v>846</v>
      </c>
      <c r="B4" s="214" t="s">
        <v>1162</v>
      </c>
      <c r="C4" s="211" t="s">
        <v>840</v>
      </c>
    </row>
    <row r="5" spans="1:3" ht="42.75" x14ac:dyDescent="0.25">
      <c r="A5" s="213" t="s">
        <v>854</v>
      </c>
      <c r="B5" s="214" t="s">
        <v>1157</v>
      </c>
      <c r="C5" s="211" t="s">
        <v>1158</v>
      </c>
    </row>
    <row r="6" spans="1:3" ht="28.5" x14ac:dyDescent="0.25">
      <c r="A6" s="213" t="s">
        <v>854</v>
      </c>
      <c r="B6" s="214" t="s">
        <v>1157</v>
      </c>
      <c r="C6" s="211" t="s">
        <v>1159</v>
      </c>
    </row>
    <row r="7" spans="1:3" x14ac:dyDescent="0.25">
      <c r="A7" s="215" t="s">
        <v>848</v>
      </c>
      <c r="B7" s="214" t="s">
        <v>1164</v>
      </c>
      <c r="C7" s="211" t="s">
        <v>842</v>
      </c>
    </row>
    <row r="8" spans="1:3" x14ac:dyDescent="0.25">
      <c r="A8" s="215" t="s">
        <v>849</v>
      </c>
      <c r="B8" s="214" t="s">
        <v>1062</v>
      </c>
      <c r="C8" s="211" t="s">
        <v>843</v>
      </c>
    </row>
    <row r="9" spans="1:3" x14ac:dyDescent="0.25">
      <c r="A9" s="215" t="s">
        <v>847</v>
      </c>
      <c r="B9" s="214" t="s">
        <v>1163</v>
      </c>
      <c r="C9" s="211" t="s">
        <v>841</v>
      </c>
    </row>
    <row r="10" spans="1:3" x14ac:dyDescent="0.25">
      <c r="A10" s="213" t="s">
        <v>186</v>
      </c>
      <c r="B10" s="214" t="s">
        <v>1088</v>
      </c>
      <c r="C10" s="207" t="s">
        <v>934</v>
      </c>
    </row>
    <row r="11" spans="1:3" s="212" customFormat="1" ht="14.25" x14ac:dyDescent="0.2">
      <c r="A11" s="213" t="s">
        <v>187</v>
      </c>
      <c r="B11" s="214" t="s">
        <v>1089</v>
      </c>
      <c r="C11" s="207" t="s">
        <v>933</v>
      </c>
    </row>
    <row r="12" spans="1:3" s="212" customFormat="1" ht="14.25" x14ac:dyDescent="0.2">
      <c r="A12" s="213" t="s">
        <v>151</v>
      </c>
      <c r="B12" s="214" t="s">
        <v>1090</v>
      </c>
      <c r="C12" s="207" t="s">
        <v>1091</v>
      </c>
    </row>
    <row r="13" spans="1:3" s="212" customFormat="1" ht="14.25" x14ac:dyDescent="0.2">
      <c r="A13" s="213" t="s">
        <v>149</v>
      </c>
      <c r="B13" s="214" t="s">
        <v>1092</v>
      </c>
      <c r="C13" s="207" t="s">
        <v>931</v>
      </c>
    </row>
    <row r="14" spans="1:3" x14ac:dyDescent="0.25">
      <c r="A14" s="213" t="s">
        <v>157</v>
      </c>
      <c r="B14" s="214" t="s">
        <v>1093</v>
      </c>
      <c r="C14" s="207" t="s">
        <v>930</v>
      </c>
    </row>
    <row r="15" spans="1:3" ht="28.5" x14ac:dyDescent="0.25">
      <c r="A15" s="213" t="s">
        <v>682</v>
      </c>
      <c r="B15" s="214" t="s">
        <v>1094</v>
      </c>
      <c r="C15" s="207" t="s">
        <v>1095</v>
      </c>
    </row>
    <row r="16" spans="1:3" ht="57" x14ac:dyDescent="0.25">
      <c r="A16" s="213" t="s">
        <v>682</v>
      </c>
      <c r="B16" s="214" t="s">
        <v>1155</v>
      </c>
      <c r="C16" s="211" t="s">
        <v>1156</v>
      </c>
    </row>
    <row r="17" spans="1:3" x14ac:dyDescent="0.25">
      <c r="A17" s="213" t="s">
        <v>167</v>
      </c>
      <c r="B17" s="214" t="s">
        <v>1103</v>
      </c>
      <c r="C17" s="207" t="s">
        <v>927</v>
      </c>
    </row>
    <row r="18" spans="1:3" x14ac:dyDescent="0.25">
      <c r="A18" s="213" t="s">
        <v>197</v>
      </c>
      <c r="B18" s="214" t="s">
        <v>1096</v>
      </c>
      <c r="C18" s="207" t="s">
        <v>926</v>
      </c>
    </row>
    <row r="19" spans="1:3" x14ac:dyDescent="0.25">
      <c r="A19" s="213" t="s">
        <v>173</v>
      </c>
      <c r="B19" s="214" t="s">
        <v>1113</v>
      </c>
      <c r="C19" s="207" t="s">
        <v>925</v>
      </c>
    </row>
    <row r="20" spans="1:3" x14ac:dyDescent="0.25">
      <c r="A20" s="213" t="s">
        <v>177</v>
      </c>
      <c r="B20" s="214" t="s">
        <v>1114</v>
      </c>
      <c r="C20" s="214" t="s">
        <v>924</v>
      </c>
    </row>
    <row r="21" spans="1:3" x14ac:dyDescent="0.25">
      <c r="A21" s="213" t="s">
        <v>198</v>
      </c>
      <c r="B21" s="214" t="s">
        <v>1097</v>
      </c>
      <c r="C21" s="207" t="s">
        <v>1098</v>
      </c>
    </row>
    <row r="22" spans="1:3" x14ac:dyDescent="0.25">
      <c r="A22" s="213" t="s">
        <v>819</v>
      </c>
      <c r="B22" s="214" t="s">
        <v>1115</v>
      </c>
      <c r="C22" s="214" t="s">
        <v>1116</v>
      </c>
    </row>
    <row r="23" spans="1:3" x14ac:dyDescent="0.25">
      <c r="A23" s="213" t="s">
        <v>185</v>
      </c>
      <c r="B23" s="214" t="s">
        <v>1099</v>
      </c>
      <c r="C23" s="207" t="s">
        <v>921</v>
      </c>
    </row>
    <row r="24" spans="1:3" x14ac:dyDescent="0.25">
      <c r="A24" s="213" t="s">
        <v>520</v>
      </c>
      <c r="B24" s="214" t="s">
        <v>1100</v>
      </c>
      <c r="C24" s="207" t="s">
        <v>920</v>
      </c>
    </row>
    <row r="25" spans="1:3" x14ac:dyDescent="0.25">
      <c r="A25" s="213" t="s">
        <v>813</v>
      </c>
      <c r="B25" s="214" t="s">
        <v>1101</v>
      </c>
      <c r="C25" s="207" t="s">
        <v>919</v>
      </c>
    </row>
    <row r="26" spans="1:3" x14ac:dyDescent="0.25">
      <c r="A26" s="213" t="s">
        <v>519</v>
      </c>
      <c r="B26" s="214" t="s">
        <v>1102</v>
      </c>
      <c r="C26" s="207" t="s">
        <v>918</v>
      </c>
    </row>
    <row r="27" spans="1:3" x14ac:dyDescent="0.25">
      <c r="A27" s="213" t="s">
        <v>375</v>
      </c>
      <c r="B27" s="214" t="s">
        <v>375</v>
      </c>
      <c r="C27" s="207" t="s">
        <v>1104</v>
      </c>
    </row>
    <row r="28" spans="1:3" x14ac:dyDescent="0.25">
      <c r="A28" s="213" t="s">
        <v>208</v>
      </c>
      <c r="B28" s="214" t="s">
        <v>208</v>
      </c>
      <c r="C28" s="207" t="s">
        <v>1105</v>
      </c>
    </row>
    <row r="29" spans="1:3" x14ac:dyDescent="0.25">
      <c r="A29" s="213" t="s">
        <v>376</v>
      </c>
      <c r="B29" s="214" t="s">
        <v>376</v>
      </c>
      <c r="C29" s="207" t="s">
        <v>1106</v>
      </c>
    </row>
    <row r="30" spans="1:3" x14ac:dyDescent="0.25">
      <c r="A30" s="213" t="s">
        <v>801</v>
      </c>
      <c r="B30" s="214" t="s">
        <v>1110</v>
      </c>
      <c r="C30" s="207" t="s">
        <v>1111</v>
      </c>
    </row>
    <row r="31" spans="1:3" x14ac:dyDescent="0.25">
      <c r="A31" s="213" t="s">
        <v>206</v>
      </c>
      <c r="B31" s="214" t="s">
        <v>1107</v>
      </c>
      <c r="C31" s="207" t="s">
        <v>1108</v>
      </c>
    </row>
    <row r="32" spans="1:3" x14ac:dyDescent="0.25">
      <c r="A32" s="213" t="s">
        <v>822</v>
      </c>
      <c r="B32" s="207" t="s">
        <v>1117</v>
      </c>
      <c r="C32" s="214" t="s">
        <v>912</v>
      </c>
    </row>
    <row r="33" spans="1:3" x14ac:dyDescent="0.25">
      <c r="A33" s="213" t="s">
        <v>511</v>
      </c>
      <c r="B33" s="214" t="s">
        <v>205</v>
      </c>
      <c r="C33" s="207" t="s">
        <v>1109</v>
      </c>
    </row>
    <row r="34" spans="1:3" x14ac:dyDescent="0.25">
      <c r="A34" s="213" t="s">
        <v>211</v>
      </c>
      <c r="B34" s="214" t="s">
        <v>211</v>
      </c>
      <c r="C34" s="207" t="s">
        <v>1112</v>
      </c>
    </row>
    <row r="35" spans="1:3" s="212" customFormat="1" ht="14.25" x14ac:dyDescent="0.2">
      <c r="A35" s="213" t="s">
        <v>818</v>
      </c>
      <c r="B35" s="214" t="s">
        <v>818</v>
      </c>
      <c r="C35" s="207" t="s">
        <v>909</v>
      </c>
    </row>
    <row r="36" spans="1:3" s="212" customFormat="1" ht="14.25" x14ac:dyDescent="0.2">
      <c r="A36" s="208" t="s">
        <v>908</v>
      </c>
      <c r="B36" s="214" t="s">
        <v>1061</v>
      </c>
      <c r="C36" s="207" t="s">
        <v>907</v>
      </c>
    </row>
    <row r="37" spans="1:3" s="212" customFormat="1" ht="14.25" x14ac:dyDescent="0.2">
      <c r="A37" s="208" t="s">
        <v>654</v>
      </c>
      <c r="B37" s="214" t="s">
        <v>1137</v>
      </c>
      <c r="C37" s="207" t="s">
        <v>1138</v>
      </c>
    </row>
    <row r="38" spans="1:3" s="212" customFormat="1" ht="14.25" x14ac:dyDescent="0.2">
      <c r="A38" s="208" t="s">
        <v>650</v>
      </c>
      <c r="B38" s="214" t="s">
        <v>1126</v>
      </c>
      <c r="C38" s="207" t="s">
        <v>1127</v>
      </c>
    </row>
    <row r="39" spans="1:3" s="212" customFormat="1" ht="14.25" x14ac:dyDescent="0.2">
      <c r="A39" s="213" t="s">
        <v>825</v>
      </c>
      <c r="B39" s="214" t="s">
        <v>1118</v>
      </c>
      <c r="C39" s="207" t="s">
        <v>1119</v>
      </c>
    </row>
    <row r="40" spans="1:3" x14ac:dyDescent="0.25">
      <c r="A40" s="208" t="s">
        <v>651</v>
      </c>
      <c r="B40" s="214" t="s">
        <v>1128</v>
      </c>
      <c r="C40" s="207" t="s">
        <v>1129</v>
      </c>
    </row>
    <row r="41" spans="1:3" x14ac:dyDescent="0.25">
      <c r="A41" s="208" t="s">
        <v>830</v>
      </c>
      <c r="B41" s="214" t="s">
        <v>1120</v>
      </c>
      <c r="C41" s="207" t="s">
        <v>1121</v>
      </c>
    </row>
    <row r="42" spans="1:3" x14ac:dyDescent="0.25">
      <c r="A42" s="208" t="s">
        <v>834</v>
      </c>
      <c r="B42" s="214" t="s">
        <v>1124</v>
      </c>
      <c r="C42" s="207" t="s">
        <v>1125</v>
      </c>
    </row>
    <row r="43" spans="1:3" x14ac:dyDescent="0.25">
      <c r="A43" s="208" t="s">
        <v>829</v>
      </c>
      <c r="B43" s="214" t="s">
        <v>1122</v>
      </c>
      <c r="C43" s="207" t="s">
        <v>1123</v>
      </c>
    </row>
    <row r="44" spans="1:3" x14ac:dyDescent="0.25">
      <c r="A44" s="215" t="s">
        <v>837</v>
      </c>
      <c r="B44" s="214" t="s">
        <v>1139</v>
      </c>
      <c r="C44" s="207" t="s">
        <v>836</v>
      </c>
    </row>
    <row r="45" spans="1:3" x14ac:dyDescent="0.25">
      <c r="A45" s="208" t="s">
        <v>323</v>
      </c>
      <c r="B45" s="214" t="s">
        <v>1130</v>
      </c>
      <c r="C45" s="207" t="s">
        <v>1131</v>
      </c>
    </row>
    <row r="46" spans="1:3" x14ac:dyDescent="0.25">
      <c r="A46" s="208" t="s">
        <v>323</v>
      </c>
      <c r="B46" s="214" t="s">
        <v>1132</v>
      </c>
      <c r="C46" s="207" t="s">
        <v>898</v>
      </c>
    </row>
    <row r="47" spans="1:3" x14ac:dyDescent="0.25">
      <c r="A47" s="213" t="s">
        <v>324</v>
      </c>
      <c r="B47" s="214" t="s">
        <v>1133</v>
      </c>
      <c r="C47" s="207" t="s">
        <v>1134</v>
      </c>
    </row>
    <row r="48" spans="1:3" x14ac:dyDescent="0.25">
      <c r="A48" s="208" t="s">
        <v>325</v>
      </c>
      <c r="B48" s="214" t="s">
        <v>1135</v>
      </c>
      <c r="C48" s="207" t="s">
        <v>1136</v>
      </c>
    </row>
    <row r="49" spans="1:16375" ht="42.75" x14ac:dyDescent="0.25">
      <c r="A49" s="206" t="s">
        <v>895</v>
      </c>
      <c r="B49" s="207" t="s">
        <v>1086</v>
      </c>
      <c r="C49" s="207" t="s">
        <v>1087</v>
      </c>
    </row>
    <row r="50" spans="1:16375" x14ac:dyDescent="0.25">
      <c r="A50" s="208" t="s">
        <v>382</v>
      </c>
      <c r="B50" s="214" t="s">
        <v>1147</v>
      </c>
      <c r="C50" s="207" t="s">
        <v>893</v>
      </c>
    </row>
    <row r="51" spans="1:16375" x14ac:dyDescent="0.25">
      <c r="A51" s="208" t="s">
        <v>384</v>
      </c>
      <c r="B51" s="214" t="s">
        <v>1146</v>
      </c>
      <c r="C51" s="207" t="s">
        <v>892</v>
      </c>
    </row>
    <row r="52" spans="1:16375" x14ac:dyDescent="0.25">
      <c r="A52" s="208" t="s">
        <v>384</v>
      </c>
      <c r="B52" s="214" t="s">
        <v>1152</v>
      </c>
      <c r="C52" s="207" t="s">
        <v>892</v>
      </c>
    </row>
    <row r="53" spans="1:16375" x14ac:dyDescent="0.25">
      <c r="A53" s="208" t="s">
        <v>310</v>
      </c>
      <c r="B53" s="214" t="s">
        <v>1144</v>
      </c>
      <c r="C53" s="207" t="s">
        <v>890</v>
      </c>
    </row>
    <row r="54" spans="1:16375" x14ac:dyDescent="0.25">
      <c r="A54" s="208" t="s">
        <v>310</v>
      </c>
      <c r="B54" s="214" t="s">
        <v>1145</v>
      </c>
      <c r="C54" s="207" t="s">
        <v>889</v>
      </c>
    </row>
    <row r="55" spans="1:16375" ht="28.5" x14ac:dyDescent="0.25">
      <c r="A55" s="208" t="s">
        <v>344</v>
      </c>
      <c r="B55" s="214" t="s">
        <v>1140</v>
      </c>
      <c r="C55" s="207" t="s">
        <v>1141</v>
      </c>
    </row>
    <row r="56" spans="1:16375" x14ac:dyDescent="0.25">
      <c r="A56" s="208" t="s">
        <v>358</v>
      </c>
      <c r="B56" s="214" t="s">
        <v>1142</v>
      </c>
      <c r="C56" s="207" t="s">
        <v>1143</v>
      </c>
    </row>
    <row r="57" spans="1:16375" s="212" customFormat="1" ht="14.25" x14ac:dyDescent="0.2">
      <c r="A57" s="208" t="s">
        <v>344</v>
      </c>
      <c r="B57" s="214" t="s">
        <v>1148</v>
      </c>
      <c r="C57" s="207" t="s">
        <v>1149</v>
      </c>
    </row>
    <row r="58" spans="1:16375" s="212" customFormat="1" ht="28.5" x14ac:dyDescent="0.2">
      <c r="A58" s="208" t="s">
        <v>1464</v>
      </c>
      <c r="B58" s="214" t="s">
        <v>1165</v>
      </c>
      <c r="C58" s="211" t="s">
        <v>885</v>
      </c>
    </row>
    <row r="59" spans="1:16375" s="212" customFormat="1" ht="14.25" x14ac:dyDescent="0.2">
      <c r="A59" s="208" t="s">
        <v>316</v>
      </c>
      <c r="B59" s="214" t="s">
        <v>1150</v>
      </c>
      <c r="C59" s="207" t="s">
        <v>1151</v>
      </c>
    </row>
    <row r="60" spans="1:16375" s="212" customFormat="1" ht="14.25" x14ac:dyDescent="0.2">
      <c r="A60" s="222" t="s">
        <v>316</v>
      </c>
      <c r="B60" s="223" t="s">
        <v>1153</v>
      </c>
      <c r="C60" s="223" t="s">
        <v>1154</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789</v>
      </c>
      <c r="B61" s="207" t="s">
        <v>1068</v>
      </c>
      <c r="C61" s="207" t="s">
        <v>1069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806</v>
      </c>
      <c r="B62" s="210" t="s">
        <v>1084</v>
      </c>
      <c r="C62" s="211" t="s">
        <v>1085</v>
      </c>
    </row>
    <row r="63" spans="1:16375" s="209" customFormat="1" ht="57" x14ac:dyDescent="0.2">
      <c r="A63" s="208" t="s">
        <v>805</v>
      </c>
      <c r="B63" s="210" t="s">
        <v>1082</v>
      </c>
      <c r="C63" s="211" t="s">
        <v>1083</v>
      </c>
    </row>
    <row r="64" spans="1:16375" s="209" customFormat="1" ht="72" x14ac:dyDescent="0.2">
      <c r="A64" s="206" t="s">
        <v>790</v>
      </c>
      <c r="B64" s="207" t="s">
        <v>1070</v>
      </c>
      <c r="C64" s="207" t="s">
        <v>1071</v>
      </c>
    </row>
    <row r="65" spans="1:3" s="209" customFormat="1" ht="72" x14ac:dyDescent="0.2">
      <c r="A65" s="206" t="s">
        <v>788</v>
      </c>
      <c r="B65" s="207" t="s">
        <v>1066</v>
      </c>
      <c r="C65" s="207" t="s">
        <v>1067</v>
      </c>
    </row>
    <row r="66" spans="1:3" s="209" customFormat="1" ht="57.75" x14ac:dyDescent="0.2">
      <c r="A66" s="208" t="s">
        <v>719</v>
      </c>
      <c r="B66" s="207" t="s">
        <v>1072</v>
      </c>
      <c r="C66" s="207" t="s">
        <v>1073</v>
      </c>
    </row>
    <row r="67" spans="1:3" s="209" customFormat="1" ht="57.75" x14ac:dyDescent="0.2">
      <c r="A67" s="208" t="s">
        <v>799</v>
      </c>
      <c r="B67" s="207" t="s">
        <v>1074</v>
      </c>
      <c r="C67" s="207" t="s">
        <v>1075</v>
      </c>
    </row>
    <row r="68" spans="1:3" s="209" customFormat="1" ht="57.75" x14ac:dyDescent="0.2">
      <c r="A68" s="208" t="s">
        <v>718</v>
      </c>
      <c r="B68" s="207" t="s">
        <v>1078</v>
      </c>
      <c r="C68" s="207" t="s">
        <v>1079</v>
      </c>
    </row>
    <row r="69" spans="1:3" s="209" customFormat="1" ht="57.75" x14ac:dyDescent="0.2">
      <c r="A69" s="208" t="s">
        <v>804</v>
      </c>
      <c r="B69" s="207" t="s">
        <v>1080</v>
      </c>
      <c r="C69" s="207" t="s">
        <v>1081</v>
      </c>
    </row>
    <row r="70" spans="1:3" s="209" customFormat="1" ht="57.75" x14ac:dyDescent="0.2">
      <c r="A70" s="208" t="s">
        <v>1033</v>
      </c>
      <c r="B70" s="207" t="s">
        <v>1076</v>
      </c>
      <c r="C70" s="207" t="s">
        <v>1077</v>
      </c>
    </row>
    <row r="71" spans="1:3" s="212" customFormat="1" ht="72" x14ac:dyDescent="0.2">
      <c r="A71" s="206" t="s">
        <v>787</v>
      </c>
      <c r="B71" s="207" t="s">
        <v>1064</v>
      </c>
      <c r="C71" s="207" t="s">
        <v>1065</v>
      </c>
    </row>
  </sheetData>
  <sheetProtection algorithmName="SHA-512" hashValue="O0/B/JAai6zjEMZDcysUUC2lDnqQP3VBwCeSCTCC8elil63Et0hB05DeoOun7Vmev7bdcD9dlVh8r+LXnuCwTA==" saltValue="VXFW/3jEuCSUaLAqMKFAjw==" spinCount="100000" sheet="1" objects="1" scenarios="1"/>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1440</v>
      </c>
      <c r="B1" s="226" t="s">
        <v>1240</v>
      </c>
      <c r="C1" s="226" t="s">
        <v>1241</v>
      </c>
      <c r="D1" s="229" t="s">
        <v>1242</v>
      </c>
    </row>
    <row r="2" spans="1:5" hidden="1" x14ac:dyDescent="0.25">
      <c r="A2" s="102" t="s">
        <v>845</v>
      </c>
      <c r="B2" s="225" t="s">
        <v>1161</v>
      </c>
      <c r="C2" s="225" t="s">
        <v>839</v>
      </c>
      <c r="D2" s="230">
        <v>501.6</v>
      </c>
      <c r="E2" t="str">
        <f>VLOOKUP(B2,Sheet1!A:G,1,FALSE)</f>
        <v>SW-CMS1000TP</v>
      </c>
    </row>
    <row r="3" spans="1:5" hidden="1" x14ac:dyDescent="0.25">
      <c r="A3" s="102" t="s">
        <v>844</v>
      </c>
      <c r="B3" s="225" t="s">
        <v>1160</v>
      </c>
      <c r="C3" s="225" t="s">
        <v>838</v>
      </c>
      <c r="D3" s="230">
        <v>984.2</v>
      </c>
      <c r="E3" t="str">
        <f>VLOOKUP(B3,Sheet1!A:G,1,FALSE)</f>
        <v>SW-CMS10CON</v>
      </c>
    </row>
    <row r="4" spans="1:5" hidden="1" x14ac:dyDescent="0.25">
      <c r="A4" s="102" t="s">
        <v>846</v>
      </c>
      <c r="B4" s="225" t="s">
        <v>1162</v>
      </c>
      <c r="C4" s="225" t="s">
        <v>840</v>
      </c>
      <c r="D4" s="230">
        <v>197.6</v>
      </c>
      <c r="E4" t="str">
        <f>VLOOKUP(B4,Sheet1!A:G,1,FALSE)</f>
        <v>SW-CMS5000S</v>
      </c>
    </row>
    <row r="5" spans="1:5" ht="60" hidden="1" x14ac:dyDescent="0.25">
      <c r="A5" s="227" t="s">
        <v>854</v>
      </c>
      <c r="B5" s="225" t="s">
        <v>1229</v>
      </c>
      <c r="C5" s="225" t="s">
        <v>1228</v>
      </c>
      <c r="D5" s="230">
        <v>11045.75</v>
      </c>
      <c r="E5" t="str">
        <f>VLOOKUP(B5,Sheet1!A:G,1,FALSE)</f>
        <v>CMS</v>
      </c>
    </row>
    <row r="6" spans="1:5" ht="60" hidden="1" x14ac:dyDescent="0.25">
      <c r="A6" s="227" t="s">
        <v>854</v>
      </c>
      <c r="B6" s="225" t="s">
        <v>1157</v>
      </c>
      <c r="C6" s="225" t="s">
        <v>1158</v>
      </c>
      <c r="D6" s="230">
        <v>7695</v>
      </c>
      <c r="E6" t="str">
        <f>VLOOKUP(B6,Sheet1!A:G,1,FALSE)</f>
        <v>SW-CMS</v>
      </c>
    </row>
    <row r="7" spans="1:5" ht="30" hidden="1" x14ac:dyDescent="0.25">
      <c r="A7" s="102" t="s">
        <v>848</v>
      </c>
      <c r="B7" s="225" t="s">
        <v>1164</v>
      </c>
      <c r="C7" s="225" t="s">
        <v>842</v>
      </c>
      <c r="D7" s="230">
        <v>4936.2</v>
      </c>
      <c r="E7" t="str">
        <f>VLOOKUP(B7,Sheet1!A:G,1,FALSE)</f>
        <v>SW-CMSINT1</v>
      </c>
    </row>
    <row r="8" spans="1:5" ht="30" hidden="1" x14ac:dyDescent="0.25">
      <c r="A8" s="102" t="s">
        <v>849</v>
      </c>
      <c r="B8" s="225" t="s">
        <v>1062</v>
      </c>
      <c r="C8" s="225" t="s">
        <v>843</v>
      </c>
      <c r="D8" s="230">
        <v>8736.2000000000007</v>
      </c>
      <c r="E8" t="str">
        <f>VLOOKUP(B8,Sheet1!A:G,1,FALSE)</f>
        <v>SW-CMSINT2</v>
      </c>
    </row>
    <row r="9" spans="1:5" x14ac:dyDescent="0.25">
      <c r="A9" s="102" t="s">
        <v>186</v>
      </c>
      <c r="B9" s="225" t="s">
        <v>1209</v>
      </c>
      <c r="C9" s="225" t="s">
        <v>934</v>
      </c>
      <c r="D9" s="230">
        <v>161</v>
      </c>
      <c r="E9" t="e">
        <f>VLOOKUP(B9,Sheet1!A:G,1,FALSE)</f>
        <v>#N/A</v>
      </c>
    </row>
    <row r="10" spans="1:5" x14ac:dyDescent="0.25">
      <c r="A10" s="102" t="s">
        <v>187</v>
      </c>
      <c r="B10" s="225" t="s">
        <v>1208</v>
      </c>
      <c r="C10" s="225" t="s">
        <v>933</v>
      </c>
      <c r="D10" s="230">
        <v>299</v>
      </c>
      <c r="E10" t="e">
        <f>VLOOKUP(B10,Sheet1!A:G,1,FALSE)</f>
        <v>#N/A</v>
      </c>
    </row>
    <row r="11" spans="1:5" x14ac:dyDescent="0.25">
      <c r="A11" s="102" t="s">
        <v>151</v>
      </c>
      <c r="B11" s="225" t="s">
        <v>1057</v>
      </c>
      <c r="C11" s="225" t="s">
        <v>1195</v>
      </c>
      <c r="D11" s="230">
        <v>3491.4</v>
      </c>
      <c r="E11" t="e">
        <f>VLOOKUP(B11,Sheet1!A:G,1,FALSE)</f>
        <v>#N/A</v>
      </c>
    </row>
    <row r="12" spans="1:5" x14ac:dyDescent="0.25">
      <c r="A12" s="102" t="s">
        <v>149</v>
      </c>
      <c r="B12" s="225" t="s">
        <v>1059</v>
      </c>
      <c r="C12" s="225" t="s">
        <v>931</v>
      </c>
      <c r="D12" s="230">
        <v>759</v>
      </c>
      <c r="E12" t="e">
        <f>VLOOKUP(B12,Sheet1!A:G,1,FALSE)</f>
        <v>#N/A</v>
      </c>
    </row>
    <row r="13" spans="1:5" ht="30" x14ac:dyDescent="0.25">
      <c r="A13" s="102" t="s">
        <v>157</v>
      </c>
      <c r="B13" s="225" t="s">
        <v>1052</v>
      </c>
      <c r="C13" s="225" t="s">
        <v>930</v>
      </c>
      <c r="D13" s="230">
        <v>818.80000000000007</v>
      </c>
      <c r="E13" t="e">
        <f>VLOOKUP(B13,Sheet1!A:G,1,FALSE)</f>
        <v>#N/A</v>
      </c>
    </row>
    <row r="14" spans="1:5" ht="30" x14ac:dyDescent="0.25">
      <c r="A14" s="102" t="s">
        <v>496</v>
      </c>
      <c r="B14" s="225" t="s">
        <v>1197</v>
      </c>
      <c r="C14" s="225" t="s">
        <v>1196</v>
      </c>
      <c r="D14" s="230">
        <v>685.4</v>
      </c>
      <c r="E14" t="e">
        <f>VLOOKUP(B14,Sheet1!A:G,1,FALSE)</f>
        <v>#N/A</v>
      </c>
    </row>
    <row r="15" spans="1:5" ht="30" x14ac:dyDescent="0.25">
      <c r="A15" s="102" t="s">
        <v>494</v>
      </c>
      <c r="B15" s="225" t="s">
        <v>1201</v>
      </c>
      <c r="C15" s="225" t="s">
        <v>1200</v>
      </c>
      <c r="D15" s="230">
        <v>409.40000000000003</v>
      </c>
      <c r="E15" t="e">
        <f>VLOOKUP(B15,Sheet1!A:G,1,FALSE)</f>
        <v>#N/A</v>
      </c>
    </row>
    <row r="16" spans="1:5" ht="30" x14ac:dyDescent="0.25">
      <c r="A16" s="102" t="s">
        <v>495</v>
      </c>
      <c r="B16" s="225" t="s">
        <v>1199</v>
      </c>
      <c r="C16" s="225" t="s">
        <v>1198</v>
      </c>
      <c r="D16" s="230">
        <v>575</v>
      </c>
      <c r="E16" t="e">
        <f>VLOOKUP(B16,Sheet1!A:G,1,FALSE)</f>
        <v>#N/A</v>
      </c>
    </row>
    <row r="17" spans="1:5" x14ac:dyDescent="0.25">
      <c r="A17" s="102" t="s">
        <v>782</v>
      </c>
      <c r="B17" s="225" t="s">
        <v>1056</v>
      </c>
      <c r="C17" s="225" t="s">
        <v>1225</v>
      </c>
      <c r="D17" s="230">
        <v>943</v>
      </c>
      <c r="E17" t="e">
        <f>VLOOKUP(B17,Sheet1!A:G,1,FALSE)</f>
        <v>#N/A</v>
      </c>
    </row>
    <row r="18" spans="1:5" ht="30" hidden="1" x14ac:dyDescent="0.25">
      <c r="A18" s="102" t="s">
        <v>782</v>
      </c>
      <c r="B18" s="225" t="s">
        <v>1219</v>
      </c>
      <c r="C18" s="225" t="s">
        <v>1218</v>
      </c>
      <c r="D18" s="230">
        <v>276</v>
      </c>
      <c r="E18" t="str">
        <f>VLOOKUP(B18,Sheet1!A:G,1,FALSE)</f>
        <v>HW-UPG-HPCOMPUTER</v>
      </c>
    </row>
    <row r="19" spans="1:5" x14ac:dyDescent="0.25">
      <c r="A19" s="102" t="s">
        <v>700</v>
      </c>
      <c r="B19" s="225" t="s">
        <v>1227</v>
      </c>
      <c r="C19" s="225" t="s">
        <v>1226</v>
      </c>
      <c r="D19" s="230">
        <v>667</v>
      </c>
      <c r="E19" t="e">
        <f>VLOOKUP(B19,Sheet1!A:G,1,FALSE)</f>
        <v>#N/A</v>
      </c>
    </row>
    <row r="20" spans="1:5" x14ac:dyDescent="0.25">
      <c r="A20" s="102" t="s">
        <v>192</v>
      </c>
      <c r="B20" s="225" t="s">
        <v>1167</v>
      </c>
      <c r="C20" s="225" t="s">
        <v>1210</v>
      </c>
      <c r="D20" s="230">
        <v>230</v>
      </c>
      <c r="E20" t="e">
        <f>VLOOKUP(B20,Sheet1!A:G,1,FALSE)</f>
        <v>#N/A</v>
      </c>
    </row>
    <row r="21" spans="1:5" x14ac:dyDescent="0.25">
      <c r="A21" s="102" t="s">
        <v>197</v>
      </c>
      <c r="B21" s="225" t="s">
        <v>1050</v>
      </c>
      <c r="C21" s="225" t="s">
        <v>926</v>
      </c>
      <c r="D21" s="230">
        <v>151.80000000000001</v>
      </c>
      <c r="E21" t="e">
        <f>VLOOKUP(B21,Sheet1!A:G,1,FALSE)</f>
        <v>#N/A</v>
      </c>
    </row>
    <row r="22" spans="1:5" x14ac:dyDescent="0.25">
      <c r="A22" s="102" t="s">
        <v>173</v>
      </c>
      <c r="B22" s="225" t="s">
        <v>1222</v>
      </c>
      <c r="C22" s="225" t="s">
        <v>925</v>
      </c>
      <c r="D22" s="230">
        <v>943</v>
      </c>
      <c r="E22" t="e">
        <f>VLOOKUP(B22,Sheet1!A:G,1,FALSE)</f>
        <v>#N/A</v>
      </c>
    </row>
    <row r="23" spans="1:5" x14ac:dyDescent="0.25">
      <c r="A23" s="102" t="s">
        <v>179</v>
      </c>
      <c r="B23" s="225" t="s">
        <v>1221</v>
      </c>
      <c r="C23" s="225" t="s">
        <v>1220</v>
      </c>
      <c r="D23" s="230">
        <v>3675.4</v>
      </c>
      <c r="E23" t="e">
        <f>VLOOKUP(B23,Sheet1!A:G,1,FALSE)</f>
        <v>#N/A</v>
      </c>
    </row>
    <row r="24" spans="1:5" x14ac:dyDescent="0.25">
      <c r="A24" s="102" t="s">
        <v>177</v>
      </c>
      <c r="B24" s="225" t="s">
        <v>1224</v>
      </c>
      <c r="C24" s="225" t="s">
        <v>1223</v>
      </c>
      <c r="D24" s="230">
        <v>667</v>
      </c>
      <c r="E24" t="e">
        <f>VLOOKUP(B24,Sheet1!A:G,1,FALSE)</f>
        <v>#N/A</v>
      </c>
    </row>
    <row r="25" spans="1:5" x14ac:dyDescent="0.25">
      <c r="A25" s="102" t="s">
        <v>198</v>
      </c>
      <c r="B25" s="225" t="s">
        <v>1097</v>
      </c>
      <c r="C25" s="225" t="s">
        <v>1098</v>
      </c>
      <c r="D25" s="230">
        <v>69</v>
      </c>
      <c r="E25" t="e">
        <f>VLOOKUP(B25,Sheet1!A:G,1,FALSE)</f>
        <v>#N/A</v>
      </c>
    </row>
    <row r="26" spans="1:5" x14ac:dyDescent="0.25">
      <c r="A26" s="102" t="s">
        <v>185</v>
      </c>
      <c r="B26" s="225" t="s">
        <v>1203</v>
      </c>
      <c r="C26" s="225" t="s">
        <v>1202</v>
      </c>
      <c r="D26" s="230">
        <v>391</v>
      </c>
      <c r="E26" t="e">
        <f>VLOOKUP(B26,Sheet1!A:G,1,FALSE)</f>
        <v>#N/A</v>
      </c>
    </row>
    <row r="27" spans="1:5" x14ac:dyDescent="0.25">
      <c r="A27" s="102" t="s">
        <v>185</v>
      </c>
      <c r="B27" s="225" t="s">
        <v>1205</v>
      </c>
      <c r="C27" s="225" t="s">
        <v>1204</v>
      </c>
      <c r="D27" s="230">
        <v>289.8</v>
      </c>
      <c r="E27" t="e">
        <f>VLOOKUP(B27,Sheet1!A:G,1,FALSE)</f>
        <v>#N/A</v>
      </c>
    </row>
    <row r="28" spans="1:5" x14ac:dyDescent="0.25">
      <c r="A28" s="102" t="s">
        <v>520</v>
      </c>
      <c r="B28" s="225" t="s">
        <v>1206</v>
      </c>
      <c r="C28" s="225" t="s">
        <v>920</v>
      </c>
      <c r="D28" s="230">
        <v>1094.8</v>
      </c>
      <c r="E28" t="e">
        <f>VLOOKUP(B28,Sheet1!A:G,1,FALSE)</f>
        <v>#N/A</v>
      </c>
    </row>
    <row r="29" spans="1:5" x14ac:dyDescent="0.25">
      <c r="A29" s="102" t="s">
        <v>519</v>
      </c>
      <c r="B29" s="225" t="s">
        <v>1207</v>
      </c>
      <c r="C29" s="225" t="s">
        <v>918</v>
      </c>
      <c r="D29" s="230">
        <v>634.80000000000007</v>
      </c>
      <c r="E29" t="e">
        <f>VLOOKUP(B29,Sheet1!A:G,1,FALSE)</f>
        <v>#N/A</v>
      </c>
    </row>
    <row r="30" spans="1:5" x14ac:dyDescent="0.25">
      <c r="A30" s="102" t="s">
        <v>375</v>
      </c>
      <c r="B30" s="225" t="s">
        <v>1049</v>
      </c>
      <c r="C30" s="225" t="s">
        <v>1443</v>
      </c>
      <c r="D30" s="230">
        <v>12875.400000000001</v>
      </c>
      <c r="E30" t="e">
        <f>VLOOKUP(B30,Sheet1!A:G,1,FALSE)</f>
        <v>#N/A</v>
      </c>
    </row>
    <row r="31" spans="1:5" x14ac:dyDescent="0.25">
      <c r="A31" s="102" t="s">
        <v>376</v>
      </c>
      <c r="B31" s="225" t="s">
        <v>1168</v>
      </c>
      <c r="C31" s="225" t="s">
        <v>1444</v>
      </c>
      <c r="D31" s="230">
        <v>11035.4</v>
      </c>
      <c r="E31" t="e">
        <f>VLOOKUP(B31,Sheet1!A:G,1,FALSE)</f>
        <v>#N/A</v>
      </c>
    </row>
    <row r="32" spans="1:5" x14ac:dyDescent="0.25">
      <c r="A32" s="102" t="s">
        <v>208</v>
      </c>
      <c r="B32" s="225" t="s">
        <v>1169</v>
      </c>
      <c r="C32" s="225" t="s">
        <v>1211</v>
      </c>
      <c r="D32" s="230">
        <v>5515.4000000000005</v>
      </c>
      <c r="E32" t="e">
        <f>VLOOKUP(B32,Sheet1!A:G,1,FALSE)</f>
        <v>#N/A</v>
      </c>
    </row>
    <row r="33" spans="1:5" ht="30" hidden="1" x14ac:dyDescent="0.25">
      <c r="A33" s="102" t="s">
        <v>512</v>
      </c>
      <c r="B33" s="225" t="s">
        <v>1217</v>
      </c>
      <c r="C33" s="225" t="s">
        <v>1216</v>
      </c>
      <c r="D33" s="230">
        <v>3215.4</v>
      </c>
      <c r="E33" t="str">
        <f>VLOOKUP(B33,Sheet1!A:G,1,FALSE)</f>
        <v>HW-CMSServer</v>
      </c>
    </row>
    <row r="34" spans="1:5" ht="30" hidden="1" x14ac:dyDescent="0.25">
      <c r="A34" s="102" t="s">
        <v>212</v>
      </c>
      <c r="B34" s="225" t="s">
        <v>1215</v>
      </c>
      <c r="C34" s="225" t="s">
        <v>1214</v>
      </c>
      <c r="D34" s="230">
        <v>391</v>
      </c>
      <c r="E34" t="str">
        <f>VLOOKUP(B34,Sheet1!A:G,1,FALSE)</f>
        <v>HW-CMSServerStorUPGR</v>
      </c>
    </row>
    <row r="35" spans="1:5" x14ac:dyDescent="0.25">
      <c r="A35" s="102" t="s">
        <v>191</v>
      </c>
      <c r="B35" s="225" t="s">
        <v>1061</v>
      </c>
      <c r="C35" s="225" t="s">
        <v>907</v>
      </c>
      <c r="D35" s="230">
        <v>358.8</v>
      </c>
      <c r="E35" t="e">
        <f>VLOOKUP(B35,Sheet1!A:G,1,FALSE)</f>
        <v>#N/A</v>
      </c>
    </row>
    <row r="36" spans="1:5" ht="30" x14ac:dyDescent="0.25">
      <c r="A36" s="102" t="s">
        <v>654</v>
      </c>
      <c r="B36" s="225" t="s">
        <v>1048</v>
      </c>
      <c r="C36" s="225" t="s">
        <v>1138</v>
      </c>
      <c r="D36" s="230">
        <v>756.2</v>
      </c>
      <c r="E36" t="e">
        <f>VLOOKUP(B36,Sheet1!A:G,1,FALSE)</f>
        <v>#N/A</v>
      </c>
    </row>
    <row r="37" spans="1:5" ht="30" x14ac:dyDescent="0.25">
      <c r="A37" s="102" t="s">
        <v>650</v>
      </c>
      <c r="B37" s="225" t="s">
        <v>1194</v>
      </c>
      <c r="C37" s="225" t="s">
        <v>1193</v>
      </c>
      <c r="D37" s="230">
        <v>3264.2</v>
      </c>
      <c r="E37" t="e">
        <f>VLOOKUP(B37,Sheet1!A:G,1,FALSE)</f>
        <v>#N/A</v>
      </c>
    </row>
    <row r="38" spans="1:5" ht="30" x14ac:dyDescent="0.25">
      <c r="A38" s="102" t="s">
        <v>320</v>
      </c>
      <c r="B38" s="225" t="s">
        <v>1170</v>
      </c>
      <c r="C38" s="225" t="s">
        <v>1189</v>
      </c>
      <c r="D38" s="230">
        <v>756.2</v>
      </c>
      <c r="E38" t="e">
        <f>VLOOKUP(B38,Sheet1!A:G,1,FALSE)</f>
        <v>#N/A</v>
      </c>
    </row>
    <row r="39" spans="1:5" ht="30" x14ac:dyDescent="0.25">
      <c r="A39" s="102" t="s">
        <v>651</v>
      </c>
      <c r="B39" s="225" t="s">
        <v>1047</v>
      </c>
      <c r="C39" s="225" t="s">
        <v>1192</v>
      </c>
      <c r="D39" s="230">
        <v>3264.2</v>
      </c>
      <c r="E39" t="e">
        <f>VLOOKUP(B39,Sheet1!A:G,1,FALSE)</f>
        <v>#N/A</v>
      </c>
    </row>
    <row r="40" spans="1:5" ht="30" x14ac:dyDescent="0.25">
      <c r="A40" s="102" t="s">
        <v>830</v>
      </c>
      <c r="B40" s="225" t="s">
        <v>1058</v>
      </c>
      <c r="C40" s="225" t="s">
        <v>1186</v>
      </c>
      <c r="D40" s="230">
        <v>197.6</v>
      </c>
      <c r="E40" t="e">
        <f>VLOOKUP(B40,Sheet1!A:G,1,FALSE)</f>
        <v>#N/A</v>
      </c>
    </row>
    <row r="41" spans="1:5" ht="30" x14ac:dyDescent="0.25">
      <c r="A41" s="102" t="s">
        <v>829</v>
      </c>
      <c r="B41" s="225" t="s">
        <v>1053</v>
      </c>
      <c r="C41" s="225" t="s">
        <v>1185</v>
      </c>
      <c r="D41" s="230">
        <v>300.2</v>
      </c>
      <c r="E41" t="e">
        <f>VLOOKUP(B41,Sheet1!A:G,1,FALSE)</f>
        <v>#N/A</v>
      </c>
    </row>
    <row r="42" spans="1:5" ht="30" x14ac:dyDescent="0.25">
      <c r="A42" s="102" t="s">
        <v>656</v>
      </c>
      <c r="B42" s="225" t="s">
        <v>1184</v>
      </c>
      <c r="C42" s="225" t="s">
        <v>1183</v>
      </c>
      <c r="D42" s="230">
        <v>163.4</v>
      </c>
      <c r="E42" t="e">
        <f>VLOOKUP(B42,Sheet1!A:G,1,FALSE)</f>
        <v>#N/A</v>
      </c>
    </row>
    <row r="43" spans="1:5" ht="30" hidden="1" x14ac:dyDescent="0.25">
      <c r="A43" s="102" t="s">
        <v>322</v>
      </c>
      <c r="B43" s="225" t="s">
        <v>1188</v>
      </c>
      <c r="C43" s="225" t="s">
        <v>1187</v>
      </c>
      <c r="D43" s="230">
        <v>247</v>
      </c>
      <c r="E43" t="str">
        <f>VLOOKUP(B43,Sheet1!A:G,1,FALSE)</f>
        <v>SW-LSCON</v>
      </c>
    </row>
    <row r="44" spans="1:5" x14ac:dyDescent="0.25">
      <c r="A44" s="102" t="s">
        <v>323</v>
      </c>
      <c r="B44" s="225" t="s">
        <v>1191</v>
      </c>
      <c r="C44" s="225" t="s">
        <v>1190</v>
      </c>
      <c r="D44" s="230">
        <v>2656.2</v>
      </c>
      <c r="E44" t="e">
        <f>VLOOKUP(B44,Sheet1!A:G,1,FALSE)</f>
        <v>#N/A</v>
      </c>
    </row>
    <row r="45" spans="1:5" ht="30" x14ac:dyDescent="0.25">
      <c r="A45" s="102" t="s">
        <v>324</v>
      </c>
      <c r="B45" s="225" t="s">
        <v>1181</v>
      </c>
      <c r="C45" s="225" t="s">
        <v>1180</v>
      </c>
      <c r="D45" s="230">
        <v>197.6</v>
      </c>
      <c r="E45" t="e">
        <f>VLOOKUP(B45,Sheet1!A:G,1,FALSE)</f>
        <v>#N/A</v>
      </c>
    </row>
    <row r="46" spans="1:5" x14ac:dyDescent="0.25">
      <c r="A46" s="102" t="s">
        <v>325</v>
      </c>
      <c r="B46" s="225" t="s">
        <v>1060</v>
      </c>
      <c r="C46" s="225" t="s">
        <v>1182</v>
      </c>
      <c r="D46" s="230">
        <v>64.599999999999994</v>
      </c>
      <c r="E46" t="e">
        <f>VLOOKUP(B46,Sheet1!A:G,1,FALSE)</f>
        <v>#N/A</v>
      </c>
    </row>
    <row r="47" spans="1:5" hidden="1" x14ac:dyDescent="0.25">
      <c r="A47" s="102" t="s">
        <v>310</v>
      </c>
      <c r="B47" s="225" t="s">
        <v>1144</v>
      </c>
      <c r="C47" s="225" t="s">
        <v>1173</v>
      </c>
      <c r="D47" s="230">
        <v>300.2</v>
      </c>
      <c r="E47" t="str">
        <f>VLOOKUP(B47,Sheet1!A:G,1,FALSE)</f>
        <v>SVCS-CFG</v>
      </c>
    </row>
    <row r="48" spans="1:5" ht="30" hidden="1" x14ac:dyDescent="0.25">
      <c r="A48" s="102" t="s">
        <v>423</v>
      </c>
      <c r="B48" s="225" t="s">
        <v>1175</v>
      </c>
      <c r="C48" s="225" t="s">
        <v>1174</v>
      </c>
      <c r="D48" s="230">
        <v>3340.2</v>
      </c>
      <c r="E48" t="str">
        <f>VLOOKUP(B48,Sheet1!A:G,1,FALSE)</f>
        <v>SCVS-CFGINSTTRCMS</v>
      </c>
    </row>
    <row r="49" spans="1:5" ht="30" hidden="1" x14ac:dyDescent="0.25">
      <c r="A49" s="204" t="s">
        <v>358</v>
      </c>
      <c r="B49" s="225" t="s">
        <v>1177</v>
      </c>
      <c r="C49" s="225" t="s">
        <v>1176</v>
      </c>
      <c r="D49" s="230">
        <v>904.4</v>
      </c>
      <c r="E49" t="str">
        <f>VLOOKUP(B49,Sheet1!A:G,1,FALSE)</f>
        <v>SCVS-CFGINSTTRLSADD</v>
      </c>
    </row>
    <row r="50" spans="1:5" ht="30" hidden="1" x14ac:dyDescent="0.25">
      <c r="A50" s="102" t="s">
        <v>344</v>
      </c>
      <c r="B50" s="225" t="s">
        <v>1179</v>
      </c>
      <c r="C50" s="225" t="s">
        <v>1178</v>
      </c>
      <c r="D50" s="230">
        <v>1592.2</v>
      </c>
      <c r="E50" t="str">
        <f>VLOOKUP(B50,Sheet1!A:G,1,FALSE)</f>
        <v>SCVS-CFGINSTTRLS</v>
      </c>
    </row>
    <row r="51" spans="1:5" ht="30" hidden="1" x14ac:dyDescent="0.25">
      <c r="A51" s="102" t="s">
        <v>344</v>
      </c>
      <c r="B51" s="225" t="s">
        <v>1172</v>
      </c>
      <c r="C51" s="225" t="s">
        <v>1143</v>
      </c>
      <c r="D51" s="230">
        <v>1592.2</v>
      </c>
      <c r="E51" t="str">
        <f>VLOOKUP(B51,Sheet1!A:G,1,FALSE)</f>
        <v>SVCS-INST</v>
      </c>
    </row>
    <row r="52" spans="1:5" ht="60" x14ac:dyDescent="0.25">
      <c r="A52" s="102" t="s">
        <v>788</v>
      </c>
      <c r="B52" s="225" t="s">
        <v>1235</v>
      </c>
      <c r="C52" s="225" t="s">
        <v>1234</v>
      </c>
      <c r="D52" s="230">
        <v>14020.75</v>
      </c>
      <c r="E52" t="e">
        <f>VLOOKUP(B52,Sheet1!A:G,1,FALSE)</f>
        <v>#N/A</v>
      </c>
    </row>
    <row r="53" spans="1:5" ht="60" hidden="1" x14ac:dyDescent="0.25">
      <c r="A53" s="102" t="s">
        <v>1032</v>
      </c>
      <c r="B53" s="225" t="s">
        <v>1237</v>
      </c>
      <c r="C53" s="225" t="s">
        <v>1236</v>
      </c>
      <c r="D53" s="230">
        <v>9940.75</v>
      </c>
      <c r="E53" t="str">
        <f>VLOOKUP(B53,Sheet1!A:G,1,FALSE)</f>
        <v>LS-4G-Guardian</v>
      </c>
    </row>
    <row r="54" spans="1:5" ht="30" hidden="1" x14ac:dyDescent="0.25">
      <c r="A54" s="102"/>
      <c r="B54" s="225" t="s">
        <v>1246</v>
      </c>
      <c r="C54" s="225" t="s">
        <v>1247</v>
      </c>
      <c r="D54" s="230" t="s">
        <v>1245</v>
      </c>
      <c r="E54" t="e">
        <f>VLOOKUP(B54,Sheet1!A:G,1,FALSE)</f>
        <v>#N/A</v>
      </c>
    </row>
    <row r="55" spans="1:5" ht="30" hidden="1" x14ac:dyDescent="0.25">
      <c r="A55" s="102"/>
      <c r="B55" s="225" t="s">
        <v>1243</v>
      </c>
      <c r="C55" s="225" t="s">
        <v>1244</v>
      </c>
      <c r="D55" s="230" t="s">
        <v>1245</v>
      </c>
      <c r="E55" t="e">
        <f>VLOOKUP(B55,Sheet1!A:G,1,FALSE)</f>
        <v>#N/A</v>
      </c>
    </row>
    <row r="56" spans="1:5" ht="75" hidden="1" x14ac:dyDescent="0.25">
      <c r="A56" s="228"/>
      <c r="B56" s="225" t="s">
        <v>1231</v>
      </c>
      <c r="C56" s="225" t="s">
        <v>1230</v>
      </c>
      <c r="D56" s="230">
        <v>16570.75</v>
      </c>
      <c r="E56" t="e">
        <f>VLOOKUP(B56,Sheet1!A:G,1,FALSE)</f>
        <v>#N/A</v>
      </c>
    </row>
    <row r="57" spans="1:5" ht="75" hidden="1" x14ac:dyDescent="0.25">
      <c r="A57" s="228"/>
      <c r="B57" s="225" t="s">
        <v>1233</v>
      </c>
      <c r="C57" s="225" t="s">
        <v>1232</v>
      </c>
      <c r="D57" s="230">
        <v>12320.75</v>
      </c>
      <c r="E57" t="e">
        <f>VLOOKUP(B57,Sheet1!A:G,1,FALSE)</f>
        <v>#N/A</v>
      </c>
    </row>
    <row r="58" spans="1:5" ht="60" hidden="1" x14ac:dyDescent="0.25">
      <c r="A58" s="102"/>
      <c r="B58" s="225" t="s">
        <v>1239</v>
      </c>
      <c r="C58" s="225" t="s">
        <v>1238</v>
      </c>
      <c r="D58" s="230">
        <v>9940.75</v>
      </c>
      <c r="E58" t="e">
        <f>VLOOKUP(B58,Sheet1!A:G,1,FALSE)</f>
        <v>#N/A</v>
      </c>
    </row>
    <row r="59" spans="1:5" ht="75" hidden="1" x14ac:dyDescent="0.25">
      <c r="A59" s="228"/>
      <c r="B59" s="225" t="s">
        <v>1262</v>
      </c>
      <c r="C59" s="225" t="s">
        <v>1263</v>
      </c>
      <c r="D59" s="230">
        <v>3645.5650000000001</v>
      </c>
      <c r="E59" t="e">
        <f>VLOOKUP(B59,Sheet1!A:G,1,FALSE)</f>
        <v>#N/A</v>
      </c>
    </row>
    <row r="60" spans="1:5" ht="75" hidden="1" x14ac:dyDescent="0.25">
      <c r="A60" s="228"/>
      <c r="B60" s="225" t="s">
        <v>1258</v>
      </c>
      <c r="C60" s="225" t="s">
        <v>1259</v>
      </c>
      <c r="D60" s="230">
        <v>3084.5650000000001</v>
      </c>
      <c r="E60" t="e">
        <f>VLOOKUP(B60,Sheet1!A:G,1,FALSE)</f>
        <v>#N/A</v>
      </c>
    </row>
    <row r="61" spans="1:5" ht="90" hidden="1" x14ac:dyDescent="0.25">
      <c r="B61" s="225" t="s">
        <v>1254</v>
      </c>
      <c r="C61" s="225" t="s">
        <v>1255</v>
      </c>
      <c r="D61" s="230">
        <v>3084.5650000000001</v>
      </c>
      <c r="E61" t="e">
        <f>VLOOKUP(B61,Sheet1!A:G,1,FALSE)</f>
        <v>#N/A</v>
      </c>
    </row>
    <row r="62" spans="1:5" ht="30" hidden="1" x14ac:dyDescent="0.25">
      <c r="B62" s="225" t="s">
        <v>1306</v>
      </c>
      <c r="C62" s="225" t="s">
        <v>1307</v>
      </c>
      <c r="D62" s="230">
        <v>2832.5880000000002</v>
      </c>
      <c r="E62" t="e">
        <f>VLOOKUP(B62,Sheet1!A:G,1,FALSE)</f>
        <v>#N/A</v>
      </c>
    </row>
    <row r="63" spans="1:5" ht="75" hidden="1" x14ac:dyDescent="0.25">
      <c r="B63" s="225" t="s">
        <v>1260</v>
      </c>
      <c r="C63" s="225" t="s">
        <v>1261</v>
      </c>
      <c r="D63" s="230">
        <v>2710.5650000000001</v>
      </c>
      <c r="E63" t="e">
        <f>VLOOKUP(B63,Sheet1!A:G,1,FALSE)</f>
        <v>#N/A</v>
      </c>
    </row>
    <row r="64" spans="1:5" ht="75" hidden="1" x14ac:dyDescent="0.25">
      <c r="B64" s="225" t="s">
        <v>1266</v>
      </c>
      <c r="C64" s="225" t="s">
        <v>1267</v>
      </c>
      <c r="D64" s="230">
        <v>2430.0650000000001</v>
      </c>
      <c r="E64" t="e">
        <f>VLOOKUP(B64,Sheet1!A:G,1,FALSE)</f>
        <v>#N/A</v>
      </c>
    </row>
    <row r="65" spans="1:5" ht="30" hidden="1" x14ac:dyDescent="0.25">
      <c r="B65" s="225" t="s">
        <v>1304</v>
      </c>
      <c r="C65" s="225" t="s">
        <v>1305</v>
      </c>
      <c r="D65" s="230">
        <v>2427.788</v>
      </c>
      <c r="E65" t="e">
        <f>VLOOKUP(B65,Sheet1!A:G,1,FALSE)</f>
        <v>#N/A</v>
      </c>
    </row>
    <row r="66" spans="1:5" ht="90" hidden="1" x14ac:dyDescent="0.25">
      <c r="B66" s="225" t="s">
        <v>1256</v>
      </c>
      <c r="C66" s="225" t="s">
        <v>1257</v>
      </c>
      <c r="D66" s="230">
        <v>2186.9650000000001</v>
      </c>
      <c r="E66" t="e">
        <f>VLOOKUP(B66,Sheet1!A:G,1,FALSE)</f>
        <v>#N/A</v>
      </c>
    </row>
    <row r="67" spans="1:5" ht="90" hidden="1" x14ac:dyDescent="0.25">
      <c r="B67" s="225" t="s">
        <v>1252</v>
      </c>
      <c r="C67" s="225" t="s">
        <v>1253</v>
      </c>
      <c r="D67" s="230">
        <v>2186.9650000000001</v>
      </c>
      <c r="E67" t="e">
        <f>VLOOKUP(B67,Sheet1!A:G,1,FALSE)</f>
        <v>#N/A</v>
      </c>
    </row>
    <row r="68" spans="1:5" ht="30" hidden="1" x14ac:dyDescent="0.25">
      <c r="A68" s="227"/>
      <c r="B68" s="225" t="s">
        <v>1213</v>
      </c>
      <c r="C68" s="225" t="s">
        <v>1212</v>
      </c>
      <c r="D68" s="230">
        <v>2019.4</v>
      </c>
      <c r="E68" t="e">
        <f>VLOOKUP(B68,Sheet1!A:G,1,FALSE)</f>
        <v>#N/A</v>
      </c>
    </row>
    <row r="69" spans="1:5" ht="45" hidden="1" x14ac:dyDescent="0.25">
      <c r="B69" s="225" t="s">
        <v>1438</v>
      </c>
      <c r="C69" s="225" t="s">
        <v>1439</v>
      </c>
      <c r="D69" s="230">
        <v>1921.9640000000002</v>
      </c>
      <c r="E69" t="e">
        <f>VLOOKUP(B69,Sheet1!A:G,1,FALSE)</f>
        <v>#N/A</v>
      </c>
    </row>
    <row r="70" spans="1:5" ht="75" hidden="1" x14ac:dyDescent="0.25">
      <c r="B70" s="225" t="s">
        <v>1428</v>
      </c>
      <c r="C70" s="225" t="s">
        <v>1429</v>
      </c>
      <c r="D70" s="230">
        <v>1692.9</v>
      </c>
      <c r="E70" t="e">
        <f>VLOOKUP(B70,Sheet1!A:G,1,FALSE)</f>
        <v>#N/A</v>
      </c>
    </row>
    <row r="71" spans="1:5" ht="90" hidden="1" x14ac:dyDescent="0.25">
      <c r="B71" s="225" t="s">
        <v>1250</v>
      </c>
      <c r="C71" s="225" t="s">
        <v>1251</v>
      </c>
      <c r="D71" s="230">
        <v>1682.49</v>
      </c>
      <c r="E71" t="e">
        <f>VLOOKUP(B71,Sheet1!A:G,1,FALSE)</f>
        <v>#N/A</v>
      </c>
    </row>
    <row r="72" spans="1:5" ht="30" hidden="1" x14ac:dyDescent="0.25">
      <c r="B72" s="225" t="s">
        <v>1286</v>
      </c>
      <c r="C72" s="225" t="s">
        <v>1287</v>
      </c>
      <c r="D72" s="230">
        <v>1545.0480000000002</v>
      </c>
      <c r="E72" t="e">
        <f>VLOOKUP(B72,Sheet1!A:G,1,FALSE)</f>
        <v>#N/A</v>
      </c>
    </row>
    <row r="73" spans="1:5" ht="75" hidden="1" x14ac:dyDescent="0.25">
      <c r="B73" s="225" t="s">
        <v>1264</v>
      </c>
      <c r="C73" s="225" t="s">
        <v>1265</v>
      </c>
      <c r="D73" s="230">
        <v>1325.49</v>
      </c>
      <c r="E73" t="e">
        <f>VLOOKUP(B73,Sheet1!A:G,1,FALSE)</f>
        <v>#N/A</v>
      </c>
    </row>
    <row r="74" spans="1:5" ht="30" hidden="1" x14ac:dyDescent="0.25">
      <c r="B74" s="225" t="s">
        <v>1284</v>
      </c>
      <c r="C74" s="225" t="s">
        <v>1285</v>
      </c>
      <c r="D74" s="230">
        <v>1324.2479999999998</v>
      </c>
      <c r="E74" t="e">
        <f>VLOOKUP(B74,Sheet1!A:G,1,FALSE)</f>
        <v>#N/A</v>
      </c>
    </row>
    <row r="75" spans="1:5" hidden="1" x14ac:dyDescent="0.25">
      <c r="B75" s="225" t="s">
        <v>1302</v>
      </c>
      <c r="C75" s="225" t="s">
        <v>1303</v>
      </c>
      <c r="D75" s="230">
        <v>1213.3880000000001</v>
      </c>
      <c r="E75" t="e">
        <f>VLOOKUP(B75,Sheet1!A:G,1,FALSE)</f>
        <v>#N/A</v>
      </c>
    </row>
    <row r="76" spans="1:5" ht="90" hidden="1" x14ac:dyDescent="0.25">
      <c r="B76" s="225" t="s">
        <v>1248</v>
      </c>
      <c r="C76" s="225" t="s">
        <v>1249</v>
      </c>
      <c r="D76" s="230">
        <v>1192.8899999999999</v>
      </c>
      <c r="E76" t="e">
        <f>VLOOKUP(B76,Sheet1!A:G,1,FALSE)</f>
        <v>#N/A</v>
      </c>
    </row>
    <row r="77" spans="1:5" ht="45" hidden="1" x14ac:dyDescent="0.25">
      <c r="B77" s="225" t="s">
        <v>1436</v>
      </c>
      <c r="C77" s="225" t="s">
        <v>1437</v>
      </c>
      <c r="D77" s="230">
        <v>1085.9639999999999</v>
      </c>
      <c r="E77" t="e">
        <f>VLOOKUP(B77,Sheet1!A:G,1,FALSE)</f>
        <v>#N/A</v>
      </c>
    </row>
    <row r="78" spans="1:5" ht="45" hidden="1" x14ac:dyDescent="0.25">
      <c r="B78" s="225" t="s">
        <v>1402</v>
      </c>
      <c r="C78" s="225" t="s">
        <v>1403</v>
      </c>
      <c r="D78" s="230">
        <v>1048.3440000000001</v>
      </c>
      <c r="E78" t="e">
        <f>VLOOKUP(B78,Sheet1!A:G,1,FALSE)</f>
        <v>#N/A</v>
      </c>
    </row>
    <row r="79" spans="1:5" ht="75" hidden="1" x14ac:dyDescent="0.25">
      <c r="B79" s="225" t="s">
        <v>1392</v>
      </c>
      <c r="C79" s="225" t="s">
        <v>1393</v>
      </c>
      <c r="D79" s="230">
        <v>923.4</v>
      </c>
      <c r="E79" t="e">
        <f>VLOOKUP(B79,Sheet1!A:G,1,FALSE)</f>
        <v>#N/A</v>
      </c>
    </row>
    <row r="80" spans="1:5" ht="30" hidden="1" x14ac:dyDescent="0.25">
      <c r="B80" s="225" t="s">
        <v>1296</v>
      </c>
      <c r="C80" s="225" t="s">
        <v>1297</v>
      </c>
      <c r="D80" s="230">
        <v>808.58800000000008</v>
      </c>
      <c r="E80" t="e">
        <f>VLOOKUP(B80,Sheet1!A:G,1,FALSE)</f>
        <v>#N/A</v>
      </c>
    </row>
    <row r="81" spans="1:5" ht="30" hidden="1" x14ac:dyDescent="0.25">
      <c r="B81" s="225" t="s">
        <v>1364</v>
      </c>
      <c r="C81" s="225" t="s">
        <v>1365</v>
      </c>
      <c r="D81" s="230">
        <v>768.10800000000006</v>
      </c>
      <c r="E81" t="e">
        <f>VLOOKUP(B81,Sheet1!A:G,1,FALSE)</f>
        <v>#N/A</v>
      </c>
    </row>
    <row r="82" spans="1:5" ht="30" hidden="1" x14ac:dyDescent="0.25">
      <c r="A82" s="227"/>
      <c r="B82" s="225" t="s">
        <v>1051</v>
      </c>
      <c r="C82" s="225" t="s">
        <v>898</v>
      </c>
      <c r="D82" s="230">
        <v>756.2</v>
      </c>
      <c r="E82" t="e">
        <f>VLOOKUP(B82,Sheet1!A:G,1,FALSE)</f>
        <v>#N/A</v>
      </c>
    </row>
    <row r="83" spans="1:5" ht="45" hidden="1" x14ac:dyDescent="0.25">
      <c r="B83" s="225" t="s">
        <v>1404</v>
      </c>
      <c r="C83" s="225" t="s">
        <v>1405</v>
      </c>
      <c r="D83" s="230">
        <v>718.12399999999991</v>
      </c>
      <c r="E83" t="e">
        <f>VLOOKUP(B83,Sheet1!A:G,1,FALSE)</f>
        <v>#N/A</v>
      </c>
    </row>
    <row r="84" spans="1:5" ht="45" hidden="1" x14ac:dyDescent="0.25">
      <c r="B84" s="225" t="s">
        <v>1406</v>
      </c>
      <c r="C84" s="225" t="s">
        <v>1407</v>
      </c>
      <c r="D84" s="230">
        <v>718.12399999999991</v>
      </c>
      <c r="E84" t="e">
        <f>VLOOKUP(B84,Sheet1!A:G,1,FALSE)</f>
        <v>#N/A</v>
      </c>
    </row>
    <row r="85" spans="1:5" ht="45" hidden="1" x14ac:dyDescent="0.25">
      <c r="B85" s="225" t="s">
        <v>1298</v>
      </c>
      <c r="C85" s="225" t="s">
        <v>1299</v>
      </c>
      <c r="D85" s="230">
        <v>707.38800000000003</v>
      </c>
      <c r="E85" t="e">
        <f>VLOOKUP(B85,Sheet1!A:G,1,FALSE)</f>
        <v>#N/A</v>
      </c>
    </row>
    <row r="86" spans="1:5" ht="30" hidden="1" x14ac:dyDescent="0.25">
      <c r="B86" s="225" t="s">
        <v>1282</v>
      </c>
      <c r="C86" s="225" t="s">
        <v>1283</v>
      </c>
      <c r="D86" s="230">
        <v>661.84800000000007</v>
      </c>
      <c r="E86" t="e">
        <f>VLOOKUP(B86,Sheet1!A:G,1,FALSE)</f>
        <v>#N/A</v>
      </c>
    </row>
    <row r="87" spans="1:5" ht="45" hidden="1" x14ac:dyDescent="0.25">
      <c r="B87" s="225" t="s">
        <v>1400</v>
      </c>
      <c r="C87" s="225" t="s">
        <v>1401</v>
      </c>
      <c r="D87" s="230">
        <v>592.34399999999994</v>
      </c>
      <c r="E87" t="e">
        <f>VLOOKUP(B87,Sheet1!A:G,1,FALSE)</f>
        <v>#N/A</v>
      </c>
    </row>
    <row r="88" spans="1:5" ht="45" hidden="1" x14ac:dyDescent="0.25">
      <c r="B88" s="225" t="s">
        <v>1408</v>
      </c>
      <c r="C88" s="225" t="s">
        <v>1409</v>
      </c>
      <c r="D88" s="230">
        <v>584.36399999999992</v>
      </c>
      <c r="E88" t="e">
        <f>VLOOKUP(B88,Sheet1!A:G,1,FALSE)</f>
        <v>#N/A</v>
      </c>
    </row>
    <row r="89" spans="1:5" ht="30" hidden="1" x14ac:dyDescent="0.25">
      <c r="B89" s="225" t="s">
        <v>1276</v>
      </c>
      <c r="C89" s="225" t="s">
        <v>1277</v>
      </c>
      <c r="D89" s="230">
        <v>441.048</v>
      </c>
      <c r="E89" t="e">
        <f>VLOOKUP(B89,Sheet1!A:G,1,FALSE)</f>
        <v>#N/A</v>
      </c>
    </row>
    <row r="90" spans="1:5" ht="30" hidden="1" x14ac:dyDescent="0.25">
      <c r="B90" s="225" t="s">
        <v>1334</v>
      </c>
      <c r="C90" s="225" t="s">
        <v>1335</v>
      </c>
      <c r="D90" s="230">
        <v>418.96800000000002</v>
      </c>
      <c r="E90" t="e">
        <f>VLOOKUP(B90,Sheet1!A:G,1,FALSE)</f>
        <v>#N/A</v>
      </c>
    </row>
    <row r="91" spans="1:5" ht="45" hidden="1" x14ac:dyDescent="0.25">
      <c r="B91" s="225" t="s">
        <v>1368</v>
      </c>
      <c r="C91" s="225" t="s">
        <v>1369</v>
      </c>
      <c r="D91" s="230">
        <v>391.70399999999995</v>
      </c>
      <c r="E91" t="e">
        <f>VLOOKUP(B91,Sheet1!A:G,1,FALSE)</f>
        <v>#N/A</v>
      </c>
    </row>
    <row r="92" spans="1:5" ht="45" hidden="1" x14ac:dyDescent="0.25">
      <c r="B92" s="225" t="s">
        <v>1370</v>
      </c>
      <c r="C92" s="225" t="s">
        <v>1371</v>
      </c>
      <c r="D92" s="230">
        <v>391.70399999999995</v>
      </c>
      <c r="E92" t="e">
        <f>VLOOKUP(B92,Sheet1!A:G,1,FALSE)</f>
        <v>#N/A</v>
      </c>
    </row>
    <row r="93" spans="1:5" ht="45" hidden="1" x14ac:dyDescent="0.25">
      <c r="B93" s="225" t="s">
        <v>1278</v>
      </c>
      <c r="C93" s="225" t="s">
        <v>1279</v>
      </c>
      <c r="D93" s="230">
        <v>385.84800000000001</v>
      </c>
      <c r="E93" t="e">
        <f>VLOOKUP(B93,Sheet1!A:G,1,FALSE)</f>
        <v>#N/A</v>
      </c>
    </row>
    <row r="94" spans="1:5" ht="45" hidden="1" x14ac:dyDescent="0.25">
      <c r="B94" s="225" t="s">
        <v>1372</v>
      </c>
      <c r="C94" s="225" t="s">
        <v>1373</v>
      </c>
      <c r="D94" s="230">
        <v>318.74399999999997</v>
      </c>
      <c r="E94" t="e">
        <f>VLOOKUP(B94,Sheet1!A:G,1,FALSE)</f>
        <v>#N/A</v>
      </c>
    </row>
    <row r="95" spans="1:5" ht="30" hidden="1" x14ac:dyDescent="0.25">
      <c r="B95" s="225" t="s">
        <v>1350</v>
      </c>
      <c r="C95" s="225" t="s">
        <v>1351</v>
      </c>
      <c r="D95" s="230">
        <v>240.85599999999999</v>
      </c>
      <c r="E95" t="e">
        <f>VLOOKUP(B95,Sheet1!A:G,1,FALSE)</f>
        <v>#N/A</v>
      </c>
    </row>
    <row r="96" spans="1:5" ht="30" hidden="1" x14ac:dyDescent="0.25">
      <c r="B96" s="225" t="s">
        <v>1430</v>
      </c>
      <c r="C96" s="225" t="s">
        <v>1431</v>
      </c>
      <c r="D96" s="230">
        <v>216.524</v>
      </c>
      <c r="E96" t="e">
        <f>VLOOKUP(B96,Sheet1!A:G,1,FALSE)</f>
        <v>#N/A</v>
      </c>
    </row>
    <row r="97" spans="2:5" ht="30" hidden="1" x14ac:dyDescent="0.25">
      <c r="B97" s="225" t="s">
        <v>1290</v>
      </c>
      <c r="C97" s="225" t="s">
        <v>1291</v>
      </c>
      <c r="D97" s="230">
        <v>207.46</v>
      </c>
      <c r="E97" t="e">
        <f>VLOOKUP(B97,Sheet1!A:G,1,FALSE)</f>
        <v>#N/A</v>
      </c>
    </row>
    <row r="98" spans="2:5" ht="30" hidden="1" x14ac:dyDescent="0.25">
      <c r="B98" s="225" t="s">
        <v>1294</v>
      </c>
      <c r="C98" s="225" t="s">
        <v>1295</v>
      </c>
      <c r="D98" s="230">
        <v>207.46</v>
      </c>
      <c r="E98" t="e">
        <f>VLOOKUP(B98,Sheet1!A:G,1,FALSE)</f>
        <v>#N/A</v>
      </c>
    </row>
    <row r="99" spans="2:5" ht="30" hidden="1" x14ac:dyDescent="0.25">
      <c r="B99" s="225" t="s">
        <v>1338</v>
      </c>
      <c r="C99" s="225" t="s">
        <v>1339</v>
      </c>
      <c r="D99" s="230">
        <v>180.13600000000002</v>
      </c>
      <c r="E99" t="e">
        <f>VLOOKUP(B99,Sheet1!A:G,1,FALSE)</f>
        <v>#N/A</v>
      </c>
    </row>
    <row r="100" spans="2:5" ht="30" hidden="1" x14ac:dyDescent="0.25">
      <c r="B100" s="225" t="s">
        <v>1366</v>
      </c>
      <c r="C100" s="225" t="s">
        <v>1367</v>
      </c>
      <c r="D100" s="230">
        <v>166.98</v>
      </c>
      <c r="E100" t="e">
        <f>VLOOKUP(B100,Sheet1!A:G,1,FALSE)</f>
        <v>#N/A</v>
      </c>
    </row>
    <row r="101" spans="2:5" ht="45" hidden="1" x14ac:dyDescent="0.25">
      <c r="B101" s="225" t="s">
        <v>1414</v>
      </c>
      <c r="C101" s="225" t="s">
        <v>1415</v>
      </c>
      <c r="D101" s="230">
        <v>166.364</v>
      </c>
      <c r="E101" t="e">
        <f>VLOOKUP(B101,Sheet1!A:G,1,FALSE)</f>
        <v>#N/A</v>
      </c>
    </row>
    <row r="102" spans="2:5" ht="45" hidden="1" x14ac:dyDescent="0.25">
      <c r="B102" s="225" t="s">
        <v>1412</v>
      </c>
      <c r="C102" s="225" t="s">
        <v>1413</v>
      </c>
      <c r="D102" s="230">
        <v>166.364</v>
      </c>
      <c r="E102" t="e">
        <f>VLOOKUP(B102,Sheet1!A:G,1,FALSE)</f>
        <v>#N/A</v>
      </c>
    </row>
    <row r="103" spans="2:5" ht="45" hidden="1" x14ac:dyDescent="0.25">
      <c r="B103" s="225" t="s">
        <v>1410</v>
      </c>
      <c r="C103" s="225" t="s">
        <v>1411</v>
      </c>
      <c r="D103" s="230">
        <v>166.364</v>
      </c>
      <c r="E103" t="e">
        <f>VLOOKUP(B103,Sheet1!A:G,1,FALSE)</f>
        <v>#N/A</v>
      </c>
    </row>
    <row r="104" spans="2:5" ht="30" hidden="1" x14ac:dyDescent="0.25">
      <c r="B104" s="225" t="s">
        <v>1362</v>
      </c>
      <c r="C104" s="225" t="s">
        <v>1363</v>
      </c>
      <c r="D104" s="230">
        <v>150.78799999999998</v>
      </c>
      <c r="E104" t="e">
        <f>VLOOKUP(B104,Sheet1!A:G,1,FALSE)</f>
        <v>#N/A</v>
      </c>
    </row>
    <row r="105" spans="2:5" ht="30" hidden="1" x14ac:dyDescent="0.25">
      <c r="B105" s="225" t="s">
        <v>1288</v>
      </c>
      <c r="C105" s="225" t="s">
        <v>1289</v>
      </c>
      <c r="D105" s="230">
        <v>146.74</v>
      </c>
      <c r="E105" t="e">
        <f>VLOOKUP(B105,Sheet1!A:G,1,FALSE)</f>
        <v>#N/A</v>
      </c>
    </row>
    <row r="106" spans="2:5" hidden="1" x14ac:dyDescent="0.25">
      <c r="B106" s="225" t="s">
        <v>1292</v>
      </c>
      <c r="C106" s="225" t="s">
        <v>1293</v>
      </c>
      <c r="D106" s="230">
        <v>146.74</v>
      </c>
      <c r="E106" t="e">
        <f>VLOOKUP(B106,Sheet1!A:G,1,FALSE)</f>
        <v>#N/A</v>
      </c>
    </row>
    <row r="107" spans="2:5" ht="30" hidden="1" x14ac:dyDescent="0.25">
      <c r="B107" s="225" t="s">
        <v>1348</v>
      </c>
      <c r="C107" s="225" t="s">
        <v>1349</v>
      </c>
      <c r="D107" s="230">
        <v>139.65600000000001</v>
      </c>
      <c r="E107" t="e">
        <f>VLOOKUP(B107,Sheet1!A:G,1,FALSE)</f>
        <v>#N/A</v>
      </c>
    </row>
    <row r="108" spans="2:5" ht="30" hidden="1" x14ac:dyDescent="0.25">
      <c r="B108" s="225" t="s">
        <v>1320</v>
      </c>
      <c r="C108" s="225" t="s">
        <v>1321</v>
      </c>
      <c r="D108" s="230">
        <v>131.37599999999998</v>
      </c>
      <c r="E108" t="e">
        <f>VLOOKUP(B108,Sheet1!A:G,1,FALSE)</f>
        <v>#N/A</v>
      </c>
    </row>
    <row r="109" spans="2:5" ht="30" hidden="1" x14ac:dyDescent="0.25">
      <c r="B109" s="225" t="s">
        <v>1360</v>
      </c>
      <c r="C109" s="225" t="s">
        <v>1361</v>
      </c>
      <c r="D109" s="230">
        <v>126.5</v>
      </c>
      <c r="E109" t="e">
        <f>VLOOKUP(B109,Sheet1!A:G,1,FALSE)</f>
        <v>#N/A</v>
      </c>
    </row>
    <row r="110" spans="2:5" hidden="1" x14ac:dyDescent="0.25">
      <c r="B110" s="225" t="s">
        <v>1145</v>
      </c>
      <c r="C110" s="225" t="s">
        <v>889</v>
      </c>
      <c r="D110" s="230">
        <v>121.6</v>
      </c>
      <c r="E110" t="str">
        <f>VLOOKUP(B110,Sheet1!A:G,1,FALSE)</f>
        <v>SVCS-PROF</v>
      </c>
    </row>
    <row r="111" spans="2:5" ht="30" hidden="1" x14ac:dyDescent="0.25">
      <c r="B111" s="225" t="s">
        <v>1394</v>
      </c>
      <c r="C111" s="225" t="s">
        <v>1395</v>
      </c>
      <c r="D111" s="230">
        <v>118.104</v>
      </c>
      <c r="E111" t="e">
        <f>VLOOKUP(B111,Sheet1!A:G,1,FALSE)</f>
        <v>#N/A</v>
      </c>
    </row>
    <row r="112" spans="2:5" ht="30" hidden="1" x14ac:dyDescent="0.25">
      <c r="B112" s="225" t="s">
        <v>1270</v>
      </c>
      <c r="C112" s="225" t="s">
        <v>1271</v>
      </c>
      <c r="D112" s="230">
        <v>113.16</v>
      </c>
      <c r="E112" t="e">
        <f>VLOOKUP(B112,Sheet1!A:G,1,FALSE)</f>
        <v>#N/A</v>
      </c>
    </row>
    <row r="113" spans="2:5" ht="30" hidden="1" x14ac:dyDescent="0.25">
      <c r="B113" s="225" t="s">
        <v>1274</v>
      </c>
      <c r="C113" s="225" t="s">
        <v>1275</v>
      </c>
      <c r="D113" s="230">
        <v>113.16</v>
      </c>
      <c r="E113" t="e">
        <f>VLOOKUP(B113,Sheet1!A:G,1,FALSE)</f>
        <v>#N/A</v>
      </c>
    </row>
    <row r="114" spans="2:5" ht="45" hidden="1" x14ac:dyDescent="0.25">
      <c r="B114" s="225" t="s">
        <v>1432</v>
      </c>
      <c r="C114" s="225" t="s">
        <v>1433</v>
      </c>
      <c r="D114" s="230">
        <v>110.352</v>
      </c>
      <c r="E114" t="e">
        <f>VLOOKUP(B114,Sheet1!A:G,1,FALSE)</f>
        <v>#N/A</v>
      </c>
    </row>
    <row r="115" spans="2:5" ht="30" hidden="1" x14ac:dyDescent="0.25">
      <c r="B115" s="225" t="s">
        <v>1308</v>
      </c>
      <c r="C115" s="225" t="s">
        <v>1309</v>
      </c>
      <c r="D115" s="230">
        <v>98.256</v>
      </c>
      <c r="E115" t="e">
        <f>VLOOKUP(B115,Sheet1!A:G,1,FALSE)</f>
        <v>#N/A</v>
      </c>
    </row>
    <row r="116" spans="2:5" ht="30" hidden="1" x14ac:dyDescent="0.25">
      <c r="B116" s="225" t="s">
        <v>1336</v>
      </c>
      <c r="C116" s="225" t="s">
        <v>1337</v>
      </c>
      <c r="D116" s="230">
        <v>91.08</v>
      </c>
      <c r="E116" t="e">
        <f>VLOOKUP(B116,Sheet1!A:G,1,FALSE)</f>
        <v>#N/A</v>
      </c>
    </row>
    <row r="117" spans="2:5" ht="45" hidden="1" x14ac:dyDescent="0.25">
      <c r="B117" s="225" t="s">
        <v>1378</v>
      </c>
      <c r="C117" s="225" t="s">
        <v>1379</v>
      </c>
      <c r="D117" s="230">
        <v>90.744</v>
      </c>
      <c r="E117" t="e">
        <f>VLOOKUP(B117,Sheet1!A:G,1,FALSE)</f>
        <v>#N/A</v>
      </c>
    </row>
    <row r="118" spans="2:5" ht="45" hidden="1" x14ac:dyDescent="0.25">
      <c r="B118" s="225" t="s">
        <v>1376</v>
      </c>
      <c r="C118" s="225" t="s">
        <v>1377</v>
      </c>
      <c r="D118" s="230">
        <v>90.744</v>
      </c>
      <c r="E118" t="e">
        <f>VLOOKUP(B118,Sheet1!A:G,1,FALSE)</f>
        <v>#N/A</v>
      </c>
    </row>
    <row r="119" spans="2:5" ht="45" hidden="1" x14ac:dyDescent="0.25">
      <c r="B119" s="225" t="s">
        <v>1374</v>
      </c>
      <c r="C119" s="225" t="s">
        <v>1375</v>
      </c>
      <c r="D119" s="230">
        <v>90.744</v>
      </c>
      <c r="E119" t="e">
        <f>VLOOKUP(B119,Sheet1!A:G,1,FALSE)</f>
        <v>#N/A</v>
      </c>
    </row>
    <row r="120" spans="2:5" ht="30" hidden="1" x14ac:dyDescent="0.25">
      <c r="B120" s="225" t="s">
        <v>1358</v>
      </c>
      <c r="C120" s="225" t="s">
        <v>1359</v>
      </c>
      <c r="D120" s="230">
        <v>90.068000000000012</v>
      </c>
      <c r="E120" t="e">
        <f>VLOOKUP(B120,Sheet1!A:G,1,FALSE)</f>
        <v>#N/A</v>
      </c>
    </row>
    <row r="121" spans="2:5" hidden="1" x14ac:dyDescent="0.25">
      <c r="B121" s="225" t="s">
        <v>1354</v>
      </c>
      <c r="C121" s="225" t="s">
        <v>1355</v>
      </c>
      <c r="D121" s="230">
        <v>86.02</v>
      </c>
      <c r="E121" t="e">
        <f>VLOOKUP(B121,Sheet1!A:G,1,FALSE)</f>
        <v>#N/A</v>
      </c>
    </row>
    <row r="122" spans="2:5" ht="30" hidden="1" x14ac:dyDescent="0.25">
      <c r="B122" s="225" t="s">
        <v>1300</v>
      </c>
      <c r="C122" s="225" t="s">
        <v>1301</v>
      </c>
      <c r="D122" s="230">
        <v>86.02</v>
      </c>
      <c r="E122" t="e">
        <f>VLOOKUP(B122,Sheet1!A:G,1,FALSE)</f>
        <v>#N/A</v>
      </c>
    </row>
    <row r="123" spans="2:5" ht="30" hidden="1" x14ac:dyDescent="0.25">
      <c r="B123" s="225" t="s">
        <v>1332</v>
      </c>
      <c r="C123" s="225" t="s">
        <v>1333</v>
      </c>
      <c r="D123" s="230">
        <v>82.24799999999999</v>
      </c>
      <c r="E123" t="e">
        <f>VLOOKUP(B123,Sheet1!A:G,1,FALSE)</f>
        <v>#N/A</v>
      </c>
    </row>
    <row r="124" spans="2:5" ht="30" hidden="1" x14ac:dyDescent="0.25">
      <c r="B124" s="225" t="s">
        <v>1268</v>
      </c>
      <c r="C124" s="225" t="s">
        <v>1269</v>
      </c>
      <c r="D124" s="230">
        <v>80.039999999999992</v>
      </c>
      <c r="E124" t="e">
        <f>VLOOKUP(B124,Sheet1!A:G,1,FALSE)</f>
        <v>#N/A</v>
      </c>
    </row>
    <row r="125" spans="2:5" ht="30" hidden="1" x14ac:dyDescent="0.25">
      <c r="B125" s="225" t="s">
        <v>1272</v>
      </c>
      <c r="C125" s="225" t="s">
        <v>1273</v>
      </c>
      <c r="D125" s="230">
        <v>80.039999999999992</v>
      </c>
      <c r="E125" t="e">
        <f>VLOOKUP(B125,Sheet1!A:G,1,FALSE)</f>
        <v>#N/A</v>
      </c>
    </row>
    <row r="126" spans="2:5" hidden="1" x14ac:dyDescent="0.25">
      <c r="B126" s="225" t="s">
        <v>1340</v>
      </c>
      <c r="C126" s="225" t="s">
        <v>1341</v>
      </c>
      <c r="D126" s="230">
        <v>78.936000000000007</v>
      </c>
      <c r="E126" t="e">
        <f>VLOOKUP(B126,Sheet1!A:G,1,FALSE)</f>
        <v>#N/A</v>
      </c>
    </row>
    <row r="127" spans="2:5" ht="30" hidden="1" x14ac:dyDescent="0.25">
      <c r="B127" s="225" t="s">
        <v>1318</v>
      </c>
      <c r="C127" s="225" t="s">
        <v>1319</v>
      </c>
      <c r="D127" s="230">
        <v>76.176000000000002</v>
      </c>
      <c r="E127" t="e">
        <f>VLOOKUP(B127,Sheet1!A:G,1,FALSE)</f>
        <v>#N/A</v>
      </c>
    </row>
    <row r="128" spans="2:5" ht="30" hidden="1" x14ac:dyDescent="0.25">
      <c r="B128" s="225" t="s">
        <v>1330</v>
      </c>
      <c r="C128" s="225" t="s">
        <v>1331</v>
      </c>
      <c r="D128" s="230">
        <v>69</v>
      </c>
      <c r="E128" t="e">
        <f>VLOOKUP(B128,Sheet1!A:G,1,FALSE)</f>
        <v>#N/A</v>
      </c>
    </row>
    <row r="129" spans="2:5" ht="45" hidden="1" x14ac:dyDescent="0.25">
      <c r="B129" s="225" t="s">
        <v>1420</v>
      </c>
      <c r="C129" s="225" t="s">
        <v>1421</v>
      </c>
      <c r="D129" s="230">
        <v>66.043999999999997</v>
      </c>
      <c r="E129" t="e">
        <f>VLOOKUP(B129,Sheet1!A:G,1,FALSE)</f>
        <v>#N/A</v>
      </c>
    </row>
    <row r="130" spans="2:5" hidden="1" x14ac:dyDescent="0.25">
      <c r="B130" s="225" t="s">
        <v>1346</v>
      </c>
      <c r="C130" s="225" t="s">
        <v>1347</v>
      </c>
      <c r="D130" s="230">
        <v>65.78</v>
      </c>
      <c r="E130" t="e">
        <f>VLOOKUP(B130,Sheet1!A:G,1,FALSE)</f>
        <v>#N/A</v>
      </c>
    </row>
    <row r="131" spans="2:5" hidden="1" x14ac:dyDescent="0.25">
      <c r="B131" s="225" t="s">
        <v>1352</v>
      </c>
      <c r="C131" s="225" t="s">
        <v>1353</v>
      </c>
      <c r="D131" s="230">
        <v>63.756</v>
      </c>
      <c r="E131" t="e">
        <f>VLOOKUP(B131,Sheet1!A:G,1,FALSE)</f>
        <v>#N/A</v>
      </c>
    </row>
    <row r="132" spans="2:5" ht="45" hidden="1" x14ac:dyDescent="0.25">
      <c r="B132" s="225" t="s">
        <v>1396</v>
      </c>
      <c r="C132" s="225" t="s">
        <v>1397</v>
      </c>
      <c r="D132" s="230">
        <v>60.192</v>
      </c>
      <c r="E132" t="e">
        <f>VLOOKUP(B132,Sheet1!A:G,1,FALSE)</f>
        <v>#N/A</v>
      </c>
    </row>
    <row r="133" spans="2:5" ht="45" hidden="1" x14ac:dyDescent="0.25">
      <c r="B133" s="225" t="s">
        <v>1416</v>
      </c>
      <c r="C133" s="225" t="s">
        <v>1417</v>
      </c>
      <c r="D133" s="230">
        <v>54.34</v>
      </c>
      <c r="E133" t="e">
        <f>VLOOKUP(B133,Sheet1!A:G,1,FALSE)</f>
        <v>#N/A</v>
      </c>
    </row>
    <row r="134" spans="2:5" ht="30" hidden="1" x14ac:dyDescent="0.25">
      <c r="B134" s="225" t="s">
        <v>1328</v>
      </c>
      <c r="C134" s="225" t="s">
        <v>1329</v>
      </c>
      <c r="D134" s="230">
        <v>49.128</v>
      </c>
      <c r="E134" t="e">
        <f>VLOOKUP(B134,Sheet1!A:G,1,FALSE)</f>
        <v>#N/A</v>
      </c>
    </row>
    <row r="135" spans="2:5" ht="30" hidden="1" x14ac:dyDescent="0.25">
      <c r="B135" s="225" t="s">
        <v>1324</v>
      </c>
      <c r="C135" s="225" t="s">
        <v>1325</v>
      </c>
      <c r="D135" s="230">
        <v>46.92</v>
      </c>
      <c r="E135" t="e">
        <f>VLOOKUP(B135,Sheet1!A:G,1,FALSE)</f>
        <v>#N/A</v>
      </c>
    </row>
    <row r="136" spans="2:5" ht="30" hidden="1" x14ac:dyDescent="0.25">
      <c r="B136" s="225" t="s">
        <v>1280</v>
      </c>
      <c r="C136" s="225" t="s">
        <v>1281</v>
      </c>
      <c r="D136" s="230">
        <v>46.92</v>
      </c>
      <c r="E136" t="e">
        <f>VLOOKUP(B136,Sheet1!A:G,1,FALSE)</f>
        <v>#N/A</v>
      </c>
    </row>
    <row r="137" spans="2:5" ht="30" hidden="1" x14ac:dyDescent="0.25">
      <c r="B137" s="225" t="s">
        <v>1434</v>
      </c>
      <c r="C137" s="225" t="s">
        <v>1435</v>
      </c>
      <c r="D137" s="230">
        <v>43.472000000000001</v>
      </c>
      <c r="E137" t="e">
        <f>VLOOKUP(B137,Sheet1!A:G,1,FALSE)</f>
        <v>#N/A</v>
      </c>
    </row>
    <row r="138" spans="2:5" ht="45" hidden="1" x14ac:dyDescent="0.25">
      <c r="B138" s="225" t="s">
        <v>1418</v>
      </c>
      <c r="C138" s="225" t="s">
        <v>1419</v>
      </c>
      <c r="D138" s="230">
        <v>43.472000000000001</v>
      </c>
      <c r="E138" t="e">
        <f>VLOOKUP(B138,Sheet1!A:G,1,FALSE)</f>
        <v>#N/A</v>
      </c>
    </row>
    <row r="139" spans="2:5" ht="45" hidden="1" x14ac:dyDescent="0.25">
      <c r="B139" s="225" t="s">
        <v>1426</v>
      </c>
      <c r="C139" s="225" t="s">
        <v>1427</v>
      </c>
      <c r="D139" s="230">
        <v>43.472000000000001</v>
      </c>
      <c r="E139" t="e">
        <f>VLOOKUP(B139,Sheet1!A:G,1,FALSE)</f>
        <v>#N/A</v>
      </c>
    </row>
    <row r="140" spans="2:5" hidden="1" x14ac:dyDescent="0.25">
      <c r="B140" s="225" t="s">
        <v>1310</v>
      </c>
      <c r="C140" s="225" t="s">
        <v>1311</v>
      </c>
      <c r="D140" s="230">
        <v>43.055999999999997</v>
      </c>
      <c r="E140" t="e">
        <f>VLOOKUP(B140,Sheet1!A:G,1,FALSE)</f>
        <v>#N/A</v>
      </c>
    </row>
    <row r="141" spans="2:5" ht="45" hidden="1" x14ac:dyDescent="0.25">
      <c r="B141" s="225" t="s">
        <v>1384</v>
      </c>
      <c r="C141" s="225" t="s">
        <v>1385</v>
      </c>
      <c r="D141" s="230">
        <v>36.023999999999994</v>
      </c>
      <c r="E141" t="e">
        <f>VLOOKUP(B141,Sheet1!A:G,1,FALSE)</f>
        <v>#N/A</v>
      </c>
    </row>
    <row r="142" spans="2:5" ht="45" hidden="1" x14ac:dyDescent="0.25">
      <c r="B142" s="225" t="s">
        <v>1422</v>
      </c>
      <c r="C142" s="225" t="s">
        <v>1423</v>
      </c>
      <c r="D142" s="230">
        <v>35.948</v>
      </c>
      <c r="E142" t="e">
        <f>VLOOKUP(B142,Sheet1!A:G,1,FALSE)</f>
        <v>#N/A</v>
      </c>
    </row>
    <row r="143" spans="2:5" hidden="1" x14ac:dyDescent="0.25">
      <c r="B143" s="225" t="s">
        <v>1316</v>
      </c>
      <c r="C143" s="225" t="s">
        <v>1317</v>
      </c>
      <c r="D143" s="230">
        <v>35.879999999999995</v>
      </c>
      <c r="E143" t="e">
        <f>VLOOKUP(B143,Sheet1!A:G,1,FALSE)</f>
        <v>#N/A</v>
      </c>
    </row>
    <row r="144" spans="2:5" hidden="1" x14ac:dyDescent="0.25">
      <c r="B144" s="225" t="s">
        <v>1344</v>
      </c>
      <c r="C144" s="225" t="s">
        <v>1345</v>
      </c>
      <c r="D144" s="230">
        <v>35.42</v>
      </c>
      <c r="E144" t="e">
        <f>VLOOKUP(B144,Sheet1!A:G,1,FALSE)</f>
        <v>#N/A</v>
      </c>
    </row>
    <row r="145" spans="2:5" ht="30" hidden="1" x14ac:dyDescent="0.25">
      <c r="B145" s="225" t="s">
        <v>1322</v>
      </c>
      <c r="C145" s="225" t="s">
        <v>1323</v>
      </c>
      <c r="D145" s="230">
        <v>34.776000000000003</v>
      </c>
      <c r="E145" t="e">
        <f>VLOOKUP(B145,Sheet1!A:G,1,FALSE)</f>
        <v>#N/A</v>
      </c>
    </row>
    <row r="146" spans="2:5" ht="30" hidden="1" x14ac:dyDescent="0.25">
      <c r="B146" s="225" t="s">
        <v>1356</v>
      </c>
      <c r="C146" s="225" t="s">
        <v>1357</v>
      </c>
      <c r="D146" s="230">
        <v>33.396000000000001</v>
      </c>
      <c r="E146" t="e">
        <f>VLOOKUP(B146,Sheet1!A:G,1,FALSE)</f>
        <v>#N/A</v>
      </c>
    </row>
    <row r="147" spans="2:5" ht="45" hidden="1" x14ac:dyDescent="0.25">
      <c r="B147" s="225" t="s">
        <v>1380</v>
      </c>
      <c r="C147" s="225" t="s">
        <v>1381</v>
      </c>
      <c r="D147" s="230">
        <v>29.64</v>
      </c>
      <c r="E147" t="e">
        <f>VLOOKUP(B147,Sheet1!A:G,1,FALSE)</f>
        <v>#N/A</v>
      </c>
    </row>
    <row r="148" spans="2:5" ht="30" hidden="1" x14ac:dyDescent="0.25">
      <c r="B148" s="225" t="s">
        <v>1398</v>
      </c>
      <c r="C148" s="225" t="s">
        <v>1399</v>
      </c>
      <c r="D148" s="230">
        <v>23.712</v>
      </c>
      <c r="E148" t="e">
        <f>VLOOKUP(B148,Sheet1!A:G,1,FALSE)</f>
        <v>#N/A</v>
      </c>
    </row>
    <row r="149" spans="2:5" ht="45" hidden="1" x14ac:dyDescent="0.25">
      <c r="B149" s="225" t="s">
        <v>1382</v>
      </c>
      <c r="C149" s="225" t="s">
        <v>1383</v>
      </c>
      <c r="D149" s="230">
        <v>23.712</v>
      </c>
      <c r="E149" t="e">
        <f>VLOOKUP(B149,Sheet1!A:G,1,FALSE)</f>
        <v>#N/A</v>
      </c>
    </row>
    <row r="150" spans="2:5" ht="45" hidden="1" x14ac:dyDescent="0.25">
      <c r="B150" s="225" t="s">
        <v>1390</v>
      </c>
      <c r="C150" s="225" t="s">
        <v>1391</v>
      </c>
      <c r="D150" s="230">
        <v>23.712</v>
      </c>
      <c r="E150" t="e">
        <f>VLOOKUP(B150,Sheet1!A:G,1,FALSE)</f>
        <v>#N/A</v>
      </c>
    </row>
    <row r="151" spans="2:5" ht="45" hidden="1" x14ac:dyDescent="0.25">
      <c r="B151" s="225" t="s">
        <v>1386</v>
      </c>
      <c r="C151" s="225" t="s">
        <v>1387</v>
      </c>
      <c r="D151" s="230">
        <v>19.608000000000001</v>
      </c>
      <c r="E151" t="e">
        <f>VLOOKUP(B151,Sheet1!A:G,1,FALSE)</f>
        <v>#N/A</v>
      </c>
    </row>
    <row r="152" spans="2:5" hidden="1" x14ac:dyDescent="0.25">
      <c r="B152" s="225" t="s">
        <v>1314</v>
      </c>
      <c r="C152" s="225" t="s">
        <v>1315</v>
      </c>
      <c r="D152" s="230">
        <v>19.32</v>
      </c>
      <c r="E152" t="e">
        <f>VLOOKUP(B152,Sheet1!A:G,1,FALSE)</f>
        <v>#N/A</v>
      </c>
    </row>
    <row r="153" spans="2:5" ht="30" hidden="1" x14ac:dyDescent="0.25">
      <c r="B153" s="225" t="s">
        <v>1326</v>
      </c>
      <c r="C153" s="225" t="s">
        <v>1327</v>
      </c>
      <c r="D153" s="230">
        <v>18.216000000000001</v>
      </c>
      <c r="E153" t="e">
        <f>VLOOKUP(B153,Sheet1!A:G,1,FALSE)</f>
        <v>#N/A</v>
      </c>
    </row>
    <row r="154" spans="2:5" hidden="1" x14ac:dyDescent="0.25">
      <c r="B154" s="225" t="s">
        <v>1342</v>
      </c>
      <c r="C154" s="225" t="s">
        <v>1343</v>
      </c>
      <c r="D154" s="230">
        <v>15.18</v>
      </c>
      <c r="E154" t="e">
        <f>VLOOKUP(B154,Sheet1!A:G,1,FALSE)</f>
        <v>#N/A</v>
      </c>
    </row>
    <row r="155" spans="2:5" ht="45" hidden="1" x14ac:dyDescent="0.25">
      <c r="B155" s="225" t="s">
        <v>1424</v>
      </c>
      <c r="C155" s="225" t="s">
        <v>1425</v>
      </c>
      <c r="D155" s="230">
        <v>14.211999999999998</v>
      </c>
      <c r="E155" t="e">
        <f>VLOOKUP(B155,Sheet1!A:G,1,FALSE)</f>
        <v>#N/A</v>
      </c>
    </row>
    <row r="156" spans="2:5" ht="30" hidden="1" x14ac:dyDescent="0.25">
      <c r="B156" s="225" t="s">
        <v>1312</v>
      </c>
      <c r="C156" s="225" t="s">
        <v>1313</v>
      </c>
      <c r="D156" s="230">
        <v>8.2799999999999994</v>
      </c>
      <c r="E156" t="e">
        <f>VLOOKUP(B156,Sheet1!A:G,1,FALSE)</f>
        <v>#N/A</v>
      </c>
    </row>
    <row r="157" spans="2:5" ht="45" hidden="1" x14ac:dyDescent="0.25">
      <c r="B157" s="225" t="s">
        <v>1388</v>
      </c>
      <c r="C157" s="225" t="s">
        <v>1389</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1917</v>
      </c>
      <c r="B1" s="284" t="s">
        <v>1916</v>
      </c>
      <c r="C1" s="284" t="s">
        <v>1915</v>
      </c>
      <c r="D1" s="284" t="s">
        <v>1914</v>
      </c>
      <c r="E1" s="284" t="s">
        <v>1913</v>
      </c>
      <c r="F1" s="284" t="s">
        <v>1912</v>
      </c>
      <c r="G1" s="284" t="s">
        <v>1242</v>
      </c>
    </row>
    <row r="2" spans="1:7" x14ac:dyDescent="0.25">
      <c r="A2" s="284" t="s">
        <v>1229</v>
      </c>
      <c r="B2" s="284" t="s">
        <v>1228</v>
      </c>
      <c r="C2" s="284" t="s">
        <v>1571</v>
      </c>
      <c r="D2" s="284" t="s">
        <v>1883</v>
      </c>
      <c r="E2" s="284">
        <v>12995</v>
      </c>
      <c r="F2" s="284">
        <v>0.15749980761831467</v>
      </c>
      <c r="G2" s="284">
        <v>10948.29</v>
      </c>
    </row>
    <row r="3" spans="1:7" x14ac:dyDescent="0.25">
      <c r="A3" s="284" t="s">
        <v>186</v>
      </c>
      <c r="B3" s="284" t="s">
        <v>934</v>
      </c>
      <c r="C3" s="284" t="s">
        <v>1571</v>
      </c>
      <c r="D3" s="284" t="s">
        <v>1897</v>
      </c>
      <c r="E3" s="284">
        <v>175</v>
      </c>
      <c r="F3" s="284">
        <v>8.7499999999999994E-2</v>
      </c>
      <c r="G3" s="284">
        <v>159.69</v>
      </c>
    </row>
    <row r="4" spans="1:7" x14ac:dyDescent="0.25">
      <c r="A4" s="284" t="s">
        <v>187</v>
      </c>
      <c r="B4" s="284" t="s">
        <v>933</v>
      </c>
      <c r="C4" s="284" t="s">
        <v>1571</v>
      </c>
      <c r="D4" s="284" t="s">
        <v>1897</v>
      </c>
      <c r="E4" s="284">
        <v>325</v>
      </c>
      <c r="F4" s="284">
        <v>8.7499999999999994E-2</v>
      </c>
      <c r="G4" s="284">
        <v>296.56</v>
      </c>
    </row>
    <row r="5" spans="1:7" x14ac:dyDescent="0.25">
      <c r="A5" s="284" t="s">
        <v>151</v>
      </c>
      <c r="B5" s="284" t="s">
        <v>1911</v>
      </c>
      <c r="C5" s="284" t="s">
        <v>1571</v>
      </c>
      <c r="D5" s="284" t="s">
        <v>1897</v>
      </c>
      <c r="E5" s="284">
        <v>3795</v>
      </c>
      <c r="F5" s="284">
        <v>8.7499999999999994E-2</v>
      </c>
      <c r="G5" s="284">
        <v>3462.94</v>
      </c>
    </row>
    <row r="6" spans="1:7" x14ac:dyDescent="0.25">
      <c r="A6" s="284" t="s">
        <v>149</v>
      </c>
      <c r="B6" s="284" t="s">
        <v>931</v>
      </c>
      <c r="C6" s="284" t="s">
        <v>1571</v>
      </c>
      <c r="D6" s="284" t="s">
        <v>1897</v>
      </c>
      <c r="E6" s="284">
        <v>825</v>
      </c>
      <c r="F6" s="284">
        <v>8.7499999999999994E-2</v>
      </c>
      <c r="G6" s="284">
        <v>752.81</v>
      </c>
    </row>
    <row r="7" spans="1:7" x14ac:dyDescent="0.25">
      <c r="A7" s="284" t="s">
        <v>157</v>
      </c>
      <c r="B7" s="284" t="s">
        <v>930</v>
      </c>
      <c r="C7" s="284" t="s">
        <v>1571</v>
      </c>
      <c r="D7" s="284" t="s">
        <v>1897</v>
      </c>
      <c r="E7" s="284">
        <v>890</v>
      </c>
      <c r="F7" s="284">
        <v>8.7499999999999994E-2</v>
      </c>
      <c r="G7" s="284">
        <v>812.13</v>
      </c>
    </row>
    <row r="8" spans="1:7" x14ac:dyDescent="0.25">
      <c r="A8" s="284" t="s">
        <v>160</v>
      </c>
      <c r="B8" s="284" t="s">
        <v>1910</v>
      </c>
      <c r="C8" s="284" t="s">
        <v>1571</v>
      </c>
      <c r="D8" s="284" t="s">
        <v>1897</v>
      </c>
      <c r="E8" s="284">
        <v>499</v>
      </c>
      <c r="F8" s="284">
        <v>8.7499999999999994E-2</v>
      </c>
      <c r="G8" s="284">
        <v>455.34</v>
      </c>
    </row>
    <row r="9" spans="1:7" x14ac:dyDescent="0.25">
      <c r="A9" s="284" t="s">
        <v>164</v>
      </c>
      <c r="B9" s="284" t="s">
        <v>1909</v>
      </c>
      <c r="C9" s="284" t="s">
        <v>1571</v>
      </c>
      <c r="D9" s="284" t="s">
        <v>1897</v>
      </c>
      <c r="E9" s="284">
        <v>50</v>
      </c>
      <c r="F9" s="284">
        <v>8.7499999999999994E-2</v>
      </c>
      <c r="G9" s="284">
        <v>45.63</v>
      </c>
    </row>
    <row r="10" spans="1:7" x14ac:dyDescent="0.25">
      <c r="A10" s="284" t="s">
        <v>496</v>
      </c>
      <c r="B10" s="284" t="s">
        <v>1196</v>
      </c>
      <c r="C10" s="284" t="s">
        <v>1571</v>
      </c>
      <c r="D10" s="284" t="s">
        <v>1897</v>
      </c>
      <c r="E10" s="284">
        <v>745</v>
      </c>
      <c r="F10" s="284">
        <v>8.7499999999999994E-2</v>
      </c>
      <c r="G10" s="284">
        <v>679.81</v>
      </c>
    </row>
    <row r="11" spans="1:7" x14ac:dyDescent="0.25">
      <c r="A11" s="284" t="s">
        <v>495</v>
      </c>
      <c r="B11" s="284" t="s">
        <v>1908</v>
      </c>
      <c r="C11" s="284" t="s">
        <v>1571</v>
      </c>
      <c r="D11" s="284" t="s">
        <v>1897</v>
      </c>
      <c r="E11" s="284">
        <v>445</v>
      </c>
      <c r="F11" s="284">
        <v>8.7499999999999994E-2</v>
      </c>
      <c r="G11" s="284">
        <v>406.06</v>
      </c>
    </row>
    <row r="12" spans="1:7" x14ac:dyDescent="0.25">
      <c r="A12" s="284" t="s">
        <v>1217</v>
      </c>
      <c r="B12" s="284" t="s">
        <v>1216</v>
      </c>
      <c r="C12" s="284" t="s">
        <v>1571</v>
      </c>
      <c r="D12" s="284" t="s">
        <v>1897</v>
      </c>
      <c r="E12" s="284">
        <v>3495</v>
      </c>
      <c r="F12" s="284">
        <v>8.7499284692417731E-2</v>
      </c>
      <c r="G12" s="284">
        <v>3189.19</v>
      </c>
    </row>
    <row r="13" spans="1:7" x14ac:dyDescent="0.25">
      <c r="A13" s="284" t="s">
        <v>1215</v>
      </c>
      <c r="B13" s="284" t="s">
        <v>1214</v>
      </c>
      <c r="C13" s="284" t="s">
        <v>1571</v>
      </c>
      <c r="D13" s="284" t="s">
        <v>1897</v>
      </c>
      <c r="E13" s="284">
        <v>425</v>
      </c>
      <c r="F13" s="284">
        <v>8.7505882352941169E-2</v>
      </c>
      <c r="G13" s="284">
        <v>387.81</v>
      </c>
    </row>
    <row r="14" spans="1:7" x14ac:dyDescent="0.25">
      <c r="A14" s="284" t="s">
        <v>782</v>
      </c>
      <c r="B14" s="284" t="s">
        <v>1225</v>
      </c>
      <c r="C14" s="284" t="s">
        <v>1571</v>
      </c>
      <c r="D14" s="284" t="s">
        <v>1897</v>
      </c>
      <c r="E14" s="284">
        <v>1025</v>
      </c>
      <c r="F14" s="284">
        <v>8.7502439024390297E-2</v>
      </c>
      <c r="G14" s="284">
        <v>935.31</v>
      </c>
    </row>
    <row r="15" spans="1:7" x14ac:dyDescent="0.25">
      <c r="A15" s="284" t="s">
        <v>700</v>
      </c>
      <c r="B15" s="284" t="s">
        <v>1226</v>
      </c>
      <c r="C15" s="284" t="s">
        <v>1571</v>
      </c>
      <c r="D15" s="284" t="s">
        <v>1897</v>
      </c>
      <c r="E15" s="284">
        <v>725</v>
      </c>
      <c r="F15" s="284">
        <v>8.750344827586215E-2</v>
      </c>
      <c r="G15" s="284">
        <v>661.56</v>
      </c>
    </row>
    <row r="16" spans="1:7" x14ac:dyDescent="0.25">
      <c r="A16" s="284" t="s">
        <v>192</v>
      </c>
      <c r="B16" s="284" t="s">
        <v>1210</v>
      </c>
      <c r="C16" s="284" t="s">
        <v>1571</v>
      </c>
      <c r="D16" s="284" t="s">
        <v>1897</v>
      </c>
      <c r="E16" s="284">
        <v>250</v>
      </c>
      <c r="F16" s="284">
        <v>8.7480000000000016E-2</v>
      </c>
      <c r="G16" s="284">
        <v>228.13</v>
      </c>
    </row>
    <row r="17" spans="1:7" x14ac:dyDescent="0.25">
      <c r="A17" s="284" t="s">
        <v>197</v>
      </c>
      <c r="B17" s="284" t="s">
        <v>926</v>
      </c>
      <c r="C17" s="284" t="s">
        <v>1571</v>
      </c>
      <c r="D17" s="284" t="s">
        <v>1897</v>
      </c>
      <c r="E17" s="284">
        <v>165</v>
      </c>
      <c r="F17" s="284">
        <v>8.7499999999999994E-2</v>
      </c>
      <c r="G17" s="284">
        <v>150.56</v>
      </c>
    </row>
    <row r="18" spans="1:7" x14ac:dyDescent="0.25">
      <c r="A18" s="284" t="s">
        <v>173</v>
      </c>
      <c r="B18" s="284" t="s">
        <v>925</v>
      </c>
      <c r="C18" s="284" t="s">
        <v>1571</v>
      </c>
      <c r="D18" s="284" t="s">
        <v>1897</v>
      </c>
      <c r="E18" s="284">
        <v>1025</v>
      </c>
      <c r="F18" s="284">
        <v>8.7502439024390297E-2</v>
      </c>
      <c r="G18" s="284">
        <v>935.31</v>
      </c>
    </row>
    <row r="19" spans="1:7" x14ac:dyDescent="0.25">
      <c r="A19" s="284" t="s">
        <v>179</v>
      </c>
      <c r="B19" s="284" t="s">
        <v>1220</v>
      </c>
      <c r="C19" s="284" t="s">
        <v>1571</v>
      </c>
      <c r="D19" s="284" t="s">
        <v>1897</v>
      </c>
      <c r="E19" s="284">
        <v>3995</v>
      </c>
      <c r="F19" s="284">
        <v>8.7499374217772208E-2</v>
      </c>
      <c r="G19" s="284">
        <v>3645.44</v>
      </c>
    </row>
    <row r="20" spans="1:7" x14ac:dyDescent="0.25">
      <c r="A20" s="284" t="s">
        <v>177</v>
      </c>
      <c r="B20" s="284" t="s">
        <v>1223</v>
      </c>
      <c r="C20" s="284" t="s">
        <v>1571</v>
      </c>
      <c r="D20" s="284" t="s">
        <v>1897</v>
      </c>
      <c r="E20" s="284">
        <v>725</v>
      </c>
      <c r="F20" s="284">
        <v>8.750344827586215E-2</v>
      </c>
      <c r="G20" s="284">
        <v>661.56</v>
      </c>
    </row>
    <row r="21" spans="1:7" x14ac:dyDescent="0.25">
      <c r="A21" s="284" t="s">
        <v>198</v>
      </c>
      <c r="B21" s="284" t="s">
        <v>1907</v>
      </c>
      <c r="C21" s="284" t="s">
        <v>1571</v>
      </c>
      <c r="D21" s="284" t="s">
        <v>1897</v>
      </c>
      <c r="E21" s="284">
        <v>75</v>
      </c>
      <c r="F21" s="284">
        <v>8.7499999999999994E-2</v>
      </c>
      <c r="G21" s="284">
        <v>68.44</v>
      </c>
    </row>
    <row r="22" spans="1:7" x14ac:dyDescent="0.25">
      <c r="A22" s="284" t="s">
        <v>185</v>
      </c>
      <c r="B22" s="284" t="s">
        <v>1204</v>
      </c>
      <c r="C22" s="284" t="s">
        <v>1571</v>
      </c>
      <c r="D22" s="284" t="s">
        <v>1897</v>
      </c>
      <c r="E22" s="284">
        <v>315</v>
      </c>
      <c r="F22" s="284">
        <v>8.7499999999999994E-2</v>
      </c>
      <c r="G22" s="284">
        <v>287.44</v>
      </c>
    </row>
    <row r="23" spans="1:7" x14ac:dyDescent="0.25">
      <c r="A23" s="284" t="s">
        <v>520</v>
      </c>
      <c r="B23" s="284" t="s">
        <v>920</v>
      </c>
      <c r="C23" s="284" t="s">
        <v>1571</v>
      </c>
      <c r="D23" s="284" t="s">
        <v>1897</v>
      </c>
      <c r="E23" s="284">
        <v>1190</v>
      </c>
      <c r="F23" s="284">
        <v>8.7499999999999994E-2</v>
      </c>
      <c r="G23" s="284">
        <v>1085.8800000000001</v>
      </c>
    </row>
    <row r="24" spans="1:7" x14ac:dyDescent="0.25">
      <c r="A24" s="284" t="s">
        <v>519</v>
      </c>
      <c r="B24" s="284" t="s">
        <v>918</v>
      </c>
      <c r="C24" s="284" t="s">
        <v>1571</v>
      </c>
      <c r="D24" s="284" t="s">
        <v>1897</v>
      </c>
      <c r="E24" s="284">
        <v>690</v>
      </c>
      <c r="F24" s="284">
        <v>8.7499999999999994E-2</v>
      </c>
      <c r="G24" s="284">
        <v>629.63</v>
      </c>
    </row>
    <row r="25" spans="1:7" x14ac:dyDescent="0.25">
      <c r="A25" s="284" t="s">
        <v>375</v>
      </c>
      <c r="B25" s="284" t="s">
        <v>1906</v>
      </c>
      <c r="C25" s="284" t="s">
        <v>1571</v>
      </c>
      <c r="D25" s="284" t="s">
        <v>1897</v>
      </c>
      <c r="E25" s="284">
        <v>12875.400000000001</v>
      </c>
      <c r="F25" s="284">
        <v>9.9057116672103498E-2</v>
      </c>
      <c r="G25" s="284">
        <v>11600</v>
      </c>
    </row>
    <row r="26" spans="1:7" x14ac:dyDescent="0.25">
      <c r="A26" s="284" t="s">
        <v>208</v>
      </c>
      <c r="B26" s="284" t="s">
        <v>1905</v>
      </c>
      <c r="C26" s="284" t="s">
        <v>1571</v>
      </c>
      <c r="D26" s="284" t="s">
        <v>1897</v>
      </c>
      <c r="E26" s="284">
        <v>4400</v>
      </c>
      <c r="F26" s="284">
        <v>0.25</v>
      </c>
      <c r="G26" s="284">
        <v>3300</v>
      </c>
    </row>
    <row r="27" spans="1:7" x14ac:dyDescent="0.25">
      <c r="A27" s="284" t="s">
        <v>376</v>
      </c>
      <c r="B27" s="284" t="s">
        <v>1904</v>
      </c>
      <c r="C27" s="284" t="s">
        <v>1571</v>
      </c>
      <c r="D27" s="284" t="s">
        <v>1897</v>
      </c>
      <c r="E27" s="284">
        <v>11035.4</v>
      </c>
      <c r="F27" s="284">
        <v>0.12644761404208271</v>
      </c>
      <c r="G27" s="284">
        <v>9640</v>
      </c>
    </row>
    <row r="28" spans="1:7" x14ac:dyDescent="0.25">
      <c r="A28" s="284" t="s">
        <v>801</v>
      </c>
      <c r="B28" s="284" t="s">
        <v>1903</v>
      </c>
      <c r="C28" s="284" t="s">
        <v>1571</v>
      </c>
      <c r="D28" s="284" t="s">
        <v>1897</v>
      </c>
      <c r="E28" s="284">
        <v>1620</v>
      </c>
      <c r="F28" s="284">
        <v>0.20370370370370369</v>
      </c>
      <c r="G28" s="284">
        <v>1290</v>
      </c>
    </row>
    <row r="29" spans="1:7" x14ac:dyDescent="0.25">
      <c r="A29" s="284" t="s">
        <v>1028</v>
      </c>
      <c r="B29" s="284" t="s">
        <v>1902</v>
      </c>
      <c r="C29" s="284" t="s">
        <v>1571</v>
      </c>
      <c r="D29" s="284" t="s">
        <v>1897</v>
      </c>
      <c r="E29" s="284">
        <v>1250</v>
      </c>
      <c r="F29" s="284">
        <v>0.20799999999999999</v>
      </c>
      <c r="G29" s="284">
        <v>990</v>
      </c>
    </row>
    <row r="30" spans="1:7" x14ac:dyDescent="0.25">
      <c r="A30" s="284" t="s">
        <v>511</v>
      </c>
      <c r="B30" s="284" t="s">
        <v>1901</v>
      </c>
      <c r="C30" s="284" t="s">
        <v>1571</v>
      </c>
      <c r="D30" s="284" t="s">
        <v>1897</v>
      </c>
      <c r="E30" s="284">
        <v>1810</v>
      </c>
      <c r="F30" s="284">
        <v>0.11602209944751381</v>
      </c>
      <c r="G30" s="284">
        <v>1600</v>
      </c>
    </row>
    <row r="31" spans="1:7" x14ac:dyDescent="0.25">
      <c r="A31" s="284" t="s">
        <v>211</v>
      </c>
      <c r="B31" s="284" t="s">
        <v>1900</v>
      </c>
      <c r="C31" s="284" t="s">
        <v>1571</v>
      </c>
      <c r="D31" s="284" t="s">
        <v>1897</v>
      </c>
      <c r="E31" s="284">
        <v>4830</v>
      </c>
      <c r="F31" s="284">
        <v>0.17391304347826086</v>
      </c>
      <c r="G31" s="284">
        <v>3990</v>
      </c>
    </row>
    <row r="32" spans="1:7" x14ac:dyDescent="0.25">
      <c r="A32" s="284" t="s">
        <v>191</v>
      </c>
      <c r="B32" s="284" t="s">
        <v>907</v>
      </c>
      <c r="C32" s="284" t="s">
        <v>1571</v>
      </c>
      <c r="D32" s="284" t="s">
        <v>1897</v>
      </c>
      <c r="E32" s="284">
        <v>390</v>
      </c>
      <c r="F32" s="284">
        <v>8.7499999999999994E-2</v>
      </c>
      <c r="G32" s="284">
        <v>355.88</v>
      </c>
    </row>
    <row r="33" spans="1:7" x14ac:dyDescent="0.25">
      <c r="A33" s="284" t="s">
        <v>1899</v>
      </c>
      <c r="B33" s="284" t="s">
        <v>1202</v>
      </c>
      <c r="C33" s="284" t="s">
        <v>1571</v>
      </c>
      <c r="D33" s="284" t="s">
        <v>1897</v>
      </c>
      <c r="E33" s="284">
        <v>425</v>
      </c>
      <c r="F33" s="284">
        <v>8.7499999999999994E-2</v>
      </c>
      <c r="G33" s="284">
        <v>387.81</v>
      </c>
    </row>
    <row r="34" spans="1:7" x14ac:dyDescent="0.25">
      <c r="A34" s="284" t="s">
        <v>1219</v>
      </c>
      <c r="B34" s="284" t="s">
        <v>1898</v>
      </c>
      <c r="C34" s="284" t="s">
        <v>1571</v>
      </c>
      <c r="D34" s="284" t="s">
        <v>1897</v>
      </c>
      <c r="E34" s="284">
        <v>300</v>
      </c>
      <c r="F34" s="284">
        <v>8.7499999999999994E-2</v>
      </c>
      <c r="G34" s="284">
        <v>273.75</v>
      </c>
    </row>
    <row r="35" spans="1:7" x14ac:dyDescent="0.25">
      <c r="A35" s="284" t="s">
        <v>1896</v>
      </c>
      <c r="B35" s="284" t="s">
        <v>1895</v>
      </c>
      <c r="C35" s="284" t="s">
        <v>1571</v>
      </c>
      <c r="D35" s="284" t="s">
        <v>1883</v>
      </c>
      <c r="E35" s="284">
        <v>17190</v>
      </c>
      <c r="F35" s="284">
        <v>0.16230366492146597</v>
      </c>
      <c r="G35" s="284">
        <v>14400</v>
      </c>
    </row>
    <row r="36" spans="1:7" x14ac:dyDescent="0.25">
      <c r="A36" s="284" t="s">
        <v>1894</v>
      </c>
      <c r="B36" s="284" t="s">
        <v>1893</v>
      </c>
      <c r="C36" s="284" t="s">
        <v>1571</v>
      </c>
      <c r="D36" s="284" t="s">
        <v>1883</v>
      </c>
      <c r="E36" s="284">
        <v>14995</v>
      </c>
      <c r="F36" s="284">
        <v>0.17305768589529844</v>
      </c>
      <c r="G36" s="284">
        <v>12400</v>
      </c>
    </row>
    <row r="37" spans="1:7" x14ac:dyDescent="0.25">
      <c r="A37" s="284" t="s">
        <v>654</v>
      </c>
      <c r="B37" s="284" t="s">
        <v>1138</v>
      </c>
      <c r="C37" s="284" t="s">
        <v>1571</v>
      </c>
      <c r="D37" s="284" t="s">
        <v>1570</v>
      </c>
      <c r="E37" s="284">
        <v>995</v>
      </c>
      <c r="F37" s="284">
        <v>0.2475</v>
      </c>
      <c r="G37" s="284">
        <v>748.74</v>
      </c>
    </row>
    <row r="38" spans="1:7" x14ac:dyDescent="0.25">
      <c r="A38" s="284" t="s">
        <v>650</v>
      </c>
      <c r="B38" s="284" t="s">
        <v>1892</v>
      </c>
      <c r="C38" s="284" t="s">
        <v>1571</v>
      </c>
      <c r="D38" s="284" t="s">
        <v>1570</v>
      </c>
      <c r="E38" s="284">
        <v>4295</v>
      </c>
      <c r="F38" s="284">
        <v>0.2475</v>
      </c>
      <c r="G38" s="284">
        <v>3231.99</v>
      </c>
    </row>
    <row r="39" spans="1:7" x14ac:dyDescent="0.25">
      <c r="A39" s="284" t="s">
        <v>320</v>
      </c>
      <c r="B39" s="284" t="s">
        <v>1189</v>
      </c>
      <c r="C39" s="284" t="s">
        <v>1571</v>
      </c>
      <c r="D39" s="284" t="s">
        <v>1570</v>
      </c>
      <c r="E39" s="284">
        <v>995</v>
      </c>
      <c r="F39" s="284">
        <v>0.2475</v>
      </c>
      <c r="G39" s="284">
        <v>748.74</v>
      </c>
    </row>
    <row r="40" spans="1:7" x14ac:dyDescent="0.25">
      <c r="A40" s="284" t="s">
        <v>651</v>
      </c>
      <c r="B40" s="284" t="s">
        <v>1891</v>
      </c>
      <c r="C40" s="284" t="s">
        <v>1571</v>
      </c>
      <c r="D40" s="284" t="s">
        <v>1570</v>
      </c>
      <c r="E40" s="284">
        <v>4295</v>
      </c>
      <c r="F40" s="284">
        <v>0.2475</v>
      </c>
      <c r="G40" s="284">
        <v>3231.99</v>
      </c>
    </row>
    <row r="41" spans="1:7" x14ac:dyDescent="0.25">
      <c r="A41" s="284" t="s">
        <v>830</v>
      </c>
      <c r="B41" s="284" t="s">
        <v>1186</v>
      </c>
      <c r="C41" s="284" t="s">
        <v>1571</v>
      </c>
      <c r="D41" s="284" t="s">
        <v>1570</v>
      </c>
      <c r="E41" s="284">
        <v>260</v>
      </c>
      <c r="F41" s="284">
        <v>0.2475</v>
      </c>
      <c r="G41" s="284">
        <v>195.65</v>
      </c>
    </row>
    <row r="42" spans="1:7" x14ac:dyDescent="0.25">
      <c r="A42" s="284" t="s">
        <v>829</v>
      </c>
      <c r="B42" s="284" t="s">
        <v>1185</v>
      </c>
      <c r="C42" s="284" t="s">
        <v>1571</v>
      </c>
      <c r="D42" s="284" t="s">
        <v>1570</v>
      </c>
      <c r="E42" s="284">
        <v>395</v>
      </c>
      <c r="F42" s="284">
        <v>0.2475</v>
      </c>
      <c r="G42" s="284">
        <v>297.24</v>
      </c>
    </row>
    <row r="43" spans="1:7" x14ac:dyDescent="0.25">
      <c r="A43" s="284" t="s">
        <v>1237</v>
      </c>
      <c r="B43" s="284" t="s">
        <v>1890</v>
      </c>
      <c r="C43" s="284" t="s">
        <v>1571</v>
      </c>
      <c r="D43" s="284" t="s">
        <v>1883</v>
      </c>
      <c r="E43" s="284">
        <v>10195</v>
      </c>
      <c r="F43" s="284">
        <v>0.1575282000980873</v>
      </c>
      <c r="G43" s="284">
        <v>8589</v>
      </c>
    </row>
    <row r="44" spans="1:7" x14ac:dyDescent="0.25">
      <c r="A44" s="284" t="s">
        <v>656</v>
      </c>
      <c r="B44" s="284" t="s">
        <v>1183</v>
      </c>
      <c r="C44" s="284" t="s">
        <v>1571</v>
      </c>
      <c r="D44" s="284" t="s">
        <v>1570</v>
      </c>
      <c r="E44" s="284">
        <v>215</v>
      </c>
      <c r="F44" s="284">
        <v>0.2475</v>
      </c>
      <c r="G44" s="284">
        <v>161.79</v>
      </c>
    </row>
    <row r="45" spans="1:7" x14ac:dyDescent="0.25">
      <c r="A45" s="284" t="s">
        <v>1889</v>
      </c>
      <c r="B45" s="284" t="s">
        <v>1888</v>
      </c>
      <c r="C45" s="284" t="s">
        <v>1571</v>
      </c>
      <c r="D45" s="284" t="s">
        <v>1883</v>
      </c>
      <c r="E45" s="284">
        <v>20190</v>
      </c>
      <c r="F45" s="284">
        <v>0.16146607231302626</v>
      </c>
      <c r="G45" s="284">
        <v>16930</v>
      </c>
    </row>
    <row r="46" spans="1:7" x14ac:dyDescent="0.25">
      <c r="A46" s="284" t="s">
        <v>1887</v>
      </c>
      <c r="B46" s="284" t="s">
        <v>1886</v>
      </c>
      <c r="C46" s="284" t="s">
        <v>1571</v>
      </c>
      <c r="D46" s="284" t="s">
        <v>1883</v>
      </c>
      <c r="E46" s="284">
        <v>17995</v>
      </c>
      <c r="F46" s="284">
        <v>0.17088080022228397</v>
      </c>
      <c r="G46" s="284">
        <v>14920</v>
      </c>
    </row>
    <row r="47" spans="1:7" x14ac:dyDescent="0.25">
      <c r="A47" s="284" t="s">
        <v>1885</v>
      </c>
      <c r="B47" s="284" t="s">
        <v>1884</v>
      </c>
      <c r="C47" s="284" t="s">
        <v>1571</v>
      </c>
      <c r="D47" s="284" t="s">
        <v>1883</v>
      </c>
      <c r="E47" s="284">
        <v>13353.115727002967</v>
      </c>
      <c r="F47" s="284">
        <v>0.15749999999999997</v>
      </c>
      <c r="G47" s="284">
        <v>11250</v>
      </c>
    </row>
    <row r="48" spans="1:7" x14ac:dyDescent="0.25">
      <c r="A48" s="284" t="s">
        <v>323</v>
      </c>
      <c r="B48" s="284" t="s">
        <v>1190</v>
      </c>
      <c r="C48" s="284" t="s">
        <v>1571</v>
      </c>
      <c r="D48" s="284" t="s">
        <v>1570</v>
      </c>
      <c r="E48" s="284">
        <v>3495</v>
      </c>
      <c r="F48" s="284">
        <v>0.2475</v>
      </c>
      <c r="G48" s="284">
        <v>2629.99</v>
      </c>
    </row>
    <row r="49" spans="1:7" x14ac:dyDescent="0.25">
      <c r="A49" s="284" t="s">
        <v>324</v>
      </c>
      <c r="B49" s="284" t="s">
        <v>1180</v>
      </c>
      <c r="C49" s="284" t="s">
        <v>1571</v>
      </c>
      <c r="D49" s="284" t="s">
        <v>1570</v>
      </c>
      <c r="E49" s="284">
        <v>260</v>
      </c>
      <c r="F49" s="284">
        <v>0.2475</v>
      </c>
      <c r="G49" s="284">
        <v>195.65</v>
      </c>
    </row>
    <row r="50" spans="1:7" x14ac:dyDescent="0.25">
      <c r="A50" s="284" t="s">
        <v>325</v>
      </c>
      <c r="B50" s="284" t="s">
        <v>1182</v>
      </c>
      <c r="C50" s="284" t="s">
        <v>1571</v>
      </c>
      <c r="D50" s="284" t="s">
        <v>1570</v>
      </c>
      <c r="E50" s="284">
        <v>85</v>
      </c>
      <c r="F50" s="284">
        <v>0.2475</v>
      </c>
      <c r="G50" s="284">
        <v>63.96</v>
      </c>
    </row>
    <row r="51" spans="1:7" x14ac:dyDescent="0.25">
      <c r="A51" s="284" t="s">
        <v>1175</v>
      </c>
      <c r="B51" s="284" t="s">
        <v>1174</v>
      </c>
      <c r="C51" s="284" t="s">
        <v>1571</v>
      </c>
      <c r="D51" s="284" t="s">
        <v>1777</v>
      </c>
      <c r="E51" s="284">
        <v>4395</v>
      </c>
      <c r="F51" s="284">
        <v>0.2475</v>
      </c>
      <c r="G51" s="284">
        <v>3307.24</v>
      </c>
    </row>
    <row r="52" spans="1:7" x14ac:dyDescent="0.25">
      <c r="A52" s="284" t="s">
        <v>1179</v>
      </c>
      <c r="B52" s="284" t="s">
        <v>1178</v>
      </c>
      <c r="C52" s="284" t="s">
        <v>1779</v>
      </c>
      <c r="D52" s="284" t="s">
        <v>1777</v>
      </c>
      <c r="E52" s="284">
        <v>2095</v>
      </c>
      <c r="F52" s="284">
        <v>0.2475</v>
      </c>
      <c r="G52" s="284">
        <v>1576.49</v>
      </c>
    </row>
    <row r="53" spans="1:7" x14ac:dyDescent="0.25">
      <c r="A53" s="284" t="s">
        <v>1177</v>
      </c>
      <c r="B53" s="284" t="s">
        <v>1176</v>
      </c>
      <c r="C53" s="284" t="s">
        <v>1882</v>
      </c>
      <c r="D53" s="284" t="s">
        <v>1777</v>
      </c>
      <c r="E53" s="284">
        <v>1190</v>
      </c>
      <c r="F53" s="284">
        <v>0.2475</v>
      </c>
      <c r="G53" s="284">
        <v>895.48</v>
      </c>
    </row>
    <row r="54" spans="1:7" x14ac:dyDescent="0.25">
      <c r="A54" s="284" t="s">
        <v>1881</v>
      </c>
      <c r="B54" s="284" t="s">
        <v>1880</v>
      </c>
      <c r="C54" s="284" t="s">
        <v>1571</v>
      </c>
      <c r="D54" s="284" t="s">
        <v>1570</v>
      </c>
      <c r="E54" s="284">
        <v>3.1</v>
      </c>
      <c r="F54" s="284">
        <v>0.2475</v>
      </c>
      <c r="G54" s="284">
        <v>2.33</v>
      </c>
    </row>
    <row r="55" spans="1:7" x14ac:dyDescent="0.25">
      <c r="A55" s="284" t="s">
        <v>1879</v>
      </c>
      <c r="B55" s="284" t="s">
        <v>1878</v>
      </c>
      <c r="C55" s="284" t="s">
        <v>1575</v>
      </c>
      <c r="D55" s="284" t="s">
        <v>1702</v>
      </c>
      <c r="E55" s="284">
        <v>69.3</v>
      </c>
      <c r="F55" s="284">
        <v>8.7499999999999994E-2</v>
      </c>
      <c r="G55" s="284">
        <v>63.24</v>
      </c>
    </row>
    <row r="56" spans="1:7" x14ac:dyDescent="0.25">
      <c r="A56" s="284" t="s">
        <v>1877</v>
      </c>
      <c r="B56" s="284" t="s">
        <v>1876</v>
      </c>
      <c r="C56" s="284" t="s">
        <v>1575</v>
      </c>
      <c r="D56" s="284" t="s">
        <v>1702</v>
      </c>
      <c r="E56" s="284">
        <v>38.5</v>
      </c>
      <c r="F56" s="284">
        <v>8.7499999999999994E-2</v>
      </c>
      <c r="G56" s="284">
        <v>35.130000000000003</v>
      </c>
    </row>
    <row r="57" spans="1:7" x14ac:dyDescent="0.25">
      <c r="A57" s="284" t="s">
        <v>1875</v>
      </c>
      <c r="B57" s="284" t="s">
        <v>1874</v>
      </c>
      <c r="C57" s="284" t="s">
        <v>1575</v>
      </c>
      <c r="D57" s="284" t="s">
        <v>1702</v>
      </c>
      <c r="E57" s="284">
        <v>71.5</v>
      </c>
      <c r="F57" s="284">
        <v>8.7499999999999994E-2</v>
      </c>
      <c r="G57" s="284">
        <v>65.239999999999995</v>
      </c>
    </row>
    <row r="58" spans="1:7" x14ac:dyDescent="0.25">
      <c r="A58" s="284" t="s">
        <v>1873</v>
      </c>
      <c r="B58" s="284" t="s">
        <v>1872</v>
      </c>
      <c r="C58" s="284" t="s">
        <v>1575</v>
      </c>
      <c r="D58" s="284" t="s">
        <v>1702</v>
      </c>
      <c r="E58" s="284">
        <v>195.8</v>
      </c>
      <c r="F58" s="284">
        <v>8.7499999999999994E-2</v>
      </c>
      <c r="G58" s="284">
        <v>178.67</v>
      </c>
    </row>
    <row r="59" spans="1:7" x14ac:dyDescent="0.25">
      <c r="A59" s="284" t="s">
        <v>1871</v>
      </c>
      <c r="B59" s="284" t="s">
        <v>1870</v>
      </c>
      <c r="C59" s="284" t="s">
        <v>1575</v>
      </c>
      <c r="D59" s="284" t="s">
        <v>1702</v>
      </c>
      <c r="E59" s="284">
        <v>163.9</v>
      </c>
      <c r="F59" s="284">
        <v>8.7499999999999994E-2</v>
      </c>
      <c r="G59" s="284">
        <v>149.56</v>
      </c>
    </row>
    <row r="60" spans="1:7" x14ac:dyDescent="0.25">
      <c r="A60" s="284" t="s">
        <v>1869</v>
      </c>
      <c r="B60" s="284" t="s">
        <v>1868</v>
      </c>
      <c r="C60" s="284" t="s">
        <v>1575</v>
      </c>
      <c r="D60" s="284" t="s">
        <v>1702</v>
      </c>
      <c r="E60" s="284">
        <v>137.5</v>
      </c>
      <c r="F60" s="284">
        <v>8.7499999999999994E-2</v>
      </c>
      <c r="G60" s="284">
        <v>125.47</v>
      </c>
    </row>
    <row r="61" spans="1:7" x14ac:dyDescent="0.25">
      <c r="A61" s="284" t="s">
        <v>1867</v>
      </c>
      <c r="B61" s="284" t="s">
        <v>1866</v>
      </c>
      <c r="C61" s="284" t="s">
        <v>1575</v>
      </c>
      <c r="D61" s="284" t="s">
        <v>1702</v>
      </c>
      <c r="E61" s="284">
        <v>97.9</v>
      </c>
      <c r="F61" s="284">
        <v>8.7499999999999994E-2</v>
      </c>
      <c r="G61" s="284">
        <v>89.33</v>
      </c>
    </row>
    <row r="62" spans="1:7" x14ac:dyDescent="0.25">
      <c r="A62" s="284" t="s">
        <v>1865</v>
      </c>
      <c r="B62" s="284" t="s">
        <v>1864</v>
      </c>
      <c r="C62" s="284" t="s">
        <v>1575</v>
      </c>
      <c r="D62" s="284" t="s">
        <v>1702</v>
      </c>
      <c r="E62" s="284">
        <v>834.9</v>
      </c>
      <c r="F62" s="284">
        <v>8.7499999999999994E-2</v>
      </c>
      <c r="G62" s="284">
        <v>761.85</v>
      </c>
    </row>
    <row r="63" spans="1:7" x14ac:dyDescent="0.25">
      <c r="A63" s="284" t="s">
        <v>1863</v>
      </c>
      <c r="B63" s="284" t="s">
        <v>1862</v>
      </c>
      <c r="C63" s="284" t="s">
        <v>1575</v>
      </c>
      <c r="D63" s="284" t="s">
        <v>1702</v>
      </c>
      <c r="E63" s="284">
        <v>181.5</v>
      </c>
      <c r="F63" s="284">
        <v>8.7499999999999994E-2</v>
      </c>
      <c r="G63" s="284">
        <v>165.62</v>
      </c>
    </row>
    <row r="64" spans="1:7" x14ac:dyDescent="0.25">
      <c r="A64" s="284" t="s">
        <v>1861</v>
      </c>
      <c r="B64" s="284" t="s">
        <v>1860</v>
      </c>
      <c r="C64" s="284" t="s">
        <v>1575</v>
      </c>
      <c r="D64" s="284" t="s">
        <v>1702</v>
      </c>
      <c r="E64" s="284">
        <v>16.5</v>
      </c>
      <c r="F64" s="284">
        <v>8.7499999999999994E-2</v>
      </c>
      <c r="G64" s="284">
        <v>15.06</v>
      </c>
    </row>
    <row r="65" spans="1:7" x14ac:dyDescent="0.25">
      <c r="A65" s="284" t="s">
        <v>1859</v>
      </c>
      <c r="B65" s="284" t="s">
        <v>1858</v>
      </c>
      <c r="C65" s="284" t="s">
        <v>1575</v>
      </c>
      <c r="D65" s="284" t="s">
        <v>1702</v>
      </c>
      <c r="E65" s="284">
        <v>261.8</v>
      </c>
      <c r="F65" s="284">
        <v>8.7499999999999994E-2</v>
      </c>
      <c r="G65" s="284">
        <v>238.89</v>
      </c>
    </row>
    <row r="66" spans="1:7" x14ac:dyDescent="0.25">
      <c r="A66" s="284" t="s">
        <v>1857</v>
      </c>
      <c r="B66" s="284" t="s">
        <v>1856</v>
      </c>
      <c r="C66" s="284" t="s">
        <v>1575</v>
      </c>
      <c r="D66" s="284" t="s">
        <v>1702</v>
      </c>
      <c r="E66" s="284">
        <v>151.80000000000001</v>
      </c>
      <c r="F66" s="284">
        <v>8.7499999999999994E-2</v>
      </c>
      <c r="G66" s="284">
        <v>138.52000000000001</v>
      </c>
    </row>
    <row r="67" spans="1:7" x14ac:dyDescent="0.25">
      <c r="A67" s="284" t="s">
        <v>1855</v>
      </c>
      <c r="B67" s="284" t="s">
        <v>1854</v>
      </c>
      <c r="C67" s="284" t="s">
        <v>1575</v>
      </c>
      <c r="D67" s="284" t="s">
        <v>1702</v>
      </c>
      <c r="E67" s="284">
        <v>85.8</v>
      </c>
      <c r="F67" s="284">
        <v>8.7499999999999994E-2</v>
      </c>
      <c r="G67" s="284">
        <v>78.290000000000006</v>
      </c>
    </row>
    <row r="68" spans="1:7" x14ac:dyDescent="0.25">
      <c r="A68" s="284" t="s">
        <v>1853</v>
      </c>
      <c r="B68" s="284" t="s">
        <v>1852</v>
      </c>
      <c r="C68" s="284" t="s">
        <v>1575</v>
      </c>
      <c r="D68" s="284" t="s">
        <v>1702</v>
      </c>
      <c r="E68" s="284">
        <v>1530.65</v>
      </c>
      <c r="F68" s="284">
        <v>8.7499999999999994E-2</v>
      </c>
      <c r="G68" s="284">
        <v>10.039999999999999</v>
      </c>
    </row>
    <row r="69" spans="1:7" x14ac:dyDescent="0.25">
      <c r="A69" s="284" t="s">
        <v>1851</v>
      </c>
      <c r="B69" s="284" t="s">
        <v>1850</v>
      </c>
      <c r="C69" s="284" t="s">
        <v>1575</v>
      </c>
      <c r="D69" s="284" t="s">
        <v>1702</v>
      </c>
      <c r="E69" s="284">
        <v>332.75</v>
      </c>
      <c r="F69" s="284">
        <v>8.7499999999999994E-2</v>
      </c>
      <c r="G69" s="284">
        <v>100.17</v>
      </c>
    </row>
    <row r="70" spans="1:7" x14ac:dyDescent="0.25">
      <c r="A70" s="284" t="s">
        <v>1849</v>
      </c>
      <c r="B70" s="284" t="s">
        <v>1848</v>
      </c>
      <c r="C70" s="284" t="s">
        <v>1575</v>
      </c>
      <c r="D70" s="284" t="s">
        <v>1702</v>
      </c>
      <c r="E70" s="284">
        <v>93.5</v>
      </c>
      <c r="F70" s="284">
        <v>8.7499999999999994E-2</v>
      </c>
      <c r="G70" s="284">
        <v>85.32</v>
      </c>
    </row>
    <row r="71" spans="1:7" x14ac:dyDescent="0.25">
      <c r="A71" s="284" t="s">
        <v>1847</v>
      </c>
      <c r="B71" s="284" t="s">
        <v>1846</v>
      </c>
      <c r="C71" s="284" t="s">
        <v>1575</v>
      </c>
      <c r="D71" s="284" t="s">
        <v>1702</v>
      </c>
      <c r="E71" s="284">
        <v>36.299999999999997</v>
      </c>
      <c r="F71" s="284">
        <v>8.7499999999999994E-2</v>
      </c>
      <c r="G71" s="284">
        <v>33.119999999999997</v>
      </c>
    </row>
    <row r="72" spans="1:7" x14ac:dyDescent="0.25">
      <c r="A72" s="284" t="s">
        <v>1845</v>
      </c>
      <c r="B72" s="284" t="s">
        <v>1844</v>
      </c>
      <c r="C72" s="284" t="s">
        <v>1575</v>
      </c>
      <c r="D72" s="284" t="s">
        <v>1702</v>
      </c>
      <c r="E72" s="284">
        <v>56.7</v>
      </c>
      <c r="F72" s="284">
        <v>8.7499999999999994E-2</v>
      </c>
      <c r="G72" s="284">
        <v>51.74</v>
      </c>
    </row>
    <row r="73" spans="1:7" x14ac:dyDescent="0.25">
      <c r="A73" s="284" t="s">
        <v>1843</v>
      </c>
      <c r="B73" s="284" t="s">
        <v>1842</v>
      </c>
      <c r="C73" s="284" t="s">
        <v>1575</v>
      </c>
      <c r="D73" s="284" t="s">
        <v>1702</v>
      </c>
      <c r="E73" s="284">
        <v>37.799999999999997</v>
      </c>
      <c r="F73" s="284">
        <v>8.7499999999999994E-2</v>
      </c>
      <c r="G73" s="284">
        <v>34.49</v>
      </c>
    </row>
    <row r="74" spans="1:7" x14ac:dyDescent="0.25">
      <c r="A74" s="284" t="s">
        <v>1841</v>
      </c>
      <c r="B74" s="284" t="s">
        <v>1840</v>
      </c>
      <c r="C74" s="284" t="s">
        <v>1575</v>
      </c>
      <c r="D74" s="284" t="s">
        <v>1702</v>
      </c>
      <c r="E74" s="284">
        <v>31.5</v>
      </c>
      <c r="F74" s="284">
        <v>8.7499999999999994E-2</v>
      </c>
      <c r="G74" s="284">
        <v>28.74</v>
      </c>
    </row>
    <row r="75" spans="1:7" x14ac:dyDescent="0.25">
      <c r="A75" s="284" t="s">
        <v>1839</v>
      </c>
      <c r="B75" s="284" t="s">
        <v>1838</v>
      </c>
      <c r="C75" s="284" t="s">
        <v>1575</v>
      </c>
      <c r="D75" s="284" t="s">
        <v>1702</v>
      </c>
      <c r="E75" s="284">
        <v>21</v>
      </c>
      <c r="F75" s="284">
        <v>8.7499999999999994E-2</v>
      </c>
      <c r="G75" s="284">
        <v>19.16</v>
      </c>
    </row>
    <row r="76" spans="1:7" x14ac:dyDescent="0.25">
      <c r="A76" s="284" t="s">
        <v>1837</v>
      </c>
      <c r="B76" s="284" t="s">
        <v>1836</v>
      </c>
      <c r="C76" s="284" t="s">
        <v>1575</v>
      </c>
      <c r="D76" s="284" t="s">
        <v>1702</v>
      </c>
      <c r="E76" s="284">
        <v>58.5</v>
      </c>
      <c r="F76" s="284">
        <v>8.7499999999999994E-2</v>
      </c>
      <c r="G76" s="284">
        <v>53.38</v>
      </c>
    </row>
    <row r="77" spans="1:7" x14ac:dyDescent="0.25">
      <c r="A77" s="284" t="s">
        <v>1835</v>
      </c>
      <c r="B77" s="284" t="s">
        <v>1834</v>
      </c>
      <c r="C77" s="284" t="s">
        <v>1575</v>
      </c>
      <c r="D77" s="284" t="s">
        <v>1702</v>
      </c>
      <c r="E77" s="284">
        <v>39</v>
      </c>
      <c r="F77" s="284">
        <v>8.7499999999999994E-2</v>
      </c>
      <c r="G77" s="284">
        <v>35.590000000000003</v>
      </c>
    </row>
    <row r="78" spans="1:7" x14ac:dyDescent="0.25">
      <c r="A78" s="284" t="s">
        <v>1833</v>
      </c>
      <c r="B78" s="284" t="s">
        <v>1832</v>
      </c>
      <c r="C78" s="284" t="s">
        <v>1575</v>
      </c>
      <c r="D78" s="284" t="s">
        <v>1702</v>
      </c>
      <c r="E78" s="284">
        <v>160.19999999999999</v>
      </c>
      <c r="F78" s="284">
        <v>8.7499999999999994E-2</v>
      </c>
      <c r="G78" s="284">
        <v>146.18</v>
      </c>
    </row>
    <row r="79" spans="1:7" x14ac:dyDescent="0.25">
      <c r="A79" s="284" t="s">
        <v>1831</v>
      </c>
      <c r="B79" s="284" t="s">
        <v>1830</v>
      </c>
      <c r="C79" s="284" t="s">
        <v>1575</v>
      </c>
      <c r="D79" s="284" t="s">
        <v>1702</v>
      </c>
      <c r="E79" s="284">
        <v>106.8</v>
      </c>
      <c r="F79" s="284">
        <v>8.7499999999999994E-2</v>
      </c>
      <c r="G79" s="284">
        <v>97.46</v>
      </c>
    </row>
    <row r="80" spans="1:7" x14ac:dyDescent="0.25">
      <c r="A80" s="284" t="s">
        <v>1829</v>
      </c>
      <c r="B80" s="284" t="s">
        <v>1828</v>
      </c>
      <c r="C80" s="284" t="s">
        <v>1575</v>
      </c>
      <c r="D80" s="284" t="s">
        <v>1702</v>
      </c>
      <c r="E80" s="284">
        <v>134.1</v>
      </c>
      <c r="F80" s="284">
        <v>8.7499999999999994E-2</v>
      </c>
      <c r="G80" s="284">
        <v>122.37</v>
      </c>
    </row>
    <row r="81" spans="1:7" x14ac:dyDescent="0.25">
      <c r="A81" s="284" t="s">
        <v>1827</v>
      </c>
      <c r="B81" s="284" t="s">
        <v>1826</v>
      </c>
      <c r="C81" s="284" t="s">
        <v>1575</v>
      </c>
      <c r="D81" s="284" t="s">
        <v>1702</v>
      </c>
      <c r="E81" s="284">
        <v>89.4</v>
      </c>
      <c r="F81" s="284">
        <v>8.7499999999999994E-2</v>
      </c>
      <c r="G81" s="284">
        <v>81.58</v>
      </c>
    </row>
    <row r="82" spans="1:7" x14ac:dyDescent="0.25">
      <c r="A82" s="284" t="s">
        <v>1825</v>
      </c>
      <c r="B82" s="284" t="s">
        <v>1824</v>
      </c>
      <c r="C82" s="284" t="s">
        <v>1575</v>
      </c>
      <c r="D82" s="284" t="s">
        <v>1702</v>
      </c>
      <c r="E82" s="284">
        <v>112.5</v>
      </c>
      <c r="F82" s="284">
        <v>8.7499999999999994E-2</v>
      </c>
      <c r="G82" s="284">
        <v>102.66</v>
      </c>
    </row>
    <row r="83" spans="1:7" x14ac:dyDescent="0.25">
      <c r="A83" s="284" t="s">
        <v>1823</v>
      </c>
      <c r="B83" s="284" t="s">
        <v>1822</v>
      </c>
      <c r="C83" s="284" t="s">
        <v>1575</v>
      </c>
      <c r="D83" s="284" t="s">
        <v>1702</v>
      </c>
      <c r="E83" s="284">
        <v>75</v>
      </c>
      <c r="F83" s="284">
        <v>8.7499999999999994E-2</v>
      </c>
      <c r="G83" s="284">
        <v>68.44</v>
      </c>
    </row>
    <row r="84" spans="1:7" x14ac:dyDescent="0.25">
      <c r="A84" s="284" t="s">
        <v>1821</v>
      </c>
      <c r="B84" s="284" t="s">
        <v>1820</v>
      </c>
      <c r="C84" s="284" t="s">
        <v>1575</v>
      </c>
      <c r="D84" s="284" t="s">
        <v>1702</v>
      </c>
      <c r="E84" s="284">
        <v>80.099999999999994</v>
      </c>
      <c r="F84" s="284">
        <v>8.7499999999999994E-2</v>
      </c>
      <c r="G84" s="284">
        <v>73.09</v>
      </c>
    </row>
    <row r="85" spans="1:7" x14ac:dyDescent="0.25">
      <c r="A85" s="284" t="s">
        <v>1819</v>
      </c>
      <c r="B85" s="284" t="s">
        <v>1818</v>
      </c>
      <c r="C85" s="284" t="s">
        <v>1575</v>
      </c>
      <c r="D85" s="284" t="s">
        <v>1702</v>
      </c>
      <c r="E85" s="284">
        <v>53.4</v>
      </c>
      <c r="F85" s="284">
        <v>8.7499999999999994E-2</v>
      </c>
      <c r="G85" s="284">
        <v>48.73</v>
      </c>
    </row>
    <row r="86" spans="1:7" x14ac:dyDescent="0.25">
      <c r="A86" s="284" t="s">
        <v>1817</v>
      </c>
      <c r="B86" s="284" t="s">
        <v>1816</v>
      </c>
      <c r="C86" s="284" t="s">
        <v>1575</v>
      </c>
      <c r="D86" s="284" t="s">
        <v>1702</v>
      </c>
      <c r="E86" s="284">
        <v>683.1</v>
      </c>
      <c r="F86" s="284">
        <v>8.7499999999999994E-2</v>
      </c>
      <c r="G86" s="284">
        <v>623.33000000000004</v>
      </c>
    </row>
    <row r="87" spans="1:7" x14ac:dyDescent="0.25">
      <c r="A87" s="284" t="s">
        <v>1815</v>
      </c>
      <c r="B87" s="284" t="s">
        <v>1814</v>
      </c>
      <c r="C87" s="284" t="s">
        <v>1575</v>
      </c>
      <c r="D87" s="284" t="s">
        <v>1702</v>
      </c>
      <c r="E87" s="284">
        <v>455.4</v>
      </c>
      <c r="F87" s="284">
        <v>8.7499999999999994E-2</v>
      </c>
      <c r="G87" s="284">
        <v>415.55</v>
      </c>
    </row>
    <row r="88" spans="1:7" x14ac:dyDescent="0.25">
      <c r="A88" s="284" t="s">
        <v>1813</v>
      </c>
      <c r="B88" s="284" t="s">
        <v>1812</v>
      </c>
      <c r="C88" s="284" t="s">
        <v>1575</v>
      </c>
      <c r="D88" s="284" t="s">
        <v>1702</v>
      </c>
      <c r="E88" s="284">
        <v>148.5</v>
      </c>
      <c r="F88" s="284">
        <v>8.7499999999999994E-2</v>
      </c>
      <c r="G88" s="284">
        <v>135.51</v>
      </c>
    </row>
    <row r="89" spans="1:7" x14ac:dyDescent="0.25">
      <c r="A89" s="284" t="s">
        <v>1811</v>
      </c>
      <c r="B89" s="284" t="s">
        <v>1810</v>
      </c>
      <c r="C89" s="284" t="s">
        <v>1575</v>
      </c>
      <c r="D89" s="284" t="s">
        <v>1702</v>
      </c>
      <c r="E89" s="284">
        <v>99</v>
      </c>
      <c r="F89" s="284">
        <v>8.7499999999999994E-2</v>
      </c>
      <c r="G89" s="284">
        <v>90.34</v>
      </c>
    </row>
    <row r="90" spans="1:7" x14ac:dyDescent="0.25">
      <c r="A90" s="284" t="s">
        <v>1809</v>
      </c>
      <c r="B90" s="284" t="s">
        <v>1808</v>
      </c>
      <c r="C90" s="284" t="s">
        <v>1575</v>
      </c>
      <c r="D90" s="284" t="s">
        <v>1702</v>
      </c>
      <c r="E90" s="284">
        <v>13.5</v>
      </c>
      <c r="F90" s="284">
        <v>8.7499999999999994E-2</v>
      </c>
      <c r="G90" s="284">
        <v>12.32</v>
      </c>
    </row>
    <row r="91" spans="1:7" x14ac:dyDescent="0.25">
      <c r="A91" s="284" t="s">
        <v>1807</v>
      </c>
      <c r="B91" s="284" t="s">
        <v>1806</v>
      </c>
      <c r="C91" s="284" t="s">
        <v>1575</v>
      </c>
      <c r="D91" s="284" t="s">
        <v>1702</v>
      </c>
      <c r="E91" s="284">
        <v>9</v>
      </c>
      <c r="F91" s="284">
        <v>8.7499999999999994E-2</v>
      </c>
      <c r="G91" s="284">
        <v>8.2100000000000009</v>
      </c>
    </row>
    <row r="92" spans="1:7" x14ac:dyDescent="0.25">
      <c r="A92" s="284" t="s">
        <v>1805</v>
      </c>
      <c r="B92" s="284" t="s">
        <v>1804</v>
      </c>
      <c r="C92" s="284" t="s">
        <v>1575</v>
      </c>
      <c r="D92" s="284" t="s">
        <v>1702</v>
      </c>
      <c r="E92" s="284">
        <v>214.2</v>
      </c>
      <c r="F92" s="284">
        <v>8.7499999999999994E-2</v>
      </c>
      <c r="G92" s="284">
        <v>195.46</v>
      </c>
    </row>
    <row r="93" spans="1:7" x14ac:dyDescent="0.25">
      <c r="A93" s="284" t="s">
        <v>1803</v>
      </c>
      <c r="B93" s="284" t="s">
        <v>1802</v>
      </c>
      <c r="C93" s="284" t="s">
        <v>1575</v>
      </c>
      <c r="D93" s="284" t="s">
        <v>1702</v>
      </c>
      <c r="E93" s="284">
        <v>142.80000000000001</v>
      </c>
      <c r="F93" s="284">
        <v>8.7499999999999994E-2</v>
      </c>
      <c r="G93" s="284">
        <v>130.31</v>
      </c>
    </row>
    <row r="94" spans="1:7" x14ac:dyDescent="0.25">
      <c r="A94" s="284" t="s">
        <v>1801</v>
      </c>
      <c r="B94" s="284" t="s">
        <v>1800</v>
      </c>
      <c r="C94" s="284" t="s">
        <v>1575</v>
      </c>
      <c r="D94" s="284" t="s">
        <v>1702</v>
      </c>
      <c r="E94" s="284">
        <v>124.2</v>
      </c>
      <c r="F94" s="284">
        <v>8.7499999999999994E-2</v>
      </c>
      <c r="G94" s="284">
        <v>113.33</v>
      </c>
    </row>
    <row r="95" spans="1:7" x14ac:dyDescent="0.25">
      <c r="A95" s="284" t="s">
        <v>1799</v>
      </c>
      <c r="B95" s="284" t="s">
        <v>1798</v>
      </c>
      <c r="C95" s="284" t="s">
        <v>1575</v>
      </c>
      <c r="D95" s="284" t="s">
        <v>1702</v>
      </c>
      <c r="E95" s="284">
        <v>82.8</v>
      </c>
      <c r="F95" s="284">
        <v>8.7499999999999994E-2</v>
      </c>
      <c r="G95" s="284">
        <v>75.56</v>
      </c>
    </row>
    <row r="96" spans="1:7" x14ac:dyDescent="0.25">
      <c r="A96" s="284" t="s">
        <v>1797</v>
      </c>
      <c r="B96" s="284" t="s">
        <v>1796</v>
      </c>
      <c r="C96" s="284" t="s">
        <v>1575</v>
      </c>
      <c r="D96" s="284" t="s">
        <v>1702</v>
      </c>
      <c r="E96" s="284">
        <v>70.2</v>
      </c>
      <c r="F96" s="284">
        <v>8.7499999999999994E-2</v>
      </c>
      <c r="G96" s="284">
        <v>64.06</v>
      </c>
    </row>
    <row r="97" spans="1:7" x14ac:dyDescent="0.25">
      <c r="A97" s="284" t="s">
        <v>1795</v>
      </c>
      <c r="B97" s="284" t="s">
        <v>1794</v>
      </c>
      <c r="C97" s="284" t="s">
        <v>1575</v>
      </c>
      <c r="D97" s="284" t="s">
        <v>1702</v>
      </c>
      <c r="E97" s="284">
        <v>46.8</v>
      </c>
      <c r="F97" s="284">
        <v>8.7499999999999994E-2</v>
      </c>
      <c r="G97" s="284">
        <v>42.71</v>
      </c>
    </row>
    <row r="98" spans="1:7" x14ac:dyDescent="0.25">
      <c r="A98" s="284" t="s">
        <v>1793</v>
      </c>
      <c r="B98" s="284" t="s">
        <v>1792</v>
      </c>
      <c r="C98" s="284" t="s">
        <v>1575</v>
      </c>
      <c r="D98" s="284" t="s">
        <v>1702</v>
      </c>
      <c r="E98" s="284">
        <v>9</v>
      </c>
      <c r="F98" s="284">
        <v>8.7499999999999994E-2</v>
      </c>
      <c r="G98" s="284">
        <v>10.95</v>
      </c>
    </row>
    <row r="99" spans="1:7" x14ac:dyDescent="0.25">
      <c r="A99" s="284" t="s">
        <v>1791</v>
      </c>
      <c r="B99" s="284" t="s">
        <v>1790</v>
      </c>
      <c r="C99" s="284" t="s">
        <v>1575</v>
      </c>
      <c r="D99" s="284" t="s">
        <v>1702</v>
      </c>
      <c r="E99" s="284">
        <v>6</v>
      </c>
      <c r="F99" s="284">
        <v>8.7499999999999994E-2</v>
      </c>
      <c r="G99" s="284">
        <v>5.48</v>
      </c>
    </row>
    <row r="100" spans="1:7" x14ac:dyDescent="0.25">
      <c r="A100" s="284" t="s">
        <v>1789</v>
      </c>
      <c r="B100" s="284" t="s">
        <v>1788</v>
      </c>
      <c r="C100" s="284" t="s">
        <v>1575</v>
      </c>
      <c r="D100" s="284" t="s">
        <v>1702</v>
      </c>
      <c r="E100" s="284">
        <v>59.88</v>
      </c>
      <c r="F100" s="284">
        <v>8.7499999999999994E-2</v>
      </c>
      <c r="G100" s="284">
        <v>54.64</v>
      </c>
    </row>
    <row r="101" spans="1:7" x14ac:dyDescent="0.25">
      <c r="A101" s="284" t="s">
        <v>1787</v>
      </c>
      <c r="B101" s="284" t="s">
        <v>1786</v>
      </c>
      <c r="C101" s="284" t="s">
        <v>1575</v>
      </c>
      <c r="D101" s="284" t="s">
        <v>1702</v>
      </c>
      <c r="E101" s="284">
        <v>76.5</v>
      </c>
      <c r="F101" s="284">
        <v>8.7499999999999994E-2</v>
      </c>
      <c r="G101" s="284">
        <v>69.81</v>
      </c>
    </row>
    <row r="102" spans="1:7" x14ac:dyDescent="0.25">
      <c r="A102" s="284" t="s">
        <v>1785</v>
      </c>
      <c r="B102" s="284" t="s">
        <v>1784</v>
      </c>
      <c r="C102" s="284" t="s">
        <v>1575</v>
      </c>
      <c r="D102" s="284" t="s">
        <v>1702</v>
      </c>
      <c r="E102" s="284">
        <v>51</v>
      </c>
      <c r="F102" s="284">
        <v>8.7499999999999994E-2</v>
      </c>
      <c r="G102" s="284">
        <v>46.54</v>
      </c>
    </row>
    <row r="103" spans="1:7" x14ac:dyDescent="0.25">
      <c r="A103" s="284" t="s">
        <v>1783</v>
      </c>
      <c r="B103" s="284" t="s">
        <v>1782</v>
      </c>
      <c r="C103" s="284" t="s">
        <v>1575</v>
      </c>
      <c r="D103" s="284" t="s">
        <v>1702</v>
      </c>
      <c r="E103" s="284">
        <v>29.7</v>
      </c>
      <c r="F103" s="284">
        <v>8.7499999999999994E-2</v>
      </c>
      <c r="G103" s="284">
        <v>27.1</v>
      </c>
    </row>
    <row r="104" spans="1:7" x14ac:dyDescent="0.25">
      <c r="A104" s="284" t="s">
        <v>1781</v>
      </c>
      <c r="B104" s="284" t="s">
        <v>1780</v>
      </c>
      <c r="C104" s="284" t="s">
        <v>1575</v>
      </c>
      <c r="D104" s="284" t="s">
        <v>1702</v>
      </c>
      <c r="E104" s="284">
        <v>19.8</v>
      </c>
      <c r="F104" s="284">
        <v>8.7499999999999994E-2</v>
      </c>
      <c r="G104" s="284">
        <v>18.07</v>
      </c>
    </row>
    <row r="105" spans="1:7" x14ac:dyDescent="0.25">
      <c r="A105" s="284" t="s">
        <v>1144</v>
      </c>
      <c r="B105" s="284" t="s">
        <v>1173</v>
      </c>
      <c r="C105" s="284" t="s">
        <v>1571</v>
      </c>
      <c r="D105" s="284" t="s">
        <v>1777</v>
      </c>
      <c r="E105" s="284">
        <v>395</v>
      </c>
      <c r="F105" s="284">
        <v>0.2475</v>
      </c>
      <c r="G105" s="284">
        <v>297.24</v>
      </c>
    </row>
    <row r="106" spans="1:7" x14ac:dyDescent="0.25">
      <c r="A106" s="284" t="s">
        <v>1172</v>
      </c>
      <c r="B106" s="284" t="s">
        <v>1143</v>
      </c>
      <c r="C106" s="284" t="s">
        <v>1779</v>
      </c>
      <c r="D106" s="284" t="s">
        <v>1777</v>
      </c>
      <c r="E106" s="284">
        <v>2095</v>
      </c>
      <c r="F106" s="284">
        <v>0.2475</v>
      </c>
      <c r="G106" s="284">
        <v>1576.49</v>
      </c>
    </row>
    <row r="107" spans="1:7" x14ac:dyDescent="0.25">
      <c r="A107" s="284" t="s">
        <v>1145</v>
      </c>
      <c r="B107" s="284" t="s">
        <v>889</v>
      </c>
      <c r="C107" s="284" t="s">
        <v>1778</v>
      </c>
      <c r="D107" s="284" t="s">
        <v>1777</v>
      </c>
      <c r="E107" s="284">
        <v>160</v>
      </c>
      <c r="F107" s="284">
        <v>0.2475</v>
      </c>
      <c r="G107" s="284">
        <v>120.4</v>
      </c>
    </row>
    <row r="108" spans="1:7" x14ac:dyDescent="0.25">
      <c r="A108" s="284" t="s">
        <v>1776</v>
      </c>
      <c r="B108" s="284" t="s">
        <v>1775</v>
      </c>
      <c r="C108" s="284" t="s">
        <v>1575</v>
      </c>
      <c r="D108" s="284" t="s">
        <v>1688</v>
      </c>
      <c r="E108" s="284">
        <v>2858.9</v>
      </c>
      <c r="F108" s="284">
        <v>0.1575</v>
      </c>
      <c r="G108" s="284">
        <v>2408.62</v>
      </c>
    </row>
    <row r="109" spans="1:7" x14ac:dyDescent="0.25">
      <c r="A109" s="284" t="s">
        <v>1774</v>
      </c>
      <c r="B109" s="284" t="s">
        <v>1773</v>
      </c>
      <c r="C109" s="284" t="s">
        <v>1575</v>
      </c>
      <c r="D109" s="284" t="s">
        <v>1702</v>
      </c>
      <c r="E109" s="284">
        <v>768.9</v>
      </c>
      <c r="F109" s="284">
        <v>8.7499999999999994E-2</v>
      </c>
      <c r="G109" s="284">
        <v>701.62</v>
      </c>
    </row>
    <row r="110" spans="1:7" x14ac:dyDescent="0.25">
      <c r="A110" s="284" t="s">
        <v>1772</v>
      </c>
      <c r="B110" s="284" t="s">
        <v>1771</v>
      </c>
      <c r="C110" s="284" t="s">
        <v>1575</v>
      </c>
      <c r="D110" s="284" t="s">
        <v>1702</v>
      </c>
      <c r="E110" s="284">
        <v>93.5</v>
      </c>
      <c r="F110" s="284">
        <v>8.7499999999999994E-2</v>
      </c>
      <c r="G110" s="284">
        <v>85.32</v>
      </c>
    </row>
    <row r="111" spans="1:7" x14ac:dyDescent="0.25">
      <c r="A111" s="284" t="s">
        <v>1770</v>
      </c>
      <c r="B111" s="284" t="s">
        <v>1769</v>
      </c>
      <c r="C111" s="284" t="s">
        <v>1575</v>
      </c>
      <c r="D111" s="284" t="s">
        <v>1702</v>
      </c>
      <c r="E111" s="284">
        <v>159.5</v>
      </c>
      <c r="F111" s="284">
        <v>8.7499999999999994E-2</v>
      </c>
      <c r="G111" s="284">
        <v>145.54</v>
      </c>
    </row>
    <row r="112" spans="1:7" x14ac:dyDescent="0.25">
      <c r="A112" s="284" t="s">
        <v>1768</v>
      </c>
      <c r="B112" s="284" t="s">
        <v>1767</v>
      </c>
      <c r="C112" s="284" t="s">
        <v>1575</v>
      </c>
      <c r="D112" s="284" t="s">
        <v>1702</v>
      </c>
      <c r="E112" s="284">
        <v>225.5</v>
      </c>
      <c r="F112" s="284">
        <v>8.7499999999999994E-2</v>
      </c>
      <c r="G112" s="284">
        <v>205.77</v>
      </c>
    </row>
    <row r="113" spans="1:7" x14ac:dyDescent="0.25">
      <c r="A113" s="284" t="s">
        <v>1766</v>
      </c>
      <c r="B113" s="284" t="s">
        <v>1765</v>
      </c>
      <c r="C113" s="284" t="s">
        <v>1575</v>
      </c>
      <c r="D113" s="284" t="s">
        <v>1702</v>
      </c>
      <c r="E113" s="284">
        <v>225.5</v>
      </c>
      <c r="F113" s="284">
        <v>8.7499999999999994E-2</v>
      </c>
      <c r="G113" s="284">
        <v>205.77</v>
      </c>
    </row>
    <row r="114" spans="1:7" x14ac:dyDescent="0.25">
      <c r="A114" s="284" t="s">
        <v>1764</v>
      </c>
      <c r="B114" s="284" t="s">
        <v>1763</v>
      </c>
      <c r="C114" s="284" t="s">
        <v>1575</v>
      </c>
      <c r="D114" s="284" t="s">
        <v>1702</v>
      </c>
      <c r="E114" s="284">
        <v>159.5</v>
      </c>
      <c r="F114" s="284">
        <v>8.7499999999999994E-2</v>
      </c>
      <c r="G114" s="284">
        <v>145.54</v>
      </c>
    </row>
    <row r="115" spans="1:7" x14ac:dyDescent="0.25">
      <c r="A115" s="284" t="s">
        <v>1762</v>
      </c>
      <c r="B115" s="284" t="s">
        <v>1761</v>
      </c>
      <c r="C115" s="284" t="s">
        <v>1575</v>
      </c>
      <c r="D115" s="284" t="s">
        <v>1702</v>
      </c>
      <c r="E115" s="284">
        <v>878.9</v>
      </c>
      <c r="F115" s="284">
        <v>8.7499999999999994E-2</v>
      </c>
      <c r="G115" s="284">
        <v>802</v>
      </c>
    </row>
    <row r="116" spans="1:7" x14ac:dyDescent="0.25">
      <c r="A116" s="284" t="s">
        <v>1760</v>
      </c>
      <c r="B116" s="284" t="s">
        <v>1759</v>
      </c>
      <c r="C116" s="284" t="s">
        <v>1575</v>
      </c>
      <c r="D116" s="284" t="s">
        <v>1702</v>
      </c>
      <c r="E116" s="284">
        <v>1318.9</v>
      </c>
      <c r="F116" s="284">
        <v>8.7499999999999994E-2</v>
      </c>
      <c r="G116" s="284">
        <v>1203.5</v>
      </c>
    </row>
    <row r="117" spans="1:7" x14ac:dyDescent="0.25">
      <c r="A117" s="284" t="s">
        <v>1758</v>
      </c>
      <c r="B117" s="284" t="s">
        <v>1757</v>
      </c>
      <c r="C117" s="284" t="s">
        <v>1575</v>
      </c>
      <c r="D117" s="284" t="s">
        <v>1702</v>
      </c>
      <c r="E117" s="284">
        <v>3078.9</v>
      </c>
      <c r="F117" s="284">
        <v>8.7499999999999994E-2</v>
      </c>
      <c r="G117" s="284">
        <v>2809.5</v>
      </c>
    </row>
    <row r="118" spans="1:7" x14ac:dyDescent="0.25">
      <c r="A118" s="284" t="s">
        <v>1756</v>
      </c>
      <c r="B118" s="284" t="s">
        <v>1755</v>
      </c>
      <c r="C118" s="284" t="s">
        <v>1575</v>
      </c>
      <c r="D118" s="284" t="s">
        <v>1702</v>
      </c>
      <c r="E118" s="284">
        <v>2638.9</v>
      </c>
      <c r="F118" s="284">
        <v>8.7499999999999994E-2</v>
      </c>
      <c r="G118" s="284">
        <v>2408</v>
      </c>
    </row>
    <row r="119" spans="1:7" x14ac:dyDescent="0.25">
      <c r="A119" s="284" t="s">
        <v>1754</v>
      </c>
      <c r="B119" s="284" t="s">
        <v>1748</v>
      </c>
      <c r="C119" s="284" t="s">
        <v>1575</v>
      </c>
      <c r="D119" s="284" t="s">
        <v>1688</v>
      </c>
      <c r="E119" s="284">
        <v>4068.9</v>
      </c>
      <c r="F119" s="284">
        <v>0.1575</v>
      </c>
      <c r="G119" s="284">
        <v>3428.05</v>
      </c>
    </row>
    <row r="120" spans="1:7" x14ac:dyDescent="0.25">
      <c r="A120" s="284" t="s">
        <v>1753</v>
      </c>
      <c r="B120" s="284" t="s">
        <v>1748</v>
      </c>
      <c r="C120" s="284" t="s">
        <v>1575</v>
      </c>
      <c r="D120" s="284" t="s">
        <v>1688</v>
      </c>
      <c r="E120" s="284">
        <v>4728.8999999999996</v>
      </c>
      <c r="F120" s="284">
        <v>0.1575</v>
      </c>
      <c r="G120" s="284">
        <v>4014.9</v>
      </c>
    </row>
    <row r="121" spans="1:7" x14ac:dyDescent="0.25">
      <c r="A121" s="284" t="s">
        <v>1752</v>
      </c>
      <c r="B121" s="284" t="s">
        <v>1748</v>
      </c>
      <c r="C121" s="284" t="s">
        <v>1575</v>
      </c>
      <c r="D121" s="284" t="s">
        <v>1688</v>
      </c>
      <c r="E121" s="284">
        <v>3628.9</v>
      </c>
      <c r="F121" s="284">
        <v>0.1575</v>
      </c>
      <c r="G121" s="284">
        <v>3057.35</v>
      </c>
    </row>
    <row r="122" spans="1:7" x14ac:dyDescent="0.25">
      <c r="A122" s="284" t="s">
        <v>1751</v>
      </c>
      <c r="B122" s="284" t="s">
        <v>1748</v>
      </c>
      <c r="C122" s="284" t="s">
        <v>1575</v>
      </c>
      <c r="D122" s="284" t="s">
        <v>1688</v>
      </c>
      <c r="E122" s="284">
        <v>4288.8999999999996</v>
      </c>
      <c r="F122" s="284">
        <v>0.1575</v>
      </c>
      <c r="G122" s="284">
        <v>3613.4</v>
      </c>
    </row>
    <row r="123" spans="1:7" x14ac:dyDescent="0.25">
      <c r="A123" s="284" t="s">
        <v>1750</v>
      </c>
      <c r="B123" s="284" t="s">
        <v>1748</v>
      </c>
      <c r="C123" s="284" t="s">
        <v>1575</v>
      </c>
      <c r="D123" s="284" t="s">
        <v>1688</v>
      </c>
      <c r="E123" s="284">
        <v>2572.9</v>
      </c>
      <c r="F123" s="284">
        <v>0.1575</v>
      </c>
      <c r="G123" s="284">
        <v>2167.67</v>
      </c>
    </row>
    <row r="124" spans="1:7" x14ac:dyDescent="0.25">
      <c r="A124" s="284" t="s">
        <v>1749</v>
      </c>
      <c r="B124" s="284" t="s">
        <v>1748</v>
      </c>
      <c r="C124" s="284" t="s">
        <v>1575</v>
      </c>
      <c r="D124" s="284" t="s">
        <v>1688</v>
      </c>
      <c r="E124" s="284">
        <v>3188.9</v>
      </c>
      <c r="F124" s="284">
        <v>0.1575</v>
      </c>
      <c r="G124" s="284">
        <v>2686.65</v>
      </c>
    </row>
    <row r="125" spans="1:7" x14ac:dyDescent="0.25">
      <c r="A125" s="284" t="s">
        <v>1747</v>
      </c>
      <c r="B125" s="284" t="s">
        <v>1746</v>
      </c>
      <c r="C125" s="284" t="s">
        <v>1575</v>
      </c>
      <c r="D125" s="284" t="s">
        <v>1688</v>
      </c>
      <c r="E125" s="284">
        <v>2339.1</v>
      </c>
      <c r="F125" s="284">
        <v>0.1575</v>
      </c>
      <c r="G125" s="284">
        <v>1970.69</v>
      </c>
    </row>
    <row r="126" spans="1:7" x14ac:dyDescent="0.25">
      <c r="A126" s="284" t="s">
        <v>1745</v>
      </c>
      <c r="B126" s="284" t="s">
        <v>1744</v>
      </c>
      <c r="C126" s="284" t="s">
        <v>1575</v>
      </c>
      <c r="D126" s="284" t="s">
        <v>1688</v>
      </c>
      <c r="E126" s="284">
        <v>1559.4</v>
      </c>
      <c r="F126" s="284">
        <v>0.1575</v>
      </c>
      <c r="G126" s="284">
        <v>1313.79</v>
      </c>
    </row>
    <row r="127" spans="1:7" x14ac:dyDescent="0.25">
      <c r="A127" s="284" t="s">
        <v>1743</v>
      </c>
      <c r="B127" s="284" t="s">
        <v>1742</v>
      </c>
      <c r="C127" s="284" t="s">
        <v>1575</v>
      </c>
      <c r="D127" s="284" t="s">
        <v>1702</v>
      </c>
      <c r="E127" s="284">
        <v>629.1</v>
      </c>
      <c r="F127" s="284">
        <v>8.7499999999999994E-2</v>
      </c>
      <c r="G127" s="284">
        <v>574.04999999999995</v>
      </c>
    </row>
    <row r="128" spans="1:7" x14ac:dyDescent="0.25">
      <c r="A128" s="284" t="s">
        <v>1741</v>
      </c>
      <c r="B128" s="284" t="s">
        <v>1740</v>
      </c>
      <c r="C128" s="284" t="s">
        <v>1575</v>
      </c>
      <c r="D128" s="284" t="s">
        <v>1702</v>
      </c>
      <c r="E128" s="284">
        <v>419.4</v>
      </c>
      <c r="F128" s="284">
        <v>8.7499999999999994E-2</v>
      </c>
      <c r="G128" s="284">
        <v>382.7</v>
      </c>
    </row>
    <row r="129" spans="1:7" x14ac:dyDescent="0.25">
      <c r="A129" s="284" t="s">
        <v>1739</v>
      </c>
      <c r="B129" s="284" t="s">
        <v>1738</v>
      </c>
      <c r="C129" s="284" t="s">
        <v>1575</v>
      </c>
      <c r="D129" s="284" t="s">
        <v>1702</v>
      </c>
      <c r="E129" s="284">
        <v>76.5</v>
      </c>
      <c r="F129" s="284">
        <v>8.7499999999999994E-2</v>
      </c>
      <c r="G129" s="284">
        <v>69.81</v>
      </c>
    </row>
    <row r="130" spans="1:7" x14ac:dyDescent="0.25">
      <c r="A130" s="284" t="s">
        <v>1737</v>
      </c>
      <c r="B130" s="284" t="s">
        <v>1736</v>
      </c>
      <c r="C130" s="284" t="s">
        <v>1575</v>
      </c>
      <c r="D130" s="284" t="s">
        <v>1702</v>
      </c>
      <c r="E130" s="284">
        <v>51</v>
      </c>
      <c r="F130" s="284">
        <v>8.7499999999999994E-2</v>
      </c>
      <c r="G130" s="284">
        <v>46.54</v>
      </c>
    </row>
    <row r="131" spans="1:7" x14ac:dyDescent="0.25">
      <c r="A131" s="284" t="s">
        <v>1735</v>
      </c>
      <c r="B131" s="284" t="s">
        <v>1734</v>
      </c>
      <c r="C131" s="284" t="s">
        <v>1575</v>
      </c>
      <c r="D131" s="284" t="s">
        <v>1702</v>
      </c>
      <c r="E131" s="284">
        <v>130.5</v>
      </c>
      <c r="F131" s="284">
        <v>8.7499999999999994E-2</v>
      </c>
      <c r="G131" s="284">
        <v>119.08</v>
      </c>
    </row>
    <row r="132" spans="1:7" x14ac:dyDescent="0.25">
      <c r="A132" s="284" t="s">
        <v>1733</v>
      </c>
      <c r="B132" s="284" t="s">
        <v>1732</v>
      </c>
      <c r="C132" s="284" t="s">
        <v>1575</v>
      </c>
      <c r="D132" s="284" t="s">
        <v>1702</v>
      </c>
      <c r="E132" s="284">
        <v>87</v>
      </c>
      <c r="F132" s="284">
        <v>8.7499999999999994E-2</v>
      </c>
      <c r="G132" s="284">
        <v>79.39</v>
      </c>
    </row>
    <row r="133" spans="1:7" x14ac:dyDescent="0.25">
      <c r="A133" s="284" t="s">
        <v>1731</v>
      </c>
      <c r="B133" s="284" t="s">
        <v>1730</v>
      </c>
      <c r="C133" s="284" t="s">
        <v>1575</v>
      </c>
      <c r="D133" s="284" t="s">
        <v>1702</v>
      </c>
      <c r="E133" s="284">
        <v>184.5</v>
      </c>
      <c r="F133" s="284">
        <v>8.7499999999999994E-2</v>
      </c>
      <c r="G133" s="284">
        <v>168.36</v>
      </c>
    </row>
    <row r="134" spans="1:7" x14ac:dyDescent="0.25">
      <c r="A134" s="284" t="s">
        <v>1729</v>
      </c>
      <c r="B134" s="284" t="s">
        <v>1728</v>
      </c>
      <c r="C134" s="284" t="s">
        <v>1575</v>
      </c>
      <c r="D134" s="284" t="s">
        <v>1702</v>
      </c>
      <c r="E134" s="284">
        <v>123</v>
      </c>
      <c r="F134" s="284">
        <v>8.7499999999999994E-2</v>
      </c>
      <c r="G134" s="284">
        <v>112.24</v>
      </c>
    </row>
    <row r="135" spans="1:7" x14ac:dyDescent="0.25">
      <c r="A135" s="284" t="s">
        <v>1727</v>
      </c>
      <c r="B135" s="284" t="s">
        <v>1726</v>
      </c>
      <c r="C135" s="284" t="s">
        <v>1575</v>
      </c>
      <c r="D135" s="284" t="s">
        <v>1702</v>
      </c>
      <c r="E135" s="284">
        <v>184.5</v>
      </c>
      <c r="F135" s="284">
        <v>8.7499999999999994E-2</v>
      </c>
      <c r="G135" s="284">
        <v>168.36</v>
      </c>
    </row>
    <row r="136" spans="1:7" x14ac:dyDescent="0.25">
      <c r="A136" s="284" t="s">
        <v>1725</v>
      </c>
      <c r="B136" s="284" t="s">
        <v>1724</v>
      </c>
      <c r="C136" s="284" t="s">
        <v>1575</v>
      </c>
      <c r="D136" s="284" t="s">
        <v>1702</v>
      </c>
      <c r="E136" s="284">
        <v>123</v>
      </c>
      <c r="F136" s="284">
        <v>8.7499999999999994E-2</v>
      </c>
      <c r="G136" s="284">
        <v>112.24</v>
      </c>
    </row>
    <row r="137" spans="1:7" x14ac:dyDescent="0.25">
      <c r="A137" s="284" t="s">
        <v>1723</v>
      </c>
      <c r="B137" s="284" t="s">
        <v>1722</v>
      </c>
      <c r="C137" s="284" t="s">
        <v>1575</v>
      </c>
      <c r="D137" s="284" t="s">
        <v>1702</v>
      </c>
      <c r="E137" s="284">
        <v>130.5</v>
      </c>
      <c r="F137" s="284">
        <v>8.7499999999999994E-2</v>
      </c>
      <c r="G137" s="284">
        <v>119.08</v>
      </c>
    </row>
    <row r="138" spans="1:7" x14ac:dyDescent="0.25">
      <c r="A138" s="284" t="s">
        <v>1721</v>
      </c>
      <c r="B138" s="284" t="s">
        <v>1720</v>
      </c>
      <c r="C138" s="284" t="s">
        <v>1575</v>
      </c>
      <c r="D138" s="284" t="s">
        <v>1702</v>
      </c>
      <c r="E138" s="284">
        <v>87</v>
      </c>
      <c r="F138" s="284">
        <v>8.7499999999999994E-2</v>
      </c>
      <c r="G138" s="284">
        <v>79.39</v>
      </c>
    </row>
    <row r="139" spans="1:7" x14ac:dyDescent="0.25">
      <c r="A139" s="284" t="s">
        <v>1719</v>
      </c>
      <c r="B139" s="284" t="s">
        <v>1718</v>
      </c>
      <c r="C139" s="284" t="s">
        <v>1575</v>
      </c>
      <c r="D139" s="284" t="s">
        <v>1702</v>
      </c>
      <c r="E139" s="284">
        <v>719.1</v>
      </c>
      <c r="F139" s="284">
        <v>8.7499999999999994E-2</v>
      </c>
      <c r="G139" s="284">
        <v>656.18</v>
      </c>
    </row>
    <row r="140" spans="1:7" x14ac:dyDescent="0.25">
      <c r="A140" s="284" t="s">
        <v>1717</v>
      </c>
      <c r="B140" s="284" t="s">
        <v>1716</v>
      </c>
      <c r="C140" s="284" t="s">
        <v>1575</v>
      </c>
      <c r="D140" s="284" t="s">
        <v>1702</v>
      </c>
      <c r="E140" s="284">
        <v>479.4</v>
      </c>
      <c r="F140" s="284">
        <v>8.7499999999999994E-2</v>
      </c>
      <c r="G140" s="284">
        <v>437.45</v>
      </c>
    </row>
    <row r="141" spans="1:7" x14ac:dyDescent="0.25">
      <c r="A141" s="284" t="s">
        <v>1715</v>
      </c>
      <c r="B141" s="284" t="s">
        <v>1714</v>
      </c>
      <c r="C141" s="284" t="s">
        <v>1575</v>
      </c>
      <c r="D141" s="284" t="s">
        <v>1702</v>
      </c>
      <c r="E141" s="284">
        <v>1079.0999999999999</v>
      </c>
      <c r="F141" s="284">
        <v>8.7499999999999994E-2</v>
      </c>
      <c r="G141" s="284">
        <v>984.68</v>
      </c>
    </row>
    <row r="142" spans="1:7" x14ac:dyDescent="0.25">
      <c r="A142" s="284" t="s">
        <v>1713</v>
      </c>
      <c r="B142" s="284" t="s">
        <v>1712</v>
      </c>
      <c r="C142" s="284" t="s">
        <v>1575</v>
      </c>
      <c r="D142" s="284" t="s">
        <v>1702</v>
      </c>
      <c r="E142" s="284">
        <v>719.4</v>
      </c>
      <c r="F142" s="284">
        <v>8.7499999999999994E-2</v>
      </c>
      <c r="G142" s="284">
        <v>656.45</v>
      </c>
    </row>
    <row r="143" spans="1:7" x14ac:dyDescent="0.25">
      <c r="A143" s="284" t="s">
        <v>1711</v>
      </c>
      <c r="B143" s="284" t="s">
        <v>1710</v>
      </c>
      <c r="C143" s="284" t="s">
        <v>1575</v>
      </c>
      <c r="D143" s="284" t="s">
        <v>1702</v>
      </c>
      <c r="E143" s="284">
        <v>2519.1</v>
      </c>
      <c r="F143" s="284">
        <v>8.7499999999999994E-2</v>
      </c>
      <c r="G143" s="284">
        <v>2298.6799999999998</v>
      </c>
    </row>
    <row r="144" spans="1:7" x14ac:dyDescent="0.25">
      <c r="A144" s="284" t="s">
        <v>1709</v>
      </c>
      <c r="B144" s="284" t="s">
        <v>1708</v>
      </c>
      <c r="C144" s="284" t="s">
        <v>1575</v>
      </c>
      <c r="D144" s="284" t="s">
        <v>1702</v>
      </c>
      <c r="E144" s="284">
        <v>1679.4</v>
      </c>
      <c r="F144" s="284">
        <v>8.7499999999999994E-2</v>
      </c>
      <c r="G144" s="284">
        <v>1532.45</v>
      </c>
    </row>
    <row r="145" spans="1:7" x14ac:dyDescent="0.25">
      <c r="A145" s="284" t="s">
        <v>1707</v>
      </c>
      <c r="B145" s="284" t="s">
        <v>1691</v>
      </c>
      <c r="C145" s="284" t="s">
        <v>1575</v>
      </c>
      <c r="D145" s="284" t="s">
        <v>1688</v>
      </c>
      <c r="E145" s="284">
        <v>3329.1</v>
      </c>
      <c r="F145" s="284">
        <v>0.1575</v>
      </c>
      <c r="G145" s="284">
        <v>2804.77</v>
      </c>
    </row>
    <row r="146" spans="1:7" x14ac:dyDescent="0.25">
      <c r="A146" s="284" t="s">
        <v>1706</v>
      </c>
      <c r="B146" s="284" t="s">
        <v>1705</v>
      </c>
      <c r="C146" s="284" t="s">
        <v>1575</v>
      </c>
      <c r="D146" s="284" t="s">
        <v>1702</v>
      </c>
      <c r="E146" s="284">
        <v>2159.1</v>
      </c>
      <c r="F146" s="284">
        <v>8.7499999999999994E-2</v>
      </c>
      <c r="G146" s="284">
        <v>1970.18</v>
      </c>
    </row>
    <row r="147" spans="1:7" x14ac:dyDescent="0.25">
      <c r="A147" s="284" t="s">
        <v>1704</v>
      </c>
      <c r="B147" s="284" t="s">
        <v>1703</v>
      </c>
      <c r="C147" s="284" t="s">
        <v>1575</v>
      </c>
      <c r="D147" s="284" t="s">
        <v>1702</v>
      </c>
      <c r="E147" s="284">
        <v>1439.4</v>
      </c>
      <c r="F147" s="284">
        <v>8.7499999999999994E-2</v>
      </c>
      <c r="G147" s="284">
        <v>1313.45</v>
      </c>
    </row>
    <row r="148" spans="1:7" x14ac:dyDescent="0.25">
      <c r="A148" s="284" t="s">
        <v>1701</v>
      </c>
      <c r="B148" s="284" t="s">
        <v>1691</v>
      </c>
      <c r="C148" s="284" t="s">
        <v>1575</v>
      </c>
      <c r="D148" s="284" t="s">
        <v>1688</v>
      </c>
      <c r="E148" s="284">
        <v>3869.1</v>
      </c>
      <c r="F148" s="284">
        <v>0.1575</v>
      </c>
      <c r="G148" s="284">
        <v>3259.72</v>
      </c>
    </row>
    <row r="149" spans="1:7" x14ac:dyDescent="0.25">
      <c r="A149" s="284" t="s">
        <v>1700</v>
      </c>
      <c r="B149" s="284" t="s">
        <v>1689</v>
      </c>
      <c r="C149" s="284" t="s">
        <v>1575</v>
      </c>
      <c r="D149" s="284" t="s">
        <v>1688</v>
      </c>
      <c r="E149" s="284">
        <v>2579.4</v>
      </c>
      <c r="F149" s="284">
        <v>0.1575</v>
      </c>
      <c r="G149" s="284">
        <v>2189.94</v>
      </c>
    </row>
    <row r="150" spans="1:7" x14ac:dyDescent="0.25">
      <c r="A150" s="284" t="s">
        <v>1699</v>
      </c>
      <c r="B150" s="284" t="s">
        <v>1691</v>
      </c>
      <c r="C150" s="284" t="s">
        <v>1575</v>
      </c>
      <c r="D150" s="284" t="s">
        <v>1688</v>
      </c>
      <c r="E150" s="284">
        <v>2105.1</v>
      </c>
      <c r="F150" s="284">
        <v>0.1575</v>
      </c>
      <c r="G150" s="284">
        <v>1773.55</v>
      </c>
    </row>
    <row r="151" spans="1:7" x14ac:dyDescent="0.25">
      <c r="A151" s="284" t="s">
        <v>1698</v>
      </c>
      <c r="B151" s="284" t="s">
        <v>1689</v>
      </c>
      <c r="C151" s="284" t="s">
        <v>1575</v>
      </c>
      <c r="D151" s="284" t="s">
        <v>1688</v>
      </c>
      <c r="E151" s="284">
        <v>1403.4</v>
      </c>
      <c r="F151" s="284">
        <v>0.1575</v>
      </c>
      <c r="G151" s="284">
        <v>1182.3599999999999</v>
      </c>
    </row>
    <row r="152" spans="1:7" x14ac:dyDescent="0.25">
      <c r="A152" s="284" t="s">
        <v>1697</v>
      </c>
      <c r="B152" s="284" t="s">
        <v>1691</v>
      </c>
      <c r="C152" s="284" t="s">
        <v>1575</v>
      </c>
      <c r="D152" s="284" t="s">
        <v>1688</v>
      </c>
      <c r="E152" s="284">
        <v>2609.1</v>
      </c>
      <c r="F152" s="284">
        <v>0.1575</v>
      </c>
      <c r="G152" s="284">
        <v>2198.17</v>
      </c>
    </row>
    <row r="153" spans="1:7" x14ac:dyDescent="0.25">
      <c r="A153" s="284" t="s">
        <v>1696</v>
      </c>
      <c r="B153" s="284" t="s">
        <v>1689</v>
      </c>
      <c r="C153" s="284" t="s">
        <v>1575</v>
      </c>
      <c r="D153" s="284" t="s">
        <v>1688</v>
      </c>
      <c r="E153" s="284">
        <v>1739.4</v>
      </c>
      <c r="F153" s="284">
        <v>0.1575</v>
      </c>
      <c r="G153" s="284">
        <v>1465.44</v>
      </c>
    </row>
    <row r="154" spans="1:7" x14ac:dyDescent="0.25">
      <c r="A154" s="284" t="s">
        <v>1695</v>
      </c>
      <c r="B154" s="284" t="s">
        <v>1689</v>
      </c>
      <c r="C154" s="284" t="s">
        <v>1575</v>
      </c>
      <c r="D154" s="284" t="s">
        <v>1688</v>
      </c>
      <c r="E154" s="284">
        <v>2219.4</v>
      </c>
      <c r="F154" s="284">
        <v>0.1575</v>
      </c>
      <c r="G154" s="284">
        <v>1886.64</v>
      </c>
    </row>
    <row r="155" spans="1:7" x14ac:dyDescent="0.25">
      <c r="A155" s="284" t="s">
        <v>1694</v>
      </c>
      <c r="B155" s="284" t="s">
        <v>1691</v>
      </c>
      <c r="C155" s="284" t="s">
        <v>1575</v>
      </c>
      <c r="D155" s="284" t="s">
        <v>1688</v>
      </c>
      <c r="E155" s="284">
        <v>2969.1</v>
      </c>
      <c r="F155" s="284">
        <v>0.1575</v>
      </c>
      <c r="G155" s="284">
        <v>2501.4699999999998</v>
      </c>
    </row>
    <row r="156" spans="1:7" x14ac:dyDescent="0.25">
      <c r="A156" s="284" t="s">
        <v>1693</v>
      </c>
      <c r="B156" s="284" t="s">
        <v>1689</v>
      </c>
      <c r="C156" s="284" t="s">
        <v>1575</v>
      </c>
      <c r="D156" s="284" t="s">
        <v>1688</v>
      </c>
      <c r="E156" s="284">
        <v>1979.4</v>
      </c>
      <c r="F156" s="284">
        <v>0.1575</v>
      </c>
      <c r="G156" s="284">
        <v>1667.64</v>
      </c>
    </row>
    <row r="157" spans="1:7" x14ac:dyDescent="0.25">
      <c r="A157" s="284" t="s">
        <v>1692</v>
      </c>
      <c r="B157" s="284" t="s">
        <v>1691</v>
      </c>
      <c r="C157" s="284" t="s">
        <v>1575</v>
      </c>
      <c r="D157" s="284" t="s">
        <v>1688</v>
      </c>
      <c r="E157" s="284">
        <v>3509.1</v>
      </c>
      <c r="F157" s="284">
        <v>0.1575</v>
      </c>
      <c r="G157" s="284">
        <v>2956.42</v>
      </c>
    </row>
    <row r="158" spans="1:7" x14ac:dyDescent="0.25">
      <c r="A158" s="284" t="s">
        <v>1690</v>
      </c>
      <c r="B158" s="284" t="s">
        <v>1689</v>
      </c>
      <c r="C158" s="284" t="s">
        <v>1575</v>
      </c>
      <c r="D158" s="284" t="s">
        <v>1688</v>
      </c>
      <c r="E158" s="284">
        <v>2339.4</v>
      </c>
      <c r="F158" s="284">
        <v>0.1575</v>
      </c>
      <c r="G158" s="284">
        <v>1970.94</v>
      </c>
    </row>
    <row r="159" spans="1:7" x14ac:dyDescent="0.25">
      <c r="A159" s="284" t="s">
        <v>1687</v>
      </c>
      <c r="B159" s="284" t="s">
        <v>1686</v>
      </c>
      <c r="C159" s="284" t="s">
        <v>1575</v>
      </c>
      <c r="D159" s="284" t="s">
        <v>1574</v>
      </c>
      <c r="E159" s="284">
        <v>145.19999999999999</v>
      </c>
      <c r="F159" s="284">
        <v>0.2475</v>
      </c>
      <c r="G159" s="284">
        <v>109.26</v>
      </c>
    </row>
    <row r="160" spans="1:7" x14ac:dyDescent="0.25">
      <c r="A160" s="284" t="s">
        <v>1685</v>
      </c>
      <c r="B160" s="284" t="s">
        <v>1684</v>
      </c>
      <c r="C160" s="284" t="s">
        <v>1575</v>
      </c>
      <c r="D160" s="284" t="s">
        <v>1574</v>
      </c>
      <c r="E160" s="284">
        <v>284.89999999999998</v>
      </c>
      <c r="F160" s="284">
        <v>0.2475</v>
      </c>
      <c r="G160" s="284">
        <v>214.39</v>
      </c>
    </row>
    <row r="161" spans="1:7" x14ac:dyDescent="0.25">
      <c r="A161" s="284" t="s">
        <v>1683</v>
      </c>
      <c r="B161" s="284" t="s">
        <v>1682</v>
      </c>
      <c r="C161" s="284" t="s">
        <v>1575</v>
      </c>
      <c r="D161" s="284" t="s">
        <v>1574</v>
      </c>
      <c r="E161" s="284">
        <v>57.2</v>
      </c>
      <c r="F161" s="284">
        <v>0.2475</v>
      </c>
      <c r="G161" s="284">
        <v>43.04</v>
      </c>
    </row>
    <row r="162" spans="1:7" x14ac:dyDescent="0.25">
      <c r="A162" s="284" t="s">
        <v>1681</v>
      </c>
      <c r="B162" s="284" t="s">
        <v>1680</v>
      </c>
      <c r="C162" s="284" t="s">
        <v>1575</v>
      </c>
      <c r="D162" s="284" t="s">
        <v>1574</v>
      </c>
      <c r="E162" s="284">
        <v>2227.5</v>
      </c>
      <c r="F162" s="284">
        <v>0.2475</v>
      </c>
      <c r="G162" s="284">
        <v>1676.19</v>
      </c>
    </row>
    <row r="163" spans="1:7" x14ac:dyDescent="0.25">
      <c r="A163" s="284" t="s">
        <v>1679</v>
      </c>
      <c r="B163" s="284" t="s">
        <v>1678</v>
      </c>
      <c r="C163" s="284" t="s">
        <v>1575</v>
      </c>
      <c r="D163" s="284" t="s">
        <v>1574</v>
      </c>
      <c r="E163" s="284">
        <v>1428.9</v>
      </c>
      <c r="F163" s="284">
        <v>0.2475</v>
      </c>
      <c r="G163" s="284">
        <v>1075.25</v>
      </c>
    </row>
    <row r="164" spans="1:7" x14ac:dyDescent="0.25">
      <c r="A164" s="284" t="s">
        <v>1677</v>
      </c>
      <c r="B164" s="284" t="s">
        <v>1676</v>
      </c>
      <c r="C164" s="284" t="s">
        <v>1575</v>
      </c>
      <c r="D164" s="284" t="s">
        <v>1574</v>
      </c>
      <c r="E164" s="284">
        <v>2528.9</v>
      </c>
      <c r="F164" s="284">
        <v>0.2475</v>
      </c>
      <c r="G164" s="284">
        <v>1903</v>
      </c>
    </row>
    <row r="165" spans="1:7" x14ac:dyDescent="0.25">
      <c r="A165" s="284" t="s">
        <v>1675</v>
      </c>
      <c r="B165" s="284" t="s">
        <v>1674</v>
      </c>
      <c r="C165" s="284" t="s">
        <v>1571</v>
      </c>
      <c r="D165" s="284" t="s">
        <v>1570</v>
      </c>
      <c r="E165" s="284">
        <v>19.12</v>
      </c>
      <c r="F165" s="284">
        <v>0.2475</v>
      </c>
      <c r="G165" s="284">
        <v>14.39</v>
      </c>
    </row>
    <row r="166" spans="1:7" x14ac:dyDescent="0.25">
      <c r="A166" s="284" t="s">
        <v>1673</v>
      </c>
      <c r="B166" s="284" t="s">
        <v>1672</v>
      </c>
      <c r="C166" s="284" t="s">
        <v>1575</v>
      </c>
      <c r="D166" s="284" t="s">
        <v>1574</v>
      </c>
      <c r="E166" s="284">
        <v>944.9</v>
      </c>
      <c r="F166" s="284">
        <v>0.2475</v>
      </c>
      <c r="G166" s="284">
        <v>711.04</v>
      </c>
    </row>
    <row r="167" spans="1:7" x14ac:dyDescent="0.25">
      <c r="A167" s="284" t="s">
        <v>1671</v>
      </c>
      <c r="B167" s="284" t="s">
        <v>1670</v>
      </c>
      <c r="C167" s="284" t="s">
        <v>1575</v>
      </c>
      <c r="D167" s="284" t="s">
        <v>1574</v>
      </c>
      <c r="E167" s="284">
        <v>944.9</v>
      </c>
      <c r="F167" s="284">
        <v>0.2475</v>
      </c>
      <c r="G167" s="284">
        <v>711.04</v>
      </c>
    </row>
    <row r="168" spans="1:7" x14ac:dyDescent="0.25">
      <c r="A168" s="284" t="s">
        <v>1669</v>
      </c>
      <c r="B168" s="284" t="s">
        <v>1668</v>
      </c>
      <c r="C168" s="284" t="s">
        <v>1575</v>
      </c>
      <c r="D168" s="284" t="s">
        <v>1574</v>
      </c>
      <c r="E168" s="284">
        <v>218.9</v>
      </c>
      <c r="F168" s="284">
        <v>0.2475</v>
      </c>
      <c r="G168" s="284">
        <v>164.72</v>
      </c>
    </row>
    <row r="169" spans="1:7" x14ac:dyDescent="0.25">
      <c r="A169" s="284" t="s">
        <v>1667</v>
      </c>
      <c r="B169" s="284" t="s">
        <v>1666</v>
      </c>
      <c r="C169" s="284" t="s">
        <v>1575</v>
      </c>
      <c r="D169" s="284" t="s">
        <v>1574</v>
      </c>
      <c r="E169" s="284">
        <v>218.9</v>
      </c>
      <c r="F169" s="284">
        <v>0.2475</v>
      </c>
      <c r="G169" s="284">
        <v>164.72</v>
      </c>
    </row>
    <row r="170" spans="1:7" x14ac:dyDescent="0.25">
      <c r="A170" s="284" t="s">
        <v>1665</v>
      </c>
      <c r="B170" s="284" t="s">
        <v>1664</v>
      </c>
      <c r="C170" s="284" t="s">
        <v>1575</v>
      </c>
      <c r="D170" s="284" t="s">
        <v>1574</v>
      </c>
      <c r="E170" s="284">
        <v>218.9</v>
      </c>
      <c r="F170" s="284">
        <v>0.2475</v>
      </c>
      <c r="G170" s="284">
        <v>164.72</v>
      </c>
    </row>
    <row r="171" spans="1:7" x14ac:dyDescent="0.25">
      <c r="A171" s="284" t="s">
        <v>1663</v>
      </c>
      <c r="B171" s="284" t="s">
        <v>1662</v>
      </c>
      <c r="C171" s="284" t="s">
        <v>1575</v>
      </c>
      <c r="D171" s="284" t="s">
        <v>1574</v>
      </c>
      <c r="E171" s="284">
        <v>71.5</v>
      </c>
      <c r="F171" s="284">
        <v>0.2475</v>
      </c>
      <c r="G171" s="284">
        <v>53.8</v>
      </c>
    </row>
    <row r="172" spans="1:7" x14ac:dyDescent="0.25">
      <c r="A172" s="284" t="s">
        <v>1661</v>
      </c>
      <c r="B172" s="284" t="s">
        <v>1660</v>
      </c>
      <c r="C172" s="284" t="s">
        <v>1575</v>
      </c>
      <c r="D172" s="284" t="s">
        <v>1574</v>
      </c>
      <c r="E172" s="284">
        <v>47.3</v>
      </c>
      <c r="F172" s="284">
        <v>0.2475</v>
      </c>
      <c r="G172" s="284">
        <v>35.590000000000003</v>
      </c>
    </row>
    <row r="173" spans="1:7" x14ac:dyDescent="0.25">
      <c r="A173" s="284" t="s">
        <v>1659</v>
      </c>
      <c r="B173" s="284" t="s">
        <v>1658</v>
      </c>
      <c r="C173" s="284" t="s">
        <v>1575</v>
      </c>
      <c r="D173" s="284" t="s">
        <v>1574</v>
      </c>
      <c r="E173" s="284">
        <v>57.2</v>
      </c>
      <c r="F173" s="284">
        <v>0.2475</v>
      </c>
      <c r="G173" s="284">
        <v>43.04</v>
      </c>
    </row>
    <row r="174" spans="1:7" x14ac:dyDescent="0.25">
      <c r="A174" s="284" t="s">
        <v>1657</v>
      </c>
      <c r="B174" s="284" t="s">
        <v>1656</v>
      </c>
      <c r="C174" s="284" t="s">
        <v>1575</v>
      </c>
      <c r="D174" s="284" t="s">
        <v>1574</v>
      </c>
      <c r="E174" s="284">
        <v>86.9</v>
      </c>
      <c r="F174" s="284">
        <v>0.2475</v>
      </c>
      <c r="G174" s="284">
        <v>65.39</v>
      </c>
    </row>
    <row r="175" spans="1:7" x14ac:dyDescent="0.25">
      <c r="A175" s="284" t="s">
        <v>1655</v>
      </c>
      <c r="B175" s="284" t="s">
        <v>1654</v>
      </c>
      <c r="C175" s="284" t="s">
        <v>1575</v>
      </c>
      <c r="D175" s="284" t="s">
        <v>1574</v>
      </c>
      <c r="E175" s="284">
        <v>768.9</v>
      </c>
      <c r="F175" s="284">
        <v>0.2475</v>
      </c>
      <c r="G175" s="284">
        <v>578.6</v>
      </c>
    </row>
    <row r="176" spans="1:7" x14ac:dyDescent="0.25">
      <c r="A176" s="284" t="s">
        <v>1653</v>
      </c>
      <c r="B176" s="284" t="s">
        <v>1652</v>
      </c>
      <c r="C176" s="284" t="s">
        <v>1575</v>
      </c>
      <c r="D176" s="284" t="s">
        <v>1574</v>
      </c>
      <c r="E176" s="284">
        <v>57.2</v>
      </c>
      <c r="F176" s="284">
        <v>0.2475</v>
      </c>
      <c r="G176" s="284">
        <v>43.04</v>
      </c>
    </row>
    <row r="177" spans="1:7" x14ac:dyDescent="0.25">
      <c r="A177" s="284" t="s">
        <v>1651</v>
      </c>
      <c r="B177" s="284" t="s">
        <v>1650</v>
      </c>
      <c r="C177" s="284" t="s">
        <v>1575</v>
      </c>
      <c r="D177" s="284" t="s">
        <v>1574</v>
      </c>
      <c r="E177" s="284">
        <v>18.7</v>
      </c>
      <c r="F177" s="284">
        <v>0.2475</v>
      </c>
      <c r="G177" s="284">
        <v>14.07</v>
      </c>
    </row>
    <row r="178" spans="1:7" x14ac:dyDescent="0.25">
      <c r="A178" s="284" t="s">
        <v>1649</v>
      </c>
      <c r="B178" s="284" t="s">
        <v>1648</v>
      </c>
      <c r="C178" s="284" t="s">
        <v>1575</v>
      </c>
      <c r="D178" s="284" t="s">
        <v>1574</v>
      </c>
      <c r="E178" s="284">
        <v>118.8</v>
      </c>
      <c r="F178" s="284">
        <v>0.2475</v>
      </c>
      <c r="G178" s="284">
        <v>89.4</v>
      </c>
    </row>
    <row r="179" spans="1:7" x14ac:dyDescent="0.25">
      <c r="A179" s="284" t="s">
        <v>1647</v>
      </c>
      <c r="B179" s="284" t="s">
        <v>1646</v>
      </c>
      <c r="C179" s="284" t="s">
        <v>1575</v>
      </c>
      <c r="D179" s="284" t="s">
        <v>1574</v>
      </c>
      <c r="E179" s="284">
        <v>79.2</v>
      </c>
      <c r="F179" s="284">
        <v>0.2475</v>
      </c>
      <c r="G179" s="284">
        <v>59.6</v>
      </c>
    </row>
    <row r="180" spans="1:7" x14ac:dyDescent="0.25">
      <c r="A180" s="284" t="s">
        <v>1645</v>
      </c>
      <c r="B180" s="284" t="s">
        <v>1644</v>
      </c>
      <c r="C180" s="284" t="s">
        <v>1575</v>
      </c>
      <c r="D180" s="284" t="s">
        <v>1574</v>
      </c>
      <c r="E180" s="284">
        <v>233.1</v>
      </c>
      <c r="F180" s="284">
        <v>0.2475</v>
      </c>
      <c r="G180" s="284">
        <v>175.41</v>
      </c>
    </row>
    <row r="181" spans="1:7" x14ac:dyDescent="0.25">
      <c r="A181" s="284" t="s">
        <v>1643</v>
      </c>
      <c r="B181" s="284" t="s">
        <v>1642</v>
      </c>
      <c r="C181" s="284" t="s">
        <v>1575</v>
      </c>
      <c r="D181" s="284" t="s">
        <v>1574</v>
      </c>
      <c r="E181" s="284">
        <v>155.4</v>
      </c>
      <c r="F181" s="284">
        <v>0.2475</v>
      </c>
      <c r="G181" s="284">
        <v>116.94</v>
      </c>
    </row>
    <row r="182" spans="1:7" x14ac:dyDescent="0.25">
      <c r="A182" s="284" t="s">
        <v>1641</v>
      </c>
      <c r="B182" s="284" t="s">
        <v>1640</v>
      </c>
      <c r="C182" s="284" t="s">
        <v>1575</v>
      </c>
      <c r="D182" s="284" t="s">
        <v>1574</v>
      </c>
      <c r="E182" s="284">
        <v>1822.5</v>
      </c>
      <c r="F182" s="284">
        <v>0.2475</v>
      </c>
      <c r="G182" s="284">
        <v>1371.43</v>
      </c>
    </row>
    <row r="183" spans="1:7" x14ac:dyDescent="0.25">
      <c r="A183" s="284" t="s">
        <v>1639</v>
      </c>
      <c r="B183" s="284" t="s">
        <v>1638</v>
      </c>
      <c r="C183" s="284" t="s">
        <v>1575</v>
      </c>
      <c r="D183" s="284" t="s">
        <v>1574</v>
      </c>
      <c r="E183" s="284">
        <v>46.8</v>
      </c>
      <c r="F183" s="284">
        <v>0.2475</v>
      </c>
      <c r="G183" s="284">
        <v>35.22</v>
      </c>
    </row>
    <row r="184" spans="1:7" x14ac:dyDescent="0.25">
      <c r="A184" s="284" t="s">
        <v>1637</v>
      </c>
      <c r="B184" s="284" t="s">
        <v>1636</v>
      </c>
      <c r="C184" s="284" t="s">
        <v>1575</v>
      </c>
      <c r="D184" s="284" t="s">
        <v>1574</v>
      </c>
      <c r="E184" s="284">
        <v>31.2</v>
      </c>
      <c r="F184" s="284">
        <v>0.2475</v>
      </c>
      <c r="G184" s="284">
        <v>23.48</v>
      </c>
    </row>
    <row r="185" spans="1:7" x14ac:dyDescent="0.25">
      <c r="A185" s="284" t="s">
        <v>1635</v>
      </c>
      <c r="B185" s="284" t="s">
        <v>1634</v>
      </c>
      <c r="C185" s="284" t="s">
        <v>1575</v>
      </c>
      <c r="D185" s="284" t="s">
        <v>1574</v>
      </c>
      <c r="E185" s="284">
        <v>1215</v>
      </c>
      <c r="F185" s="284">
        <v>0.2475</v>
      </c>
      <c r="G185" s="284">
        <v>914.29</v>
      </c>
    </row>
    <row r="186" spans="1:7" x14ac:dyDescent="0.25">
      <c r="A186" s="284" t="s">
        <v>1633</v>
      </c>
      <c r="B186" s="284" t="s">
        <v>1632</v>
      </c>
      <c r="C186" s="284" t="s">
        <v>1575</v>
      </c>
      <c r="D186" s="284" t="s">
        <v>1574</v>
      </c>
      <c r="E186" s="284">
        <v>1169.0999999999999</v>
      </c>
      <c r="F186" s="284">
        <v>0.2475</v>
      </c>
      <c r="G186" s="284">
        <v>879.75</v>
      </c>
    </row>
    <row r="187" spans="1:7" x14ac:dyDescent="0.25">
      <c r="A187" s="284" t="s">
        <v>1631</v>
      </c>
      <c r="B187" s="284" t="s">
        <v>1630</v>
      </c>
      <c r="C187" s="284" t="s">
        <v>1575</v>
      </c>
      <c r="D187" s="284" t="s">
        <v>1574</v>
      </c>
      <c r="E187" s="284">
        <v>779.4</v>
      </c>
      <c r="F187" s="284">
        <v>0.2475</v>
      </c>
      <c r="G187" s="284">
        <v>586.5</v>
      </c>
    </row>
    <row r="188" spans="1:7" x14ac:dyDescent="0.25">
      <c r="A188" s="284" t="s">
        <v>1629</v>
      </c>
      <c r="B188" s="284" t="s">
        <v>1628</v>
      </c>
      <c r="C188" s="284" t="s">
        <v>1575</v>
      </c>
      <c r="D188" s="284" t="s">
        <v>1574</v>
      </c>
      <c r="E188" s="284">
        <v>2069.1</v>
      </c>
      <c r="F188" s="284">
        <v>0.2475</v>
      </c>
      <c r="G188" s="284">
        <v>1557</v>
      </c>
    </row>
    <row r="189" spans="1:7" x14ac:dyDescent="0.25">
      <c r="A189" s="284" t="s">
        <v>1627</v>
      </c>
      <c r="B189" s="284" t="s">
        <v>1626</v>
      </c>
      <c r="C189" s="284" t="s">
        <v>1575</v>
      </c>
      <c r="D189" s="284" t="s">
        <v>1574</v>
      </c>
      <c r="E189" s="284">
        <v>1379.4</v>
      </c>
      <c r="F189" s="284">
        <v>0.2475</v>
      </c>
      <c r="G189" s="284">
        <v>1038</v>
      </c>
    </row>
    <row r="190" spans="1:7" x14ac:dyDescent="0.25">
      <c r="A190" s="284" t="s">
        <v>1625</v>
      </c>
      <c r="B190" s="284" t="s">
        <v>1624</v>
      </c>
      <c r="C190" s="284" t="s">
        <v>1571</v>
      </c>
      <c r="D190" s="284" t="s">
        <v>1570</v>
      </c>
      <c r="E190" s="284">
        <v>8.42</v>
      </c>
      <c r="F190" s="284">
        <v>0.2475</v>
      </c>
      <c r="G190" s="284">
        <v>6.34</v>
      </c>
    </row>
    <row r="191" spans="1:7" x14ac:dyDescent="0.25">
      <c r="A191" s="284" t="s">
        <v>1623</v>
      </c>
      <c r="B191" s="284" t="s">
        <v>1622</v>
      </c>
      <c r="C191" s="284" t="s">
        <v>1575</v>
      </c>
      <c r="D191" s="284" t="s">
        <v>1574</v>
      </c>
      <c r="E191" s="284">
        <v>773.1</v>
      </c>
      <c r="F191" s="284">
        <v>0.2475</v>
      </c>
      <c r="G191" s="284">
        <v>581.76</v>
      </c>
    </row>
    <row r="192" spans="1:7" x14ac:dyDescent="0.25">
      <c r="A192" s="284" t="s">
        <v>1621</v>
      </c>
      <c r="B192" s="284" t="s">
        <v>1620</v>
      </c>
      <c r="C192" s="284" t="s">
        <v>1575</v>
      </c>
      <c r="D192" s="284" t="s">
        <v>1574</v>
      </c>
      <c r="E192" s="284">
        <v>515.4</v>
      </c>
      <c r="F192" s="284">
        <v>0.2475</v>
      </c>
      <c r="G192" s="284">
        <v>387.84</v>
      </c>
    </row>
    <row r="193" spans="1:7" x14ac:dyDescent="0.25">
      <c r="A193" s="284" t="s">
        <v>1619</v>
      </c>
      <c r="B193" s="284" t="s">
        <v>1618</v>
      </c>
      <c r="C193" s="284" t="s">
        <v>1575</v>
      </c>
      <c r="D193" s="284" t="s">
        <v>1574</v>
      </c>
      <c r="E193" s="284">
        <v>773.1</v>
      </c>
      <c r="F193" s="284">
        <v>0.2475</v>
      </c>
      <c r="G193" s="284">
        <v>581.76</v>
      </c>
    </row>
    <row r="194" spans="1:7" x14ac:dyDescent="0.25">
      <c r="A194" s="284" t="s">
        <v>1617</v>
      </c>
      <c r="B194" s="284" t="s">
        <v>1616</v>
      </c>
      <c r="C194" s="284" t="s">
        <v>1575</v>
      </c>
      <c r="D194" s="284" t="s">
        <v>1574</v>
      </c>
      <c r="E194" s="284">
        <v>515.4</v>
      </c>
      <c r="F194" s="284">
        <v>0.2475</v>
      </c>
      <c r="G194" s="284">
        <v>387.84</v>
      </c>
    </row>
    <row r="195" spans="1:7" x14ac:dyDescent="0.25">
      <c r="A195" s="284" t="s">
        <v>1615</v>
      </c>
      <c r="B195" s="284" t="s">
        <v>1614</v>
      </c>
      <c r="C195" s="284" t="s">
        <v>1575</v>
      </c>
      <c r="D195" s="284" t="s">
        <v>1574</v>
      </c>
      <c r="E195" s="284">
        <v>179.1</v>
      </c>
      <c r="F195" s="284">
        <v>0.2475</v>
      </c>
      <c r="G195" s="284">
        <v>134.77000000000001</v>
      </c>
    </row>
    <row r="196" spans="1:7" x14ac:dyDescent="0.25">
      <c r="A196" s="284" t="s">
        <v>1613</v>
      </c>
      <c r="B196" s="284" t="s">
        <v>1612</v>
      </c>
      <c r="C196" s="284" t="s">
        <v>1575</v>
      </c>
      <c r="D196" s="284" t="s">
        <v>1574</v>
      </c>
      <c r="E196" s="284">
        <v>119.4</v>
      </c>
      <c r="F196" s="284">
        <v>0.2475</v>
      </c>
      <c r="G196" s="284">
        <v>89.85</v>
      </c>
    </row>
    <row r="197" spans="1:7" x14ac:dyDescent="0.25">
      <c r="A197" s="284" t="s">
        <v>1611</v>
      </c>
      <c r="B197" s="284" t="s">
        <v>1610</v>
      </c>
      <c r="C197" s="284" t="s">
        <v>1575</v>
      </c>
      <c r="D197" s="284" t="s">
        <v>1574</v>
      </c>
      <c r="E197" s="284">
        <v>179.1</v>
      </c>
      <c r="F197" s="284">
        <v>0.2475</v>
      </c>
      <c r="G197" s="284">
        <v>134.77000000000001</v>
      </c>
    </row>
    <row r="198" spans="1:7" x14ac:dyDescent="0.25">
      <c r="A198" s="284" t="s">
        <v>1609</v>
      </c>
      <c r="B198" s="284" t="s">
        <v>1608</v>
      </c>
      <c r="C198" s="284" t="s">
        <v>1575</v>
      </c>
      <c r="D198" s="284" t="s">
        <v>1574</v>
      </c>
      <c r="E198" s="284">
        <v>119.4</v>
      </c>
      <c r="F198" s="284">
        <v>0.2475</v>
      </c>
      <c r="G198" s="284">
        <v>89.85</v>
      </c>
    </row>
    <row r="199" spans="1:7" x14ac:dyDescent="0.25">
      <c r="A199" s="284" t="s">
        <v>1607</v>
      </c>
      <c r="B199" s="284" t="s">
        <v>1606</v>
      </c>
      <c r="C199" s="284" t="s">
        <v>1575</v>
      </c>
      <c r="D199" s="284" t="s">
        <v>1574</v>
      </c>
      <c r="E199" s="284">
        <v>179.1</v>
      </c>
      <c r="F199" s="284">
        <v>0.2475</v>
      </c>
      <c r="G199" s="284">
        <v>134.77000000000001</v>
      </c>
    </row>
    <row r="200" spans="1:7" x14ac:dyDescent="0.25">
      <c r="A200" s="284" t="s">
        <v>1605</v>
      </c>
      <c r="B200" s="284" t="s">
        <v>1604</v>
      </c>
      <c r="C200" s="284" t="s">
        <v>1575</v>
      </c>
      <c r="D200" s="284" t="s">
        <v>1574</v>
      </c>
      <c r="E200" s="284">
        <v>119.4</v>
      </c>
      <c r="F200" s="284">
        <v>0.2475</v>
      </c>
      <c r="G200" s="284">
        <v>89.85</v>
      </c>
    </row>
    <row r="201" spans="1:7" x14ac:dyDescent="0.25">
      <c r="A201" s="284" t="s">
        <v>1603</v>
      </c>
      <c r="B201" s="284" t="s">
        <v>1602</v>
      </c>
      <c r="C201" s="284" t="s">
        <v>1575</v>
      </c>
      <c r="D201" s="284" t="s">
        <v>1574</v>
      </c>
      <c r="E201" s="284">
        <v>58.5</v>
      </c>
      <c r="F201" s="284">
        <v>0.2475</v>
      </c>
      <c r="G201" s="284">
        <v>44.02</v>
      </c>
    </row>
    <row r="202" spans="1:7" x14ac:dyDescent="0.25">
      <c r="A202" s="284" t="s">
        <v>1601</v>
      </c>
      <c r="B202" s="284" t="s">
        <v>1600</v>
      </c>
      <c r="C202" s="284" t="s">
        <v>1575</v>
      </c>
      <c r="D202" s="284" t="s">
        <v>1574</v>
      </c>
      <c r="E202" s="284">
        <v>39</v>
      </c>
      <c r="F202" s="284">
        <v>0.2475</v>
      </c>
      <c r="G202" s="284">
        <v>29.35</v>
      </c>
    </row>
    <row r="203" spans="1:7" x14ac:dyDescent="0.25">
      <c r="A203" s="284" t="s">
        <v>1599</v>
      </c>
      <c r="B203" s="284" t="s">
        <v>1598</v>
      </c>
      <c r="C203" s="284" t="s">
        <v>1575</v>
      </c>
      <c r="D203" s="284" t="s">
        <v>1574</v>
      </c>
      <c r="E203" s="284">
        <v>38.700000000000003</v>
      </c>
      <c r="F203" s="284">
        <v>0.2475</v>
      </c>
      <c r="G203" s="284">
        <v>29.12</v>
      </c>
    </row>
    <row r="204" spans="1:7" x14ac:dyDescent="0.25">
      <c r="A204" s="284" t="s">
        <v>1597</v>
      </c>
      <c r="B204" s="284" t="s">
        <v>1596</v>
      </c>
      <c r="C204" s="284" t="s">
        <v>1575</v>
      </c>
      <c r="D204" s="284" t="s">
        <v>1574</v>
      </c>
      <c r="E204" s="284">
        <v>25.8</v>
      </c>
      <c r="F204" s="284">
        <v>0.2475</v>
      </c>
      <c r="G204" s="284">
        <v>19.41</v>
      </c>
    </row>
    <row r="205" spans="1:7" x14ac:dyDescent="0.25">
      <c r="A205" s="284" t="s">
        <v>1595</v>
      </c>
      <c r="B205" s="284" t="s">
        <v>1594</v>
      </c>
      <c r="C205" s="284" t="s">
        <v>1575</v>
      </c>
      <c r="D205" s="284" t="s">
        <v>1574</v>
      </c>
      <c r="E205" s="284">
        <v>46.8</v>
      </c>
      <c r="F205" s="284">
        <v>0.2475</v>
      </c>
      <c r="G205" s="284">
        <v>35.22</v>
      </c>
    </row>
    <row r="206" spans="1:7" x14ac:dyDescent="0.25">
      <c r="A206" s="284" t="s">
        <v>1593</v>
      </c>
      <c r="B206" s="284" t="s">
        <v>1592</v>
      </c>
      <c r="C206" s="284" t="s">
        <v>1575</v>
      </c>
      <c r="D206" s="284" t="s">
        <v>1574</v>
      </c>
      <c r="E206" s="284">
        <v>31.2</v>
      </c>
      <c r="F206" s="284">
        <v>0.2475</v>
      </c>
      <c r="G206" s="284">
        <v>23.48</v>
      </c>
    </row>
    <row r="207" spans="1:7" x14ac:dyDescent="0.25">
      <c r="A207" s="284" t="s">
        <v>1591</v>
      </c>
      <c r="B207" s="284" t="s">
        <v>1590</v>
      </c>
      <c r="C207" s="284" t="s">
        <v>1575</v>
      </c>
      <c r="D207" s="284" t="s">
        <v>1574</v>
      </c>
      <c r="E207" s="284">
        <v>71.099999999999994</v>
      </c>
      <c r="F207" s="284">
        <v>0.2475</v>
      </c>
      <c r="G207" s="284">
        <v>53.5</v>
      </c>
    </row>
    <row r="208" spans="1:7" x14ac:dyDescent="0.25">
      <c r="A208" s="284" t="s">
        <v>1589</v>
      </c>
      <c r="B208" s="284" t="s">
        <v>1588</v>
      </c>
      <c r="C208" s="284" t="s">
        <v>1575</v>
      </c>
      <c r="D208" s="284" t="s">
        <v>1574</v>
      </c>
      <c r="E208" s="284">
        <v>47.4</v>
      </c>
      <c r="F208" s="284">
        <v>0.2475</v>
      </c>
      <c r="G208" s="284">
        <v>35.67</v>
      </c>
    </row>
    <row r="209" spans="1:7" x14ac:dyDescent="0.25">
      <c r="A209" s="284" t="s">
        <v>1587</v>
      </c>
      <c r="B209" s="284" t="s">
        <v>1586</v>
      </c>
      <c r="C209" s="284" t="s">
        <v>1575</v>
      </c>
      <c r="D209" s="284" t="s">
        <v>1574</v>
      </c>
      <c r="E209" s="284">
        <v>629.1</v>
      </c>
      <c r="F209" s="284">
        <v>0.2475</v>
      </c>
      <c r="G209" s="284">
        <v>473.4</v>
      </c>
    </row>
    <row r="210" spans="1:7" x14ac:dyDescent="0.25">
      <c r="A210" s="284" t="s">
        <v>1585</v>
      </c>
      <c r="B210" s="284" t="s">
        <v>1584</v>
      </c>
      <c r="C210" s="284" t="s">
        <v>1575</v>
      </c>
      <c r="D210" s="284" t="s">
        <v>1574</v>
      </c>
      <c r="E210" s="284">
        <v>419.4</v>
      </c>
      <c r="F210" s="284">
        <v>0.2475</v>
      </c>
      <c r="G210" s="284">
        <v>315.60000000000002</v>
      </c>
    </row>
    <row r="211" spans="1:7" x14ac:dyDescent="0.25">
      <c r="A211" s="284" t="s">
        <v>1583</v>
      </c>
      <c r="B211" s="284" t="s">
        <v>1582</v>
      </c>
      <c r="C211" s="284" t="s">
        <v>1575</v>
      </c>
      <c r="D211" s="284" t="s">
        <v>1574</v>
      </c>
      <c r="E211" s="284">
        <v>46.8</v>
      </c>
      <c r="F211" s="284">
        <v>0.2475</v>
      </c>
      <c r="G211" s="284">
        <v>35.22</v>
      </c>
    </row>
    <row r="212" spans="1:7" x14ac:dyDescent="0.25">
      <c r="A212" s="284" t="s">
        <v>1581</v>
      </c>
      <c r="B212" s="284" t="s">
        <v>1580</v>
      </c>
      <c r="C212" s="284" t="s">
        <v>1575</v>
      </c>
      <c r="D212" s="284" t="s">
        <v>1574</v>
      </c>
      <c r="E212" s="284">
        <v>31.2</v>
      </c>
      <c r="F212" s="284">
        <v>0.2475</v>
      </c>
      <c r="G212" s="284">
        <v>23.48</v>
      </c>
    </row>
    <row r="213" spans="1:7" x14ac:dyDescent="0.25">
      <c r="A213" s="284" t="s">
        <v>1579</v>
      </c>
      <c r="B213" s="284" t="s">
        <v>1578</v>
      </c>
      <c r="C213" s="284" t="s">
        <v>1575</v>
      </c>
      <c r="D213" s="284" t="s">
        <v>1574</v>
      </c>
      <c r="E213" s="284">
        <v>15.3</v>
      </c>
      <c r="F213" s="284">
        <v>0.2475</v>
      </c>
      <c r="G213" s="284">
        <v>11.51</v>
      </c>
    </row>
    <row r="214" spans="1:7" x14ac:dyDescent="0.25">
      <c r="A214" s="284" t="s">
        <v>1577</v>
      </c>
      <c r="B214" s="284" t="s">
        <v>1576</v>
      </c>
      <c r="C214" s="284" t="s">
        <v>1575</v>
      </c>
      <c r="D214" s="284" t="s">
        <v>1574</v>
      </c>
      <c r="E214" s="284">
        <v>10.199999999999999</v>
      </c>
      <c r="F214" s="284">
        <v>0.2475</v>
      </c>
      <c r="G214" s="284">
        <v>7.68</v>
      </c>
    </row>
    <row r="215" spans="1:7" x14ac:dyDescent="0.25">
      <c r="A215" s="284" t="s">
        <v>1157</v>
      </c>
      <c r="B215" s="284" t="s">
        <v>1158</v>
      </c>
      <c r="C215" s="284" t="s">
        <v>1571</v>
      </c>
      <c r="D215" s="284" t="s">
        <v>1570</v>
      </c>
      <c r="E215" s="284">
        <v>10125</v>
      </c>
      <c r="F215" s="284">
        <v>0.2475</v>
      </c>
      <c r="G215" s="284">
        <v>7619.06</v>
      </c>
    </row>
    <row r="216" spans="1:7" x14ac:dyDescent="0.25">
      <c r="A216" s="284" t="s">
        <v>1161</v>
      </c>
      <c r="B216" s="284" t="s">
        <v>839</v>
      </c>
      <c r="C216" s="284" t="s">
        <v>1571</v>
      </c>
      <c r="D216" s="284" t="s">
        <v>1570</v>
      </c>
      <c r="E216" s="284">
        <v>660</v>
      </c>
      <c r="F216" s="284">
        <v>0.2475</v>
      </c>
      <c r="G216" s="284">
        <v>496.65</v>
      </c>
    </row>
    <row r="217" spans="1:7" x14ac:dyDescent="0.25">
      <c r="A217" s="284" t="s">
        <v>1160</v>
      </c>
      <c r="B217" s="284" t="s">
        <v>838</v>
      </c>
      <c r="C217" s="284" t="s">
        <v>1571</v>
      </c>
      <c r="D217" s="284" t="s">
        <v>1570</v>
      </c>
      <c r="E217" s="284">
        <v>1295</v>
      </c>
      <c r="F217" s="284">
        <v>0.2475</v>
      </c>
      <c r="G217" s="284">
        <v>974.49</v>
      </c>
    </row>
    <row r="218" spans="1:7" x14ac:dyDescent="0.25">
      <c r="A218" s="284" t="s">
        <v>1162</v>
      </c>
      <c r="B218" s="284" t="s">
        <v>840</v>
      </c>
      <c r="C218" s="284" t="s">
        <v>1571</v>
      </c>
      <c r="D218" s="284" t="s">
        <v>1570</v>
      </c>
      <c r="E218" s="284">
        <v>260</v>
      </c>
      <c r="F218" s="284">
        <v>0.2475</v>
      </c>
      <c r="G218" s="284">
        <v>195.65</v>
      </c>
    </row>
    <row r="219" spans="1:7" x14ac:dyDescent="0.25">
      <c r="A219" s="284" t="s">
        <v>1164</v>
      </c>
      <c r="B219" s="284" t="s">
        <v>842</v>
      </c>
      <c r="C219" s="284" t="s">
        <v>1571</v>
      </c>
      <c r="D219" s="284" t="s">
        <v>1570</v>
      </c>
      <c r="E219" s="284">
        <v>6495</v>
      </c>
      <c r="F219" s="284">
        <v>0.2475</v>
      </c>
      <c r="G219" s="284">
        <v>4887.49</v>
      </c>
    </row>
    <row r="220" spans="1:7" x14ac:dyDescent="0.25">
      <c r="A220" s="284" t="s">
        <v>1062</v>
      </c>
      <c r="B220" s="284" t="s">
        <v>843</v>
      </c>
      <c r="C220" s="284" t="s">
        <v>1571</v>
      </c>
      <c r="D220" s="284" t="s">
        <v>1570</v>
      </c>
      <c r="E220" s="284">
        <v>11495</v>
      </c>
      <c r="F220" s="284">
        <v>0.2475</v>
      </c>
      <c r="G220" s="284">
        <v>8649.99</v>
      </c>
    </row>
    <row r="221" spans="1:7" x14ac:dyDescent="0.25">
      <c r="A221" s="284" t="s">
        <v>1573</v>
      </c>
      <c r="B221" s="284" t="s">
        <v>1572</v>
      </c>
      <c r="C221" s="284" t="s">
        <v>1571</v>
      </c>
      <c r="D221" s="284" t="s">
        <v>1570</v>
      </c>
      <c r="E221" s="284">
        <v>5925</v>
      </c>
      <c r="F221" s="284">
        <v>0.2475</v>
      </c>
      <c r="G221" s="284">
        <v>4458.5600000000004</v>
      </c>
    </row>
    <row r="222" spans="1:7" x14ac:dyDescent="0.25">
      <c r="A222" s="284" t="s">
        <v>1188</v>
      </c>
      <c r="C222" s="284" t="s">
        <v>1571</v>
      </c>
      <c r="D222" s="284" t="s">
        <v>1570</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361</v>
      </c>
      <c r="S1" s="163" t="s">
        <v>360</v>
      </c>
      <c r="T1" s="163" t="s">
        <v>115</v>
      </c>
      <c r="U1" s="163" t="s">
        <v>342</v>
      </c>
      <c r="V1" s="163" t="s">
        <v>359</v>
      </c>
      <c r="W1" s="162"/>
      <c r="X1" s="162"/>
    </row>
    <row r="2" spans="1:24" ht="30" x14ac:dyDescent="0.25">
      <c r="A2" s="132" t="s">
        <v>340</v>
      </c>
      <c r="B2" s="132" t="s">
        <v>123</v>
      </c>
      <c r="C2" s="132" t="s">
        <v>341</v>
      </c>
      <c r="D2" s="133" t="s">
        <v>369</v>
      </c>
      <c r="E2" s="134" t="s">
        <v>364</v>
      </c>
      <c r="F2" s="132" t="s">
        <v>346</v>
      </c>
      <c r="G2" s="132" t="s">
        <v>137</v>
      </c>
      <c r="H2" s="132" t="s">
        <v>986</v>
      </c>
      <c r="I2" s="135" t="s">
        <v>136</v>
      </c>
      <c r="J2" s="132" t="s">
        <v>987</v>
      </c>
      <c r="K2" s="132" t="s">
        <v>379</v>
      </c>
      <c r="L2" s="132" t="s">
        <v>988</v>
      </c>
      <c r="M2" s="145" t="s">
        <v>138</v>
      </c>
      <c r="N2" s="145" t="s">
        <v>989</v>
      </c>
      <c r="O2" s="154"/>
      <c r="P2" s="160" t="s">
        <v>363</v>
      </c>
      <c r="Q2" s="161" t="s">
        <v>0</v>
      </c>
      <c r="R2" s="161" t="s">
        <v>1</v>
      </c>
      <c r="S2" s="161" t="s">
        <v>2</v>
      </c>
      <c r="T2" s="161" t="s">
        <v>3</v>
      </c>
      <c r="U2" s="161" t="s">
        <v>367</v>
      </c>
      <c r="V2" s="161" t="s">
        <v>368</v>
      </c>
      <c r="W2" s="161" t="s">
        <v>4</v>
      </c>
      <c r="X2" s="161" t="s">
        <v>148</v>
      </c>
    </row>
    <row r="3" spans="1:24" ht="30" x14ac:dyDescent="0.25">
      <c r="A3" s="127" t="s">
        <v>858</v>
      </c>
      <c r="B3" s="78" t="s">
        <v>845</v>
      </c>
      <c r="C3" s="127" t="s">
        <v>839</v>
      </c>
      <c r="D3" s="84">
        <f>IF(E3&lt;20, ROUNDUP(E3/0.3,0), ROUNDUP(E3/0.3,-1))</f>
        <v>1710</v>
      </c>
      <c r="E3" s="128">
        <f t="shared" ref="E3:E66" si="0">P3+Q3+T3+V3</f>
        <v>511.88235294117646</v>
      </c>
      <c r="F3" s="86" t="s">
        <v>366</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8</v>
      </c>
      <c r="V3" s="48">
        <f t="shared" ref="V3:V18" si="3">IF(U3="Bulk",0,IF(U3="Std", 10,IF(U3="Pickup",20,30)))/60*60</f>
        <v>10</v>
      </c>
      <c r="W3" s="83"/>
      <c r="X3" s="83"/>
    </row>
    <row r="4" spans="1:24" ht="30" x14ac:dyDescent="0.25">
      <c r="A4" s="127" t="s">
        <v>859</v>
      </c>
      <c r="B4" s="78" t="s">
        <v>844</v>
      </c>
      <c r="C4" s="127" t="s">
        <v>838</v>
      </c>
      <c r="D4" s="84">
        <f>IF(E4&lt;20, ROUNDUP(E4/0.3,0), ROUNDUP(E4/0.3,-1))</f>
        <v>3040</v>
      </c>
      <c r="E4" s="128">
        <f t="shared" si="0"/>
        <v>911.88235294117646</v>
      </c>
      <c r="F4" s="86" t="s">
        <v>366</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8</v>
      </c>
      <c r="V4" s="48">
        <f t="shared" si="3"/>
        <v>10</v>
      </c>
      <c r="W4" s="83"/>
      <c r="X4" s="83"/>
    </row>
    <row r="5" spans="1:24" ht="30" x14ac:dyDescent="0.25">
      <c r="A5" s="127" t="s">
        <v>944</v>
      </c>
      <c r="B5" s="78" t="s">
        <v>846</v>
      </c>
      <c r="C5" s="127" t="s">
        <v>840</v>
      </c>
      <c r="D5" s="84">
        <f>IF(E5&lt;20, ROUNDUP(E5/0.3,0), ROUNDUP(E5/0.3,-1))</f>
        <v>710</v>
      </c>
      <c r="E5" s="128">
        <f t="shared" si="0"/>
        <v>211.88235294117646</v>
      </c>
      <c r="F5" s="86" t="s">
        <v>366</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8</v>
      </c>
      <c r="V5" s="48">
        <f t="shared" si="3"/>
        <v>10</v>
      </c>
      <c r="W5" s="83"/>
      <c r="X5" s="83"/>
    </row>
    <row r="6" spans="1:24" ht="30" x14ac:dyDescent="0.25">
      <c r="A6" s="127" t="s">
        <v>860</v>
      </c>
      <c r="B6" s="78" t="s">
        <v>848</v>
      </c>
      <c r="C6" s="127" t="s">
        <v>842</v>
      </c>
      <c r="D6" s="84">
        <f>IF(E6&lt;20, ROUNDUP(E6/0.3,0), ROUNDUP(E6/0.3,-1))</f>
        <v>15040</v>
      </c>
      <c r="E6" s="128">
        <f t="shared" si="0"/>
        <v>4511.8823529411766</v>
      </c>
      <c r="F6" s="86" t="s">
        <v>366</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8</v>
      </c>
      <c r="V6" s="48">
        <f t="shared" si="3"/>
        <v>10</v>
      </c>
      <c r="W6" s="83"/>
      <c r="X6" s="83"/>
    </row>
    <row r="7" spans="1:24" ht="30" x14ac:dyDescent="0.25">
      <c r="A7" s="127" t="s">
        <v>861</v>
      </c>
      <c r="B7" s="78" t="s">
        <v>849</v>
      </c>
      <c r="C7" s="127" t="s">
        <v>843</v>
      </c>
      <c r="D7" s="84">
        <f>IF(E7&lt;20, ROUNDUP(E7/0.3,0), ROUNDUP(E7/0.3,-1))</f>
        <v>26710</v>
      </c>
      <c r="E7" s="128">
        <f t="shared" si="0"/>
        <v>8011.8823529411766</v>
      </c>
      <c r="F7" s="86" t="s">
        <v>366</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8</v>
      </c>
      <c r="V7" s="48">
        <f t="shared" si="3"/>
        <v>10</v>
      </c>
      <c r="W7" s="83"/>
      <c r="X7" s="83"/>
    </row>
    <row r="8" spans="1:24" ht="30" x14ac:dyDescent="0.25">
      <c r="A8" s="87" t="s">
        <v>863</v>
      </c>
      <c r="B8" s="82" t="s">
        <v>512</v>
      </c>
      <c r="C8" s="82" t="s">
        <v>621</v>
      </c>
      <c r="D8" s="84">
        <f>IF(E8&lt;20, ROUNDUP(E8/0.6,0), ROUNDUP(E8/0.6,-1))</f>
        <v>8190</v>
      </c>
      <c r="E8" s="128">
        <f t="shared" si="0"/>
        <v>4911.8823529411766</v>
      </c>
      <c r="F8" s="86" t="s">
        <v>365</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8</v>
      </c>
      <c r="V8" s="48">
        <f t="shared" si="3"/>
        <v>10</v>
      </c>
      <c r="W8" s="83"/>
      <c r="X8" s="83" t="s">
        <v>114</v>
      </c>
    </row>
    <row r="9" spans="1:24" ht="45" x14ac:dyDescent="0.25">
      <c r="A9" s="87" t="s">
        <v>864</v>
      </c>
      <c r="B9" s="82" t="s">
        <v>267</v>
      </c>
      <c r="C9" s="82" t="s">
        <v>622</v>
      </c>
      <c r="D9" s="84">
        <f>IF(E9&lt;20, ROUNDUP(E9/0.6,0), ROUNDUP(E9/0.6,-1))</f>
        <v>24860</v>
      </c>
      <c r="E9" s="128">
        <f t="shared" si="0"/>
        <v>14911.882352941177</v>
      </c>
      <c r="F9" s="86" t="s">
        <v>365</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8</v>
      </c>
      <c r="V9" s="48">
        <f t="shared" si="3"/>
        <v>10</v>
      </c>
      <c r="W9" s="83"/>
      <c r="X9" s="83" t="s">
        <v>111</v>
      </c>
    </row>
    <row r="10" spans="1:24" ht="45" x14ac:dyDescent="0.25">
      <c r="A10" s="87" t="s">
        <v>865</v>
      </c>
      <c r="B10" s="82" t="s">
        <v>212</v>
      </c>
      <c r="C10" s="82" t="s">
        <v>623</v>
      </c>
      <c r="D10" s="84">
        <f>IF(E10&lt;20, ROUNDUP(E10/0.6,0), ROUNDUP(E10/0.6,-1))</f>
        <v>16520</v>
      </c>
      <c r="E10" s="128">
        <f t="shared" si="0"/>
        <v>9911.8823529411766</v>
      </c>
      <c r="F10" s="86" t="s">
        <v>365</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8</v>
      </c>
      <c r="V10" s="48">
        <f t="shared" si="3"/>
        <v>10</v>
      </c>
      <c r="W10" s="83"/>
      <c r="X10" s="83" t="s">
        <v>113</v>
      </c>
    </row>
    <row r="11" spans="1:24" ht="45" x14ac:dyDescent="0.25">
      <c r="A11" s="87" t="s">
        <v>866</v>
      </c>
      <c r="B11" s="82" t="s">
        <v>268</v>
      </c>
      <c r="C11" s="82" t="s">
        <v>624</v>
      </c>
      <c r="D11" s="84">
        <f>IF(E11&lt;20, ROUNDUP(E11/0.6,0), ROUNDUP(E11/0.6,-1))</f>
        <v>11520</v>
      </c>
      <c r="E11" s="128">
        <f t="shared" si="0"/>
        <v>6911.8823529411766</v>
      </c>
      <c r="F11" s="86" t="s">
        <v>365</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8</v>
      </c>
      <c r="V11" s="48">
        <f t="shared" si="3"/>
        <v>10</v>
      </c>
      <c r="W11" s="83"/>
      <c r="X11" s="83" t="s">
        <v>112</v>
      </c>
    </row>
    <row r="12" spans="1:24" ht="30" x14ac:dyDescent="0.25">
      <c r="A12" s="127" t="s">
        <v>862</v>
      </c>
      <c r="B12" s="78" t="s">
        <v>847</v>
      </c>
      <c r="C12" s="127" t="s">
        <v>841</v>
      </c>
      <c r="D12" s="84">
        <f>IF(E12&lt;20, ROUNDUP(E12/0.3,0), ROUNDUP(E12/0.3,-1))</f>
        <v>6710</v>
      </c>
      <c r="E12" s="128">
        <f t="shared" si="0"/>
        <v>2011.8823529411766</v>
      </c>
      <c r="F12" s="86" t="s">
        <v>366</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8</v>
      </c>
      <c r="V12" s="48">
        <f t="shared" si="3"/>
        <v>10</v>
      </c>
      <c r="W12" s="83"/>
      <c r="X12" s="83"/>
    </row>
    <row r="13" spans="1:24" x14ac:dyDescent="0.25">
      <c r="A13" s="82" t="s">
        <v>984</v>
      </c>
      <c r="B13" s="83" t="s">
        <v>423</v>
      </c>
      <c r="C13" s="82" t="s">
        <v>424</v>
      </c>
      <c r="D13" s="84">
        <f>IF(E13&lt;20, ROUNDUP(E13/0.3,0), ROUNDUP(E13/0.3,-1))</f>
        <v>5040</v>
      </c>
      <c r="E13" s="128">
        <f t="shared" si="0"/>
        <v>1511.8823529411766</v>
      </c>
      <c r="F13" s="86" t="s">
        <v>366</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8</v>
      </c>
      <c r="V13" s="48">
        <f t="shared" si="3"/>
        <v>10</v>
      </c>
      <c r="W13" s="83"/>
      <c r="X13" s="83" t="s">
        <v>282</v>
      </c>
    </row>
    <row r="14" spans="1:24" ht="30" x14ac:dyDescent="0.25">
      <c r="A14" s="82" t="s">
        <v>867</v>
      </c>
      <c r="B14" s="82" t="s">
        <v>854</v>
      </c>
      <c r="C14" s="82" t="s">
        <v>771</v>
      </c>
      <c r="D14" s="84">
        <f>IF(E14&lt;20, ROUNDUP(E14/0.6,0), ROUNDUP(E14/0.6,-1))</f>
        <v>12520</v>
      </c>
      <c r="E14" s="128">
        <f t="shared" si="0"/>
        <v>7511.8823529411766</v>
      </c>
      <c r="F14" s="86" t="s">
        <v>365</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8</v>
      </c>
      <c r="V14" s="48">
        <f t="shared" si="3"/>
        <v>10</v>
      </c>
      <c r="W14" s="83"/>
      <c r="X14" s="83" t="s">
        <v>114</v>
      </c>
    </row>
    <row r="15" spans="1:24" ht="30" x14ac:dyDescent="0.25">
      <c r="A15" s="82" t="s">
        <v>868</v>
      </c>
      <c r="B15" s="82" t="s">
        <v>853</v>
      </c>
      <c r="C15" s="82" t="s">
        <v>772</v>
      </c>
      <c r="D15" s="84">
        <f>IF(E15&lt;20, ROUNDUP(E15/0.6,0), ROUNDUP(E15/0.6,-1))</f>
        <v>125020</v>
      </c>
      <c r="E15" s="128">
        <f t="shared" si="0"/>
        <v>75011.882352941175</v>
      </c>
      <c r="F15" s="86" t="s">
        <v>365</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8</v>
      </c>
      <c r="V15" s="48">
        <f t="shared" si="3"/>
        <v>10</v>
      </c>
      <c r="W15" s="83"/>
      <c r="X15" s="83" t="s">
        <v>111</v>
      </c>
    </row>
    <row r="16" spans="1:24" ht="30" x14ac:dyDescent="0.25">
      <c r="A16" s="82" t="s">
        <v>871</v>
      </c>
      <c r="B16" s="82" t="s">
        <v>852</v>
      </c>
      <c r="C16" s="82" t="s">
        <v>773</v>
      </c>
      <c r="D16" s="84">
        <f>IF(E16&lt;20, ROUNDUP(E16/0.6,0), ROUNDUP(E16/0.6,-1))</f>
        <v>70860</v>
      </c>
      <c r="E16" s="128">
        <f t="shared" si="0"/>
        <v>42511.882352941175</v>
      </c>
      <c r="F16" s="86" t="s">
        <v>365</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8</v>
      </c>
      <c r="V16" s="48">
        <f t="shared" si="3"/>
        <v>10</v>
      </c>
      <c r="W16" s="83"/>
      <c r="X16" s="83" t="s">
        <v>113</v>
      </c>
    </row>
    <row r="17" spans="1:24" ht="30" x14ac:dyDescent="0.25">
      <c r="A17" s="82" t="s">
        <v>870</v>
      </c>
      <c r="B17" s="82" t="s">
        <v>851</v>
      </c>
      <c r="C17" s="82" t="s">
        <v>774</v>
      </c>
      <c r="D17" s="84">
        <f>IF(E17&lt;20, ROUNDUP(E17/0.6,0), ROUNDUP(E17/0.6,-1))</f>
        <v>41690</v>
      </c>
      <c r="E17" s="128">
        <f t="shared" si="0"/>
        <v>25011.882352941175</v>
      </c>
      <c r="F17" s="86" t="s">
        <v>365</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8</v>
      </c>
      <c r="V17" s="48">
        <f t="shared" si="3"/>
        <v>10</v>
      </c>
      <c r="W17" s="83"/>
      <c r="X17" s="83" t="s">
        <v>112</v>
      </c>
    </row>
    <row r="18" spans="1:24" ht="30" x14ac:dyDescent="0.25">
      <c r="A18" s="82" t="s">
        <v>869</v>
      </c>
      <c r="B18" s="82" t="s">
        <v>850</v>
      </c>
      <c r="C18" s="82" t="s">
        <v>774</v>
      </c>
      <c r="D18" s="84">
        <f>IF(E18&lt;20, ROUNDUP(E18/0.6,0), ROUNDUP(E18/0.6,-1))</f>
        <v>25020</v>
      </c>
      <c r="E18" s="128">
        <f t="shared" si="0"/>
        <v>15011.882352941177</v>
      </c>
      <c r="F18" s="86" t="s">
        <v>365</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8</v>
      </c>
      <c r="V18" s="48">
        <f t="shared" si="3"/>
        <v>10</v>
      </c>
      <c r="W18" s="83"/>
      <c r="X18" s="83" t="s">
        <v>112</v>
      </c>
    </row>
    <row r="19" spans="1:24" x14ac:dyDescent="0.25">
      <c r="A19" s="82" t="s">
        <v>704</v>
      </c>
      <c r="B19" s="83" t="s">
        <v>705</v>
      </c>
      <c r="C19" s="82" t="s">
        <v>706</v>
      </c>
      <c r="D19" s="84">
        <f>IF(E19&lt;20, ROUNDUP(E19/0.4,0), ROUNDUP(E19/0.5,-1))</f>
        <v>-250</v>
      </c>
      <c r="E19" s="128">
        <f t="shared" si="0"/>
        <v>-100</v>
      </c>
      <c r="F19" s="85" t="s">
        <v>366</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701</v>
      </c>
      <c r="B20" s="83" t="s">
        <v>702</v>
      </c>
      <c r="C20" s="82" t="s">
        <v>703</v>
      </c>
      <c r="D20" s="84">
        <f>IF(E20&lt;20, ROUNDUP(E20/0.4,0), ROUNDUP(E20/0.5,-1))</f>
        <v>-250</v>
      </c>
      <c r="E20" s="128">
        <f t="shared" si="0"/>
        <v>-100</v>
      </c>
      <c r="F20" s="85" t="s">
        <v>365</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237</v>
      </c>
      <c r="B21" s="82" t="s">
        <v>186</v>
      </c>
      <c r="C21" s="82" t="s">
        <v>541</v>
      </c>
      <c r="D21" s="84">
        <f t="shared" ref="D21:D84" si="4">IF(E21&lt;20, ROUNDUP(E21/0.6,0), ROUNDUP(E21/0.6,-1))</f>
        <v>260</v>
      </c>
      <c r="E21" s="128">
        <f t="shared" si="0"/>
        <v>152.93372549019608</v>
      </c>
      <c r="F21" s="86" t="s">
        <v>365</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8</v>
      </c>
      <c r="V21" s="48">
        <f t="shared" ref="V21:V44" si="6">IF(U21="Bulk",0,IF(U21="Std", 10,IF(U21="Pickup",20,30)))/60*60</f>
        <v>10</v>
      </c>
      <c r="W21" s="83"/>
      <c r="X21" s="83" t="s">
        <v>60</v>
      </c>
    </row>
    <row r="22" spans="1:24" x14ac:dyDescent="0.25">
      <c r="A22" s="82" t="s">
        <v>238</v>
      </c>
      <c r="B22" s="82" t="s">
        <v>187</v>
      </c>
      <c r="C22" s="82" t="s">
        <v>542</v>
      </c>
      <c r="D22" s="84">
        <f t="shared" si="4"/>
        <v>480</v>
      </c>
      <c r="E22" s="128">
        <f t="shared" si="0"/>
        <v>286.1637254901961</v>
      </c>
      <c r="F22" s="86" t="s">
        <v>365</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8</v>
      </c>
      <c r="V22" s="48">
        <f t="shared" si="6"/>
        <v>10</v>
      </c>
      <c r="W22" s="83"/>
      <c r="X22" s="83" t="s">
        <v>61</v>
      </c>
    </row>
    <row r="23" spans="1:24" x14ac:dyDescent="0.25">
      <c r="A23" s="82" t="s">
        <v>252</v>
      </c>
      <c r="B23" s="82" t="s">
        <v>201</v>
      </c>
      <c r="C23" s="82" t="s">
        <v>543</v>
      </c>
      <c r="D23" s="84">
        <f t="shared" si="4"/>
        <v>90</v>
      </c>
      <c r="E23" s="128">
        <f t="shared" si="0"/>
        <v>49.617450980392157</v>
      </c>
      <c r="F23" s="86" t="s">
        <v>365</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8</v>
      </c>
      <c r="V23" s="48">
        <f t="shared" si="6"/>
        <v>10</v>
      </c>
      <c r="W23" s="83"/>
      <c r="X23" s="83" t="s">
        <v>84</v>
      </c>
    </row>
    <row r="24" spans="1:24" x14ac:dyDescent="0.25">
      <c r="A24" s="82" t="s">
        <v>469</v>
      </c>
      <c r="B24" s="82" t="s">
        <v>470</v>
      </c>
      <c r="C24" s="82" t="s">
        <v>544</v>
      </c>
      <c r="D24" s="84">
        <f t="shared" si="4"/>
        <v>40</v>
      </c>
      <c r="E24" s="128">
        <f t="shared" si="0"/>
        <v>20.117647058823529</v>
      </c>
      <c r="F24" s="86" t="s">
        <v>365</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8</v>
      </c>
      <c r="V24" s="48">
        <f t="shared" si="6"/>
        <v>10</v>
      </c>
      <c r="W24" s="83"/>
      <c r="X24" s="83" t="s">
        <v>93</v>
      </c>
    </row>
    <row r="25" spans="1:24" x14ac:dyDescent="0.25">
      <c r="A25" s="82" t="s">
        <v>254</v>
      </c>
      <c r="B25" s="82" t="s">
        <v>471</v>
      </c>
      <c r="C25" s="82" t="s">
        <v>546</v>
      </c>
      <c r="D25" s="84">
        <f>IF(E25&lt;20, ROUNDUP(E25/0.6,0), ROUNDUP(E25/0.6,-1))</f>
        <v>60</v>
      </c>
      <c r="E25" s="128">
        <f>P25+Q25+T25+V25</f>
        <v>30.470588235294116</v>
      </c>
      <c r="F25" s="86" t="s">
        <v>365</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8</v>
      </c>
      <c r="V25" s="48">
        <f>IF(U25="Bulk",0,IF(U25="Std", 10,IF(U25="Pickup",20,30)))/60*60</f>
        <v>10</v>
      </c>
      <c r="W25" s="83"/>
      <c r="X25" s="83" t="s">
        <v>89</v>
      </c>
    </row>
    <row r="26" spans="1:24" x14ac:dyDescent="0.25">
      <c r="A26" s="82" t="s">
        <v>253</v>
      </c>
      <c r="B26" s="82" t="s">
        <v>472</v>
      </c>
      <c r="C26" s="82" t="s">
        <v>545</v>
      </c>
      <c r="D26" s="84">
        <f t="shared" si="4"/>
        <v>40</v>
      </c>
      <c r="E26" s="128">
        <f t="shared" si="0"/>
        <v>20.313725490196077</v>
      </c>
      <c r="F26" s="86" t="s">
        <v>365</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8</v>
      </c>
      <c r="V26" s="48">
        <f t="shared" si="6"/>
        <v>10</v>
      </c>
      <c r="W26" s="83"/>
      <c r="X26" s="83" t="s">
        <v>88</v>
      </c>
    </row>
    <row r="27" spans="1:24" x14ac:dyDescent="0.25">
      <c r="A27" s="87" t="s">
        <v>502</v>
      </c>
      <c r="B27" s="82" t="s">
        <v>501</v>
      </c>
      <c r="C27" s="82" t="s">
        <v>547</v>
      </c>
      <c r="D27" s="84">
        <f t="shared" si="4"/>
        <v>170</v>
      </c>
      <c r="E27" s="128">
        <f t="shared" si="0"/>
        <v>100</v>
      </c>
      <c r="F27" s="86" t="s">
        <v>365</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8</v>
      </c>
      <c r="V27" s="48">
        <f t="shared" si="6"/>
        <v>10</v>
      </c>
      <c r="W27" s="83"/>
      <c r="X27" s="83" t="s">
        <v>90</v>
      </c>
    </row>
    <row r="28" spans="1:24" ht="30" x14ac:dyDescent="0.25">
      <c r="A28" s="82" t="s">
        <v>216</v>
      </c>
      <c r="B28" s="82" t="s">
        <v>151</v>
      </c>
      <c r="C28" s="82" t="s">
        <v>548</v>
      </c>
      <c r="D28" s="84">
        <f t="shared" si="4"/>
        <v>4320</v>
      </c>
      <c r="E28" s="128">
        <f t="shared" si="0"/>
        <v>2587.0588235294117</v>
      </c>
      <c r="F28" s="86" t="s">
        <v>365</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8</v>
      </c>
      <c r="V28" s="48">
        <f t="shared" si="6"/>
        <v>10</v>
      </c>
      <c r="W28" s="83"/>
      <c r="X28" s="83" t="s">
        <v>12</v>
      </c>
    </row>
    <row r="29" spans="1:24" ht="30" x14ac:dyDescent="0.25">
      <c r="A29" s="82" t="s">
        <v>215</v>
      </c>
      <c r="B29" s="82" t="s">
        <v>149</v>
      </c>
      <c r="C29" s="82" t="s">
        <v>549</v>
      </c>
      <c r="D29" s="84">
        <f t="shared" si="4"/>
        <v>410</v>
      </c>
      <c r="E29" s="128">
        <f t="shared" si="0"/>
        <v>240.29411764705881</v>
      </c>
      <c r="F29" s="86" t="s">
        <v>365</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8</v>
      </c>
      <c r="V29" s="48">
        <f t="shared" si="6"/>
        <v>10</v>
      </c>
      <c r="W29" s="83"/>
      <c r="X29" s="83" t="s">
        <v>7</v>
      </c>
    </row>
    <row r="30" spans="1:24" x14ac:dyDescent="0.25">
      <c r="A30" s="82" t="s">
        <v>453</v>
      </c>
      <c r="B30" s="82" t="s">
        <v>473</v>
      </c>
      <c r="C30" s="82" t="s">
        <v>550</v>
      </c>
      <c r="D30" s="84">
        <f t="shared" si="4"/>
        <v>5</v>
      </c>
      <c r="E30" s="128">
        <f t="shared" si="0"/>
        <v>2.5</v>
      </c>
      <c r="F30" s="86" t="s">
        <v>365</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116</v>
      </c>
      <c r="V30" s="48">
        <f t="shared" si="6"/>
        <v>0</v>
      </c>
      <c r="W30" s="83"/>
      <c r="X30" s="83" t="s">
        <v>10</v>
      </c>
    </row>
    <row r="31" spans="1:24" x14ac:dyDescent="0.25">
      <c r="A31" s="87" t="s">
        <v>454</v>
      </c>
      <c r="B31" s="82" t="s">
        <v>474</v>
      </c>
      <c r="C31" s="82" t="s">
        <v>551</v>
      </c>
      <c r="D31" s="84">
        <f t="shared" si="4"/>
        <v>4</v>
      </c>
      <c r="E31" s="128">
        <f t="shared" si="0"/>
        <v>2.19</v>
      </c>
      <c r="F31" s="86" t="s">
        <v>365</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116</v>
      </c>
      <c r="V31" s="48">
        <f t="shared" si="6"/>
        <v>0</v>
      </c>
      <c r="W31" s="83"/>
      <c r="X31" s="83"/>
    </row>
    <row r="32" spans="1:24" x14ac:dyDescent="0.25">
      <c r="A32" s="87" t="s">
        <v>490</v>
      </c>
      <c r="B32" s="82" t="s">
        <v>475</v>
      </c>
      <c r="C32" s="82" t="s">
        <v>552</v>
      </c>
      <c r="D32" s="84">
        <f t="shared" si="4"/>
        <v>70</v>
      </c>
      <c r="E32" s="128">
        <f t="shared" si="0"/>
        <v>40</v>
      </c>
      <c r="F32" s="86" t="s">
        <v>365</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8</v>
      </c>
      <c r="V32" s="48">
        <f t="shared" si="6"/>
        <v>10</v>
      </c>
      <c r="W32" s="83"/>
      <c r="X32" s="83" t="s">
        <v>16</v>
      </c>
    </row>
    <row r="33" spans="1:24" ht="30" x14ac:dyDescent="0.25">
      <c r="A33" s="82" t="s">
        <v>347</v>
      </c>
      <c r="B33" s="82" t="s">
        <v>150</v>
      </c>
      <c r="C33" s="82" t="s">
        <v>553</v>
      </c>
      <c r="D33" s="84">
        <f t="shared" si="4"/>
        <v>50</v>
      </c>
      <c r="E33" s="128">
        <f t="shared" si="0"/>
        <v>26.3</v>
      </c>
      <c r="F33" s="86" t="s">
        <v>365</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8</v>
      </c>
      <c r="V33" s="48">
        <f t="shared" si="6"/>
        <v>10</v>
      </c>
      <c r="W33" s="83"/>
      <c r="X33" s="83" t="s">
        <v>9</v>
      </c>
    </row>
    <row r="34" spans="1:24" ht="30" x14ac:dyDescent="0.25">
      <c r="A34" s="82" t="s">
        <v>217</v>
      </c>
      <c r="B34" s="82" t="s">
        <v>153</v>
      </c>
      <c r="C34" s="82" t="s">
        <v>554</v>
      </c>
      <c r="D34" s="84">
        <f t="shared" si="4"/>
        <v>40</v>
      </c>
      <c r="E34" s="128">
        <f t="shared" si="0"/>
        <v>21.323529411764707</v>
      </c>
      <c r="F34" s="86" t="s">
        <v>365</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8</v>
      </c>
      <c r="V34" s="48">
        <f t="shared" si="6"/>
        <v>10</v>
      </c>
      <c r="W34" s="83"/>
      <c r="X34" s="83" t="s">
        <v>14</v>
      </c>
    </row>
    <row r="35" spans="1:24" x14ac:dyDescent="0.25">
      <c r="A35" s="82" t="s">
        <v>218</v>
      </c>
      <c r="B35" s="82" t="s">
        <v>476</v>
      </c>
      <c r="C35" s="82" t="s">
        <v>555</v>
      </c>
      <c r="D35" s="84">
        <f t="shared" si="4"/>
        <v>24</v>
      </c>
      <c r="E35" s="128">
        <f t="shared" si="0"/>
        <v>14.18</v>
      </c>
      <c r="F35" s="86" t="s">
        <v>365</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8</v>
      </c>
      <c r="V35" s="48">
        <f t="shared" si="6"/>
        <v>10</v>
      </c>
      <c r="W35" s="83"/>
      <c r="X35" s="83" t="s">
        <v>15</v>
      </c>
    </row>
    <row r="36" spans="1:24" x14ac:dyDescent="0.25">
      <c r="A36" s="82" t="s">
        <v>219</v>
      </c>
      <c r="B36" s="82" t="s">
        <v>154</v>
      </c>
      <c r="C36" s="82" t="s">
        <v>556</v>
      </c>
      <c r="D36" s="84">
        <f t="shared" si="4"/>
        <v>3</v>
      </c>
      <c r="E36" s="128">
        <f t="shared" si="0"/>
        <v>1.5</v>
      </c>
      <c r="F36" s="86" t="s">
        <v>365</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116</v>
      </c>
      <c r="V36" s="48">
        <f t="shared" si="6"/>
        <v>0</v>
      </c>
      <c r="W36" s="83"/>
      <c r="X36" s="83" t="s">
        <v>16</v>
      </c>
    </row>
    <row r="37" spans="1:24" x14ac:dyDescent="0.25">
      <c r="A37" s="82" t="s">
        <v>477</v>
      </c>
      <c r="B37" s="82" t="s">
        <v>152</v>
      </c>
      <c r="C37" s="82" t="s">
        <v>557</v>
      </c>
      <c r="D37" s="84">
        <f t="shared" si="4"/>
        <v>420</v>
      </c>
      <c r="E37" s="128">
        <f t="shared" si="0"/>
        <v>247.56</v>
      </c>
      <c r="F37" s="86" t="s">
        <v>365</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8</v>
      </c>
      <c r="V37" s="48">
        <f t="shared" si="6"/>
        <v>10</v>
      </c>
      <c r="W37" s="83"/>
      <c r="X37" s="83" t="s">
        <v>13</v>
      </c>
    </row>
    <row r="38" spans="1:24" ht="30" x14ac:dyDescent="0.25">
      <c r="A38" s="87" t="s">
        <v>213</v>
      </c>
      <c r="B38" s="83" t="s">
        <v>488</v>
      </c>
      <c r="C38" s="82" t="s">
        <v>558</v>
      </c>
      <c r="D38" s="84">
        <f t="shared" si="4"/>
        <v>220</v>
      </c>
      <c r="E38" s="128">
        <f t="shared" si="0"/>
        <v>126.67</v>
      </c>
      <c r="F38" s="86" t="s">
        <v>365</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8</v>
      </c>
      <c r="V38" s="48">
        <f t="shared" si="6"/>
        <v>10</v>
      </c>
      <c r="W38" s="83"/>
      <c r="X38" s="83" t="s">
        <v>5</v>
      </c>
    </row>
    <row r="39" spans="1:24" ht="30" x14ac:dyDescent="0.25">
      <c r="A39" s="87" t="s">
        <v>214</v>
      </c>
      <c r="B39" s="83" t="s">
        <v>487</v>
      </c>
      <c r="C39" s="82" t="s">
        <v>559</v>
      </c>
      <c r="D39" s="84">
        <f t="shared" si="4"/>
        <v>220</v>
      </c>
      <c r="E39" s="128">
        <f t="shared" si="0"/>
        <v>126.67</v>
      </c>
      <c r="F39" s="86" t="s">
        <v>365</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8</v>
      </c>
      <c r="V39" s="48">
        <f t="shared" si="6"/>
        <v>10</v>
      </c>
      <c r="W39" s="83"/>
      <c r="X39" s="83" t="s">
        <v>6</v>
      </c>
    </row>
    <row r="40" spans="1:24" ht="30" x14ac:dyDescent="0.25">
      <c r="A40" s="87" t="s">
        <v>485</v>
      </c>
      <c r="B40" s="82" t="s">
        <v>486</v>
      </c>
      <c r="C40" s="82" t="s">
        <v>560</v>
      </c>
      <c r="D40" s="84">
        <f t="shared" si="4"/>
        <v>34</v>
      </c>
      <c r="E40" s="128">
        <f t="shared" si="0"/>
        <v>19.990000000000002</v>
      </c>
      <c r="F40" s="86" t="s">
        <v>365</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8</v>
      </c>
      <c r="V40" s="48">
        <f t="shared" si="6"/>
        <v>10</v>
      </c>
      <c r="W40" s="83"/>
      <c r="X40" s="83" t="s">
        <v>11</v>
      </c>
    </row>
    <row r="41" spans="1:24" x14ac:dyDescent="0.25">
      <c r="A41" s="87" t="s">
        <v>483</v>
      </c>
      <c r="B41" s="82" t="s">
        <v>155</v>
      </c>
      <c r="C41" s="82" t="s">
        <v>561</v>
      </c>
      <c r="D41" s="84">
        <f t="shared" si="4"/>
        <v>7</v>
      </c>
      <c r="E41" s="128">
        <f t="shared" si="0"/>
        <v>3.6989999999999998</v>
      </c>
      <c r="F41" s="86" t="s">
        <v>365</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116</v>
      </c>
      <c r="V41" s="48">
        <f t="shared" si="6"/>
        <v>0</v>
      </c>
      <c r="W41" s="83"/>
      <c r="X41" s="83" t="s">
        <v>18</v>
      </c>
    </row>
    <row r="42" spans="1:24" x14ac:dyDescent="0.25">
      <c r="A42" s="87" t="s">
        <v>484</v>
      </c>
      <c r="B42" s="82" t="s">
        <v>156</v>
      </c>
      <c r="C42" s="82" t="s">
        <v>562</v>
      </c>
      <c r="D42" s="84">
        <f t="shared" si="4"/>
        <v>5</v>
      </c>
      <c r="E42" s="128">
        <f t="shared" si="0"/>
        <v>2.6989999999999998</v>
      </c>
      <c r="F42" s="86" t="s">
        <v>365</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116</v>
      </c>
      <c r="V42" s="48">
        <f t="shared" si="6"/>
        <v>0</v>
      </c>
      <c r="W42" s="83"/>
      <c r="X42" s="83" t="s">
        <v>19</v>
      </c>
    </row>
    <row r="43" spans="1:24" x14ac:dyDescent="0.25">
      <c r="A43" s="82" t="s">
        <v>258</v>
      </c>
      <c r="B43" s="82" t="s">
        <v>481</v>
      </c>
      <c r="C43" s="82" t="s">
        <v>563</v>
      </c>
      <c r="D43" s="84">
        <f t="shared" si="4"/>
        <v>17</v>
      </c>
      <c r="E43" s="128">
        <f t="shared" si="0"/>
        <v>10</v>
      </c>
      <c r="F43" s="86" t="s">
        <v>365</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116</v>
      </c>
      <c r="V43" s="48">
        <f t="shared" si="6"/>
        <v>0</v>
      </c>
      <c r="W43" s="83"/>
      <c r="X43" s="83" t="s">
        <v>99</v>
      </c>
    </row>
    <row r="44" spans="1:24" ht="30" x14ac:dyDescent="0.25">
      <c r="A44" s="82" t="s">
        <v>236</v>
      </c>
      <c r="B44" s="82" t="s">
        <v>482</v>
      </c>
      <c r="C44" s="82" t="s">
        <v>564</v>
      </c>
      <c r="D44" s="84">
        <f t="shared" si="4"/>
        <v>10</v>
      </c>
      <c r="E44" s="128">
        <f t="shared" si="0"/>
        <v>6</v>
      </c>
      <c r="F44" s="86" t="s">
        <v>365</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116</v>
      </c>
      <c r="V44" s="48">
        <f t="shared" si="6"/>
        <v>0</v>
      </c>
      <c r="W44" s="83"/>
      <c r="X44" s="83" t="s">
        <v>57</v>
      </c>
    </row>
    <row r="45" spans="1:24" x14ac:dyDescent="0.25">
      <c r="A45" s="87" t="s">
        <v>479</v>
      </c>
      <c r="B45" s="82" t="s">
        <v>478</v>
      </c>
      <c r="C45" s="82" t="s">
        <v>565</v>
      </c>
      <c r="D45" s="84">
        <f t="shared" si="4"/>
        <v>20</v>
      </c>
      <c r="E45" s="128">
        <f t="shared" si="0"/>
        <v>11.6195</v>
      </c>
      <c r="F45" s="86" t="s">
        <v>365</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116</v>
      </c>
      <c r="V45" s="48">
        <v>10</v>
      </c>
      <c r="W45" s="83"/>
      <c r="X45" s="83" t="s">
        <v>20</v>
      </c>
    </row>
    <row r="46" spans="1:24" x14ac:dyDescent="0.25">
      <c r="A46" s="82" t="s">
        <v>480</v>
      </c>
      <c r="B46" s="82" t="s">
        <v>489</v>
      </c>
      <c r="C46" s="82" t="s">
        <v>566</v>
      </c>
      <c r="D46" s="84">
        <f t="shared" si="4"/>
        <v>17</v>
      </c>
      <c r="E46" s="128">
        <f t="shared" si="0"/>
        <v>10</v>
      </c>
      <c r="F46" s="86" t="s">
        <v>365</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8</v>
      </c>
      <c r="V46" s="48">
        <f t="shared" ref="V46:V109" si="8">IF(U46="Bulk",0,IF(U46="Std", 10,IF(U46="Pickup",20,30)))/60*60</f>
        <v>10</v>
      </c>
      <c r="W46" s="83"/>
      <c r="X46" s="83" t="s">
        <v>100</v>
      </c>
    </row>
    <row r="47" spans="1:24" x14ac:dyDescent="0.25">
      <c r="A47" s="82" t="s">
        <v>221</v>
      </c>
      <c r="B47" s="82" t="s">
        <v>222</v>
      </c>
      <c r="C47" s="82" t="s">
        <v>567</v>
      </c>
      <c r="D47" s="84">
        <f t="shared" si="4"/>
        <v>21</v>
      </c>
      <c r="E47" s="128">
        <f t="shared" si="0"/>
        <v>12.349499999999999</v>
      </c>
      <c r="F47" s="86" t="s">
        <v>365</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8</v>
      </c>
      <c r="V47" s="48">
        <f t="shared" si="8"/>
        <v>10</v>
      </c>
      <c r="W47" s="83"/>
      <c r="X47" s="83" t="s">
        <v>117</v>
      </c>
    </row>
    <row r="48" spans="1:24" x14ac:dyDescent="0.25">
      <c r="A48" s="82" t="s">
        <v>229</v>
      </c>
      <c r="B48" s="82" t="s">
        <v>163</v>
      </c>
      <c r="C48" s="82" t="s">
        <v>568</v>
      </c>
      <c r="D48" s="84">
        <f t="shared" si="4"/>
        <v>150</v>
      </c>
      <c r="E48" s="128">
        <f t="shared" si="0"/>
        <v>85.470588235294116</v>
      </c>
      <c r="F48" s="86" t="s">
        <v>365</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8</v>
      </c>
      <c r="V48" s="48">
        <f t="shared" si="8"/>
        <v>10</v>
      </c>
      <c r="W48" s="83"/>
      <c r="X48" s="83" t="s">
        <v>28</v>
      </c>
    </row>
    <row r="49" spans="1:24" x14ac:dyDescent="0.25">
      <c r="A49" s="82" t="s">
        <v>223</v>
      </c>
      <c r="B49" s="82" t="s">
        <v>157</v>
      </c>
      <c r="C49" s="82" t="s">
        <v>569</v>
      </c>
      <c r="D49" s="84">
        <f t="shared" si="4"/>
        <v>940</v>
      </c>
      <c r="E49" s="128">
        <f t="shared" si="0"/>
        <v>560.82352941176475</v>
      </c>
      <c r="F49" s="86" t="s">
        <v>365</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685</v>
      </c>
      <c r="V49" s="48">
        <f t="shared" si="8"/>
        <v>30</v>
      </c>
      <c r="W49" s="83"/>
      <c r="X49" s="83" t="s">
        <v>22</v>
      </c>
    </row>
    <row r="50" spans="1:24" x14ac:dyDescent="0.25">
      <c r="A50" s="82" t="s">
        <v>220</v>
      </c>
      <c r="B50" s="82" t="s">
        <v>349</v>
      </c>
      <c r="C50" s="82" t="s">
        <v>570</v>
      </c>
      <c r="D50" s="84">
        <f t="shared" si="4"/>
        <v>90</v>
      </c>
      <c r="E50" s="128">
        <f t="shared" si="0"/>
        <v>52.823529411764703</v>
      </c>
      <c r="F50" s="86" t="s">
        <v>365</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8</v>
      </c>
      <c r="V50" s="48">
        <f t="shared" si="8"/>
        <v>10</v>
      </c>
      <c r="W50" s="83"/>
      <c r="X50" s="83" t="s">
        <v>21</v>
      </c>
    </row>
    <row r="51" spans="1:24" x14ac:dyDescent="0.25">
      <c r="A51" s="82" t="s">
        <v>225</v>
      </c>
      <c r="B51" s="82" t="s">
        <v>159</v>
      </c>
      <c r="C51" s="82" t="s">
        <v>571</v>
      </c>
      <c r="D51" s="84">
        <f t="shared" si="4"/>
        <v>60</v>
      </c>
      <c r="E51" s="128">
        <f t="shared" si="0"/>
        <v>30.042287581699345</v>
      </c>
      <c r="F51" s="86" t="s">
        <v>365</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8</v>
      </c>
      <c r="V51" s="48">
        <f t="shared" si="8"/>
        <v>10</v>
      </c>
      <c r="W51" s="83"/>
      <c r="X51" s="83" t="s">
        <v>24</v>
      </c>
    </row>
    <row r="52" spans="1:24" x14ac:dyDescent="0.25">
      <c r="A52" s="82" t="s">
        <v>227</v>
      </c>
      <c r="B52" s="82" t="s">
        <v>162</v>
      </c>
      <c r="C52" s="82" t="s">
        <v>572</v>
      </c>
      <c r="D52" s="84">
        <f t="shared" si="4"/>
        <v>60</v>
      </c>
      <c r="E52" s="128">
        <f t="shared" si="0"/>
        <v>30.209150326797385</v>
      </c>
      <c r="F52" s="86" t="s">
        <v>365</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8</v>
      </c>
      <c r="V52" s="48">
        <f t="shared" si="8"/>
        <v>10</v>
      </c>
      <c r="W52" s="83"/>
      <c r="X52" s="83" t="s">
        <v>26</v>
      </c>
    </row>
    <row r="53" spans="1:24" ht="30" x14ac:dyDescent="0.25">
      <c r="A53" s="82" t="s">
        <v>228</v>
      </c>
      <c r="B53" s="82" t="s">
        <v>161</v>
      </c>
      <c r="C53" s="82" t="s">
        <v>573</v>
      </c>
      <c r="D53" s="84">
        <f t="shared" si="4"/>
        <v>190</v>
      </c>
      <c r="E53" s="128">
        <f t="shared" si="0"/>
        <v>110.31372549019608</v>
      </c>
      <c r="F53" s="86" t="s">
        <v>365</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8</v>
      </c>
      <c r="V53" s="48">
        <f t="shared" si="8"/>
        <v>10</v>
      </c>
      <c r="W53" s="83"/>
      <c r="X53" s="83" t="s">
        <v>27</v>
      </c>
    </row>
    <row r="54" spans="1:24" ht="30" x14ac:dyDescent="0.25">
      <c r="A54" s="82" t="s">
        <v>681</v>
      </c>
      <c r="B54" s="82" t="s">
        <v>682</v>
      </c>
      <c r="C54" s="82" t="s">
        <v>681</v>
      </c>
      <c r="D54" s="84">
        <f t="shared" si="4"/>
        <v>1310</v>
      </c>
      <c r="E54" s="128">
        <f t="shared" si="0"/>
        <v>785.76352941176481</v>
      </c>
      <c r="F54" s="86" t="s">
        <v>365</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8</v>
      </c>
      <c r="V54" s="48">
        <f t="shared" si="8"/>
        <v>10</v>
      </c>
      <c r="W54" s="83"/>
      <c r="X54" s="83" t="s">
        <v>22</v>
      </c>
    </row>
    <row r="55" spans="1:24" ht="45" x14ac:dyDescent="0.25">
      <c r="A55" s="82" t="s">
        <v>946</v>
      </c>
      <c r="B55" s="82" t="s">
        <v>683</v>
      </c>
      <c r="C55" s="82" t="s">
        <v>857</v>
      </c>
      <c r="D55" s="84">
        <f t="shared" si="4"/>
        <v>2100</v>
      </c>
      <c r="E55" s="128">
        <f t="shared" si="0"/>
        <v>1254.7635294117647</v>
      </c>
      <c r="F55" s="86" t="s">
        <v>365</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8</v>
      </c>
      <c r="V55" s="48">
        <f t="shared" si="8"/>
        <v>10</v>
      </c>
      <c r="W55" s="83"/>
      <c r="X55" s="83" t="s">
        <v>22</v>
      </c>
    </row>
    <row r="56" spans="1:24" ht="30" x14ac:dyDescent="0.25">
      <c r="A56" s="82" t="s">
        <v>226</v>
      </c>
      <c r="B56" s="82" t="s">
        <v>160</v>
      </c>
      <c r="C56" s="82" t="s">
        <v>574</v>
      </c>
      <c r="D56" s="84">
        <f t="shared" si="4"/>
        <v>730</v>
      </c>
      <c r="E56" s="128">
        <f t="shared" si="0"/>
        <v>434.23209150326795</v>
      </c>
      <c r="F56" s="86" t="s">
        <v>365</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8</v>
      </c>
      <c r="V56" s="48">
        <f t="shared" si="8"/>
        <v>10</v>
      </c>
      <c r="W56" s="83"/>
      <c r="X56" s="83" t="s">
        <v>25</v>
      </c>
    </row>
    <row r="57" spans="1:24" x14ac:dyDescent="0.25">
      <c r="A57" s="82" t="s">
        <v>230</v>
      </c>
      <c r="B57" s="82" t="s">
        <v>164</v>
      </c>
      <c r="C57" s="82" t="s">
        <v>575</v>
      </c>
      <c r="D57" s="84">
        <f t="shared" si="4"/>
        <v>110</v>
      </c>
      <c r="E57" s="128">
        <f t="shared" si="0"/>
        <v>62.773529411764706</v>
      </c>
      <c r="F57" s="86" t="s">
        <v>365</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8</v>
      </c>
      <c r="V57" s="48">
        <f t="shared" si="8"/>
        <v>10</v>
      </c>
      <c r="W57" s="83"/>
      <c r="X57" s="83" t="s">
        <v>29</v>
      </c>
    </row>
    <row r="58" spans="1:24" x14ac:dyDescent="0.25">
      <c r="A58" s="82" t="s">
        <v>231</v>
      </c>
      <c r="B58" s="82" t="s">
        <v>165</v>
      </c>
      <c r="C58" s="82" t="s">
        <v>576</v>
      </c>
      <c r="D58" s="84">
        <f t="shared" si="4"/>
        <v>170</v>
      </c>
      <c r="E58" s="128">
        <f t="shared" si="0"/>
        <v>96.882352941176464</v>
      </c>
      <c r="F58" s="86" t="s">
        <v>365</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8</v>
      </c>
      <c r="V58" s="48">
        <f t="shared" si="8"/>
        <v>10</v>
      </c>
      <c r="W58" s="83"/>
      <c r="X58" s="83" t="s">
        <v>30</v>
      </c>
    </row>
    <row r="59" spans="1:24" x14ac:dyDescent="0.25">
      <c r="A59" s="82" t="s">
        <v>224</v>
      </c>
      <c r="B59" s="82" t="s">
        <v>158</v>
      </c>
      <c r="C59" s="82" t="s">
        <v>577</v>
      </c>
      <c r="D59" s="84">
        <f t="shared" si="4"/>
        <v>350</v>
      </c>
      <c r="E59" s="128">
        <f t="shared" si="0"/>
        <v>210</v>
      </c>
      <c r="F59" s="86" t="s">
        <v>365</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8</v>
      </c>
      <c r="V59" s="48">
        <f t="shared" si="8"/>
        <v>10</v>
      </c>
      <c r="W59" s="83"/>
      <c r="X59" s="83" t="s">
        <v>23</v>
      </c>
    </row>
    <row r="60" spans="1:24" ht="30" x14ac:dyDescent="0.25">
      <c r="A60" s="82" t="s">
        <v>235</v>
      </c>
      <c r="B60" s="82" t="s">
        <v>493</v>
      </c>
      <c r="C60" s="82" t="s">
        <v>578</v>
      </c>
      <c r="D60" s="84">
        <f t="shared" si="4"/>
        <v>230</v>
      </c>
      <c r="E60" s="128">
        <f t="shared" si="0"/>
        <v>134.11764705882354</v>
      </c>
      <c r="F60" s="86" t="s">
        <v>365</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8</v>
      </c>
      <c r="V60" s="48">
        <f t="shared" si="8"/>
        <v>10</v>
      </c>
      <c r="W60" s="83"/>
      <c r="X60" s="83" t="s">
        <v>31</v>
      </c>
    </row>
    <row r="61" spans="1:24" ht="45" x14ac:dyDescent="0.25">
      <c r="A61" s="82" t="s">
        <v>232</v>
      </c>
      <c r="B61" s="82" t="s">
        <v>492</v>
      </c>
      <c r="C61" s="82" t="s">
        <v>579</v>
      </c>
      <c r="D61" s="84">
        <f t="shared" si="4"/>
        <v>1700</v>
      </c>
      <c r="E61" s="128">
        <f t="shared" si="0"/>
        <v>1019.1176470588235</v>
      </c>
      <c r="F61" s="86" t="s">
        <v>365</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8</v>
      </c>
      <c r="V61" s="48">
        <f t="shared" si="8"/>
        <v>10</v>
      </c>
      <c r="W61" s="83" t="s">
        <v>35</v>
      </c>
      <c r="X61" s="83" t="s">
        <v>34</v>
      </c>
    </row>
    <row r="62" spans="1:24" ht="30" x14ac:dyDescent="0.25">
      <c r="A62" s="82" t="s">
        <v>234</v>
      </c>
      <c r="B62" s="82" t="s">
        <v>495</v>
      </c>
      <c r="C62" s="82" t="s">
        <v>580</v>
      </c>
      <c r="D62" s="84">
        <f t="shared" si="4"/>
        <v>700</v>
      </c>
      <c r="E62" s="128">
        <f t="shared" si="0"/>
        <v>414.41176470588238</v>
      </c>
      <c r="F62" s="86" t="s">
        <v>365</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8</v>
      </c>
      <c r="V62" s="48">
        <f t="shared" si="8"/>
        <v>10</v>
      </c>
      <c r="W62" s="83" t="s">
        <v>38</v>
      </c>
      <c r="X62" s="83" t="s">
        <v>37</v>
      </c>
    </row>
    <row r="63" spans="1:24" ht="30" x14ac:dyDescent="0.25">
      <c r="A63" s="82" t="s">
        <v>233</v>
      </c>
      <c r="B63" s="82" t="s">
        <v>496</v>
      </c>
      <c r="C63" s="82" t="s">
        <v>581</v>
      </c>
      <c r="D63" s="84">
        <f t="shared" si="4"/>
        <v>870</v>
      </c>
      <c r="E63" s="128">
        <f t="shared" si="0"/>
        <v>519.11764705882354</v>
      </c>
      <c r="F63" s="86" t="s">
        <v>365</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8</v>
      </c>
      <c r="V63" s="48">
        <f t="shared" si="8"/>
        <v>10</v>
      </c>
      <c r="W63" s="83" t="s">
        <v>966</v>
      </c>
      <c r="X63" s="83" t="s">
        <v>36</v>
      </c>
    </row>
    <row r="64" spans="1:24" x14ac:dyDescent="0.25">
      <c r="A64" s="82" t="s">
        <v>491</v>
      </c>
      <c r="B64" s="82" t="s">
        <v>494</v>
      </c>
      <c r="C64" s="82" t="s">
        <v>582</v>
      </c>
      <c r="D64" s="84">
        <f t="shared" si="4"/>
        <v>280</v>
      </c>
      <c r="E64" s="128">
        <f t="shared" si="0"/>
        <v>164.41176470588235</v>
      </c>
      <c r="F64" s="86" t="s">
        <v>365</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8</v>
      </c>
      <c r="V64" s="48">
        <f t="shared" si="8"/>
        <v>10</v>
      </c>
      <c r="W64" s="83" t="s">
        <v>33</v>
      </c>
      <c r="X64" s="83" t="s">
        <v>32</v>
      </c>
    </row>
    <row r="65" spans="1:24" x14ac:dyDescent="0.25">
      <c r="A65" s="87" t="s">
        <v>503</v>
      </c>
      <c r="B65" s="87" t="s">
        <v>504</v>
      </c>
      <c r="C65" s="82" t="s">
        <v>583</v>
      </c>
      <c r="D65" s="84">
        <f t="shared" si="4"/>
        <v>100</v>
      </c>
      <c r="E65" s="128">
        <f t="shared" si="0"/>
        <v>55</v>
      </c>
      <c r="F65" s="86" t="s">
        <v>365</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685</v>
      </c>
      <c r="V65" s="48">
        <f t="shared" si="8"/>
        <v>30</v>
      </c>
      <c r="W65" s="83"/>
      <c r="X65" s="83" t="s">
        <v>78</v>
      </c>
    </row>
    <row r="66" spans="1:24" x14ac:dyDescent="0.25">
      <c r="A66" s="87" t="s">
        <v>505</v>
      </c>
      <c r="B66" s="87" t="s">
        <v>506</v>
      </c>
      <c r="C66" s="82" t="s">
        <v>584</v>
      </c>
      <c r="D66" s="84">
        <f t="shared" si="4"/>
        <v>100</v>
      </c>
      <c r="E66" s="128">
        <f t="shared" si="0"/>
        <v>59</v>
      </c>
      <c r="F66" s="86" t="s">
        <v>365</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685</v>
      </c>
      <c r="V66" s="48">
        <f t="shared" si="8"/>
        <v>30</v>
      </c>
      <c r="W66" s="83"/>
      <c r="X66" s="83" t="s">
        <v>78</v>
      </c>
    </row>
    <row r="67" spans="1:24" x14ac:dyDescent="0.25">
      <c r="A67" s="82" t="s">
        <v>239</v>
      </c>
      <c r="B67" s="82" t="s">
        <v>188</v>
      </c>
      <c r="C67" s="82" t="s">
        <v>585</v>
      </c>
      <c r="D67" s="84">
        <f t="shared" si="4"/>
        <v>12</v>
      </c>
      <c r="E67" s="128">
        <f t="shared" ref="E67:E130" si="9">P67+Q67+T67+V67</f>
        <v>7</v>
      </c>
      <c r="F67" s="86" t="s">
        <v>365</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116</v>
      </c>
      <c r="V67" s="48">
        <f t="shared" si="8"/>
        <v>0</v>
      </c>
      <c r="W67" s="83"/>
      <c r="X67" s="83" t="s">
        <v>64</v>
      </c>
    </row>
    <row r="68" spans="1:24" x14ac:dyDescent="0.25">
      <c r="A68" s="82" t="s">
        <v>240</v>
      </c>
      <c r="B68" s="82" t="s">
        <v>189</v>
      </c>
      <c r="C68" s="82" t="s">
        <v>586</v>
      </c>
      <c r="D68" s="84">
        <f t="shared" si="4"/>
        <v>210</v>
      </c>
      <c r="E68" s="128">
        <f t="shared" si="9"/>
        <v>120.47058823529412</v>
      </c>
      <c r="F68" s="86" t="s">
        <v>365</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8</v>
      </c>
      <c r="V68" s="48">
        <f t="shared" si="8"/>
        <v>10</v>
      </c>
      <c r="W68" s="83"/>
      <c r="X68" s="83" t="s">
        <v>65</v>
      </c>
    </row>
    <row r="69" spans="1:24" ht="30" x14ac:dyDescent="0.25">
      <c r="A69" s="82" t="s">
        <v>736</v>
      </c>
      <c r="B69" s="82" t="s">
        <v>166</v>
      </c>
      <c r="C69" s="82" t="s">
        <v>759</v>
      </c>
      <c r="D69" s="84">
        <f t="shared" si="4"/>
        <v>1350</v>
      </c>
      <c r="E69" s="128">
        <f t="shared" si="9"/>
        <v>808.24411764705883</v>
      </c>
      <c r="F69" s="86" t="s">
        <v>365</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685</v>
      </c>
      <c r="V69" s="48">
        <f t="shared" si="8"/>
        <v>30</v>
      </c>
      <c r="W69" s="83"/>
      <c r="X69" s="83" t="s">
        <v>39</v>
      </c>
    </row>
    <row r="70" spans="1:24" ht="30" x14ac:dyDescent="0.25">
      <c r="A70" s="82" t="s">
        <v>779</v>
      </c>
      <c r="B70" s="82" t="s">
        <v>781</v>
      </c>
      <c r="C70" s="82" t="s">
        <v>784</v>
      </c>
      <c r="D70" s="84">
        <f t="shared" si="4"/>
        <v>1600</v>
      </c>
      <c r="E70" s="128">
        <f t="shared" si="9"/>
        <v>958.24411764705883</v>
      </c>
      <c r="F70" s="86" t="s">
        <v>365</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685</v>
      </c>
      <c r="V70" s="48">
        <f t="shared" si="8"/>
        <v>30</v>
      </c>
      <c r="W70" s="83"/>
      <c r="X70" s="83" t="s">
        <v>39</v>
      </c>
    </row>
    <row r="71" spans="1:24" ht="30" x14ac:dyDescent="0.25">
      <c r="A71" s="82" t="s">
        <v>737</v>
      </c>
      <c r="B71" s="82" t="s">
        <v>167</v>
      </c>
      <c r="C71" s="82" t="s">
        <v>760</v>
      </c>
      <c r="D71" s="84">
        <f t="shared" si="4"/>
        <v>1520</v>
      </c>
      <c r="E71" s="128">
        <f t="shared" si="9"/>
        <v>908.24411764705883</v>
      </c>
      <c r="F71" s="86" t="s">
        <v>365</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685</v>
      </c>
      <c r="V71" s="48">
        <f t="shared" si="8"/>
        <v>30</v>
      </c>
      <c r="W71" s="83"/>
      <c r="X71" s="83" t="s">
        <v>40</v>
      </c>
    </row>
    <row r="72" spans="1:24" ht="30" x14ac:dyDescent="0.25">
      <c r="A72" s="82" t="s">
        <v>780</v>
      </c>
      <c r="B72" s="82" t="s">
        <v>782</v>
      </c>
      <c r="C72" s="82" t="s">
        <v>783</v>
      </c>
      <c r="D72" s="84">
        <f t="shared" si="4"/>
        <v>1770</v>
      </c>
      <c r="E72" s="128">
        <f t="shared" si="9"/>
        <v>1058.2441176470588</v>
      </c>
      <c r="F72" s="86" t="s">
        <v>365</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685</v>
      </c>
      <c r="V72" s="48">
        <f t="shared" si="8"/>
        <v>30</v>
      </c>
      <c r="W72" s="83"/>
      <c r="X72" s="83" t="s">
        <v>40</v>
      </c>
    </row>
    <row r="73" spans="1:24" ht="30" x14ac:dyDescent="0.25">
      <c r="A73" s="82" t="s">
        <v>738</v>
      </c>
      <c r="B73" s="82" t="s">
        <v>168</v>
      </c>
      <c r="C73" s="82" t="s">
        <v>761</v>
      </c>
      <c r="D73" s="84">
        <f t="shared" si="4"/>
        <v>1020</v>
      </c>
      <c r="E73" s="128">
        <f t="shared" si="9"/>
        <v>608.24411764705883</v>
      </c>
      <c r="F73" s="86" t="s">
        <v>365</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685</v>
      </c>
      <c r="V73" s="48">
        <f t="shared" si="8"/>
        <v>30</v>
      </c>
      <c r="W73" s="83"/>
      <c r="X73" s="83" t="s">
        <v>41</v>
      </c>
    </row>
    <row r="74" spans="1:24" ht="30" x14ac:dyDescent="0.25">
      <c r="A74" s="82" t="s">
        <v>775</v>
      </c>
      <c r="B74" s="82" t="s">
        <v>777</v>
      </c>
      <c r="C74" s="82" t="s">
        <v>786</v>
      </c>
      <c r="D74" s="84">
        <f t="shared" si="4"/>
        <v>1270</v>
      </c>
      <c r="E74" s="128">
        <f t="shared" si="9"/>
        <v>758.24411764705883</v>
      </c>
      <c r="F74" s="86" t="s">
        <v>365</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685</v>
      </c>
      <c r="V74" s="48">
        <f t="shared" si="8"/>
        <v>30</v>
      </c>
      <c r="W74" s="83"/>
      <c r="X74" s="83" t="s">
        <v>41</v>
      </c>
    </row>
    <row r="75" spans="1:24" ht="30" x14ac:dyDescent="0.25">
      <c r="A75" s="82" t="s">
        <v>762</v>
      </c>
      <c r="B75" s="82" t="s">
        <v>169</v>
      </c>
      <c r="C75" s="82" t="s">
        <v>760</v>
      </c>
      <c r="D75" s="84">
        <f t="shared" si="4"/>
        <v>1190</v>
      </c>
      <c r="E75" s="128">
        <f t="shared" si="9"/>
        <v>708.24411764705883</v>
      </c>
      <c r="F75" s="86" t="s">
        <v>365</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685</v>
      </c>
      <c r="V75" s="48">
        <f t="shared" si="8"/>
        <v>30</v>
      </c>
      <c r="W75" s="83"/>
      <c r="X75" s="83" t="s">
        <v>40</v>
      </c>
    </row>
    <row r="76" spans="1:24" ht="30" x14ac:dyDescent="0.25">
      <c r="A76" s="82" t="s">
        <v>776</v>
      </c>
      <c r="B76" s="82" t="s">
        <v>778</v>
      </c>
      <c r="C76" s="82" t="s">
        <v>785</v>
      </c>
      <c r="D76" s="84">
        <f t="shared" si="4"/>
        <v>1440</v>
      </c>
      <c r="E76" s="128">
        <f t="shared" si="9"/>
        <v>858.24411764705883</v>
      </c>
      <c r="F76" s="86" t="s">
        <v>365</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685</v>
      </c>
      <c r="V76" s="48">
        <f t="shared" si="8"/>
        <v>30</v>
      </c>
      <c r="W76" s="83"/>
      <c r="X76" s="83" t="s">
        <v>42</v>
      </c>
    </row>
    <row r="77" spans="1:24" ht="30" x14ac:dyDescent="0.25">
      <c r="A77" s="82" t="s">
        <v>763</v>
      </c>
      <c r="B77" s="82" t="s">
        <v>170</v>
      </c>
      <c r="C77" s="82" t="s">
        <v>764</v>
      </c>
      <c r="D77" s="84">
        <f t="shared" si="4"/>
        <v>850</v>
      </c>
      <c r="E77" s="128">
        <f t="shared" si="9"/>
        <v>508.24411764705883</v>
      </c>
      <c r="F77" s="86" t="s">
        <v>365</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685</v>
      </c>
      <c r="V77" s="48">
        <f t="shared" si="8"/>
        <v>30</v>
      </c>
      <c r="W77" s="83"/>
      <c r="X77" s="83" t="s">
        <v>43</v>
      </c>
    </row>
    <row r="78" spans="1:24" ht="30" x14ac:dyDescent="0.25">
      <c r="A78" s="82" t="s">
        <v>765</v>
      </c>
      <c r="B78" s="82" t="s">
        <v>699</v>
      </c>
      <c r="C78" s="82" t="s">
        <v>766</v>
      </c>
      <c r="D78" s="84">
        <f t="shared" si="4"/>
        <v>1100</v>
      </c>
      <c r="E78" s="128">
        <f t="shared" si="9"/>
        <v>658.24411764705883</v>
      </c>
      <c r="F78" s="86" t="s">
        <v>365</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685</v>
      </c>
      <c r="V78" s="48">
        <f t="shared" si="8"/>
        <v>30</v>
      </c>
      <c r="W78" s="83"/>
      <c r="X78" s="83" t="s">
        <v>43</v>
      </c>
    </row>
    <row r="79" spans="1:24" ht="30" x14ac:dyDescent="0.25">
      <c r="A79" s="82" t="s">
        <v>767</v>
      </c>
      <c r="B79" s="82" t="s">
        <v>171</v>
      </c>
      <c r="C79" s="82" t="s">
        <v>768</v>
      </c>
      <c r="D79" s="84">
        <f t="shared" si="4"/>
        <v>1020</v>
      </c>
      <c r="E79" s="128">
        <f t="shared" si="9"/>
        <v>608.24411764705883</v>
      </c>
      <c r="F79" s="86" t="s">
        <v>365</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685</v>
      </c>
      <c r="V79" s="48">
        <f t="shared" si="8"/>
        <v>30</v>
      </c>
      <c r="W79" s="83"/>
      <c r="X79" s="83" t="s">
        <v>44</v>
      </c>
    </row>
    <row r="80" spans="1:24" ht="30" x14ac:dyDescent="0.25">
      <c r="A80" s="82" t="s">
        <v>769</v>
      </c>
      <c r="B80" s="82" t="s">
        <v>700</v>
      </c>
      <c r="C80" s="82" t="s">
        <v>770</v>
      </c>
      <c r="D80" s="84">
        <f t="shared" si="4"/>
        <v>1270</v>
      </c>
      <c r="E80" s="128">
        <f t="shared" si="9"/>
        <v>758.24411764705883</v>
      </c>
      <c r="F80" s="86" t="s">
        <v>365</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685</v>
      </c>
      <c r="V80" s="48">
        <f t="shared" si="8"/>
        <v>30</v>
      </c>
      <c r="W80" s="83"/>
      <c r="X80" s="83" t="s">
        <v>44</v>
      </c>
    </row>
    <row r="81" spans="1:24" x14ac:dyDescent="0.25">
      <c r="A81" s="82" t="s">
        <v>241</v>
      </c>
      <c r="B81" s="82" t="s">
        <v>190</v>
      </c>
      <c r="C81" s="82" t="s">
        <v>587</v>
      </c>
      <c r="D81" s="84">
        <f t="shared" si="4"/>
        <v>1</v>
      </c>
      <c r="E81" s="128">
        <f t="shared" si="9"/>
        <v>0.44248409835155689</v>
      </c>
      <c r="F81" s="86" t="s">
        <v>365</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116</v>
      </c>
      <c r="V81" s="48">
        <f t="shared" si="8"/>
        <v>0</v>
      </c>
      <c r="W81" s="83"/>
      <c r="X81" s="83" t="s">
        <v>66</v>
      </c>
    </row>
    <row r="82" spans="1:24" x14ac:dyDescent="0.25">
      <c r="A82" s="82" t="s">
        <v>242</v>
      </c>
      <c r="B82" s="82" t="s">
        <v>191</v>
      </c>
      <c r="C82" s="82" t="s">
        <v>588</v>
      </c>
      <c r="D82" s="84">
        <f t="shared" si="4"/>
        <v>510</v>
      </c>
      <c r="E82" s="128">
        <f t="shared" si="9"/>
        <v>300.39215686274508</v>
      </c>
      <c r="F82" s="86" t="s">
        <v>365</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685</v>
      </c>
      <c r="V82" s="48">
        <f t="shared" si="8"/>
        <v>30</v>
      </c>
      <c r="W82" s="83"/>
      <c r="X82" s="83" t="s">
        <v>67</v>
      </c>
    </row>
    <row r="83" spans="1:24" x14ac:dyDescent="0.25">
      <c r="A83" s="82" t="s">
        <v>243</v>
      </c>
      <c r="B83" s="82" t="s">
        <v>192</v>
      </c>
      <c r="C83" s="82" t="s">
        <v>589</v>
      </c>
      <c r="D83" s="84">
        <f t="shared" si="4"/>
        <v>430</v>
      </c>
      <c r="E83" s="128">
        <f t="shared" si="9"/>
        <v>252.10457516339869</v>
      </c>
      <c r="F83" s="86" t="s">
        <v>365</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685</v>
      </c>
      <c r="V83" s="48">
        <f t="shared" si="8"/>
        <v>30</v>
      </c>
      <c r="W83" s="83"/>
      <c r="X83" s="83" t="s">
        <v>68</v>
      </c>
    </row>
    <row r="84" spans="1:24" x14ac:dyDescent="0.25">
      <c r="A84" s="82" t="s">
        <v>967</v>
      </c>
      <c r="B84" s="82" t="s">
        <v>194</v>
      </c>
      <c r="C84" s="82" t="s">
        <v>590</v>
      </c>
      <c r="D84" s="84">
        <f t="shared" si="4"/>
        <v>100</v>
      </c>
      <c r="E84" s="128">
        <f t="shared" si="9"/>
        <v>55.627450980392155</v>
      </c>
      <c r="F84" s="86" t="s">
        <v>365</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8</v>
      </c>
      <c r="V84" s="48">
        <f t="shared" si="8"/>
        <v>10</v>
      </c>
      <c r="W84" s="83"/>
      <c r="X84" s="83" t="s">
        <v>69</v>
      </c>
    </row>
    <row r="85" spans="1:24" x14ac:dyDescent="0.25">
      <c r="A85" s="82" t="s">
        <v>246</v>
      </c>
      <c r="B85" s="82" t="s">
        <v>193</v>
      </c>
      <c r="C85" s="82" t="s">
        <v>591</v>
      </c>
      <c r="D85" s="84">
        <f t="shared" ref="D85:D115" si="12">IF(E85&lt;20, ROUNDUP(E85/0.6,0), ROUNDUP(E85/0.6,-1))</f>
        <v>150</v>
      </c>
      <c r="E85" s="128">
        <f t="shared" si="9"/>
        <v>85.627450980392155</v>
      </c>
      <c r="F85" s="86" t="s">
        <v>365</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8</v>
      </c>
      <c r="V85" s="48">
        <f t="shared" si="8"/>
        <v>10</v>
      </c>
      <c r="W85" s="83"/>
      <c r="X85" s="83" t="s">
        <v>70</v>
      </c>
    </row>
    <row r="86" spans="1:24" x14ac:dyDescent="0.25">
      <c r="A86" s="82" t="s">
        <v>251</v>
      </c>
      <c r="B86" s="82" t="s">
        <v>200</v>
      </c>
      <c r="C86" s="82" t="s">
        <v>592</v>
      </c>
      <c r="D86" s="84">
        <f t="shared" si="12"/>
        <v>70</v>
      </c>
      <c r="E86" s="128">
        <f t="shared" si="9"/>
        <v>38.687450980392157</v>
      </c>
      <c r="F86" s="86" t="s">
        <v>365</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8</v>
      </c>
      <c r="V86" s="48">
        <f t="shared" si="8"/>
        <v>10</v>
      </c>
      <c r="W86" s="83"/>
      <c r="X86" s="83" t="s">
        <v>81</v>
      </c>
    </row>
    <row r="87" spans="1:24" x14ac:dyDescent="0.25">
      <c r="A87" s="82" t="s">
        <v>248</v>
      </c>
      <c r="B87" s="82" t="s">
        <v>196</v>
      </c>
      <c r="C87" s="82" t="s">
        <v>593</v>
      </c>
      <c r="D87" s="84">
        <f t="shared" si="12"/>
        <v>110</v>
      </c>
      <c r="E87" s="128">
        <f t="shared" si="9"/>
        <v>62.627450980392155</v>
      </c>
      <c r="F87" s="86" t="s">
        <v>365</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8</v>
      </c>
      <c r="V87" s="48">
        <f t="shared" si="8"/>
        <v>10</v>
      </c>
      <c r="W87" s="83"/>
      <c r="X87" s="83" t="s">
        <v>72</v>
      </c>
    </row>
    <row r="88" spans="1:24" ht="30" x14ac:dyDescent="0.25">
      <c r="A88" s="82" t="s">
        <v>249</v>
      </c>
      <c r="B88" s="82" t="s">
        <v>712</v>
      </c>
      <c r="C88" s="82" t="s">
        <v>594</v>
      </c>
      <c r="D88" s="84">
        <f t="shared" si="12"/>
        <v>110</v>
      </c>
      <c r="E88" s="128">
        <f t="shared" si="9"/>
        <v>62.627450980392155</v>
      </c>
      <c r="F88" s="86" t="s">
        <v>365</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8</v>
      </c>
      <c r="V88" s="48">
        <f t="shared" si="8"/>
        <v>10</v>
      </c>
      <c r="W88" s="83"/>
      <c r="X88" s="83" t="s">
        <v>73</v>
      </c>
    </row>
    <row r="89" spans="1:24" x14ac:dyDescent="0.25">
      <c r="A89" s="82" t="s">
        <v>247</v>
      </c>
      <c r="B89" s="82" t="s">
        <v>195</v>
      </c>
      <c r="C89" s="82" t="s">
        <v>595</v>
      </c>
      <c r="D89" s="84">
        <f t="shared" si="12"/>
        <v>110</v>
      </c>
      <c r="E89" s="128">
        <f t="shared" si="9"/>
        <v>62.627450980392155</v>
      </c>
      <c r="F89" s="86" t="s">
        <v>365</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8</v>
      </c>
      <c r="V89" s="48">
        <f t="shared" si="8"/>
        <v>10</v>
      </c>
      <c r="W89" s="83"/>
      <c r="X89" s="83" t="s">
        <v>71</v>
      </c>
    </row>
    <row r="90" spans="1:24" x14ac:dyDescent="0.25">
      <c r="A90" s="87" t="s">
        <v>436</v>
      </c>
      <c r="B90" s="82" t="s">
        <v>197</v>
      </c>
      <c r="C90" s="82" t="s">
        <v>596</v>
      </c>
      <c r="D90" s="84">
        <f t="shared" si="12"/>
        <v>110</v>
      </c>
      <c r="E90" s="128">
        <f t="shared" si="9"/>
        <v>62.033428571428573</v>
      </c>
      <c r="F90" s="86" t="s">
        <v>365</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8</v>
      </c>
      <c r="V90" s="48">
        <f t="shared" si="8"/>
        <v>10</v>
      </c>
      <c r="W90" s="83"/>
      <c r="X90" s="83" t="s">
        <v>74</v>
      </c>
    </row>
    <row r="91" spans="1:24" x14ac:dyDescent="0.25">
      <c r="A91" s="87" t="s">
        <v>499</v>
      </c>
      <c r="B91" s="82" t="s">
        <v>710</v>
      </c>
      <c r="C91" s="82" t="s">
        <v>597</v>
      </c>
      <c r="D91" s="84">
        <f t="shared" si="12"/>
        <v>110</v>
      </c>
      <c r="E91" s="128">
        <f t="shared" si="9"/>
        <v>62</v>
      </c>
      <c r="F91" s="86" t="s">
        <v>365</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8</v>
      </c>
      <c r="V91" s="48">
        <f t="shared" si="8"/>
        <v>10</v>
      </c>
      <c r="W91" s="83"/>
      <c r="X91" s="83" t="s">
        <v>75</v>
      </c>
    </row>
    <row r="92" spans="1:24" x14ac:dyDescent="0.25">
      <c r="A92" s="87" t="s">
        <v>500</v>
      </c>
      <c r="B92" s="82" t="s">
        <v>711</v>
      </c>
      <c r="C92" s="82" t="s">
        <v>598</v>
      </c>
      <c r="D92" s="84">
        <f t="shared" si="12"/>
        <v>110</v>
      </c>
      <c r="E92" s="128">
        <f t="shared" si="9"/>
        <v>62</v>
      </c>
      <c r="F92" s="86" t="s">
        <v>365</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8</v>
      </c>
      <c r="V92" s="48">
        <f t="shared" si="8"/>
        <v>10</v>
      </c>
      <c r="W92" s="83"/>
      <c r="X92" s="83" t="s">
        <v>75</v>
      </c>
    </row>
    <row r="93" spans="1:24" ht="30" x14ac:dyDescent="0.25">
      <c r="A93" s="82" t="s">
        <v>820</v>
      </c>
      <c r="B93" s="82" t="s">
        <v>819</v>
      </c>
      <c r="C93" s="82" t="s">
        <v>758</v>
      </c>
      <c r="D93" s="84">
        <f t="shared" si="12"/>
        <v>890</v>
      </c>
      <c r="E93" s="128">
        <f t="shared" si="9"/>
        <v>529.62745098039215</v>
      </c>
      <c r="F93" s="86" t="s">
        <v>365</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685</v>
      </c>
      <c r="V93" s="48">
        <f t="shared" si="8"/>
        <v>30</v>
      </c>
      <c r="W93" s="83"/>
      <c r="X93" s="83" t="s">
        <v>54</v>
      </c>
    </row>
    <row r="94" spans="1:24" ht="30" x14ac:dyDescent="0.25">
      <c r="A94" s="82" t="s">
        <v>739</v>
      </c>
      <c r="B94" s="82" t="s">
        <v>172</v>
      </c>
      <c r="C94" s="82" t="s">
        <v>740</v>
      </c>
      <c r="D94" s="84">
        <f t="shared" si="12"/>
        <v>1220</v>
      </c>
      <c r="E94" s="128">
        <f t="shared" si="9"/>
        <v>729.62745098039215</v>
      </c>
      <c r="F94" s="86" t="s">
        <v>365</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685</v>
      </c>
      <c r="V94" s="48">
        <f t="shared" si="8"/>
        <v>30</v>
      </c>
      <c r="W94" s="83"/>
      <c r="X94" s="83" t="s">
        <v>45</v>
      </c>
    </row>
    <row r="95" spans="1:24" ht="30" x14ac:dyDescent="0.25">
      <c r="A95" s="82" t="s">
        <v>741</v>
      </c>
      <c r="B95" s="82" t="s">
        <v>173</v>
      </c>
      <c r="C95" s="82" t="s">
        <v>742</v>
      </c>
      <c r="D95" s="84">
        <f t="shared" si="12"/>
        <v>1390</v>
      </c>
      <c r="E95" s="128">
        <f t="shared" si="9"/>
        <v>829.62745098039215</v>
      </c>
      <c r="F95" s="86" t="s">
        <v>365</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685</v>
      </c>
      <c r="V95" s="48">
        <f t="shared" si="8"/>
        <v>30</v>
      </c>
      <c r="W95" s="83"/>
      <c r="X95" s="83" t="s">
        <v>46</v>
      </c>
    </row>
    <row r="96" spans="1:24" x14ac:dyDescent="0.25">
      <c r="A96" s="82" t="s">
        <v>743</v>
      </c>
      <c r="B96" s="82" t="s">
        <v>180</v>
      </c>
      <c r="C96" s="82" t="s">
        <v>744</v>
      </c>
      <c r="D96" s="84">
        <f t="shared" si="12"/>
        <v>130</v>
      </c>
      <c r="E96" s="128">
        <f t="shared" si="9"/>
        <v>75</v>
      </c>
      <c r="F96" s="86" t="s">
        <v>365</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685</v>
      </c>
      <c r="V96" s="48">
        <f t="shared" si="8"/>
        <v>30</v>
      </c>
      <c r="W96" s="83"/>
      <c r="X96" s="83" t="s">
        <v>49</v>
      </c>
    </row>
    <row r="97" spans="1:24" x14ac:dyDescent="0.25">
      <c r="A97" s="82" t="s">
        <v>745</v>
      </c>
      <c r="B97" s="82" t="s">
        <v>181</v>
      </c>
      <c r="C97" s="82" t="s">
        <v>746</v>
      </c>
      <c r="D97" s="84">
        <f t="shared" si="12"/>
        <v>90</v>
      </c>
      <c r="E97" s="128">
        <f t="shared" si="9"/>
        <v>50</v>
      </c>
      <c r="F97" s="86" t="s">
        <v>365</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685</v>
      </c>
      <c r="V97" s="48">
        <f t="shared" si="8"/>
        <v>30</v>
      </c>
      <c r="W97" s="83"/>
      <c r="X97" s="83" t="s">
        <v>52</v>
      </c>
    </row>
    <row r="98" spans="1:24" ht="30" x14ac:dyDescent="0.25">
      <c r="A98" s="82" t="s">
        <v>747</v>
      </c>
      <c r="B98" s="82" t="s">
        <v>174</v>
      </c>
      <c r="C98" s="82" t="s">
        <v>748</v>
      </c>
      <c r="D98" s="84">
        <f t="shared" si="12"/>
        <v>970</v>
      </c>
      <c r="E98" s="128">
        <f t="shared" si="9"/>
        <v>579.62745098039215</v>
      </c>
      <c r="F98" s="86" t="s">
        <v>365</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685</v>
      </c>
      <c r="V98" s="48">
        <f t="shared" si="8"/>
        <v>30</v>
      </c>
      <c r="W98" s="83"/>
      <c r="X98" s="83" t="s">
        <v>47</v>
      </c>
    </row>
    <row r="99" spans="1:24" ht="30" x14ac:dyDescent="0.25">
      <c r="A99" s="82" t="s">
        <v>749</v>
      </c>
      <c r="B99" s="82" t="s">
        <v>175</v>
      </c>
      <c r="C99" s="82" t="s">
        <v>750</v>
      </c>
      <c r="D99" s="84">
        <f t="shared" si="12"/>
        <v>1140</v>
      </c>
      <c r="E99" s="128">
        <f t="shared" si="9"/>
        <v>679.62745098039215</v>
      </c>
      <c r="F99" s="86" t="s">
        <v>365</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685</v>
      </c>
      <c r="V99" s="48">
        <f t="shared" si="8"/>
        <v>30</v>
      </c>
      <c r="W99" s="83"/>
      <c r="X99" s="83" t="s">
        <v>48</v>
      </c>
    </row>
    <row r="100" spans="1:24" ht="30" x14ac:dyDescent="0.25">
      <c r="A100" s="82" t="s">
        <v>751</v>
      </c>
      <c r="B100" s="82" t="s">
        <v>178</v>
      </c>
      <c r="C100" s="82" t="s">
        <v>752</v>
      </c>
      <c r="D100" s="84">
        <f t="shared" si="12"/>
        <v>3380</v>
      </c>
      <c r="E100" s="128">
        <f t="shared" si="9"/>
        <v>2025.6274509803923</v>
      </c>
      <c r="F100" s="86" t="s">
        <v>365</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685</v>
      </c>
      <c r="V100" s="48">
        <f t="shared" si="8"/>
        <v>30</v>
      </c>
      <c r="W100" s="83"/>
      <c r="X100" s="83" t="s">
        <v>50</v>
      </c>
    </row>
    <row r="101" spans="1:24" ht="30" x14ac:dyDescent="0.25">
      <c r="A101" s="82" t="s">
        <v>753</v>
      </c>
      <c r="B101" s="82" t="s">
        <v>179</v>
      </c>
      <c r="C101" s="82" t="s">
        <v>754</v>
      </c>
      <c r="D101" s="84">
        <f t="shared" si="12"/>
        <v>2210</v>
      </c>
      <c r="E101" s="128">
        <f t="shared" si="9"/>
        <v>1325.6274509803923</v>
      </c>
      <c r="F101" s="86" t="s">
        <v>365</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685</v>
      </c>
      <c r="V101" s="48">
        <f t="shared" si="8"/>
        <v>30</v>
      </c>
      <c r="W101" s="83"/>
      <c r="X101" s="83" t="s">
        <v>51</v>
      </c>
    </row>
    <row r="102" spans="1:24" ht="30" x14ac:dyDescent="0.25">
      <c r="A102" s="82" t="s">
        <v>755</v>
      </c>
      <c r="B102" s="82" t="s">
        <v>176</v>
      </c>
      <c r="C102" s="82" t="s">
        <v>756</v>
      </c>
      <c r="D102" s="84">
        <f t="shared" si="12"/>
        <v>800</v>
      </c>
      <c r="E102" s="128">
        <f t="shared" si="9"/>
        <v>479.62745098039215</v>
      </c>
      <c r="F102" s="86" t="s">
        <v>365</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685</v>
      </c>
      <c r="V102" s="48">
        <f t="shared" si="8"/>
        <v>30</v>
      </c>
      <c r="W102" s="83"/>
      <c r="X102" s="83" t="s">
        <v>53</v>
      </c>
    </row>
    <row r="103" spans="1:24" ht="30" x14ac:dyDescent="0.25">
      <c r="A103" s="82" t="s">
        <v>757</v>
      </c>
      <c r="B103" s="82" t="s">
        <v>177</v>
      </c>
      <c r="C103" s="82" t="s">
        <v>758</v>
      </c>
      <c r="D103" s="84">
        <f t="shared" si="12"/>
        <v>970</v>
      </c>
      <c r="E103" s="128">
        <f t="shared" si="9"/>
        <v>579.62745098039215</v>
      </c>
      <c r="F103" s="86" t="s">
        <v>365</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685</v>
      </c>
      <c r="V103" s="48">
        <f t="shared" si="8"/>
        <v>30</v>
      </c>
      <c r="W103" s="83"/>
      <c r="X103" s="83" t="s">
        <v>54</v>
      </c>
    </row>
    <row r="104" spans="1:24" x14ac:dyDescent="0.25">
      <c r="A104" s="82" t="s">
        <v>244</v>
      </c>
      <c r="B104" s="82" t="s">
        <v>198</v>
      </c>
      <c r="C104" s="82" t="s">
        <v>599</v>
      </c>
      <c r="D104" s="84">
        <f t="shared" si="12"/>
        <v>110</v>
      </c>
      <c r="E104" s="128">
        <f t="shared" si="9"/>
        <v>62.156862745098039</v>
      </c>
      <c r="F104" s="86" t="s">
        <v>365</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8</v>
      </c>
      <c r="V104" s="48">
        <f t="shared" si="8"/>
        <v>10</v>
      </c>
      <c r="W104" s="83"/>
      <c r="X104" s="83" t="s">
        <v>77</v>
      </c>
    </row>
    <row r="105" spans="1:24" x14ac:dyDescent="0.25">
      <c r="A105" s="82" t="s">
        <v>250</v>
      </c>
      <c r="B105" s="83" t="s">
        <v>199</v>
      </c>
      <c r="C105" s="82" t="s">
        <v>600</v>
      </c>
      <c r="D105" s="84">
        <f t="shared" si="12"/>
        <v>2</v>
      </c>
      <c r="E105" s="128">
        <f t="shared" si="9"/>
        <v>0.95821895424836601</v>
      </c>
      <c r="F105" s="86" t="s">
        <v>365</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116</v>
      </c>
      <c r="V105" s="48">
        <f t="shared" si="8"/>
        <v>0</v>
      </c>
      <c r="W105" s="83"/>
      <c r="X105" s="83" t="s">
        <v>79</v>
      </c>
    </row>
    <row r="106" spans="1:24" s="89" customFormat="1" ht="30" x14ac:dyDescent="0.25">
      <c r="A106" s="82" t="s">
        <v>508</v>
      </c>
      <c r="B106" s="82" t="s">
        <v>183</v>
      </c>
      <c r="C106" s="82" t="s">
        <v>601</v>
      </c>
      <c r="D106" s="84">
        <f t="shared" si="12"/>
        <v>310</v>
      </c>
      <c r="E106" s="128">
        <f t="shared" si="9"/>
        <v>180.88235294117646</v>
      </c>
      <c r="F106" s="86" t="s">
        <v>365</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8</v>
      </c>
      <c r="V106" s="48">
        <f t="shared" si="8"/>
        <v>10</v>
      </c>
      <c r="W106" s="83"/>
      <c r="X106" s="83" t="s">
        <v>56</v>
      </c>
    </row>
    <row r="107" spans="1:24" s="89" customFormat="1" ht="30" x14ac:dyDescent="0.25">
      <c r="A107" s="82" t="s">
        <v>507</v>
      </c>
      <c r="B107" s="82" t="s">
        <v>182</v>
      </c>
      <c r="C107" s="82" t="s">
        <v>602</v>
      </c>
      <c r="D107" s="84">
        <f t="shared" si="12"/>
        <v>230</v>
      </c>
      <c r="E107" s="128">
        <f t="shared" si="9"/>
        <v>133.13725490196077</v>
      </c>
      <c r="F107" s="86" t="s">
        <v>365</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8</v>
      </c>
      <c r="V107" s="48">
        <f t="shared" si="8"/>
        <v>10</v>
      </c>
      <c r="W107" s="83"/>
      <c r="X107" s="83" t="s">
        <v>55</v>
      </c>
    </row>
    <row r="108" spans="1:24" ht="30" x14ac:dyDescent="0.25">
      <c r="A108" s="82" t="s">
        <v>510</v>
      </c>
      <c r="B108" s="82" t="s">
        <v>184</v>
      </c>
      <c r="C108" s="82" t="s">
        <v>603</v>
      </c>
      <c r="D108" s="84">
        <f t="shared" si="12"/>
        <v>610</v>
      </c>
      <c r="E108" s="128">
        <f t="shared" si="9"/>
        <v>365.66666666666669</v>
      </c>
      <c r="F108" s="86" t="s">
        <v>365</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8</v>
      </c>
      <c r="V108" s="48">
        <f t="shared" si="8"/>
        <v>10</v>
      </c>
      <c r="W108" s="83"/>
      <c r="X108" s="83" t="s">
        <v>59</v>
      </c>
    </row>
    <row r="109" spans="1:24" ht="45" x14ac:dyDescent="0.25">
      <c r="A109" s="82" t="s">
        <v>509</v>
      </c>
      <c r="B109" s="82" t="s">
        <v>185</v>
      </c>
      <c r="C109" s="82" t="s">
        <v>604</v>
      </c>
      <c r="D109" s="84">
        <f t="shared" si="12"/>
        <v>510</v>
      </c>
      <c r="E109" s="128">
        <f t="shared" si="9"/>
        <v>304.88111111111107</v>
      </c>
      <c r="F109" s="86" t="s">
        <v>365</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8</v>
      </c>
      <c r="V109" s="48">
        <f t="shared" si="8"/>
        <v>10</v>
      </c>
      <c r="W109" s="83"/>
      <c r="X109" s="83" t="s">
        <v>58</v>
      </c>
    </row>
    <row r="110" spans="1:24" x14ac:dyDescent="0.25">
      <c r="A110" s="82" t="s">
        <v>497</v>
      </c>
      <c r="B110" s="82" t="s">
        <v>498</v>
      </c>
      <c r="C110" s="82" t="s">
        <v>605</v>
      </c>
      <c r="D110" s="84">
        <f t="shared" si="12"/>
        <v>130</v>
      </c>
      <c r="E110" s="128">
        <f t="shared" si="9"/>
        <v>75</v>
      </c>
      <c r="F110" s="86" t="s">
        <v>365</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8</v>
      </c>
      <c r="V110" s="48">
        <f t="shared" ref="V110:V143" si="15">IF(U110="Bulk",0,IF(U110="Std", 10,IF(U110="Pickup",20,30)))/60*60</f>
        <v>10</v>
      </c>
      <c r="W110" s="83"/>
      <c r="X110" s="83" t="s">
        <v>91</v>
      </c>
    </row>
    <row r="111" spans="1:24" x14ac:dyDescent="0.25">
      <c r="A111" s="82" t="s">
        <v>256</v>
      </c>
      <c r="B111" s="82" t="s">
        <v>520</v>
      </c>
      <c r="C111" s="82" t="s">
        <v>815</v>
      </c>
      <c r="D111" s="84">
        <f t="shared" si="12"/>
        <v>1150</v>
      </c>
      <c r="E111" s="128">
        <f t="shared" si="9"/>
        <v>686.03921568627447</v>
      </c>
      <c r="F111" s="86" t="s">
        <v>365</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8</v>
      </c>
      <c r="V111" s="48">
        <f t="shared" si="15"/>
        <v>10</v>
      </c>
      <c r="W111" s="83"/>
      <c r="X111" s="83" t="s">
        <v>95</v>
      </c>
    </row>
    <row r="112" spans="1:24" x14ac:dyDescent="0.25">
      <c r="A112" s="82" t="s">
        <v>812</v>
      </c>
      <c r="B112" s="82" t="s">
        <v>813</v>
      </c>
      <c r="C112" s="82" t="s">
        <v>814</v>
      </c>
      <c r="D112" s="84">
        <f t="shared" si="12"/>
        <v>4470</v>
      </c>
      <c r="E112" s="128">
        <f t="shared" si="9"/>
        <v>2676.0392156862745</v>
      </c>
      <c r="F112" s="86" t="s">
        <v>365</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8</v>
      </c>
      <c r="V112" s="48">
        <f t="shared" si="15"/>
        <v>10</v>
      </c>
      <c r="W112" s="83"/>
      <c r="X112" s="83" t="s">
        <v>95</v>
      </c>
    </row>
    <row r="113" spans="1:24" x14ac:dyDescent="0.25">
      <c r="A113" s="82" t="s">
        <v>523</v>
      </c>
      <c r="B113" s="82" t="s">
        <v>519</v>
      </c>
      <c r="C113" s="82" t="s">
        <v>606</v>
      </c>
      <c r="D113" s="84">
        <f t="shared" si="12"/>
        <v>790</v>
      </c>
      <c r="E113" s="128">
        <f t="shared" si="9"/>
        <v>471.03921568627453</v>
      </c>
      <c r="F113" s="86" t="s">
        <v>365</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8</v>
      </c>
      <c r="V113" s="48">
        <f t="shared" si="15"/>
        <v>10</v>
      </c>
      <c r="W113" s="83"/>
      <c r="X113" s="83" t="s">
        <v>97</v>
      </c>
    </row>
    <row r="114" spans="1:24" x14ac:dyDescent="0.25">
      <c r="A114" s="82" t="s">
        <v>522</v>
      </c>
      <c r="B114" s="82" t="s">
        <v>521</v>
      </c>
      <c r="C114" s="82" t="s">
        <v>607</v>
      </c>
      <c r="D114" s="84">
        <f t="shared" si="12"/>
        <v>1150</v>
      </c>
      <c r="E114" s="128">
        <f t="shared" si="9"/>
        <v>686.03921568627447</v>
      </c>
      <c r="F114" s="86" t="s">
        <v>365</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8</v>
      </c>
      <c r="V114" s="48">
        <f t="shared" si="15"/>
        <v>10</v>
      </c>
      <c r="W114" s="83"/>
      <c r="X114" s="83" t="s">
        <v>96</v>
      </c>
    </row>
    <row r="115" spans="1:24" x14ac:dyDescent="0.25">
      <c r="A115" s="82" t="s">
        <v>524</v>
      </c>
      <c r="B115" s="83" t="s">
        <v>525</v>
      </c>
      <c r="C115" s="82" t="s">
        <v>608</v>
      </c>
      <c r="D115" s="84">
        <f t="shared" si="12"/>
        <v>22</v>
      </c>
      <c r="E115" s="128">
        <f t="shared" si="9"/>
        <v>13.022418300653595</v>
      </c>
      <c r="F115" s="86" t="s">
        <v>365</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8</v>
      </c>
      <c r="V115" s="48">
        <f t="shared" si="15"/>
        <v>10</v>
      </c>
      <c r="W115" s="83"/>
      <c r="X115" s="83" t="s">
        <v>62</v>
      </c>
    </row>
    <row r="116" spans="1:24" ht="30" x14ac:dyDescent="0.25">
      <c r="A116" s="82" t="s">
        <v>377</v>
      </c>
      <c r="B116" s="82" t="s">
        <v>375</v>
      </c>
      <c r="C116" s="82" t="s">
        <v>609</v>
      </c>
      <c r="D116" s="84">
        <f t="shared" ref="D116:D130" si="16">IF(E116&lt;20, ROUNDUP(E116/0.65,0), ROUNDUP(E116/0.65,-1))</f>
        <v>13900</v>
      </c>
      <c r="E116" s="128">
        <f t="shared" si="9"/>
        <v>9034.3888888888887</v>
      </c>
      <c r="F116" s="86" t="s">
        <v>365</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8</v>
      </c>
      <c r="V116" s="48">
        <f t="shared" si="15"/>
        <v>10</v>
      </c>
      <c r="W116" s="83"/>
      <c r="X116" s="83"/>
    </row>
    <row r="117" spans="1:24" x14ac:dyDescent="0.25">
      <c r="A117" s="82" t="s">
        <v>260</v>
      </c>
      <c r="B117" s="82" t="s">
        <v>203</v>
      </c>
      <c r="C117" s="82" t="s">
        <v>610</v>
      </c>
      <c r="D117" s="84">
        <f t="shared" si="16"/>
        <v>13980</v>
      </c>
      <c r="E117" s="128">
        <f t="shared" si="9"/>
        <v>9086.8888888888887</v>
      </c>
      <c r="F117" s="86" t="s">
        <v>365</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8</v>
      </c>
      <c r="V117" s="48">
        <f t="shared" si="15"/>
        <v>10</v>
      </c>
      <c r="W117" s="83"/>
      <c r="X117" s="83" t="s">
        <v>101</v>
      </c>
    </row>
    <row r="118" spans="1:24" ht="30" x14ac:dyDescent="0.25">
      <c r="A118" s="82" t="s">
        <v>378</v>
      </c>
      <c r="B118" s="82" t="s">
        <v>376</v>
      </c>
      <c r="C118" s="82" t="s">
        <v>611</v>
      </c>
      <c r="D118" s="84">
        <f t="shared" si="16"/>
        <v>11410</v>
      </c>
      <c r="E118" s="128">
        <f t="shared" si="9"/>
        <v>7413.6888888888889</v>
      </c>
      <c r="F118" s="86" t="s">
        <v>365</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8</v>
      </c>
      <c r="V118" s="48">
        <f t="shared" si="15"/>
        <v>10</v>
      </c>
      <c r="W118" s="83"/>
      <c r="X118" s="83"/>
    </row>
    <row r="119" spans="1:24" x14ac:dyDescent="0.25">
      <c r="A119" s="82" t="s">
        <v>261</v>
      </c>
      <c r="B119" s="82" t="s">
        <v>204</v>
      </c>
      <c r="C119" s="82" t="s">
        <v>612</v>
      </c>
      <c r="D119" s="84">
        <f t="shared" si="16"/>
        <v>12430</v>
      </c>
      <c r="E119" s="128">
        <f t="shared" si="9"/>
        <v>8074.8888888888887</v>
      </c>
      <c r="F119" s="86" t="s">
        <v>365</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8</v>
      </c>
      <c r="V119" s="48">
        <f t="shared" si="15"/>
        <v>10</v>
      </c>
      <c r="W119" s="83"/>
      <c r="X119" s="83" t="s">
        <v>102</v>
      </c>
    </row>
    <row r="120" spans="1:24" x14ac:dyDescent="0.25">
      <c r="A120" s="82" t="s">
        <v>265</v>
      </c>
      <c r="B120" s="82" t="s">
        <v>208</v>
      </c>
      <c r="C120" s="82" t="s">
        <v>613</v>
      </c>
      <c r="D120" s="84">
        <f t="shared" si="16"/>
        <v>3890</v>
      </c>
      <c r="E120" s="128">
        <f t="shared" si="9"/>
        <v>2526.5294117647059</v>
      </c>
      <c r="F120" s="86" t="s">
        <v>365</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8</v>
      </c>
      <c r="V120" s="48">
        <f t="shared" si="15"/>
        <v>10</v>
      </c>
      <c r="W120" s="83"/>
      <c r="X120" s="83" t="s">
        <v>103</v>
      </c>
    </row>
    <row r="121" spans="1:24" x14ac:dyDescent="0.25">
      <c r="A121" s="82" t="s">
        <v>262</v>
      </c>
      <c r="B121" s="82" t="s">
        <v>209</v>
      </c>
      <c r="C121" s="82" t="s">
        <v>614</v>
      </c>
      <c r="D121" s="84">
        <f t="shared" si="16"/>
        <v>4010</v>
      </c>
      <c r="E121" s="128">
        <f t="shared" si="9"/>
        <v>2604.5294117647059</v>
      </c>
      <c r="F121" s="86" t="s">
        <v>365</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8</v>
      </c>
      <c r="V121" s="48">
        <f t="shared" si="15"/>
        <v>10</v>
      </c>
      <c r="W121" s="83"/>
      <c r="X121" s="83" t="s">
        <v>104</v>
      </c>
    </row>
    <row r="122" spans="1:24" x14ac:dyDescent="0.25">
      <c r="A122" s="82" t="s">
        <v>263</v>
      </c>
      <c r="B122" s="82" t="s">
        <v>210</v>
      </c>
      <c r="C122" s="82" t="s">
        <v>615</v>
      </c>
      <c r="D122" s="84">
        <f t="shared" si="16"/>
        <v>4150</v>
      </c>
      <c r="E122" s="128">
        <f t="shared" si="9"/>
        <v>2693.0294117647059</v>
      </c>
      <c r="F122" s="86" t="s">
        <v>365</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8</v>
      </c>
      <c r="V122" s="48">
        <f t="shared" si="15"/>
        <v>10</v>
      </c>
      <c r="W122" s="83"/>
      <c r="X122" s="83" t="s">
        <v>105</v>
      </c>
    </row>
    <row r="123" spans="1:24" x14ac:dyDescent="0.25">
      <c r="A123" s="82" t="s">
        <v>264</v>
      </c>
      <c r="B123" s="82" t="s">
        <v>205</v>
      </c>
      <c r="C123" s="82" t="s">
        <v>616</v>
      </c>
      <c r="D123" s="84">
        <f t="shared" si="16"/>
        <v>2320</v>
      </c>
      <c r="E123" s="128">
        <f t="shared" si="9"/>
        <v>1504.5294117647059</v>
      </c>
      <c r="F123" s="86" t="s">
        <v>365</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8</v>
      </c>
      <c r="V123" s="48">
        <f t="shared" si="15"/>
        <v>10</v>
      </c>
      <c r="W123" s="83"/>
      <c r="X123" s="83" t="s">
        <v>106</v>
      </c>
    </row>
    <row r="124" spans="1:24" ht="30" x14ac:dyDescent="0.25">
      <c r="A124" s="87" t="s">
        <v>856</v>
      </c>
      <c r="B124" s="87" t="s">
        <v>511</v>
      </c>
      <c r="C124" s="87" t="s">
        <v>617</v>
      </c>
      <c r="D124" s="84">
        <f t="shared" si="16"/>
        <v>1730</v>
      </c>
      <c r="E124" s="128">
        <f t="shared" si="9"/>
        <v>1122.5294117647059</v>
      </c>
      <c r="F124" s="90" t="s">
        <v>365</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8</v>
      </c>
      <c r="V124" s="91">
        <f t="shared" si="15"/>
        <v>10</v>
      </c>
      <c r="W124" s="93"/>
      <c r="X124" s="93" t="s">
        <v>106</v>
      </c>
    </row>
    <row r="125" spans="1:24" x14ac:dyDescent="0.25">
      <c r="A125" s="82" t="s">
        <v>526</v>
      </c>
      <c r="B125" s="82" t="s">
        <v>207</v>
      </c>
      <c r="C125" s="82" t="s">
        <v>618</v>
      </c>
      <c r="D125" s="84">
        <f t="shared" si="16"/>
        <v>110</v>
      </c>
      <c r="E125" s="128">
        <f t="shared" si="9"/>
        <v>69.235294117647058</v>
      </c>
      <c r="F125" s="86" t="s">
        <v>365</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8</v>
      </c>
      <c r="V125" s="48">
        <f t="shared" si="15"/>
        <v>10</v>
      </c>
      <c r="W125" s="83"/>
      <c r="X125" s="83" t="s">
        <v>108</v>
      </c>
    </row>
    <row r="126" spans="1:24" x14ac:dyDescent="0.25">
      <c r="A126" s="82" t="s">
        <v>259</v>
      </c>
      <c r="B126" s="82" t="s">
        <v>206</v>
      </c>
      <c r="C126" s="82" t="s">
        <v>619</v>
      </c>
      <c r="D126" s="84">
        <f t="shared" si="16"/>
        <v>1410</v>
      </c>
      <c r="E126" s="128">
        <f t="shared" si="9"/>
        <v>912.50980392156862</v>
      </c>
      <c r="F126" s="86" t="s">
        <v>365</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8</v>
      </c>
      <c r="V126" s="48">
        <f t="shared" si="15"/>
        <v>10</v>
      </c>
      <c r="W126" s="83"/>
      <c r="X126" s="83" t="s">
        <v>107</v>
      </c>
    </row>
    <row r="127" spans="1:24" x14ac:dyDescent="0.25">
      <c r="A127" s="82" t="s">
        <v>816</v>
      </c>
      <c r="B127" s="82" t="s">
        <v>818</v>
      </c>
      <c r="C127" s="82" t="s">
        <v>817</v>
      </c>
      <c r="D127" s="84">
        <f t="shared" si="16"/>
        <v>660</v>
      </c>
      <c r="E127" s="128">
        <f t="shared" si="9"/>
        <v>425.52941176470586</v>
      </c>
      <c r="F127" s="86" t="s">
        <v>365</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8</v>
      </c>
      <c r="V127" s="48">
        <f t="shared" si="15"/>
        <v>10</v>
      </c>
      <c r="W127" s="83"/>
      <c r="X127" s="83" t="s">
        <v>106</v>
      </c>
    </row>
    <row r="128" spans="1:24" x14ac:dyDescent="0.25">
      <c r="A128" s="82" t="s">
        <v>821</v>
      </c>
      <c r="B128" s="82" t="s">
        <v>822</v>
      </c>
      <c r="C128" s="82" t="s">
        <v>823</v>
      </c>
      <c r="D128" s="84">
        <f t="shared" si="16"/>
        <v>4610</v>
      </c>
      <c r="E128" s="128">
        <f t="shared" si="9"/>
        <v>2993.0294117647059</v>
      </c>
      <c r="F128" s="86" t="s">
        <v>365</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8</v>
      </c>
      <c r="V128" s="48">
        <f t="shared" si="15"/>
        <v>10</v>
      </c>
      <c r="W128" s="83"/>
      <c r="X128" s="83" t="s">
        <v>105</v>
      </c>
    </row>
    <row r="129" spans="1:24" x14ac:dyDescent="0.25">
      <c r="A129" s="82" t="s">
        <v>802</v>
      </c>
      <c r="B129" s="82" t="s">
        <v>801</v>
      </c>
      <c r="C129" s="82" t="s">
        <v>800</v>
      </c>
      <c r="D129" s="84">
        <f t="shared" si="16"/>
        <v>2480</v>
      </c>
      <c r="E129" s="128">
        <f t="shared" si="9"/>
        <v>1610.5294117647059</v>
      </c>
      <c r="F129" s="86" t="s">
        <v>365</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8</v>
      </c>
      <c r="V129" s="48">
        <f t="shared" si="15"/>
        <v>10</v>
      </c>
      <c r="W129" s="83"/>
      <c r="X129" s="83" t="s">
        <v>110</v>
      </c>
    </row>
    <row r="130" spans="1:24" ht="30" x14ac:dyDescent="0.25">
      <c r="A130" s="87" t="s">
        <v>266</v>
      </c>
      <c r="B130" s="82" t="s">
        <v>211</v>
      </c>
      <c r="C130" s="82" t="s">
        <v>620</v>
      </c>
      <c r="D130" s="84">
        <f t="shared" si="16"/>
        <v>7250</v>
      </c>
      <c r="E130" s="128">
        <f t="shared" si="9"/>
        <v>4711.8888888888887</v>
      </c>
      <c r="F130" s="86" t="s">
        <v>365</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8</v>
      </c>
      <c r="V130" s="48">
        <f t="shared" si="15"/>
        <v>10</v>
      </c>
      <c r="W130" s="83"/>
      <c r="X130" s="83" t="s">
        <v>109</v>
      </c>
    </row>
    <row r="131" spans="1:24" x14ac:dyDescent="0.25">
      <c r="A131" s="82" t="s">
        <v>714</v>
      </c>
      <c r="B131" s="82" t="s">
        <v>713</v>
      </c>
      <c r="C131" s="82" t="s">
        <v>625</v>
      </c>
      <c r="D131" s="84">
        <f>IF(E131&lt;20, ROUNDUP(E131/0.6,0), ROUNDUP(E131/0.6,-1))</f>
        <v>50</v>
      </c>
      <c r="E131" s="128">
        <f t="shared" ref="E131:E195" si="17">P131+Q131+T131+V131</f>
        <v>25.176470588235293</v>
      </c>
      <c r="F131" s="86" t="s">
        <v>365</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8</v>
      </c>
      <c r="V131" s="48">
        <f t="shared" si="15"/>
        <v>10</v>
      </c>
      <c r="W131" s="83"/>
      <c r="X131" s="83" t="s">
        <v>63</v>
      </c>
    </row>
    <row r="132" spans="1:24" x14ac:dyDescent="0.25">
      <c r="A132" s="82" t="s">
        <v>257</v>
      </c>
      <c r="B132" s="82" t="s">
        <v>517</v>
      </c>
      <c r="C132" s="82" t="s">
        <v>626</v>
      </c>
      <c r="D132" s="84">
        <f>IF(E132&lt;20, ROUNDUP(E132/0.6,0), ROUNDUP(E132/0.6,-1))</f>
        <v>900</v>
      </c>
      <c r="E132" s="128">
        <f t="shared" si="17"/>
        <v>539.52941176470586</v>
      </c>
      <c r="F132" s="86" t="s">
        <v>365</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8</v>
      </c>
      <c r="V132" s="48">
        <f t="shared" si="15"/>
        <v>10</v>
      </c>
      <c r="W132" s="83"/>
      <c r="X132" s="83" t="s">
        <v>98</v>
      </c>
    </row>
    <row r="133" spans="1:24" x14ac:dyDescent="0.25">
      <c r="A133" s="87" t="s">
        <v>514</v>
      </c>
      <c r="B133" s="82" t="s">
        <v>515</v>
      </c>
      <c r="C133" s="82" t="s">
        <v>627</v>
      </c>
      <c r="D133" s="84">
        <v>0</v>
      </c>
      <c r="E133" s="128">
        <f t="shared" si="17"/>
        <v>0.04</v>
      </c>
      <c r="F133" s="86" t="s">
        <v>365</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116</v>
      </c>
      <c r="V133" s="48">
        <f t="shared" si="15"/>
        <v>0</v>
      </c>
      <c r="W133" s="83"/>
      <c r="X133" s="83" t="s">
        <v>17</v>
      </c>
    </row>
    <row r="134" spans="1:24" x14ac:dyDescent="0.25">
      <c r="A134" s="87" t="s">
        <v>513</v>
      </c>
      <c r="B134" s="82" t="s">
        <v>516</v>
      </c>
      <c r="C134" s="82" t="s">
        <v>628</v>
      </c>
      <c r="D134" s="84">
        <v>0</v>
      </c>
      <c r="E134" s="128">
        <f t="shared" si="17"/>
        <v>0.03</v>
      </c>
      <c r="F134" s="86" t="s">
        <v>365</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116</v>
      </c>
      <c r="V134" s="48">
        <f t="shared" si="15"/>
        <v>0</v>
      </c>
      <c r="W134" s="83"/>
      <c r="X134" s="83" t="s">
        <v>17</v>
      </c>
    </row>
    <row r="135" spans="1:24" x14ac:dyDescent="0.25">
      <c r="A135" s="82" t="s">
        <v>255</v>
      </c>
      <c r="B135" s="82" t="s">
        <v>518</v>
      </c>
      <c r="C135" s="82" t="s">
        <v>629</v>
      </c>
      <c r="D135" s="84">
        <f t="shared" ref="D135:D143" si="18">IF(E135&lt;20, ROUNDUP(E135/0.6,0), ROUNDUP(E135/0.6,-1))</f>
        <v>200</v>
      </c>
      <c r="E135" s="128">
        <f t="shared" si="17"/>
        <v>118.11111111111111</v>
      </c>
      <c r="F135" s="86" t="s">
        <v>365</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8</v>
      </c>
      <c r="V135" s="48">
        <f t="shared" si="15"/>
        <v>10</v>
      </c>
      <c r="W135" s="83"/>
      <c r="X135" s="83" t="s">
        <v>94</v>
      </c>
    </row>
    <row r="136" spans="1:24" x14ac:dyDescent="0.25">
      <c r="A136" s="82" t="s">
        <v>245</v>
      </c>
      <c r="B136" s="82" t="s">
        <v>202</v>
      </c>
      <c r="C136" s="82" t="s">
        <v>630</v>
      </c>
      <c r="D136" s="84">
        <f t="shared" si="18"/>
        <v>60</v>
      </c>
      <c r="E136" s="128">
        <f t="shared" si="17"/>
        <v>30.941176470588236</v>
      </c>
      <c r="F136" s="86" t="s">
        <v>365</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8</v>
      </c>
      <c r="V136" s="48">
        <f t="shared" si="15"/>
        <v>10</v>
      </c>
      <c r="W136" s="83"/>
      <c r="X136" s="83" t="s">
        <v>87</v>
      </c>
    </row>
    <row r="137" spans="1:24" x14ac:dyDescent="0.25">
      <c r="A137" s="82" t="s">
        <v>455</v>
      </c>
      <c r="B137" s="82" t="s">
        <v>456</v>
      </c>
      <c r="C137" s="82" t="s">
        <v>631</v>
      </c>
      <c r="D137" s="84">
        <f t="shared" si="18"/>
        <v>90</v>
      </c>
      <c r="E137" s="128">
        <f t="shared" si="17"/>
        <v>50</v>
      </c>
      <c r="F137" s="86" t="s">
        <v>365</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8</v>
      </c>
      <c r="V137" s="48">
        <f t="shared" si="15"/>
        <v>10</v>
      </c>
      <c r="W137" s="83"/>
      <c r="X137" s="83" t="s">
        <v>83</v>
      </c>
    </row>
    <row r="138" spans="1:24" x14ac:dyDescent="0.25">
      <c r="A138" s="82" t="s">
        <v>457</v>
      </c>
      <c r="B138" s="82" t="s">
        <v>458</v>
      </c>
      <c r="C138" s="82" t="s">
        <v>632</v>
      </c>
      <c r="D138" s="84">
        <f t="shared" si="18"/>
        <v>350</v>
      </c>
      <c r="E138" s="128">
        <f t="shared" si="17"/>
        <v>210</v>
      </c>
      <c r="F138" s="86" t="s">
        <v>365</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8</v>
      </c>
      <c r="V138" s="48">
        <f t="shared" si="15"/>
        <v>10</v>
      </c>
      <c r="W138" s="83"/>
      <c r="X138" s="83" t="s">
        <v>76</v>
      </c>
    </row>
    <row r="139" spans="1:24" x14ac:dyDescent="0.25">
      <c r="A139" s="82" t="s">
        <v>459</v>
      </c>
      <c r="B139" s="82" t="s">
        <v>460</v>
      </c>
      <c r="C139" s="82" t="s">
        <v>633</v>
      </c>
      <c r="D139" s="84">
        <f t="shared" si="18"/>
        <v>50</v>
      </c>
      <c r="E139" s="128">
        <f t="shared" si="17"/>
        <v>25</v>
      </c>
      <c r="F139" s="86" t="s">
        <v>365</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8</v>
      </c>
      <c r="V139" s="48">
        <f t="shared" si="15"/>
        <v>10</v>
      </c>
      <c r="W139" s="83"/>
      <c r="X139" s="83" t="s">
        <v>80</v>
      </c>
    </row>
    <row r="140" spans="1:24" x14ac:dyDescent="0.25">
      <c r="A140" s="82" t="s">
        <v>461</v>
      </c>
      <c r="B140" s="82" t="s">
        <v>462</v>
      </c>
      <c r="C140" s="82" t="s">
        <v>634</v>
      </c>
      <c r="D140" s="84">
        <f t="shared" si="18"/>
        <v>4</v>
      </c>
      <c r="E140" s="128">
        <f t="shared" si="17"/>
        <v>2</v>
      </c>
      <c r="F140" s="86" t="s">
        <v>365</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116</v>
      </c>
      <c r="V140" s="48">
        <f t="shared" si="15"/>
        <v>0</v>
      </c>
      <c r="W140" s="83"/>
      <c r="X140" s="83" t="s">
        <v>82</v>
      </c>
    </row>
    <row r="141" spans="1:24" x14ac:dyDescent="0.25">
      <c r="A141" s="82" t="s">
        <v>463</v>
      </c>
      <c r="B141" s="82" t="s">
        <v>464</v>
      </c>
      <c r="C141" s="82" t="s">
        <v>635</v>
      </c>
      <c r="D141" s="84">
        <f t="shared" si="18"/>
        <v>50</v>
      </c>
      <c r="E141" s="128">
        <f t="shared" si="17"/>
        <v>30</v>
      </c>
      <c r="F141" s="86" t="s">
        <v>365</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8</v>
      </c>
      <c r="V141" s="48">
        <f t="shared" si="15"/>
        <v>10</v>
      </c>
      <c r="W141" s="83"/>
      <c r="X141" s="83" t="s">
        <v>92</v>
      </c>
    </row>
    <row r="142" spans="1:24" x14ac:dyDescent="0.25">
      <c r="A142" s="82" t="s">
        <v>465</v>
      </c>
      <c r="B142" s="82" t="s">
        <v>466</v>
      </c>
      <c r="C142" s="82" t="s">
        <v>636</v>
      </c>
      <c r="D142" s="84">
        <f t="shared" si="18"/>
        <v>220</v>
      </c>
      <c r="E142" s="128">
        <f t="shared" si="17"/>
        <v>130</v>
      </c>
      <c r="F142" s="86" t="s">
        <v>365</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8</v>
      </c>
      <c r="V142" s="48">
        <f t="shared" si="15"/>
        <v>10</v>
      </c>
      <c r="W142" s="83"/>
      <c r="X142" s="83" t="s">
        <v>85</v>
      </c>
    </row>
    <row r="143" spans="1:24" x14ac:dyDescent="0.25">
      <c r="A143" s="82" t="s">
        <v>467</v>
      </c>
      <c r="B143" s="82" t="s">
        <v>468</v>
      </c>
      <c r="C143" s="82" t="s">
        <v>637</v>
      </c>
      <c r="D143" s="84">
        <f t="shared" si="18"/>
        <v>770</v>
      </c>
      <c r="E143" s="128">
        <f t="shared" si="17"/>
        <v>460</v>
      </c>
      <c r="F143" s="86" t="s">
        <v>365</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8</v>
      </c>
      <c r="V143" s="48">
        <f t="shared" si="15"/>
        <v>10</v>
      </c>
      <c r="W143" s="83"/>
      <c r="X143" s="83" t="s">
        <v>86</v>
      </c>
    </row>
    <row r="144" spans="1:24" ht="30" x14ac:dyDescent="0.25">
      <c r="A144" s="82" t="s">
        <v>653</v>
      </c>
      <c r="B144" s="83" t="s">
        <v>654</v>
      </c>
      <c r="C144" s="82" t="s">
        <v>652</v>
      </c>
      <c r="D144" s="84">
        <f t="shared" ref="D144:D197" si="19">IF(E144&lt;20, ROUNDUP(E144/0.3,0), ROUNDUP(E144/0.3,-1))</f>
        <v>1340</v>
      </c>
      <c r="E144" s="128">
        <f t="shared" si="17"/>
        <v>400</v>
      </c>
      <c r="F144" s="86" t="s">
        <v>366</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296</v>
      </c>
    </row>
    <row r="145" spans="1:24" ht="30" x14ac:dyDescent="0.25">
      <c r="A145" s="94" t="s">
        <v>674</v>
      </c>
      <c r="B145" s="95" t="s">
        <v>709</v>
      </c>
      <c r="C145" s="94" t="s">
        <v>674</v>
      </c>
      <c r="D145" s="84">
        <f t="shared" si="19"/>
        <v>1340</v>
      </c>
      <c r="E145" s="128">
        <f t="shared" si="17"/>
        <v>400</v>
      </c>
      <c r="F145" s="86" t="s">
        <v>366</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294</v>
      </c>
    </row>
    <row r="146" spans="1:24" ht="30" x14ac:dyDescent="0.25">
      <c r="A146" s="94" t="s">
        <v>680</v>
      </c>
      <c r="B146" s="95" t="s">
        <v>650</v>
      </c>
      <c r="C146" s="94" t="s">
        <v>735</v>
      </c>
      <c r="D146" s="84">
        <f t="shared" si="19"/>
        <v>2670</v>
      </c>
      <c r="E146" s="128">
        <f t="shared" si="17"/>
        <v>800</v>
      </c>
      <c r="F146" s="86" t="s">
        <v>366</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294</v>
      </c>
    </row>
    <row r="147" spans="1:24" ht="30" x14ac:dyDescent="0.25">
      <c r="A147" s="82" t="s">
        <v>824</v>
      </c>
      <c r="B147" s="82" t="s">
        <v>825</v>
      </c>
      <c r="C147" s="82" t="s">
        <v>826</v>
      </c>
      <c r="D147" s="84">
        <f t="shared" si="19"/>
        <v>500</v>
      </c>
      <c r="E147" s="128">
        <f t="shared" si="17"/>
        <v>150</v>
      </c>
      <c r="F147" s="86" t="s">
        <v>366</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288</v>
      </c>
    </row>
    <row r="148" spans="1:24" x14ac:dyDescent="0.25">
      <c r="A148" s="82" t="s">
        <v>350</v>
      </c>
      <c r="B148" s="82" t="s">
        <v>320</v>
      </c>
      <c r="C148" s="82" t="s">
        <v>638</v>
      </c>
      <c r="D148" s="84">
        <f t="shared" si="19"/>
        <v>1340</v>
      </c>
      <c r="E148" s="128">
        <f t="shared" si="17"/>
        <v>400</v>
      </c>
      <c r="F148" s="86" t="s">
        <v>366</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288</v>
      </c>
    </row>
    <row r="149" spans="1:24" x14ac:dyDescent="0.25">
      <c r="A149" s="82" t="s">
        <v>351</v>
      </c>
      <c r="B149" s="83" t="s">
        <v>321</v>
      </c>
      <c r="C149" s="82" t="s">
        <v>639</v>
      </c>
      <c r="D149" s="84">
        <f t="shared" si="19"/>
        <v>0</v>
      </c>
      <c r="E149" s="128">
        <f t="shared" si="17"/>
        <v>0</v>
      </c>
      <c r="F149" s="86" t="s">
        <v>366</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289</v>
      </c>
    </row>
    <row r="150" spans="1:24" x14ac:dyDescent="0.25">
      <c r="A150" s="82" t="s">
        <v>733</v>
      </c>
      <c r="B150" s="83" t="s">
        <v>651</v>
      </c>
      <c r="C150" s="82" t="s">
        <v>734</v>
      </c>
      <c r="D150" s="84">
        <f t="shared" si="19"/>
        <v>4000</v>
      </c>
      <c r="E150" s="128">
        <f t="shared" si="17"/>
        <v>1200</v>
      </c>
      <c r="F150" s="86" t="s">
        <v>366</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295</v>
      </c>
    </row>
    <row r="151" spans="1:24" ht="30" x14ac:dyDescent="0.25">
      <c r="A151" s="94" t="s">
        <v>827</v>
      </c>
      <c r="B151" s="95" t="s">
        <v>830</v>
      </c>
      <c r="C151" s="94" t="s">
        <v>831</v>
      </c>
      <c r="D151" s="84">
        <f t="shared" si="19"/>
        <v>6670</v>
      </c>
      <c r="E151" s="128">
        <f t="shared" si="17"/>
        <v>2000</v>
      </c>
      <c r="F151" s="86" t="s">
        <v>366</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303</v>
      </c>
    </row>
    <row r="152" spans="1:24" x14ac:dyDescent="0.25">
      <c r="A152" s="94" t="s">
        <v>835</v>
      </c>
      <c r="B152" s="95" t="s">
        <v>990</v>
      </c>
      <c r="C152" s="94" t="s">
        <v>833</v>
      </c>
      <c r="D152" s="84">
        <f t="shared" si="19"/>
        <v>2500</v>
      </c>
      <c r="E152" s="128">
        <f t="shared" si="17"/>
        <v>750</v>
      </c>
      <c r="F152" s="86" t="s">
        <v>366</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304</v>
      </c>
    </row>
    <row r="153" spans="1:24" ht="30" x14ac:dyDescent="0.25">
      <c r="A153" s="94" t="s">
        <v>828</v>
      </c>
      <c r="B153" s="95" t="s">
        <v>829</v>
      </c>
      <c r="C153" s="94" t="s">
        <v>832</v>
      </c>
      <c r="D153" s="84">
        <f t="shared" si="19"/>
        <v>10000</v>
      </c>
      <c r="E153" s="128">
        <f t="shared" si="17"/>
        <v>3000</v>
      </c>
      <c r="F153" s="86" t="s">
        <v>366</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304</v>
      </c>
    </row>
    <row r="154" spans="1:24" ht="30" x14ac:dyDescent="0.25">
      <c r="A154" s="82" t="s">
        <v>655</v>
      </c>
      <c r="B154" s="82" t="s">
        <v>656</v>
      </c>
      <c r="C154" s="82" t="s">
        <v>638</v>
      </c>
      <c r="D154" s="84">
        <f t="shared" si="19"/>
        <v>340</v>
      </c>
      <c r="E154" s="128">
        <f t="shared" si="17"/>
        <v>100</v>
      </c>
      <c r="F154" s="86" t="s">
        <v>366</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288</v>
      </c>
    </row>
    <row r="155" spans="1:24" ht="30" x14ac:dyDescent="0.25">
      <c r="A155" s="82" t="s">
        <v>352</v>
      </c>
      <c r="B155" s="83" t="s">
        <v>325</v>
      </c>
      <c r="C155" s="82" t="s">
        <v>640</v>
      </c>
      <c r="D155" s="84">
        <f t="shared" si="19"/>
        <v>1000</v>
      </c>
      <c r="E155" s="128">
        <f t="shared" si="17"/>
        <v>300</v>
      </c>
      <c r="F155" s="86" t="s">
        <v>366</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297</v>
      </c>
    </row>
    <row r="156" spans="1:24" ht="30" x14ac:dyDescent="0.25">
      <c r="A156" s="82" t="s">
        <v>353</v>
      </c>
      <c r="B156" s="83" t="s">
        <v>322</v>
      </c>
      <c r="C156" s="82" t="s">
        <v>641</v>
      </c>
      <c r="D156" s="84">
        <f t="shared" si="19"/>
        <v>840</v>
      </c>
      <c r="E156" s="128">
        <f t="shared" si="17"/>
        <v>250</v>
      </c>
      <c r="F156" s="86" t="s">
        <v>366</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290</v>
      </c>
    </row>
    <row r="157" spans="1:24" x14ac:dyDescent="0.25">
      <c r="A157" s="82" t="s">
        <v>354</v>
      </c>
      <c r="B157" s="83" t="s">
        <v>323</v>
      </c>
      <c r="C157" s="82" t="s">
        <v>642</v>
      </c>
      <c r="D157" s="84">
        <f t="shared" si="19"/>
        <v>1000</v>
      </c>
      <c r="E157" s="128">
        <f t="shared" si="17"/>
        <v>300</v>
      </c>
      <c r="F157" s="86" t="s">
        <v>366</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298</v>
      </c>
    </row>
    <row r="158" spans="1:24" x14ac:dyDescent="0.25">
      <c r="A158" s="82" t="s">
        <v>355</v>
      </c>
      <c r="B158" s="83" t="s">
        <v>326</v>
      </c>
      <c r="C158" s="82" t="s">
        <v>643</v>
      </c>
      <c r="D158" s="84">
        <f t="shared" si="19"/>
        <v>0</v>
      </c>
      <c r="E158" s="128">
        <f t="shared" si="17"/>
        <v>0</v>
      </c>
      <c r="F158" s="86" t="s">
        <v>366</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299</v>
      </c>
    </row>
    <row r="159" spans="1:24" x14ac:dyDescent="0.25">
      <c r="A159" s="82" t="s">
        <v>356</v>
      </c>
      <c r="B159" s="82" t="s">
        <v>324</v>
      </c>
      <c r="C159" s="82" t="s">
        <v>644</v>
      </c>
      <c r="D159" s="84">
        <f t="shared" si="19"/>
        <v>1000</v>
      </c>
      <c r="E159" s="128">
        <f t="shared" si="17"/>
        <v>300</v>
      </c>
      <c r="F159" s="86" t="s">
        <v>366</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300</v>
      </c>
    </row>
    <row r="160" spans="1:24" ht="30" x14ac:dyDescent="0.25">
      <c r="A160" s="82" t="s">
        <v>357</v>
      </c>
      <c r="B160" s="83" t="s">
        <v>328</v>
      </c>
      <c r="C160" s="82" t="s">
        <v>645</v>
      </c>
      <c r="D160" s="84">
        <f t="shared" si="19"/>
        <v>0</v>
      </c>
      <c r="E160" s="128">
        <f t="shared" si="17"/>
        <v>0</v>
      </c>
      <c r="F160" s="86" t="s">
        <v>366</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348</v>
      </c>
    </row>
    <row r="161" spans="1:24" ht="45" x14ac:dyDescent="0.25">
      <c r="A161" s="129" t="s">
        <v>836</v>
      </c>
      <c r="B161" s="78" t="s">
        <v>837</v>
      </c>
      <c r="C161" s="129" t="s">
        <v>836</v>
      </c>
      <c r="D161" s="84">
        <f t="shared" si="19"/>
        <v>3300</v>
      </c>
      <c r="E161" s="128">
        <f t="shared" si="17"/>
        <v>990</v>
      </c>
      <c r="F161" s="86" t="s">
        <v>366</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657</v>
      </c>
      <c r="B162" s="83" t="s">
        <v>662</v>
      </c>
      <c r="C162" s="82" t="s">
        <v>657</v>
      </c>
      <c r="D162" s="84">
        <f t="shared" si="19"/>
        <v>4170</v>
      </c>
      <c r="E162" s="128">
        <f t="shared" si="17"/>
        <v>1250</v>
      </c>
      <c r="F162" s="86" t="s">
        <v>366</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994</v>
      </c>
      <c r="B163" s="83" t="s">
        <v>662</v>
      </c>
      <c r="C163" s="82" t="s">
        <v>657</v>
      </c>
      <c r="D163" s="84">
        <f t="shared" si="19"/>
        <v>6170</v>
      </c>
      <c r="E163" s="128">
        <f t="shared" si="17"/>
        <v>1850</v>
      </c>
      <c r="F163" s="86" t="s">
        <v>366</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658</v>
      </c>
      <c r="B164" s="83" t="s">
        <v>663</v>
      </c>
      <c r="C164" s="82" t="s">
        <v>658</v>
      </c>
      <c r="D164" s="84">
        <f t="shared" si="19"/>
        <v>3170</v>
      </c>
      <c r="E164" s="128">
        <f t="shared" si="17"/>
        <v>950</v>
      </c>
      <c r="F164" s="86" t="s">
        <v>366</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993</v>
      </c>
      <c r="B165" s="83" t="s">
        <v>663</v>
      </c>
      <c r="C165" s="82" t="s">
        <v>658</v>
      </c>
      <c r="D165" s="84">
        <f t="shared" si="19"/>
        <v>4840</v>
      </c>
      <c r="E165" s="128">
        <f t="shared" si="17"/>
        <v>1450</v>
      </c>
      <c r="F165" s="86" t="s">
        <v>366</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659</v>
      </c>
      <c r="B166" s="83" t="s">
        <v>668</v>
      </c>
      <c r="C166" s="82" t="s">
        <v>659</v>
      </c>
      <c r="D166" s="84">
        <f t="shared" si="19"/>
        <v>2840</v>
      </c>
      <c r="E166" s="128">
        <f t="shared" si="17"/>
        <v>850</v>
      </c>
      <c r="F166" s="86" t="s">
        <v>366</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661</v>
      </c>
      <c r="B167" s="83" t="s">
        <v>670</v>
      </c>
      <c r="C167" s="82" t="s">
        <v>661</v>
      </c>
      <c r="D167" s="84">
        <f t="shared" si="19"/>
        <v>2840</v>
      </c>
      <c r="E167" s="128">
        <f t="shared" si="17"/>
        <v>850</v>
      </c>
      <c r="F167" s="86" t="s">
        <v>366</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660</v>
      </c>
      <c r="B168" s="83" t="s">
        <v>669</v>
      </c>
      <c r="C168" s="82" t="s">
        <v>660</v>
      </c>
      <c r="D168" s="84">
        <f t="shared" si="19"/>
        <v>1500</v>
      </c>
      <c r="E168" s="128">
        <f t="shared" si="17"/>
        <v>450</v>
      </c>
      <c r="F168" s="86" t="s">
        <v>366</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664</v>
      </c>
      <c r="B169" s="83" t="s">
        <v>665</v>
      </c>
      <c r="C169" s="82" t="s">
        <v>664</v>
      </c>
      <c r="D169" s="84">
        <f t="shared" si="19"/>
        <v>650</v>
      </c>
      <c r="E169" s="128">
        <f t="shared" si="17"/>
        <v>195</v>
      </c>
      <c r="F169" s="86" t="s">
        <v>366</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666</v>
      </c>
      <c r="B170" s="83" t="s">
        <v>667</v>
      </c>
      <c r="C170" s="82" t="s">
        <v>666</v>
      </c>
      <c r="D170" s="84">
        <f t="shared" si="19"/>
        <v>1320</v>
      </c>
      <c r="E170" s="128">
        <f t="shared" si="17"/>
        <v>395</v>
      </c>
      <c r="F170" s="86" t="s">
        <v>366</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373</v>
      </c>
      <c r="B171" s="83" t="s">
        <v>374</v>
      </c>
      <c r="C171" s="82" t="s">
        <v>373</v>
      </c>
      <c r="D171" s="84">
        <f t="shared" si="19"/>
        <v>0</v>
      </c>
      <c r="E171" s="128">
        <f t="shared" si="17"/>
        <v>0</v>
      </c>
      <c r="F171" s="86" t="s">
        <v>366</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271</v>
      </c>
    </row>
    <row r="172" spans="1:24" x14ac:dyDescent="0.25">
      <c r="A172" s="82" t="s">
        <v>373</v>
      </c>
      <c r="B172" s="83" t="s">
        <v>791</v>
      </c>
      <c r="C172" s="82" t="s">
        <v>792</v>
      </c>
      <c r="D172" s="84">
        <f t="shared" si="19"/>
        <v>0</v>
      </c>
      <c r="E172" s="128">
        <f t="shared" si="17"/>
        <v>0</v>
      </c>
      <c r="F172" s="86" t="s">
        <v>366</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271</v>
      </c>
    </row>
    <row r="173" spans="1:24" x14ac:dyDescent="0.25">
      <c r="A173" s="82" t="s">
        <v>698</v>
      </c>
      <c r="B173" s="83" t="s">
        <v>358</v>
      </c>
      <c r="C173" s="82" t="s">
        <v>422</v>
      </c>
      <c r="D173" s="84">
        <f t="shared" si="19"/>
        <v>1970</v>
      </c>
      <c r="E173" s="128">
        <f t="shared" si="17"/>
        <v>590</v>
      </c>
      <c r="F173" s="86" t="s">
        <v>366</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283</v>
      </c>
    </row>
    <row r="174" spans="1:24" ht="45" x14ac:dyDescent="0.25">
      <c r="A174" s="82" t="s">
        <v>795</v>
      </c>
      <c r="B174" s="83" t="s">
        <v>793</v>
      </c>
      <c r="C174" s="82" t="s">
        <v>794</v>
      </c>
      <c r="D174" s="84">
        <f t="shared" si="19"/>
        <v>0</v>
      </c>
      <c r="E174" s="128">
        <f t="shared" si="17"/>
        <v>0</v>
      </c>
      <c r="F174" s="86" t="s">
        <v>366</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697</v>
      </c>
      <c r="B175" s="83" t="s">
        <v>345</v>
      </c>
      <c r="C175" s="82" t="s">
        <v>421</v>
      </c>
      <c r="D175" s="84">
        <f t="shared" si="19"/>
        <v>1970</v>
      </c>
      <c r="E175" s="128">
        <f t="shared" si="17"/>
        <v>590</v>
      </c>
      <c r="F175" s="86" t="s">
        <v>366</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696</v>
      </c>
      <c r="B176" s="83" t="s">
        <v>344</v>
      </c>
      <c r="C176" s="82" t="s">
        <v>420</v>
      </c>
      <c r="D176" s="84">
        <f t="shared" si="19"/>
        <v>3670</v>
      </c>
      <c r="E176" s="128">
        <f t="shared" si="17"/>
        <v>1100</v>
      </c>
      <c r="F176" s="86" t="s">
        <v>366</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695</v>
      </c>
      <c r="B177" s="83" t="s">
        <v>343</v>
      </c>
      <c r="C177" s="82" t="s">
        <v>419</v>
      </c>
      <c r="D177" s="84">
        <f t="shared" si="19"/>
        <v>2000</v>
      </c>
      <c r="E177" s="128">
        <f t="shared" si="17"/>
        <v>600</v>
      </c>
      <c r="F177" s="86" t="s">
        <v>366</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278</v>
      </c>
    </row>
    <row r="178" spans="1:24" x14ac:dyDescent="0.25">
      <c r="A178" s="94" t="s">
        <v>694</v>
      </c>
      <c r="B178" s="95" t="s">
        <v>316</v>
      </c>
      <c r="C178" s="94" t="s">
        <v>417</v>
      </c>
      <c r="D178" s="84">
        <f t="shared" si="19"/>
        <v>750</v>
      </c>
      <c r="E178" s="128">
        <f t="shared" si="17"/>
        <v>225</v>
      </c>
      <c r="F178" s="86" t="s">
        <v>366</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285</v>
      </c>
    </row>
    <row r="179" spans="1:24" x14ac:dyDescent="0.25">
      <c r="A179" s="82" t="s">
        <v>327</v>
      </c>
      <c r="B179" s="82" t="s">
        <v>317</v>
      </c>
      <c r="C179" s="82" t="s">
        <v>646</v>
      </c>
      <c r="D179" s="84">
        <f t="shared" si="19"/>
        <v>500</v>
      </c>
      <c r="E179" s="128">
        <f t="shared" si="17"/>
        <v>150</v>
      </c>
      <c r="F179" s="86" t="s">
        <v>366</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287</v>
      </c>
    </row>
    <row r="180" spans="1:24" x14ac:dyDescent="0.25">
      <c r="A180" s="82" t="s">
        <v>305</v>
      </c>
      <c r="B180" s="83" t="s">
        <v>310</v>
      </c>
      <c r="C180" s="82" t="s">
        <v>434</v>
      </c>
      <c r="D180" s="84">
        <f t="shared" si="19"/>
        <v>1170</v>
      </c>
      <c r="E180" s="128">
        <f t="shared" si="17"/>
        <v>350</v>
      </c>
      <c r="F180" s="86" t="s">
        <v>366</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275</v>
      </c>
    </row>
    <row r="181" spans="1:24" x14ac:dyDescent="0.25">
      <c r="A181" s="82" t="s">
        <v>536</v>
      </c>
      <c r="B181" s="83" t="s">
        <v>539</v>
      </c>
      <c r="C181" s="82" t="s">
        <v>434</v>
      </c>
      <c r="D181" s="84">
        <f t="shared" si="19"/>
        <v>840</v>
      </c>
      <c r="E181" s="128">
        <f t="shared" si="17"/>
        <v>250</v>
      </c>
      <c r="F181" s="86" t="s">
        <v>366</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275</v>
      </c>
    </row>
    <row r="182" spans="1:24" x14ac:dyDescent="0.25">
      <c r="A182" s="82" t="s">
        <v>537</v>
      </c>
      <c r="B182" s="83" t="s">
        <v>308</v>
      </c>
      <c r="C182" s="82" t="s">
        <v>647</v>
      </c>
      <c r="D182" s="84">
        <f t="shared" si="19"/>
        <v>500</v>
      </c>
      <c r="E182" s="128">
        <f t="shared" si="17"/>
        <v>150</v>
      </c>
      <c r="F182" s="86" t="s">
        <v>366</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273</v>
      </c>
    </row>
    <row r="183" spans="1:24" x14ac:dyDescent="0.25">
      <c r="A183" s="82" t="s">
        <v>538</v>
      </c>
      <c r="B183" s="82" t="s">
        <v>309</v>
      </c>
      <c r="C183" s="82" t="s">
        <v>435</v>
      </c>
      <c r="D183" s="84">
        <f t="shared" si="19"/>
        <v>500</v>
      </c>
      <c r="E183" s="128">
        <f t="shared" si="17"/>
        <v>150</v>
      </c>
      <c r="F183" s="86" t="s">
        <v>366</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274</v>
      </c>
    </row>
    <row r="184" spans="1:24" ht="30" x14ac:dyDescent="0.25">
      <c r="A184" s="82" t="s">
        <v>983</v>
      </c>
      <c r="B184" s="83" t="s">
        <v>318</v>
      </c>
      <c r="C184" s="82" t="s">
        <v>430</v>
      </c>
      <c r="D184" s="84">
        <f t="shared" si="19"/>
        <v>170</v>
      </c>
      <c r="E184" s="128">
        <f t="shared" si="17"/>
        <v>50</v>
      </c>
      <c r="F184" s="86" t="s">
        <v>366</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272</v>
      </c>
    </row>
    <row r="185" spans="1:24" ht="30" x14ac:dyDescent="0.25">
      <c r="A185" s="82" t="s">
        <v>982</v>
      </c>
      <c r="B185" s="83" t="s">
        <v>319</v>
      </c>
      <c r="C185" s="82" t="s">
        <v>428</v>
      </c>
      <c r="D185" s="84">
        <f t="shared" si="19"/>
        <v>250</v>
      </c>
      <c r="E185" s="128">
        <f t="shared" si="17"/>
        <v>75</v>
      </c>
      <c r="F185" s="86" t="s">
        <v>366</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291</v>
      </c>
    </row>
    <row r="186" spans="1:24" x14ac:dyDescent="0.25">
      <c r="A186" s="82" t="s">
        <v>981</v>
      </c>
      <c r="B186" s="83" t="s">
        <v>312</v>
      </c>
      <c r="C186" s="82" t="s">
        <v>427</v>
      </c>
      <c r="D186" s="84">
        <f t="shared" si="19"/>
        <v>500</v>
      </c>
      <c r="E186" s="128">
        <f t="shared" si="17"/>
        <v>150</v>
      </c>
      <c r="F186" s="86" t="s">
        <v>366</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276</v>
      </c>
    </row>
    <row r="187" spans="1:24" x14ac:dyDescent="0.25">
      <c r="A187" s="82" t="s">
        <v>980</v>
      </c>
      <c r="B187" s="82" t="s">
        <v>313</v>
      </c>
      <c r="C187" s="82" t="s">
        <v>426</v>
      </c>
      <c r="D187" s="84">
        <f t="shared" si="19"/>
        <v>750</v>
      </c>
      <c r="E187" s="128">
        <f t="shared" si="17"/>
        <v>225</v>
      </c>
      <c r="F187" s="86" t="s">
        <v>366</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277</v>
      </c>
    </row>
    <row r="188" spans="1:24" x14ac:dyDescent="0.25">
      <c r="A188" s="82" t="s">
        <v>979</v>
      </c>
      <c r="B188" s="83" t="s">
        <v>314</v>
      </c>
      <c r="C188" s="82" t="s">
        <v>425</v>
      </c>
      <c r="D188" s="84">
        <f t="shared" si="19"/>
        <v>500</v>
      </c>
      <c r="E188" s="128">
        <f t="shared" si="17"/>
        <v>150</v>
      </c>
      <c r="F188" s="86" t="s">
        <v>366</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977</v>
      </c>
      <c r="B189" s="82" t="s">
        <v>315</v>
      </c>
      <c r="C189" s="82" t="s">
        <v>418</v>
      </c>
      <c r="D189" s="84">
        <f t="shared" si="19"/>
        <v>840</v>
      </c>
      <c r="E189" s="128">
        <f t="shared" si="17"/>
        <v>250</v>
      </c>
      <c r="F189" s="86" t="s">
        <v>366</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292</v>
      </c>
    </row>
    <row r="190" spans="1:24" x14ac:dyDescent="0.25">
      <c r="A190" s="82" t="s">
        <v>978</v>
      </c>
      <c r="B190" s="82" t="s">
        <v>717</v>
      </c>
      <c r="C190" s="82" t="s">
        <v>716</v>
      </c>
      <c r="D190" s="84">
        <f t="shared" si="19"/>
        <v>500</v>
      </c>
      <c r="E190" s="128">
        <f t="shared" si="17"/>
        <v>150</v>
      </c>
      <c r="F190" s="86" t="s">
        <v>366</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276</v>
      </c>
    </row>
    <row r="191" spans="1:24" ht="30" x14ac:dyDescent="0.25">
      <c r="A191" s="82" t="s">
        <v>432</v>
      </c>
      <c r="B191" s="83" t="s">
        <v>431</v>
      </c>
      <c r="C191" s="82" t="s">
        <v>433</v>
      </c>
      <c r="D191" s="84">
        <f t="shared" si="19"/>
        <v>500</v>
      </c>
      <c r="E191" s="128">
        <f t="shared" si="17"/>
        <v>150</v>
      </c>
      <c r="F191" s="86" t="s">
        <v>366</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279</v>
      </c>
    </row>
    <row r="192" spans="1:24" x14ac:dyDescent="0.25">
      <c r="A192" s="82" t="s">
        <v>975</v>
      </c>
      <c r="B192" s="82" t="s">
        <v>974</v>
      </c>
      <c r="C192" s="82" t="s">
        <v>976</v>
      </c>
      <c r="D192" s="84">
        <f t="shared" si="19"/>
        <v>500</v>
      </c>
      <c r="E192" s="128">
        <f t="shared" si="17"/>
        <v>150</v>
      </c>
      <c r="F192" s="86" t="s">
        <v>366</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280</v>
      </c>
    </row>
    <row r="193" spans="1:24" x14ac:dyDescent="0.25">
      <c r="A193" s="82" t="s">
        <v>306</v>
      </c>
      <c r="B193" s="83" t="s">
        <v>311</v>
      </c>
      <c r="C193" s="82" t="s">
        <v>429</v>
      </c>
      <c r="D193" s="84">
        <f t="shared" si="19"/>
        <v>500</v>
      </c>
      <c r="E193" s="128">
        <f t="shared" si="17"/>
        <v>150</v>
      </c>
      <c r="F193" s="86" t="s">
        <v>366</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281</v>
      </c>
    </row>
    <row r="194" spans="1:24" ht="45" x14ac:dyDescent="0.25">
      <c r="A194" s="82" t="s">
        <v>691</v>
      </c>
      <c r="B194" s="83" t="s">
        <v>671</v>
      </c>
      <c r="C194" s="82" t="s">
        <v>672</v>
      </c>
      <c r="D194" s="84">
        <f t="shared" si="19"/>
        <v>0</v>
      </c>
      <c r="E194" s="128">
        <f t="shared" si="17"/>
        <v>0</v>
      </c>
      <c r="F194" s="86" t="s">
        <v>366</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284</v>
      </c>
    </row>
    <row r="195" spans="1:24" ht="30" x14ac:dyDescent="0.25">
      <c r="A195" s="82" t="s">
        <v>692</v>
      </c>
      <c r="B195" s="83" t="s">
        <v>527</v>
      </c>
      <c r="C195" s="82" t="s">
        <v>673</v>
      </c>
      <c r="D195" s="84">
        <f t="shared" si="19"/>
        <v>0</v>
      </c>
      <c r="E195" s="128">
        <f t="shared" si="17"/>
        <v>0</v>
      </c>
      <c r="F195" s="86" t="s">
        <v>366</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286</v>
      </c>
    </row>
    <row r="196" spans="1:24" x14ac:dyDescent="0.25">
      <c r="A196" s="82" t="s">
        <v>331</v>
      </c>
      <c r="B196" s="82" t="s">
        <v>330</v>
      </c>
      <c r="C196" s="82" t="s">
        <v>416</v>
      </c>
      <c r="D196" s="84">
        <f t="shared" si="19"/>
        <v>0</v>
      </c>
      <c r="E196" s="128">
        <f t="shared" ref="E196:E223" si="20">P196+Q196+T196+V196</f>
        <v>0</v>
      </c>
      <c r="F196" s="86" t="s">
        <v>366</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293</v>
      </c>
    </row>
    <row r="197" spans="1:24" ht="30" x14ac:dyDescent="0.25">
      <c r="A197" s="82" t="s">
        <v>693</v>
      </c>
      <c r="B197" s="83" t="s">
        <v>307</v>
      </c>
      <c r="C197" s="82"/>
      <c r="D197" s="84">
        <f t="shared" si="19"/>
        <v>0</v>
      </c>
      <c r="E197" s="128">
        <f t="shared" si="20"/>
        <v>0</v>
      </c>
      <c r="F197" s="86" t="s">
        <v>366</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302</v>
      </c>
    </row>
    <row r="198" spans="1:24" x14ac:dyDescent="0.25">
      <c r="A198" s="82" t="s">
        <v>380</v>
      </c>
      <c r="B198" s="83" t="s">
        <v>382</v>
      </c>
      <c r="C198" s="82" t="s">
        <v>415</v>
      </c>
      <c r="D198" s="84">
        <f t="shared" ref="D198:D203" si="21">IF(E198&lt;20, ROUNDUP(E198,0), ROUNDUP(E198,-1))</f>
        <v>400</v>
      </c>
      <c r="E198" s="128">
        <f t="shared" si="20"/>
        <v>400</v>
      </c>
      <c r="F198" s="86" t="s">
        <v>366</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388</v>
      </c>
      <c r="B199" s="83" t="s">
        <v>387</v>
      </c>
      <c r="C199" s="82" t="s">
        <v>414</v>
      </c>
      <c r="D199" s="84">
        <f t="shared" si="21"/>
        <v>90</v>
      </c>
      <c r="E199" s="128">
        <f t="shared" si="20"/>
        <v>90</v>
      </c>
      <c r="F199" s="86" t="s">
        <v>366</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532</v>
      </c>
      <c r="B200" s="83" t="s">
        <v>384</v>
      </c>
      <c r="C200" s="82" t="s">
        <v>413</v>
      </c>
      <c r="D200" s="84">
        <f t="shared" si="21"/>
        <v>60</v>
      </c>
      <c r="E200" s="128">
        <f t="shared" si="20"/>
        <v>60</v>
      </c>
      <c r="F200" s="86" t="s">
        <v>366</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533</v>
      </c>
      <c r="B201" s="83" t="s">
        <v>386</v>
      </c>
      <c r="C201" s="82" t="s">
        <v>412</v>
      </c>
      <c r="D201" s="84">
        <f t="shared" si="21"/>
        <v>30</v>
      </c>
      <c r="E201" s="128">
        <f t="shared" si="20"/>
        <v>30</v>
      </c>
      <c r="F201" s="86" t="s">
        <v>366</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270</v>
      </c>
    </row>
    <row r="202" spans="1:24" x14ac:dyDescent="0.25">
      <c r="A202" s="82" t="s">
        <v>534</v>
      </c>
      <c r="B202" s="83" t="s">
        <v>385</v>
      </c>
      <c r="C202" s="82" t="s">
        <v>411</v>
      </c>
      <c r="D202" s="84">
        <f t="shared" si="21"/>
        <v>20</v>
      </c>
      <c r="E202" s="128">
        <f t="shared" si="20"/>
        <v>20</v>
      </c>
      <c r="F202" s="86" t="s">
        <v>366</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381</v>
      </c>
      <c r="B203" s="83" t="s">
        <v>383</v>
      </c>
      <c r="C203" s="82" t="s">
        <v>410</v>
      </c>
      <c r="D203" s="84">
        <f t="shared" si="21"/>
        <v>80</v>
      </c>
      <c r="E203" s="128">
        <f t="shared" si="20"/>
        <v>80</v>
      </c>
      <c r="F203" s="86" t="s">
        <v>366</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269</v>
      </c>
    </row>
    <row r="204" spans="1:24" x14ac:dyDescent="0.25">
      <c r="A204" s="94" t="s">
        <v>329</v>
      </c>
      <c r="B204" s="95" t="s">
        <v>362</v>
      </c>
      <c r="C204" s="94" t="s">
        <v>409</v>
      </c>
      <c r="D204" s="84">
        <f>IF(E204&lt;20, ROUNDUP(E204/0.3,0), ROUNDUP(E204/0.3,-1))</f>
        <v>270</v>
      </c>
      <c r="E204" s="128">
        <f t="shared" si="20"/>
        <v>80</v>
      </c>
      <c r="F204" s="86" t="s">
        <v>366</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301</v>
      </c>
    </row>
    <row r="205" spans="1:24" ht="30" x14ac:dyDescent="0.25">
      <c r="A205" s="82" t="s">
        <v>947</v>
      </c>
      <c r="B205" s="83" t="s">
        <v>806</v>
      </c>
      <c r="C205" s="82" t="s">
        <v>808</v>
      </c>
      <c r="D205" s="84">
        <f t="shared" ref="D205:D217" si="22">IF(E205&lt;20, ROUNDUP(E205/0.4,0), ROUNDUP(E205/0.5,-1))</f>
        <v>3440</v>
      </c>
      <c r="E205" s="128">
        <f t="shared" si="20"/>
        <v>1716.8888888888889</v>
      </c>
      <c r="F205" s="86" t="s">
        <v>365</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8</v>
      </c>
      <c r="V205" s="48">
        <f t="shared" ref="V205:V218" si="25">IF(U205="Bulk",0,IF(U205="Std", 10,IF(U205="Pickup",20,30)))/60*60</f>
        <v>10</v>
      </c>
      <c r="W205" s="83"/>
      <c r="X205" s="83"/>
    </row>
    <row r="206" spans="1:24" ht="30" x14ac:dyDescent="0.25">
      <c r="A206" s="82" t="s">
        <v>948</v>
      </c>
      <c r="B206" s="83" t="s">
        <v>805</v>
      </c>
      <c r="C206" s="82" t="s">
        <v>807</v>
      </c>
      <c r="D206" s="84">
        <f t="shared" si="22"/>
        <v>3450</v>
      </c>
      <c r="E206" s="128">
        <f t="shared" si="20"/>
        <v>1720.8888888888889</v>
      </c>
      <c r="F206" s="86" t="s">
        <v>365</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8</v>
      </c>
      <c r="V206" s="48">
        <f t="shared" si="25"/>
        <v>10</v>
      </c>
      <c r="W206" s="83"/>
      <c r="X206" s="83"/>
    </row>
    <row r="207" spans="1:24" ht="150" x14ac:dyDescent="0.25">
      <c r="A207" s="82" t="s">
        <v>797</v>
      </c>
      <c r="B207" s="129" t="s">
        <v>789</v>
      </c>
      <c r="C207" s="129" t="s">
        <v>991</v>
      </c>
      <c r="D207" s="84">
        <f t="shared" si="22"/>
        <v>28900</v>
      </c>
      <c r="E207" s="128">
        <f t="shared" si="20"/>
        <v>14449.09888888889</v>
      </c>
      <c r="F207" s="86" t="s">
        <v>365</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8</v>
      </c>
      <c r="V207" s="48">
        <f t="shared" si="25"/>
        <v>10</v>
      </c>
      <c r="W207" s="83"/>
      <c r="X207" s="83"/>
    </row>
    <row r="208" spans="1:24" ht="135" x14ac:dyDescent="0.25">
      <c r="A208" s="82" t="s">
        <v>798</v>
      </c>
      <c r="B208" s="129" t="s">
        <v>790</v>
      </c>
      <c r="C208" s="82" t="s">
        <v>992</v>
      </c>
      <c r="D208" s="84">
        <f t="shared" si="22"/>
        <v>31720</v>
      </c>
      <c r="E208" s="128">
        <f t="shared" si="20"/>
        <v>15857.568823529413</v>
      </c>
      <c r="F208" s="86" t="s">
        <v>365</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8</v>
      </c>
      <c r="V208" s="48">
        <f t="shared" si="25"/>
        <v>10</v>
      </c>
      <c r="W208" s="83"/>
      <c r="X208" s="83"/>
    </row>
    <row r="209" spans="1:24" ht="105" x14ac:dyDescent="0.25">
      <c r="A209" s="82" t="s">
        <v>796</v>
      </c>
      <c r="B209" s="129" t="s">
        <v>788</v>
      </c>
      <c r="C209" s="82" t="s">
        <v>810</v>
      </c>
      <c r="D209" s="84">
        <f t="shared" si="22"/>
        <v>26600</v>
      </c>
      <c r="E209" s="128">
        <f t="shared" si="20"/>
        <v>13297.398888888889</v>
      </c>
      <c r="F209" s="86" t="s">
        <v>365</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8</v>
      </c>
      <c r="V209" s="48">
        <f t="shared" si="25"/>
        <v>10</v>
      </c>
      <c r="W209" s="83"/>
      <c r="X209" s="83"/>
    </row>
    <row r="210" spans="1:24" ht="105" x14ac:dyDescent="0.25">
      <c r="A210" s="82" t="s">
        <v>958</v>
      </c>
      <c r="B210" s="83" t="s">
        <v>787</v>
      </c>
      <c r="C210" s="82" t="s">
        <v>811</v>
      </c>
      <c r="D210" s="84">
        <f t="shared" si="22"/>
        <v>20860</v>
      </c>
      <c r="E210" s="128">
        <f t="shared" si="20"/>
        <v>10425.59888888889</v>
      </c>
      <c r="F210" s="86" t="s">
        <v>365</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8</v>
      </c>
      <c r="V210" s="48">
        <f t="shared" si="25"/>
        <v>10</v>
      </c>
      <c r="W210" s="83"/>
      <c r="X210" s="83"/>
    </row>
    <row r="211" spans="1:24" ht="45" x14ac:dyDescent="0.25">
      <c r="A211" s="82" t="s">
        <v>962</v>
      </c>
      <c r="B211" s="83" t="s">
        <v>718</v>
      </c>
      <c r="C211" s="82" t="s">
        <v>953</v>
      </c>
      <c r="D211" s="84">
        <f t="shared" si="22"/>
        <v>9040</v>
      </c>
      <c r="E211" s="128">
        <f t="shared" si="20"/>
        <v>4517.8888888888887</v>
      </c>
      <c r="F211" s="86" t="s">
        <v>365</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8</v>
      </c>
      <c r="V211" s="48">
        <f t="shared" si="25"/>
        <v>10</v>
      </c>
      <c r="W211" s="83"/>
      <c r="X211" s="83"/>
    </row>
    <row r="212" spans="1:24" ht="45" x14ac:dyDescent="0.25">
      <c r="A212" s="82" t="s">
        <v>963</v>
      </c>
      <c r="B212" s="83" t="s">
        <v>804</v>
      </c>
      <c r="C212" s="82" t="s">
        <v>955</v>
      </c>
      <c r="D212" s="84">
        <f t="shared" si="22"/>
        <v>14160</v>
      </c>
      <c r="E212" s="128">
        <f t="shared" si="20"/>
        <v>7078.0588235294117</v>
      </c>
      <c r="F212" s="86" t="s">
        <v>365</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8</v>
      </c>
      <c r="V212" s="48">
        <f t="shared" si="25"/>
        <v>10</v>
      </c>
      <c r="W212" s="83"/>
      <c r="X212" s="83"/>
    </row>
    <row r="213" spans="1:24" ht="30" x14ac:dyDescent="0.25">
      <c r="A213" s="82" t="s">
        <v>959</v>
      </c>
      <c r="B213" s="83" t="s">
        <v>726</v>
      </c>
      <c r="C213" s="82" t="s">
        <v>953</v>
      </c>
      <c r="D213" s="84">
        <f t="shared" si="22"/>
        <v>7000</v>
      </c>
      <c r="E213" s="128">
        <f t="shared" si="20"/>
        <v>3495.8888888888887</v>
      </c>
      <c r="F213" s="86" t="s">
        <v>365</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8</v>
      </c>
      <c r="V213" s="48">
        <f t="shared" si="25"/>
        <v>10</v>
      </c>
      <c r="W213" s="83"/>
      <c r="X213" s="83"/>
    </row>
    <row r="214" spans="1:24" ht="30" x14ac:dyDescent="0.25">
      <c r="A214" s="82" t="s">
        <v>960</v>
      </c>
      <c r="B214" s="83" t="s">
        <v>719</v>
      </c>
      <c r="C214" s="82" t="s">
        <v>952</v>
      </c>
      <c r="D214" s="84">
        <f t="shared" si="22"/>
        <v>5850</v>
      </c>
      <c r="E214" s="128">
        <f t="shared" si="20"/>
        <v>2921.8888888888887</v>
      </c>
      <c r="F214" s="86" t="s">
        <v>365</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8</v>
      </c>
      <c r="V214" s="48">
        <f t="shared" si="25"/>
        <v>10</v>
      </c>
      <c r="W214" s="83"/>
      <c r="X214" s="83"/>
    </row>
    <row r="215" spans="1:24" ht="30" x14ac:dyDescent="0.25">
      <c r="A215" s="82" t="s">
        <v>961</v>
      </c>
      <c r="B215" s="83" t="s">
        <v>799</v>
      </c>
      <c r="C215" s="82" t="s">
        <v>954</v>
      </c>
      <c r="D215" s="84">
        <f t="shared" si="22"/>
        <v>6850</v>
      </c>
      <c r="E215" s="128">
        <f t="shared" si="20"/>
        <v>3421.8888888888887</v>
      </c>
      <c r="F215" s="86" t="s">
        <v>365</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8</v>
      </c>
      <c r="V215" s="48">
        <f t="shared" si="25"/>
        <v>10</v>
      </c>
      <c r="W215" s="83"/>
      <c r="X215" s="83"/>
    </row>
    <row r="216" spans="1:24" ht="45" x14ac:dyDescent="0.25">
      <c r="A216" s="82" t="s">
        <v>964</v>
      </c>
      <c r="B216" s="83" t="s">
        <v>720</v>
      </c>
      <c r="C216" s="82" t="s">
        <v>956</v>
      </c>
      <c r="D216" s="84">
        <f t="shared" si="22"/>
        <v>8550</v>
      </c>
      <c r="E216" s="128">
        <f t="shared" si="20"/>
        <v>4271.8888888888887</v>
      </c>
      <c r="F216" s="86" t="s">
        <v>365</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8</v>
      </c>
      <c r="V216" s="48">
        <f t="shared" si="25"/>
        <v>10</v>
      </c>
      <c r="W216" s="83"/>
      <c r="X216" s="83"/>
    </row>
    <row r="217" spans="1:24" ht="30" x14ac:dyDescent="0.25">
      <c r="A217" s="82" t="s">
        <v>965</v>
      </c>
      <c r="B217" s="83" t="s">
        <v>721</v>
      </c>
      <c r="C217" s="82" t="s">
        <v>803</v>
      </c>
      <c r="D217" s="84">
        <f t="shared" si="22"/>
        <v>5360</v>
      </c>
      <c r="E217" s="128">
        <f t="shared" si="20"/>
        <v>2675.8888888888887</v>
      </c>
      <c r="F217" s="86" t="s">
        <v>365</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8</v>
      </c>
      <c r="V217" s="48">
        <f t="shared" si="25"/>
        <v>10</v>
      </c>
      <c r="W217" s="83"/>
      <c r="X217" s="83"/>
    </row>
    <row r="218" spans="1:24" ht="45" x14ac:dyDescent="0.25">
      <c r="A218" s="82" t="s">
        <v>945</v>
      </c>
      <c r="B218" s="83" t="s">
        <v>855</v>
      </c>
      <c r="C218" s="129" t="s">
        <v>809</v>
      </c>
      <c r="D218" s="84">
        <f>IF(E218&lt;20, ROUNDUP(E218/0.3,0), ROUNDUP(E218/0.3,-1))</f>
        <v>14800</v>
      </c>
      <c r="E218" s="128">
        <f t="shared" si="20"/>
        <v>4439.3888888888887</v>
      </c>
      <c r="F218" s="86" t="s">
        <v>366</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8</v>
      </c>
      <c r="V218" s="48">
        <f t="shared" si="25"/>
        <v>10</v>
      </c>
      <c r="W218" s="83"/>
      <c r="X218" s="83"/>
    </row>
    <row r="219" spans="1:24" ht="30" x14ac:dyDescent="0.25">
      <c r="A219" s="82" t="s">
        <v>949</v>
      </c>
      <c r="B219" s="83" t="s">
        <v>722</v>
      </c>
      <c r="C219" s="82" t="s">
        <v>407</v>
      </c>
      <c r="D219" s="84">
        <f>IF(E219&lt;20, ROUNDUP(E219/0.4,0), ROUNDUP(E219/0.5,-1))</f>
        <v>8240</v>
      </c>
      <c r="E219" s="128">
        <f t="shared" si="20"/>
        <v>4117.8888888888887</v>
      </c>
      <c r="F219" s="86" t="s">
        <v>365</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8</v>
      </c>
      <c r="V219" s="48">
        <f>IF(U219="Bulk",0,IF(U219="Std", 10,IF(U219="Pickup",20,30)))/60*60</f>
        <v>10</v>
      </c>
      <c r="W219" s="83"/>
      <c r="X219" s="83"/>
    </row>
    <row r="220" spans="1:24" ht="30" x14ac:dyDescent="0.25">
      <c r="A220" s="82" t="s">
        <v>957</v>
      </c>
      <c r="B220" s="83" t="s">
        <v>723</v>
      </c>
      <c r="C220" s="82" t="s">
        <v>408</v>
      </c>
      <c r="D220" s="84">
        <f>IF(E220&lt;20, ROUNDUP(E220/0.4,0), ROUNDUP(E220/0.5,-1))</f>
        <v>5050</v>
      </c>
      <c r="E220" s="128">
        <f t="shared" si="20"/>
        <v>2521.8888888888887</v>
      </c>
      <c r="F220" s="86" t="s">
        <v>365</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8</v>
      </c>
      <c r="V220" s="48">
        <f>IF(U220="Bulk",0,IF(U220="Std", 10,IF(U220="Pickup",20,30)))/60*60</f>
        <v>10</v>
      </c>
      <c r="W220" s="83"/>
      <c r="X220" s="83"/>
    </row>
    <row r="221" spans="1:24" ht="30" x14ac:dyDescent="0.25">
      <c r="A221" s="82" t="s">
        <v>950</v>
      </c>
      <c r="B221" s="83" t="s">
        <v>724</v>
      </c>
      <c r="C221" s="82" t="s">
        <v>407</v>
      </c>
      <c r="D221" s="84">
        <f>IF(E221&lt;20, ROUNDUP(E221/0.4,0), ROUNDUP(E221/0.5,-1))</f>
        <v>7950</v>
      </c>
      <c r="E221" s="128">
        <f t="shared" si="20"/>
        <v>3971.8888888888887</v>
      </c>
      <c r="F221" s="86" t="s">
        <v>365</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8</v>
      </c>
      <c r="V221" s="48">
        <f>IF(U221="Bulk",0,IF(U221="Std", 10,IF(U221="Pickup",20,30)))/60*60</f>
        <v>10</v>
      </c>
      <c r="W221" s="83"/>
      <c r="X221" s="83"/>
    </row>
    <row r="222" spans="1:24" ht="30" x14ac:dyDescent="0.25">
      <c r="A222" s="82" t="s">
        <v>951</v>
      </c>
      <c r="B222" s="83" t="s">
        <v>725</v>
      </c>
      <c r="C222" s="82" t="s">
        <v>441</v>
      </c>
      <c r="D222" s="84">
        <f>IF(E222&lt;20, ROUNDUP(E222/0.4,0), ROUNDUP(E222/0.5,-1))</f>
        <v>4760</v>
      </c>
      <c r="E222" s="128">
        <f t="shared" si="20"/>
        <v>2375.8888888888887</v>
      </c>
      <c r="F222" s="86" t="s">
        <v>365</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8</v>
      </c>
      <c r="V222" s="48">
        <f>IF(U222="Bulk",0,IF(U222="Std", 10,IF(U222="Pickup",20,30)))/60*60</f>
        <v>10</v>
      </c>
      <c r="W222" s="83"/>
      <c r="X222" s="83"/>
    </row>
    <row r="223" spans="1:24" x14ac:dyDescent="0.25">
      <c r="A223" s="107" t="s">
        <v>729</v>
      </c>
      <c r="B223" s="108" t="s">
        <v>727</v>
      </c>
      <c r="C223" s="107" t="s">
        <v>728</v>
      </c>
      <c r="D223" s="84">
        <f>IF(E223&lt;20, ROUNDUP(E223/0.3,0), ROUNDUP(E223/0.3,-1))</f>
        <v>2</v>
      </c>
      <c r="E223" s="128">
        <f t="shared" si="20"/>
        <v>0.5</v>
      </c>
      <c r="F223" s="86" t="s">
        <v>366</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277</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zoomScale="88" zoomScaleNormal="85" workbookViewId="0">
      <selection activeCell="B13" sqref="B13"/>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135</v>
      </c>
      <c r="B1" s="7" t="s">
        <v>676</v>
      </c>
      <c r="C1" s="308" t="s">
        <v>390</v>
      </c>
      <c r="D1" s="309"/>
      <c r="E1" s="247" t="str">
        <f>VLOOKUP(B1,'Pricing Model'!A1:C21,3)</f>
        <v>Discount Based</v>
      </c>
    </row>
    <row r="2" spans="1:24" ht="18" customHeight="1" outlineLevel="1" thickBot="1" x14ac:dyDescent="0.3">
      <c r="A2" s="17" t="s">
        <v>335</v>
      </c>
      <c r="B2" s="283" t="str">
        <f>'Using Sales Activity Sheet'!E2</f>
        <v>Business Name</v>
      </c>
      <c r="C2" s="294" t="s">
        <v>445</v>
      </c>
      <c r="D2" s="295"/>
      <c r="E2" s="245">
        <f>IF(E1="Discount Based", VLOOKUP(B1,'Pricing Model'!A1:D22,4), "")</f>
        <v>0.2</v>
      </c>
      <c r="P2" s="307" t="s">
        <v>130</v>
      </c>
      <c r="Q2" s="307"/>
      <c r="R2" s="307"/>
      <c r="S2" s="307"/>
      <c r="T2" s="307"/>
      <c r="U2" s="307"/>
    </row>
    <row r="3" spans="1:24" ht="18" customHeight="1" outlineLevel="1" x14ac:dyDescent="0.25">
      <c r="A3" s="17" t="s">
        <v>336</v>
      </c>
      <c r="B3" s="8" t="str">
        <f>'Using Sales Activity Sheet'!BF2&amp;" "&amp;'Using Sales Activity Sheet'!BG2</f>
        <v>FirstName LastName</v>
      </c>
      <c r="C3" s="294" t="s">
        <v>446</v>
      </c>
      <c r="D3" s="295"/>
      <c r="E3" s="245">
        <f>IF(E1="Discount Based", VLOOKUP(B1,'Pricing Model'!A1:E22,5), "")</f>
        <v>0.44</v>
      </c>
      <c r="M3" s="265" t="str">
        <f>IF($E$7&lt;&gt;"", "REPLACING", "")</f>
        <v/>
      </c>
    </row>
    <row r="4" spans="1:24" ht="18" customHeight="1" outlineLevel="1" x14ac:dyDescent="0.25">
      <c r="A4" s="20" t="s">
        <v>1511</v>
      </c>
      <c r="B4" s="9" t="str">
        <f>'Using Sales Activity Sheet'!G2&amp;" | "&amp;'Using Sales Activity Sheet'!I2</f>
        <v>Number | email</v>
      </c>
      <c r="C4" s="294" t="s">
        <v>447</v>
      </c>
      <c r="D4" s="295"/>
      <c r="E4" s="245" t="str">
        <f>IF(E1="Cost Based", VLOOKUP(B1,'Pricing Model'!A1:F21,6), "")</f>
        <v/>
      </c>
      <c r="G4" s="322" t="s">
        <v>145</v>
      </c>
      <c r="H4" s="322"/>
      <c r="I4" s="322"/>
      <c r="J4" s="322"/>
      <c r="K4" s="322"/>
      <c r="L4" s="322"/>
      <c r="M4" s="264" t="str">
        <f>IF($E$7&lt;&gt;"","LSID: "&amp;$E$7, "")</f>
        <v/>
      </c>
      <c r="P4" s="321" t="s">
        <v>142</v>
      </c>
      <c r="Q4" s="321"/>
      <c r="R4" s="321"/>
      <c r="S4" s="321"/>
      <c r="T4" s="321"/>
      <c r="U4" s="321"/>
    </row>
    <row r="5" spans="1:24" ht="18" customHeight="1" outlineLevel="1" thickBot="1" x14ac:dyDescent="0.3">
      <c r="A5" s="20" t="s">
        <v>337</v>
      </c>
      <c r="B5" s="104" t="str">
        <f>'Using Sales Activity Sheet'!L2</f>
        <v>Address1</v>
      </c>
      <c r="C5" s="329" t="s">
        <v>448</v>
      </c>
      <c r="D5" s="330"/>
      <c r="E5" s="246" t="str">
        <f>IF(E1="Cost Based", VLOOKUP(B1,'Pricing Model'!A1:G21,7), "")</f>
        <v/>
      </c>
      <c r="G5" s="322" t="s">
        <v>1933</v>
      </c>
      <c r="H5" s="322"/>
      <c r="I5" s="322"/>
      <c r="J5" s="322"/>
      <c r="K5" s="322"/>
      <c r="L5" s="322"/>
      <c r="M5" s="22"/>
    </row>
    <row r="6" spans="1:24" ht="18" customHeight="1" outlineLevel="1" thickBot="1" x14ac:dyDescent="0.3">
      <c r="A6" s="20" t="s">
        <v>132</v>
      </c>
      <c r="B6" s="250" t="str">
        <f>'Using Sales Activity Sheet'!M2</f>
        <v>City, State Zip</v>
      </c>
      <c r="C6" s="25"/>
      <c r="D6" s="25"/>
      <c r="E6" s="25"/>
      <c r="G6" s="322" t="s">
        <v>146</v>
      </c>
      <c r="H6" s="322"/>
      <c r="I6" s="322"/>
      <c r="J6" s="322"/>
      <c r="K6" s="322"/>
      <c r="L6" s="322"/>
      <c r="M6" s="22"/>
      <c r="P6" s="321" t="s">
        <v>147</v>
      </c>
      <c r="Q6" s="321"/>
      <c r="R6" s="321"/>
      <c r="S6" s="321"/>
      <c r="T6" s="321"/>
      <c r="U6" s="321"/>
    </row>
    <row r="7" spans="1:24" ht="18" customHeight="1" outlineLevel="1" thickBot="1" x14ac:dyDescent="0.4">
      <c r="A7" s="17" t="s">
        <v>338</v>
      </c>
      <c r="B7" s="262" t="str">
        <f>'Using Sales Activity Sheet'!BF2&amp;" "&amp;'Using Sales Activity Sheet'!BG2</f>
        <v>FirstName LastName</v>
      </c>
      <c r="C7" s="358" t="s">
        <v>1514</v>
      </c>
      <c r="D7" s="359"/>
      <c r="E7" s="263"/>
      <c r="G7" s="26"/>
    </row>
    <row r="8" spans="1:24" ht="18" customHeight="1" outlineLevel="1" thickBot="1" x14ac:dyDescent="0.35">
      <c r="A8" s="20" t="s">
        <v>1512</v>
      </c>
      <c r="B8" s="9" t="str">
        <f>'Using Sales Activity Sheet'!G2&amp;" | "&amp;'Using Sales Activity Sheet'!I2</f>
        <v>Number | email</v>
      </c>
      <c r="C8" s="25"/>
      <c r="D8" s="25"/>
      <c r="E8" s="25"/>
      <c r="G8" s="323" t="s">
        <v>118</v>
      </c>
      <c r="H8" s="324"/>
      <c r="I8" s="324"/>
      <c r="J8" s="324"/>
      <c r="K8" s="324"/>
      <c r="L8" s="324"/>
      <c r="M8" s="325"/>
      <c r="O8" s="323" t="s">
        <v>122</v>
      </c>
      <c r="P8" s="324"/>
      <c r="Q8" s="324"/>
      <c r="R8" s="324"/>
      <c r="S8" s="324"/>
      <c r="T8" s="324"/>
      <c r="U8" s="324"/>
      <c r="V8" s="325"/>
    </row>
    <row r="9" spans="1:24" ht="18" customHeight="1" outlineLevel="1" x14ac:dyDescent="0.25">
      <c r="A9" s="20" t="s">
        <v>339</v>
      </c>
      <c r="B9" s="104" t="str">
        <f>'Using Sales Activity Sheet'!L2</f>
        <v>Address1</v>
      </c>
      <c r="C9" s="25"/>
      <c r="D9" s="25"/>
      <c r="E9" s="25"/>
      <c r="G9" s="335" t="str">
        <f>IF('Blank Quote'!B2="", "", 'Blank Quote'!B2)</f>
        <v>Business Name</v>
      </c>
      <c r="H9" s="336"/>
      <c r="I9" s="336"/>
      <c r="J9" s="336"/>
      <c r="K9" s="336"/>
      <c r="L9" s="336"/>
      <c r="M9" s="337"/>
      <c r="O9" s="326" t="str">
        <f>IF('Blank Quote'!B2="", "", 'Blank Quote'!B2)</f>
        <v>Business Name</v>
      </c>
      <c r="P9" s="327"/>
      <c r="Q9" s="327"/>
      <c r="R9" s="327"/>
      <c r="S9" s="327"/>
      <c r="T9" s="327"/>
      <c r="U9" s="327"/>
      <c r="V9" s="328"/>
      <c r="X9" s="194"/>
    </row>
    <row r="10" spans="1:24" ht="18" customHeight="1" outlineLevel="1" thickBot="1" x14ac:dyDescent="0.3">
      <c r="A10" s="27" t="s">
        <v>132</v>
      </c>
      <c r="B10" s="250" t="str">
        <f>'Using Sales Activity Sheet'!M2</f>
        <v>City, State Zip</v>
      </c>
      <c r="C10" s="331" t="s">
        <v>872</v>
      </c>
      <c r="D10" s="332"/>
      <c r="E10" s="332"/>
      <c r="G10" s="326" t="str">
        <f>IF('Blank Quote'!B3="", "", 'Blank Quote'!B3)</f>
        <v>FirstName LastName</v>
      </c>
      <c r="H10" s="327"/>
      <c r="I10" s="327"/>
      <c r="J10" s="327"/>
      <c r="K10" s="327"/>
      <c r="L10" s="327"/>
      <c r="M10" s="328"/>
      <c r="O10" s="326" t="str">
        <f>IF('Blank Quote'!B7="", "", 'Blank Quote'!B7)</f>
        <v>FirstName LastName</v>
      </c>
      <c r="P10" s="327"/>
      <c r="Q10" s="327"/>
      <c r="R10" s="327"/>
      <c r="S10" s="327"/>
      <c r="T10" s="327"/>
      <c r="U10" s="327"/>
      <c r="V10" s="328"/>
      <c r="X10" s="195"/>
    </row>
    <row r="11" spans="1:24" ht="18" customHeight="1" outlineLevel="1" thickBot="1" x14ac:dyDescent="0.3">
      <c r="A11" s="27" t="s">
        <v>370</v>
      </c>
      <c r="B11" s="259">
        <f>IF(B10="Tax Exempt",0,
IF(MID(B10,FIND(", ",B10)+2,2)&lt;&gt;"CA",
  IF(MID(B10,FIND(", ",B10)+2,2)="WA",
     IF(ISNA(VLOOKUP(LEFT(B10, FIND(",",B10)-1),[6]Sheet1!$A$4:$F$500,6,FALSE)),0.065,
         VLOOKUP(LEFT(B10, FIND(",",B10)-1),[6]Sheet1!$A$4:$F$500,6,FALSE)),0),
     IF(ISNA(VLOOKUP(LEFT(B10, FIND(",",B10)-1),[7]Sheet1!$A$9:$C$1793,3,FALSE)),0.075,
          VLOOKUP(LEFT(B10, FIND(",",B10)-1),[7]Sheet1!$A$9:$C$1793,3,FALSE))))</f>
        <v>0</v>
      </c>
      <c r="C11" s="363" t="s">
        <v>708</v>
      </c>
      <c r="D11" s="364"/>
      <c r="E11" s="364"/>
      <c r="G11" s="326" t="str">
        <f>IF('Blank Quote'!B4="", "", 'Blank Quote'!B4)</f>
        <v>Number | email</v>
      </c>
      <c r="H11" s="327"/>
      <c r="I11" s="327"/>
      <c r="J11" s="327"/>
      <c r="K11" s="327"/>
      <c r="L11" s="327"/>
      <c r="M11" s="328"/>
      <c r="O11" s="326" t="str">
        <f>IF('Blank Quote'!B8="", "", 'Blank Quote'!B8)</f>
        <v>Number | email</v>
      </c>
      <c r="P11" s="327"/>
      <c r="Q11" s="327"/>
      <c r="R11" s="327"/>
      <c r="S11" s="327"/>
      <c r="T11" s="327"/>
      <c r="U11" s="327"/>
      <c r="V11" s="328"/>
      <c r="X11" s="196"/>
    </row>
    <row r="12" spans="1:24" ht="18" customHeight="1" outlineLevel="1" thickBot="1" x14ac:dyDescent="0.3">
      <c r="A12" s="13" t="s">
        <v>443</v>
      </c>
      <c r="B12" s="10" t="s">
        <v>1941</v>
      </c>
      <c r="C12" s="25"/>
      <c r="D12" s="81"/>
      <c r="E12" s="25"/>
      <c r="G12" s="326" t="str">
        <f>IF('Blank Quote'!B5="", "", 'Blank Quote'!B5)</f>
        <v>Address1</v>
      </c>
      <c r="H12" s="327"/>
      <c r="I12" s="327"/>
      <c r="J12" s="327"/>
      <c r="K12" s="327"/>
      <c r="L12" s="327"/>
      <c r="M12" s="328"/>
      <c r="O12" s="326" t="str">
        <f>IF('Blank Quote'!B9="", "", 'Blank Quote'!B9)</f>
        <v>Address1</v>
      </c>
      <c r="P12" s="327"/>
      <c r="Q12" s="327"/>
      <c r="R12" s="327"/>
      <c r="S12" s="327"/>
      <c r="T12" s="327"/>
      <c r="U12" s="327"/>
      <c r="V12" s="328"/>
      <c r="X12" s="195"/>
    </row>
    <row r="13" spans="1:24" ht="18" customHeight="1" outlineLevel="1" thickBot="1" x14ac:dyDescent="0.3">
      <c r="A13" s="13" t="s">
        <v>129</v>
      </c>
      <c r="B13" s="11" t="s">
        <v>1453</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c r="X13" s="197"/>
    </row>
    <row r="14" spans="1:24" ht="5.25" customHeight="1" outlineLevel="1" thickBot="1" x14ac:dyDescent="0.3">
      <c r="B14" s="31"/>
      <c r="C14" s="25"/>
      <c r="D14" s="25"/>
      <c r="E14" s="25"/>
    </row>
    <row r="15" spans="1:24" ht="16.5" outlineLevel="1" thickBot="1" x14ac:dyDescent="0.3">
      <c r="A15" s="32" t="s">
        <v>398</v>
      </c>
      <c r="B15" s="33" t="str">
        <f>VLOOKUP(B1,'Pricing Model'!A1:J30,10)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4" ht="15.75" outlineLevel="1" thickBot="1" x14ac:dyDescent="0.3">
      <c r="A16" s="34" t="s">
        <v>444</v>
      </c>
      <c r="B16" s="33">
        <f>VLOOKUP(B1,'Pricing Model'!A1:H21,8)</f>
        <v>0</v>
      </c>
      <c r="C16" s="25"/>
      <c r="D16" s="25"/>
      <c r="E16" s="25"/>
      <c r="G16" s="313">
        <f ca="1">TODAY()</f>
        <v>45110</v>
      </c>
      <c r="H16" s="314"/>
      <c r="I16" s="315">
        <f ca="1">NOW()</f>
        <v>45110.433634490742</v>
      </c>
      <c r="J16" s="316"/>
      <c r="K16" s="317"/>
      <c r="L16" s="318" t="str">
        <f>'Blank Quote'!B12</f>
        <v>EC</v>
      </c>
      <c r="M16" s="319"/>
      <c r="N16" s="320"/>
      <c r="O16" s="318" t="str">
        <f>VLOOKUP(B1,'Pricing Model'!A1:I21,9)</f>
        <v>Due on Rcpt</v>
      </c>
      <c r="P16" s="320"/>
      <c r="Q16" s="318" t="str">
        <f>B13</f>
        <v>Ground</v>
      </c>
      <c r="R16" s="319"/>
      <c r="S16" s="318" t="str">
        <f>IF(B16&lt;&gt;0,B16,"")</f>
        <v/>
      </c>
      <c r="T16" s="319"/>
      <c r="U16" s="319"/>
      <c r="V16" s="320"/>
    </row>
    <row r="17" spans="1:29" ht="5.25" customHeight="1" outlineLevel="1" thickBot="1" x14ac:dyDescent="0.3">
      <c r="D17" s="35"/>
    </row>
    <row r="18" spans="1:29" ht="17.25" thickTop="1" thickBot="1" x14ac:dyDescent="0.3">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231" t="s">
        <v>442</v>
      </c>
      <c r="Y18" s="181" t="s">
        <v>529</v>
      </c>
      <c r="Z18" s="181" t="s">
        <v>528</v>
      </c>
      <c r="AA18" s="181" t="s">
        <v>530</v>
      </c>
      <c r="AB18" s="181" t="s">
        <v>531</v>
      </c>
      <c r="AC18" s="244" t="s">
        <v>1441</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755</v>
      </c>
      <c r="C19" s="171">
        <v>1</v>
      </c>
      <c r="D19" s="176"/>
      <c r="E19" s="172" t="s">
        <v>1942</v>
      </c>
      <c r="F19"/>
      <c r="G19" s="302" t="str">
        <f t="shared" ref="G19:G30" si="0">A19</f>
        <v>HW-LT-Std-Home</v>
      </c>
      <c r="H19" s="303"/>
      <c r="I19" s="304" t="str">
        <f t="shared" ref="I19:I30" si="1">IF(B19&lt;&gt;"", B19, "")&amp;IF(E19&lt;&gt;"", "   *** "&amp;E19, "")</f>
        <v>Hardware-Laptop-Standard with Windows Home Edition   *** Standard with Windows 11</v>
      </c>
      <c r="J19" s="304"/>
      <c r="K19" s="304" t="str">
        <f t="shared" ref="K19:K30" si="2">E19</f>
        <v>Standard with Windows 11</v>
      </c>
      <c r="L19" s="304"/>
      <c r="M19" s="304" t="str">
        <f t="shared" ref="M19" si="3">G19</f>
        <v>HW-LT-Std-Home</v>
      </c>
      <c r="N19" s="304"/>
      <c r="O19" s="304" t="str">
        <f t="shared" ref="O19" si="4">I19</f>
        <v>Hardware-Laptop-Standard with Windows Home Edition   *** Standard with Windows 11</v>
      </c>
      <c r="P19" s="304"/>
      <c r="Q19" s="98">
        <f t="shared" ref="Q19:Q30" si="5">IF(C19="", "", C19)</f>
        <v>1</v>
      </c>
      <c r="R19" s="292">
        <f>IF(C19="", "",IF(D19&lt;&gt;0,D19,
IF($E$1="Contract NY", VLOOKUP(B19,'Raw BOM'!$A$3:$G$495,7,FALSE),
IF($E$1="Contract FL", VLOOKUP(B19,'Raw BOM'!$A$3:$I$495,9,FALSE),
IF($E$1="Contract LA", VLOOKUP(B19,'Raw BOM'!$A$3:$K$495,11,FALSE),
IF($E$1="Contract WA", VLOOKUP(B19,'Raw BOM'!$A$3:$M$495,13,FALSE),
VLOOKUP(B19,'Raw BOM'!$A$3:$D$495,4,FALSE)))))))</f>
        <v>750</v>
      </c>
      <c r="S19" s="292" t="str">
        <f t="shared" ref="S19" si="6">M19</f>
        <v>HW-LT-Std-Home</v>
      </c>
      <c r="T19" s="292">
        <f t="shared" ref="T19:T30" si="7">IF(C19="", "", Q19*R19)</f>
        <v>750</v>
      </c>
      <c r="U19" s="292" t="str">
        <f t="shared" ref="U19" si="8">O19</f>
        <v>Hardware-Laptop-Standard with Windows Home Edition   *** Standard with Windows 11</v>
      </c>
      <c r="V19" s="46" t="str">
        <f>IF(C19="","", VLOOKUP(B19,'Raw BOM'!$A$3:$F$495,6,FALSE))</f>
        <v>Yes</v>
      </c>
      <c r="X19" s="239">
        <f t="shared" ref="X19:X39" si="9">IF(AND(V19="Yes", Q19&lt;&gt;0), (T19-Y19)*$B$11, 0)</f>
        <v>0</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674</v>
      </c>
      <c r="C20" s="171">
        <v>1</v>
      </c>
      <c r="D20" s="176"/>
      <c r="E20" s="172"/>
      <c r="F20"/>
      <c r="G20" s="305" t="str">
        <f t="shared" si="0"/>
        <v>LS4G-Applicant-CA</v>
      </c>
      <c r="H20" s="306"/>
      <c r="I20" s="291" t="str">
        <f t="shared" si="1"/>
        <v>LiveScan 4th Gen Software-Applicant CA TOT Module</v>
      </c>
      <c r="J20" s="291"/>
      <c r="K20" s="291">
        <f t="shared" si="2"/>
        <v>0</v>
      </c>
      <c r="L20" s="291"/>
      <c r="M20" s="291" t="str">
        <f t="shared" ref="M20:M36" si="12">G20</f>
        <v>LS4G-Applicant-CA</v>
      </c>
      <c r="N20" s="291"/>
      <c r="O20" s="291" t="str">
        <f t="shared" ref="O20:O36" si="13">I20</f>
        <v>LiveScan 4th Gen Software-Applicant CA TOT Module</v>
      </c>
      <c r="P20" s="291"/>
      <c r="Q20" s="99">
        <f t="shared" si="5"/>
        <v>1</v>
      </c>
      <c r="R20" s="292">
        <f>IF(C20="", "",IF(D20&lt;&gt;0,D20,
IF($E$1="Contract NY", VLOOKUP(B20,'Raw BOM'!$A$3:$G$495,7,FALSE),
IF($E$1="Contract FL", VLOOKUP(B20,'Raw BOM'!$A$3:$I$495,9,FALSE),
IF($E$1="Contract LA", VLOOKUP(B20,'Raw BOM'!$A$3:$K$495,11,FALSE),
IF($E$1="Contract WA", VLOOKUP(B20,'Raw BOM'!$A$3:$M$495,13,FALSE),
VLOOKUP(B20,'Raw BOM'!$A$3:$D$495,4,FALSE)))))))</f>
        <v>1340</v>
      </c>
      <c r="S20" s="292" t="str">
        <f t="shared" ref="S20:S39" si="14">M20</f>
        <v>LS4G-Applicant-CA</v>
      </c>
      <c r="T20" s="293">
        <f t="shared" si="7"/>
        <v>1340</v>
      </c>
      <c r="U20" s="293"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264</v>
      </c>
      <c r="C21" s="158">
        <v>1</v>
      </c>
      <c r="D21" s="177"/>
      <c r="E21" s="159"/>
      <c r="F21" s="100" t="s">
        <v>715</v>
      </c>
      <c r="G21" s="305" t="str">
        <f t="shared" si="0"/>
        <v>HW-Scan-Patrol</v>
      </c>
      <c r="H21" s="306"/>
      <c r="I21" s="291" t="str">
        <f t="shared" si="1"/>
        <v>Hardware-Scanner-Crossmatch Patrol</v>
      </c>
      <c r="J21" s="291"/>
      <c r="K21" s="291">
        <f t="shared" si="2"/>
        <v>0</v>
      </c>
      <c r="L21" s="291"/>
      <c r="M21" s="291" t="str">
        <f t="shared" si="12"/>
        <v>HW-Scan-Patrol</v>
      </c>
      <c r="N21" s="291"/>
      <c r="O21" s="291" t="str">
        <f t="shared" si="13"/>
        <v>Hardware-Scanner-Crossmatch Patrol</v>
      </c>
      <c r="P21" s="291"/>
      <c r="Q21" s="99">
        <f t="shared" si="5"/>
        <v>1</v>
      </c>
      <c r="R21" s="292">
        <f>IF(C21="", "",IF(D21&lt;&gt;0,D21,
IF($E$1="Contract NY", VLOOKUP(B21,'Raw BOM'!$A$3:$G$495,7,FALSE),
IF($E$1="Contract FL", VLOOKUP(B21,'Raw BOM'!$A$3:$I$495,9,FALSE),
IF($E$1="Contract LA", VLOOKUP(B21,'Raw BOM'!$A$3:$K$495,11,FALSE),
IF($E$1="Contract WA", VLOOKUP(B21,'Raw BOM'!$A$3:$M$495,13,FALSE),
VLOOKUP(B21,'Raw BOM'!$A$3:$D$495,4,FALSE)))))))</f>
        <v>1850</v>
      </c>
      <c r="S21" s="292" t="str">
        <f t="shared" si="14"/>
        <v>HW-Scan-Patrol</v>
      </c>
      <c r="T21" s="293">
        <f t="shared" si="7"/>
        <v>1850</v>
      </c>
      <c r="U21" s="293" t="str">
        <f t="shared" si="15"/>
        <v>Hardware-Scanner-Crossmatch Patrol</v>
      </c>
      <c r="V21" s="49" t="str">
        <f>IF(C21="","", VLOOKUP(B21,'Raw BOM'!$A$3:$F$495,6,FALSE))</f>
        <v>Yes</v>
      </c>
      <c r="X21" s="232">
        <f t="shared" si="9"/>
        <v>0</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05" t="str">
        <f t="shared" si="0"/>
        <v/>
      </c>
      <c r="H22" s="306"/>
      <c r="I22" s="291" t="str">
        <f t="shared" si="1"/>
        <v/>
      </c>
      <c r="J22" s="291"/>
      <c r="K22" s="291">
        <f t="shared" si="2"/>
        <v>0</v>
      </c>
      <c r="L22" s="291"/>
      <c r="M22" s="291" t="str">
        <f t="shared" si="12"/>
        <v/>
      </c>
      <c r="N22" s="291"/>
      <c r="O22" s="291" t="str">
        <f t="shared" si="13"/>
        <v/>
      </c>
      <c r="P22" s="291"/>
      <c r="Q22" s="99" t="str">
        <f t="shared" si="5"/>
        <v/>
      </c>
      <c r="R22" s="292" t="str">
        <f>IF(C22="", "",IF(D22&lt;&gt;0,D22,
IF($E$1="Contract NY", VLOOKUP(B22,'Raw BOM'!$A$3:$G$495,7,FALSE),
IF($E$1="Contract FL", VLOOKUP(B22,'Raw BOM'!$A$3:$I$495,9,FALSE),
IF($E$1="Contract LA", VLOOKUP(B22,'Raw BOM'!$A$3:$K$495,11,FALSE),
IF($E$1="Contract WA", VLOOKUP(B22,'Raw BOM'!$A$3:$M$495,13,FALSE),
VLOOKUP(B22,'Raw BOM'!$A$3:$D$495,4,FALSE)))))))</f>
        <v/>
      </c>
      <c r="S22" s="292" t="str">
        <f t="shared" si="14"/>
        <v/>
      </c>
      <c r="T22" s="293" t="str">
        <f t="shared" si="7"/>
        <v/>
      </c>
      <c r="U22" s="293"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244</v>
      </c>
      <c r="C23" s="171">
        <v>1</v>
      </c>
      <c r="D23" s="176"/>
      <c r="E23" s="172" t="s">
        <v>1943</v>
      </c>
      <c r="F23"/>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12"/>
        <v>HW-Magtrip</v>
      </c>
      <c r="N23" s="291"/>
      <c r="O23" s="291" t="str">
        <f t="shared" si="13"/>
        <v>Hardware-Magnetic Strip Reader   *** Auto populate personal information with a swipe of a driver's license from anywhere on the screen</v>
      </c>
      <c r="P23" s="291"/>
      <c r="Q23" s="99">
        <f t="shared" si="5"/>
        <v>1</v>
      </c>
      <c r="R23" s="292">
        <f>IF(C23="", "",IF(D23&lt;&gt;0,D23,
IF($E$1="Contract NY", VLOOKUP(B23,'Raw BOM'!$A$3:$G$495,7,FALSE),
IF($E$1="Contract FL", VLOOKUP(B23,'Raw BOM'!$A$3:$I$495,9,FALSE),
IF($E$1="Contract LA", VLOOKUP(B23,'Raw BOM'!$A$3:$K$495,11,FALSE),
IF($E$1="Contract WA", VLOOKUP(B23,'Raw BOM'!$A$3:$M$495,13,FALSE),
VLOOKUP(B23,'Raw BOM'!$A$3:$D$495,4,FALSE)))))))</f>
        <v>130</v>
      </c>
      <c r="S23" s="292" t="str">
        <f t="shared" si="14"/>
        <v>HW-Magtrip</v>
      </c>
      <c r="T23" s="293">
        <f t="shared" si="7"/>
        <v>130</v>
      </c>
      <c r="U23" s="293" t="str">
        <f t="shared" si="15"/>
        <v>Hardware-Magnetic Strip Reader   *** Auto populate personal information with a swipe of a driver's license from anywhere on the screen</v>
      </c>
      <c r="V23" s="49" t="str">
        <f>IF(C23="","", VLOOKUP(B23,'Raw BOM'!$A$3:$F$495,6,FALSE))</f>
        <v>Yes</v>
      </c>
      <c r="X23" s="232">
        <f t="shared" si="9"/>
        <v>0</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655</v>
      </c>
      <c r="C24" s="171">
        <v>1</v>
      </c>
      <c r="D24" s="176"/>
      <c r="E24" s="172"/>
      <c r="F24"/>
      <c r="G24" s="305" t="str">
        <f t="shared" si="0"/>
        <v>LS4G-IDCard</v>
      </c>
      <c r="H24" s="306"/>
      <c r="I24" s="291" t="str">
        <f t="shared" si="1"/>
        <v>LiveScan 4th Gen Software-Driver License and ID Reading software</v>
      </c>
      <c r="J24" s="291"/>
      <c r="K24" s="291">
        <f t="shared" si="2"/>
        <v>0</v>
      </c>
      <c r="L24" s="291"/>
      <c r="M24" s="291" t="str">
        <f t="shared" si="12"/>
        <v>LS4G-IDCard</v>
      </c>
      <c r="N24" s="291"/>
      <c r="O24" s="291" t="str">
        <f t="shared" si="13"/>
        <v>LiveScan 4th Gen Software-Driver License and ID Reading software</v>
      </c>
      <c r="P24" s="291"/>
      <c r="Q24" s="99">
        <f t="shared" si="5"/>
        <v>1</v>
      </c>
      <c r="R24" s="292">
        <f>IF(C24="", "",IF(D24&lt;&gt;0,D24,
IF($E$1="Contract NY", VLOOKUP(B24,'Raw BOM'!$A$3:$G$495,7,FALSE),
IF($E$1="Contract FL", VLOOKUP(B24,'Raw BOM'!$A$3:$I$495,9,FALSE),
IF($E$1="Contract LA", VLOOKUP(B24,'Raw BOM'!$A$3:$K$495,11,FALSE),
IF($E$1="Contract WA", VLOOKUP(B24,'Raw BOM'!$A$3:$M$495,13,FALSE),
VLOOKUP(B24,'Raw BOM'!$A$3:$D$495,4,FALSE)))))))</f>
        <v>340</v>
      </c>
      <c r="S24" s="292" t="str">
        <f t="shared" si="14"/>
        <v>LS4G-IDCard</v>
      </c>
      <c r="T24" s="293">
        <f t="shared" si="7"/>
        <v>340</v>
      </c>
      <c r="U24" s="293"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05" t="str">
        <f t="shared" si="0"/>
        <v/>
      </c>
      <c r="H25" s="306"/>
      <c r="I25" s="291" t="str">
        <f t="shared" si="1"/>
        <v/>
      </c>
      <c r="J25" s="291"/>
      <c r="K25" s="291">
        <f t="shared" si="2"/>
        <v>0</v>
      </c>
      <c r="L25" s="291"/>
      <c r="M25" s="291" t="str">
        <f t="shared" si="12"/>
        <v/>
      </c>
      <c r="N25" s="291"/>
      <c r="O25" s="291" t="str">
        <f t="shared" si="13"/>
        <v/>
      </c>
      <c r="P25" s="291"/>
      <c r="Q25" s="99" t="str">
        <f t="shared" si="5"/>
        <v/>
      </c>
      <c r="R25" s="292" t="str">
        <f>IF(C25="", "",IF(D25&lt;&gt;0,D25,
IF($E$1="Contract NY", VLOOKUP(B25,'Raw BOM'!$A$3:$G$495,7,FALSE),
IF($E$1="Contract FL", VLOOKUP(B25,'Raw BOM'!$A$3:$I$495,9,FALSE),
IF($E$1="Contract LA", VLOOKUP(B25,'Raw BOM'!$A$3:$K$495,11,FALSE),
IF($E$1="Contract WA", VLOOKUP(B25,'Raw BOM'!$A$3:$M$495,13,FALSE),
VLOOKUP(B25,'Raw BOM'!$A$3:$D$495,4,FALSE)))))))</f>
        <v/>
      </c>
      <c r="S25" s="292" t="str">
        <f t="shared" si="14"/>
        <v/>
      </c>
      <c r="T25" s="293" t="str">
        <f t="shared" si="7"/>
        <v/>
      </c>
      <c r="U25" s="293"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537</v>
      </c>
      <c r="C26" s="171">
        <v>1</v>
      </c>
      <c r="D26" s="176"/>
      <c r="E26" s="172" t="s">
        <v>1949</v>
      </c>
      <c r="F26"/>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12"/>
        <v>Svcs-Cfg-CAPSP</v>
      </c>
      <c r="N26" s="291"/>
      <c r="O26" s="291" t="str">
        <f t="shared" si="13"/>
        <v>Services-Configuration-CA PSP Setup   *** Pick ONE of the following capture methods at the time of capture (TWO DIFFERENT BUTTONS on the screen):</v>
      </c>
      <c r="P26" s="291"/>
      <c r="Q26" s="99">
        <f t="shared" si="5"/>
        <v>1</v>
      </c>
      <c r="R26" s="292">
        <f>IF(C26="", "",IF(D26&lt;&gt;0,D26,
IF($E$1="Contract NY", VLOOKUP(B26,'Raw BOM'!$A$3:$G$495,7,FALSE),
IF($E$1="Contract FL", VLOOKUP(B26,'Raw BOM'!$A$3:$I$495,9,FALSE),
IF($E$1="Contract LA", VLOOKUP(B26,'Raw BOM'!$A$3:$K$495,11,FALSE),
IF($E$1="Contract WA", VLOOKUP(B26,'Raw BOM'!$A$3:$M$495,13,FALSE),
VLOOKUP(B26,'Raw BOM'!$A$3:$D$495,4,FALSE)))))))</f>
        <v>500</v>
      </c>
      <c r="S26" s="292" t="str">
        <f t="shared" si="14"/>
        <v>Svcs-Cfg-CAPSP</v>
      </c>
      <c r="T26" s="293">
        <f t="shared" si="7"/>
        <v>500</v>
      </c>
      <c r="U26" s="293"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1951</v>
      </c>
      <c r="F27"/>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12"/>
        <v>Misc</v>
      </c>
      <c r="N27" s="291"/>
      <c r="O27" s="291" t="str">
        <f t="shared" si="13"/>
        <v xml:space="preserve">   *** Transaction Fee - Traditional FLATS and ROLLS Method (1 to 10 minutes method): $0.75 per transaction with $150 per monthly cap</v>
      </c>
      <c r="P27" s="291"/>
      <c r="Q27" s="99" t="str">
        <f t="shared" si="5"/>
        <v/>
      </c>
      <c r="R27" s="292" t="str">
        <f>IF(C27="", "",IF(D27&lt;&gt;0,D27,
IF($E$1="Contract NY", VLOOKUP(B27,'Raw BOM'!$A$3:$G$495,7,FALSE),
IF($E$1="Contract FL", VLOOKUP(B27,'Raw BOM'!$A$3:$I$495,9,FALSE),
IF($E$1="Contract LA", VLOOKUP(B27,'Raw BOM'!$A$3:$K$495,11,FALSE),
IF($E$1="Contract WA", VLOOKUP(B27,'Raw BOM'!$A$3:$M$495,13,FALSE),
VLOOKUP(B27,'Raw BOM'!$A$3:$D$495,4,FALSE)))))))</f>
        <v/>
      </c>
      <c r="S27" s="292" t="str">
        <f t="shared" si="14"/>
        <v>Misc</v>
      </c>
      <c r="T27" s="293" t="str">
        <f t="shared" si="7"/>
        <v/>
      </c>
      <c r="U27" s="293"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1950</v>
      </c>
      <c r="F28"/>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12"/>
        <v>Misc</v>
      </c>
      <c r="N28" s="291"/>
      <c r="O28" s="291" t="str">
        <f t="shared" si="13"/>
        <v xml:space="preserve">   *** Transaction Fee - NEW FLATS ONLY Method (10 to 15 second fingerprinting): $4.00 per transaction with no cap ($2.80 per trans for 501(c)(3) organizations)</v>
      </c>
      <c r="P28" s="291"/>
      <c r="Q28" s="99" t="str">
        <f t="shared" si="5"/>
        <v/>
      </c>
      <c r="R28" s="292" t="str">
        <f>IF(C28="", "",IF(D28&lt;&gt;0,D28,
IF($E$1="Contract NY", VLOOKUP(B28,'Raw BOM'!$A$3:$G$495,7,FALSE),
IF($E$1="Contract FL", VLOOKUP(B28,'Raw BOM'!$A$3:$I$495,9,FALSE),
IF($E$1="Contract LA", VLOOKUP(B28,'Raw BOM'!$A$3:$K$495,11,FALSE),
IF($E$1="Contract WA", VLOOKUP(B28,'Raw BOM'!$A$3:$M$495,13,FALSE),
VLOOKUP(B28,'Raw BOM'!$A$3:$D$495,4,FALSE)))))))</f>
        <v/>
      </c>
      <c r="S28" s="292" t="str">
        <f t="shared" si="14"/>
        <v>Misc</v>
      </c>
      <c r="T28" s="293" t="str">
        <f t="shared" si="7"/>
        <v/>
      </c>
      <c r="U28" s="293"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05" t="str">
        <f t="shared" si="0"/>
        <v/>
      </c>
      <c r="H29" s="306"/>
      <c r="I29" s="291" t="str">
        <f t="shared" si="1"/>
        <v/>
      </c>
      <c r="J29" s="291"/>
      <c r="K29" s="291">
        <f t="shared" si="2"/>
        <v>0</v>
      </c>
      <c r="L29" s="291"/>
      <c r="M29" s="291" t="str">
        <f t="shared" si="12"/>
        <v/>
      </c>
      <c r="N29" s="291"/>
      <c r="O29" s="291" t="str">
        <f t="shared" si="13"/>
        <v/>
      </c>
      <c r="P29" s="291"/>
      <c r="Q29" s="99" t="str">
        <f t="shared" si="5"/>
        <v/>
      </c>
      <c r="R29" s="292" t="str">
        <f>IF(C29="", "",IF(D29&lt;&gt;0,D29,
IF($E$1="Contract NY", VLOOKUP(B29,'Raw BOM'!$A$3:$G$495,7,FALSE),
IF($E$1="Contract FL", VLOOKUP(B29,'Raw BOM'!$A$3:$I$495,9,FALSE),
IF($E$1="Contract LA", VLOOKUP(B29,'Raw BOM'!$A$3:$K$495,11,FALSE),
IF($E$1="Contract WA", VLOOKUP(B29,'Raw BOM'!$A$3:$M$495,13,FALSE),
VLOOKUP(B29,'Raw BOM'!$A$3:$D$495,4,FALSE)))))))</f>
        <v/>
      </c>
      <c r="S29" s="292" t="str">
        <f t="shared" si="14"/>
        <v/>
      </c>
      <c r="T29" s="293" t="str">
        <f t="shared" si="7"/>
        <v/>
      </c>
      <c r="U29" s="293"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691</v>
      </c>
      <c r="C30" s="171">
        <v>1</v>
      </c>
      <c r="D30" s="176"/>
      <c r="E30" s="173"/>
      <c r="G30" s="305" t="str">
        <f t="shared" si="0"/>
        <v>Svcs-InstallTrain</v>
      </c>
      <c r="H30" s="306"/>
      <c r="I30" s="291" t="str">
        <f t="shared" si="1"/>
        <v>Services-Installation and Training Session 4hrs (see Service Method for price)</v>
      </c>
      <c r="J30" s="291"/>
      <c r="K30" s="291">
        <f t="shared" si="2"/>
        <v>0</v>
      </c>
      <c r="L30" s="291"/>
      <c r="M30" s="291" t="str">
        <f t="shared" si="12"/>
        <v>Svcs-InstallTrain</v>
      </c>
      <c r="N30" s="291"/>
      <c r="O30" s="291" t="str">
        <f t="shared" si="13"/>
        <v>Services-Installation and Training Session 4hrs (see Service Method for price)</v>
      </c>
      <c r="P30" s="291"/>
      <c r="Q30" s="99">
        <f t="shared" si="5"/>
        <v>1</v>
      </c>
      <c r="R30" s="292">
        <f>IF(C30="", "",IF(D30&lt;&gt;0,D30,
IF($E$1="Contract NY", VLOOKUP(B30,'Raw BOM'!$A$3:$G$495,7,FALSE),
IF($E$1="Contract FL", VLOOKUP(B30,'Raw BOM'!$A$3:$I$495,9,FALSE),
IF($E$1="Contract LA", VLOOKUP(B30,'Raw BOM'!$A$3:$K$495,11,FALSE),
IF($E$1="Contract WA", VLOOKUP(B30,'Raw BOM'!$A$3:$M$495,13,FALSE),
VLOOKUP(B30,'Raw BOM'!$A$3:$D$495,4,FALSE)))))))</f>
        <v>0</v>
      </c>
      <c r="S30" s="292" t="str">
        <f t="shared" si="14"/>
        <v>Svcs-InstallTrain</v>
      </c>
      <c r="T30" s="293">
        <f t="shared" si="7"/>
        <v>0</v>
      </c>
      <c r="U30" s="293"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694</v>
      </c>
      <c r="C31" s="171">
        <v>1</v>
      </c>
      <c r="D31" s="176"/>
      <c r="E31" s="173" t="s">
        <v>1944</v>
      </c>
      <c r="G31" s="305" t="str">
        <f t="shared" ref="G31:G35" si="16">A31</f>
        <v>Svcs-Phone</v>
      </c>
      <c r="H31" s="306"/>
      <c r="I31" s="291" t="str">
        <f t="shared" ref="I31:I35" si="17">IF(B31&lt;&gt;"", B31, "")&amp;IF(E31&lt;&gt;"", "   *** "&amp;E31, "")</f>
        <v xml:space="preserve">Services Method-Remote (Phone)   *** To perform services shown in the line above. </v>
      </c>
      <c r="J31" s="291"/>
      <c r="K31" s="291" t="str">
        <f t="shared" ref="K31:K35" si="18">E31</f>
        <v xml:space="preserve">To perform services shown in the line above. </v>
      </c>
      <c r="L31" s="291"/>
      <c r="M31" s="291" t="str">
        <f t="shared" ref="M31:M35" si="19">G31</f>
        <v>Svcs-Phone</v>
      </c>
      <c r="N31" s="291"/>
      <c r="O31" s="291" t="str">
        <f t="shared" ref="O31:O35" si="20">I31</f>
        <v xml:space="preserve">Services Method-Remote (Phone)   *** To perform services shown in the line above. </v>
      </c>
      <c r="P31" s="291"/>
      <c r="Q31" s="99">
        <f t="shared" ref="Q31:Q35" si="21">IF(C31="", "", C31)</f>
        <v>1</v>
      </c>
      <c r="R31" s="292">
        <f>IF(C31="", "",IF(D31&lt;&gt;0,D31,
IF($E$1="Contract NY", VLOOKUP(B31,'Raw BOM'!$A$3:$G$495,7,FALSE),
IF($E$1="Contract FL", VLOOKUP(B31,'Raw BOM'!$A$3:$I$495,9,FALSE),
IF($E$1="Contract LA", VLOOKUP(B31,'Raw BOM'!$A$3:$K$495,11,FALSE),
IF($E$1="Contract WA", VLOOKUP(B31,'Raw BOM'!$A$3:$M$495,13,FALSE),
VLOOKUP(B31,'Raw BOM'!$A$3:$D$495,4,FALSE)))))))</f>
        <v>750</v>
      </c>
      <c r="S31" s="292" t="str">
        <f t="shared" ref="S31:S35" si="22">M31</f>
        <v>Svcs-Phone</v>
      </c>
      <c r="T31" s="293">
        <f t="shared" ref="T31:T35" si="23">IF(C31="", "", Q31*R31)</f>
        <v>750</v>
      </c>
      <c r="U31" s="293"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05" t="str">
        <f t="shared" si="16"/>
        <v/>
      </c>
      <c r="H32" s="306"/>
      <c r="I32" s="291" t="str">
        <f t="shared" si="17"/>
        <v/>
      </c>
      <c r="J32" s="291"/>
      <c r="K32" s="291">
        <f t="shared" si="18"/>
        <v>0</v>
      </c>
      <c r="L32" s="291"/>
      <c r="M32" s="291" t="str">
        <f t="shared" si="19"/>
        <v/>
      </c>
      <c r="N32" s="291"/>
      <c r="O32" s="291" t="str">
        <f t="shared" si="20"/>
        <v/>
      </c>
      <c r="P32" s="291"/>
      <c r="Q32" s="99" t="str">
        <f t="shared" si="21"/>
        <v/>
      </c>
      <c r="R32" s="292" t="str">
        <f>IF(C32="", "",IF(D32&lt;&gt;0,D32,
IF($E$1="Contract NY", VLOOKUP(B32,'Raw BOM'!$A$3:$G$495,7,FALSE),
IF($E$1="Contract FL", VLOOKUP(B32,'Raw BOM'!$A$3:$I$495,9,FALSE),
IF($E$1="Contract LA", VLOOKUP(B32,'Raw BOM'!$A$3:$K$495,11,FALSE),
IF($E$1="Contract WA", VLOOKUP(B32,'Raw BOM'!$A$3:$M$495,13,FALSE),
VLOOKUP(B32,'Raw BOM'!$A$3:$D$495,4,FALSE)))))))</f>
        <v/>
      </c>
      <c r="S32" s="292" t="str">
        <f t="shared" si="22"/>
        <v/>
      </c>
      <c r="T32" s="293" t="str">
        <f t="shared" si="23"/>
        <v/>
      </c>
      <c r="U32" s="293"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532</v>
      </c>
      <c r="C33" s="171">
        <v>1</v>
      </c>
      <c r="D33" s="176"/>
      <c r="E33" s="173"/>
      <c r="G33" s="305" t="str">
        <f t="shared" si="16"/>
        <v>Ship-L</v>
      </c>
      <c r="H33" s="306"/>
      <c r="I33" s="291" t="str">
        <f t="shared" si="17"/>
        <v>Shipping-Ground for Large Package</v>
      </c>
      <c r="J33" s="291"/>
      <c r="K33" s="291">
        <f t="shared" si="18"/>
        <v>0</v>
      </c>
      <c r="L33" s="291"/>
      <c r="M33" s="291" t="str">
        <f t="shared" si="19"/>
        <v>Ship-L</v>
      </c>
      <c r="N33" s="291"/>
      <c r="O33" s="291" t="str">
        <f t="shared" si="20"/>
        <v>Shipping-Ground for Large Package</v>
      </c>
      <c r="P33" s="291"/>
      <c r="Q33" s="99">
        <f t="shared" si="21"/>
        <v>1</v>
      </c>
      <c r="R33" s="292">
        <f>IF(C33="", "",IF(D33&lt;&gt;0,D33,
IF($E$1="Contract NY", VLOOKUP(B33,'Raw BOM'!$A$3:$G$495,7,FALSE),
IF($E$1="Contract FL", VLOOKUP(B33,'Raw BOM'!$A$3:$I$495,9,FALSE),
IF($E$1="Contract LA", VLOOKUP(B33,'Raw BOM'!$A$3:$K$495,11,FALSE),
IF($E$1="Contract WA", VLOOKUP(B33,'Raw BOM'!$A$3:$M$495,13,FALSE),
VLOOKUP(B33,'Raw BOM'!$A$3:$D$495,4,FALSE)))))))</f>
        <v>60</v>
      </c>
      <c r="S33" s="292" t="str">
        <f t="shared" si="22"/>
        <v>Ship-L</v>
      </c>
      <c r="T33" s="293">
        <f t="shared" si="23"/>
        <v>60</v>
      </c>
      <c r="U33" s="293"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373</v>
      </c>
      <c r="C34" s="171">
        <v>1</v>
      </c>
      <c r="D34" s="176"/>
      <c r="E34" s="173" t="s">
        <v>1945</v>
      </c>
      <c r="G34" s="305" t="str">
        <f t="shared" si="16"/>
        <v>Maint-Warr</v>
      </c>
      <c r="H34" s="306"/>
      <c r="I34" s="291" t="str">
        <f t="shared" si="17"/>
        <v>Maintenance-Initial Year Warranty   *** Cross Ship</v>
      </c>
      <c r="J34" s="291"/>
      <c r="K34" s="291" t="str">
        <f t="shared" si="18"/>
        <v>Cross Ship</v>
      </c>
      <c r="L34" s="291"/>
      <c r="M34" s="291" t="str">
        <f t="shared" si="19"/>
        <v>Maint-Warr</v>
      </c>
      <c r="N34" s="291"/>
      <c r="O34" s="291" t="str">
        <f t="shared" si="20"/>
        <v>Maintenance-Initial Year Warranty   *** Cross Ship</v>
      </c>
      <c r="P34" s="291"/>
      <c r="Q34" s="99">
        <f t="shared" si="21"/>
        <v>1</v>
      </c>
      <c r="R34" s="292">
        <f>IF(C34="", "",IF(D34&lt;&gt;0,D34,
IF($E$1="Contract NY", VLOOKUP(B34,'Raw BOM'!$A$3:$G$495,7,FALSE),
IF($E$1="Contract FL", VLOOKUP(B34,'Raw BOM'!$A$3:$I$495,9,FALSE),
IF($E$1="Contract LA", VLOOKUP(B34,'Raw BOM'!$A$3:$K$495,11,FALSE),
IF($E$1="Contract WA", VLOOKUP(B34,'Raw BOM'!$A$3:$M$495,13,FALSE),
VLOOKUP(B34,'Raw BOM'!$A$3:$D$495,4,FALSE)))))))</f>
        <v>0</v>
      </c>
      <c r="S34" s="292" t="str">
        <f t="shared" si="22"/>
        <v>Maint-Warr</v>
      </c>
      <c r="T34" s="293">
        <f t="shared" si="23"/>
        <v>0</v>
      </c>
      <c r="U34" s="293"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1948</v>
      </c>
      <c r="G35" s="305" t="str">
        <f t="shared" si="16"/>
        <v>Misc</v>
      </c>
      <c r="H35" s="306"/>
      <c r="I35" s="291" t="str">
        <f t="shared" si="17"/>
        <v xml:space="preserve">   *** Pick one of the following 2 Maintenance options in the 12th month.  We recommend picking 2nd line if processing more than 1,200 transactions per year.</v>
      </c>
      <c r="J35" s="291"/>
      <c r="K35" s="291" t="str">
        <f t="shared" si="18"/>
        <v>Pick one of the following 2 Maintenance options in the 12th month.  We recommend picking 2nd line if processing more than 1,200 transactions per year.</v>
      </c>
      <c r="L35" s="291"/>
      <c r="M35" s="291" t="str">
        <f t="shared" si="19"/>
        <v>Misc</v>
      </c>
      <c r="N35" s="291"/>
      <c r="O35" s="291" t="str">
        <f t="shared" si="20"/>
        <v xml:space="preserve">   *** Pick one of the following 2 Maintenance options in the 12th month.  We recommend picking 2nd line if processing more than 1,200 transactions per year.</v>
      </c>
      <c r="P35" s="291"/>
      <c r="Q35" s="99" t="str">
        <f t="shared" si="21"/>
        <v/>
      </c>
      <c r="R35" s="292" t="str">
        <f>IF(C35="", "",IF(D35&lt;&gt;0,D35,
IF($E$1="Contract NY", VLOOKUP(B35,'Raw BOM'!$A$3:$G$495,7,FALSE),
IF($E$1="Contract FL", VLOOKUP(B35,'Raw BOM'!$A$3:$I$495,9,FALSE),
IF($E$1="Contract LA", VLOOKUP(B35,'Raw BOM'!$A$3:$K$495,11,FALSE),
IF($E$1="Contract WA", VLOOKUP(B35,'Raw BOM'!$A$3:$M$495,13,FALSE),
VLOOKUP(B35,'Raw BOM'!$A$3:$D$495,4,FALSE)))))))</f>
        <v/>
      </c>
      <c r="S35" s="292" t="str">
        <f t="shared" si="22"/>
        <v>Misc</v>
      </c>
      <c r="T35" s="293" t="str">
        <f t="shared" si="23"/>
        <v/>
      </c>
      <c r="U35" s="293"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664</v>
      </c>
      <c r="C36" s="171">
        <v>0</v>
      </c>
      <c r="D36" s="176">
        <v>495</v>
      </c>
      <c r="E36" s="173" t="s">
        <v>1946</v>
      </c>
      <c r="F36" s="193">
        <f>ROUND(S41*0.08,-1)</f>
        <v>460</v>
      </c>
      <c r="G36" s="305" t="str">
        <f>A36</f>
        <v>Maint-9X5-SW-App</v>
      </c>
      <c r="H36" s="306"/>
      <c r="I36" s="291" t="str">
        <f>IF(B36&lt;&gt;"", B36, "")&amp;IF(E36&lt;&gt;"", "   *** "&amp;E36, "")</f>
        <v>Maintenance-9X5 Software Only Support Applicant   *** Software Only coverage, per system</v>
      </c>
      <c r="J36" s="291"/>
      <c r="K36" s="291" t="str">
        <f>E36</f>
        <v>Software Only coverage, per system</v>
      </c>
      <c r="L36" s="291"/>
      <c r="M36" s="291" t="str">
        <f t="shared" si="12"/>
        <v>Maint-9X5-SW-App</v>
      </c>
      <c r="N36" s="291"/>
      <c r="O36" s="291" t="str">
        <f t="shared" si="13"/>
        <v>Maintenance-9X5 Software Only Support Applicant   *** Software Only coverage, per system</v>
      </c>
      <c r="P36" s="291"/>
      <c r="Q36" s="99">
        <f>IF(C36="", "", C36)</f>
        <v>0</v>
      </c>
      <c r="R36" s="292">
        <f>IF(C36="", "",IF(D36&lt;&gt;0,D36,
IF($E$1="Contract NY", VLOOKUP(B36,'Raw BOM'!$A$3:$G$495,7,FALSE),
IF($E$1="Contract FL", VLOOKUP(B36,'Raw BOM'!$A$3:$I$495,9,FALSE),
IF($E$1="Contract LA", VLOOKUP(B36,'Raw BOM'!$A$3:$K$495,11,FALSE),
IF($E$1="Contract WA", VLOOKUP(B36,'Raw BOM'!$A$3:$M$495,13,FALSE),
VLOOKUP(B36,'Raw BOM'!$A$3:$D$495,4,FALSE)))))))</f>
        <v>495</v>
      </c>
      <c r="S36" s="292" t="str">
        <f t="shared" si="14"/>
        <v>Maint-9X5-SW-App</v>
      </c>
      <c r="T36" s="293">
        <f>IF(C36="", "", Q36*R36)</f>
        <v>0</v>
      </c>
      <c r="U36" s="293"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660</v>
      </c>
      <c r="C37" s="171">
        <v>0</v>
      </c>
      <c r="D37" s="176">
        <v>960</v>
      </c>
      <c r="E37" s="173" t="s">
        <v>1947</v>
      </c>
      <c r="F37" s="193">
        <f>ROUND(S41*0.12,-1)</f>
        <v>690</v>
      </c>
      <c r="G37" s="305" t="str">
        <f>A37</f>
        <v>Maint-9X5-Remote</v>
      </c>
      <c r="H37" s="306"/>
      <c r="I37" s="291" t="str">
        <f>IF(B37&lt;&gt;"", B37, "")&amp;IF(E37&lt;&gt;"", "   *** "&amp;E37, "")</f>
        <v>Maintenance-9 X 5 (8am - 5pm, M-F) Remote with Cross Ship   *** Software and Hardware Coverage, per system</v>
      </c>
      <c r="J37" s="291"/>
      <c r="K37" s="291" t="str">
        <f>E37</f>
        <v>Software and Hardware Coverage, per system</v>
      </c>
      <c r="L37" s="291"/>
      <c r="M37" s="291" t="str">
        <f t="shared" ref="M37:M39" si="29">G37</f>
        <v>Maint-9X5-Remote</v>
      </c>
      <c r="N37" s="291"/>
      <c r="O37" s="291" t="str">
        <f t="shared" ref="O37:O39" si="30">I37</f>
        <v>Maintenance-9 X 5 (8am - 5pm, M-F) Remote with Cross Ship   *** Software and Hardware Coverage, per system</v>
      </c>
      <c r="P37" s="291"/>
      <c r="Q37" s="99">
        <f>IF(C37="", "", C37)</f>
        <v>0</v>
      </c>
      <c r="R37" s="292">
        <f>IF(C37="", "",IF(D37&lt;&gt;0,D37,
IF($E$1="Contract NY", VLOOKUP(B37,'Raw BOM'!$A$3:$G$495,7,FALSE),
IF($E$1="Contract FL", VLOOKUP(B37,'Raw BOM'!$A$3:$I$495,9,FALSE),
IF($E$1="Contract LA", VLOOKUP(B37,'Raw BOM'!$A$3:$K$495,11,FALSE),
IF($E$1="Contract WA", VLOOKUP(B37,'Raw BOM'!$A$3:$M$495,13,FALSE),
VLOOKUP(B37,'Raw BOM'!$A$3:$D$495,4,FALSE)))))))</f>
        <v>960</v>
      </c>
      <c r="S37" s="292" t="str">
        <f t="shared" si="14"/>
        <v>Maint-9X5-Remote</v>
      </c>
      <c r="T37" s="293">
        <f>IF(C37="", "", Q37*R37)</f>
        <v>0</v>
      </c>
      <c r="U37" s="293"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05" t="str">
        <f>A38</f>
        <v/>
      </c>
      <c r="H38" s="306"/>
      <c r="I38" s="291" t="str">
        <f>IF(B38&lt;&gt;"", B38, "")&amp;IF(E38&lt;&gt;"", "   *** "&amp;E38, "")</f>
        <v/>
      </c>
      <c r="J38" s="291"/>
      <c r="K38" s="291">
        <f>E38</f>
        <v>0</v>
      </c>
      <c r="L38" s="291"/>
      <c r="M38" s="291" t="str">
        <f t="shared" si="29"/>
        <v/>
      </c>
      <c r="N38" s="291"/>
      <c r="O38" s="291" t="str">
        <f t="shared" si="30"/>
        <v/>
      </c>
      <c r="P38" s="291"/>
      <c r="Q38" s="99" t="str">
        <f>IF(C38="", "", C38)</f>
        <v/>
      </c>
      <c r="R38" s="292" t="str">
        <f>IF(C38="", "",IF(D38&lt;&gt;0,D38,
IF($E$1="Contract NY", VLOOKUP(B38,'Raw BOM'!$A$3:$G$495,7,FALSE),
IF($E$1="Contract FL", VLOOKUP(B38,'Raw BOM'!$A$3:$I$495,9,FALSE),
IF($E$1="Contract LA", VLOOKUP(B38,'Raw BOM'!$A$3:$K$495,11,FALSE),
IF($E$1="Contract WA", VLOOKUP(B38,'Raw BOM'!$A$3:$M$495,13,FALSE),
VLOOKUP(B38,'Raw BOM'!$A$3:$D$495,4,FALSE)))))))</f>
        <v/>
      </c>
      <c r="S38" s="292" t="str">
        <f t="shared" si="14"/>
        <v/>
      </c>
      <c r="T38" s="293" t="str">
        <f>IF(C38="", "", Q38*R38)</f>
        <v/>
      </c>
      <c r="U38" s="293"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296" t="str">
        <f>A39</f>
        <v/>
      </c>
      <c r="H39" s="297"/>
      <c r="I39" s="298" t="str">
        <f>IF(B39&lt;&gt;"", B39, "")&amp;IF(E39&lt;&gt;"", "   *** "&amp;E39, "")</f>
        <v/>
      </c>
      <c r="J39" s="298"/>
      <c r="K39" s="298">
        <f>E39</f>
        <v>0</v>
      </c>
      <c r="L39" s="298"/>
      <c r="M39" s="298" t="str">
        <f t="shared" si="29"/>
        <v/>
      </c>
      <c r="N39" s="298"/>
      <c r="O39" s="298" t="str">
        <f t="shared" si="30"/>
        <v/>
      </c>
      <c r="P39" s="298"/>
      <c r="Q39" s="96" t="str">
        <f>IF(C39="", "", C39)</f>
        <v/>
      </c>
      <c r="R39" s="299" t="str">
        <f>IF(C39="", "",IF(D39&lt;&gt;0,D39,
IF($E$1="Contract NY", VLOOKUP(B39,'Raw BOM'!$A$3:$G$495,7,FALSE),
IF($E$1="Contract FL", VLOOKUP(B39,'Raw BOM'!$A$3:$I$495,9,FALSE),
IF($E$1="Contract LA", VLOOKUP(B39,'Raw BOM'!$A$3:$K$495,11,FALSE),
IF($E$1="Contract WA", VLOOKUP(B39,'Raw BOM'!$A$3:$M$495,13,FALSE),
VLOOKUP(B39,'Raw BOM'!$A$3:$D$495,4,FALSE)))))))</f>
        <v/>
      </c>
      <c r="S39" s="299" t="str">
        <f t="shared" si="14"/>
        <v/>
      </c>
      <c r="T39" s="300" t="str">
        <f>IF(C39="", "", Q39*R39)</f>
        <v/>
      </c>
      <c r="U39" s="300"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47" t="s">
        <v>1513</v>
      </c>
      <c r="H41" s="348"/>
      <c r="I41" s="348"/>
      <c r="J41" s="348"/>
      <c r="K41" s="348"/>
      <c r="L41" s="348"/>
      <c r="M41" s="349"/>
      <c r="N41" s="356" t="s">
        <v>1922</v>
      </c>
      <c r="O41" s="357"/>
      <c r="P41" s="57"/>
      <c r="Q41" s="57"/>
      <c r="R41" s="58" t="s">
        <v>333</v>
      </c>
      <c r="S41" s="341">
        <f>SUMIF(T19:U35,"&gt;0")</f>
        <v>5720</v>
      </c>
      <c r="T41" s="342"/>
      <c r="U41" s="343"/>
      <c r="V41" s="200"/>
      <c r="Y41" s="195"/>
    </row>
    <row r="42" spans="1:30" ht="17.25" customHeight="1" outlineLevel="1" thickBot="1" x14ac:dyDescent="0.3">
      <c r="A42" s="65"/>
      <c r="B42" s="65"/>
      <c r="C42" s="65"/>
      <c r="D42" s="65"/>
      <c r="E42" s="65"/>
      <c r="G42" s="350"/>
      <c r="H42" s="351"/>
      <c r="I42" s="351"/>
      <c r="J42" s="351"/>
      <c r="K42" s="351"/>
      <c r="L42" s="351"/>
      <c r="M42" s="352"/>
      <c r="N42" s="356" t="str">
        <f>"PT: "&amp;LEFT(B1,2)&amp;RIGHT(B1,2)</f>
        <v>PT: Apte</v>
      </c>
      <c r="O42" s="357"/>
      <c r="P42" s="57"/>
      <c r="Q42" s="57"/>
      <c r="R42" s="58" t="str">
        <f>IF(X42&gt;0,"Discount on Taxable Items:", "")</f>
        <v>Discount on Taxable Items:</v>
      </c>
      <c r="S42" s="344">
        <f>IF(X42&gt;0, -X42, 0)</f>
        <v>-546</v>
      </c>
      <c r="T42" s="345"/>
      <c r="U42" s="346"/>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3">
        <f>IF(S43&lt;&gt;"", S43/S41, "")</f>
        <v>-0.22538461538461541</v>
      </c>
      <c r="X43" s="183">
        <f>SUM(AB19:AB39)</f>
        <v>1289.2</v>
      </c>
      <c r="AD43">
        <f>IFERROR(SUMIF(T19:U35,"&lt;0"),0)</f>
        <v>0</v>
      </c>
    </row>
    <row r="44" spans="1:30" ht="17.25" customHeight="1" outlineLevel="1" thickBot="1" x14ac:dyDescent="0.3">
      <c r="A44" s="65"/>
      <c r="B44" s="65"/>
      <c r="C44" s="65"/>
      <c r="D44" s="65"/>
      <c r="E44" s="65"/>
      <c r="G44" s="350"/>
      <c r="H44" s="351"/>
      <c r="I44" s="351"/>
      <c r="J44" s="351"/>
      <c r="K44" s="351"/>
      <c r="L44" s="351"/>
      <c r="M44" s="352"/>
      <c r="N44" s="56"/>
      <c r="P44" s="57"/>
      <c r="R44" s="58" t="s">
        <v>1442</v>
      </c>
      <c r="S44" s="341">
        <f>SUM(T36:U39)</f>
        <v>0</v>
      </c>
      <c r="T44" s="342"/>
      <c r="U44" s="343"/>
      <c r="V44" s="203"/>
      <c r="X44" s="183"/>
    </row>
    <row r="45" spans="1:30" ht="17.25" customHeight="1" outlineLevel="1" thickBot="1" x14ac:dyDescent="0.3">
      <c r="A45" s="65"/>
      <c r="B45" s="65"/>
      <c r="C45" s="65"/>
      <c r="D45" s="65"/>
      <c r="E45" s="65"/>
      <c r="G45" s="350"/>
      <c r="H45" s="351"/>
      <c r="I45" s="351"/>
      <c r="J45" s="351"/>
      <c r="K45" s="351"/>
      <c r="L45" s="351"/>
      <c r="M45" s="352"/>
      <c r="N45" s="56"/>
      <c r="P45" s="57"/>
      <c r="Q45" s="57"/>
      <c r="R45" s="58" t="s">
        <v>649</v>
      </c>
      <c r="S45" s="344" t="str">
        <f>IF(B11=0, "Tax Exempt", X45)</f>
        <v>Tax Exempt</v>
      </c>
      <c r="T45" s="345"/>
      <c r="U45" s="346"/>
      <c r="V45" s="254">
        <f>B11</f>
        <v>0</v>
      </c>
      <c r="X45" s="183">
        <f>IF(ISNUMBER(SEARCH(", WA",B10)), SUM(S41:U44)*B11, SUM(X19:X39))</f>
        <v>0</v>
      </c>
    </row>
    <row r="46" spans="1:30" ht="17.25" customHeight="1" outlineLevel="1" thickBot="1" x14ac:dyDescent="0.3">
      <c r="A46" s="65"/>
      <c r="B46" s="65"/>
      <c r="C46" s="65"/>
      <c r="D46" s="65"/>
      <c r="E46" s="65"/>
      <c r="G46" s="353"/>
      <c r="H46" s="354"/>
      <c r="I46" s="354"/>
      <c r="J46" s="354"/>
      <c r="K46" s="354"/>
      <c r="L46" s="354"/>
      <c r="M46" s="355"/>
      <c r="N46" s="56"/>
      <c r="P46" s="57"/>
      <c r="Q46" s="57"/>
      <c r="R46" s="58" t="s">
        <v>334</v>
      </c>
      <c r="S46" s="374">
        <f>SUM(S41:U45)</f>
        <v>3884.8</v>
      </c>
      <c r="T46" s="375"/>
      <c r="U46" s="376"/>
      <c r="V46" s="202"/>
    </row>
    <row r="47" spans="1:30" ht="5.25" customHeight="1" thickBot="1" x14ac:dyDescent="0.3">
      <c r="A47" s="65"/>
      <c r="B47" s="65"/>
      <c r="C47" s="65"/>
      <c r="D47" s="65"/>
      <c r="E47" s="65"/>
    </row>
    <row r="48" spans="1:30" ht="15" customHeight="1" outlineLevel="1" x14ac:dyDescent="0.25">
      <c r="A48" s="65"/>
      <c r="B48" s="65"/>
      <c r="C48" s="65"/>
      <c r="D48" s="65"/>
      <c r="E48" s="65"/>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25">
      <c r="A49" s="65"/>
      <c r="B49" s="65"/>
      <c r="C49" s="65"/>
      <c r="D49" s="65"/>
      <c r="E49" s="65"/>
      <c r="G49" s="368"/>
      <c r="H49" s="369"/>
      <c r="I49" s="369"/>
      <c r="J49" s="369"/>
      <c r="K49" s="369"/>
      <c r="L49" s="369"/>
      <c r="M49" s="369"/>
      <c r="N49" s="369"/>
      <c r="O49" s="369"/>
      <c r="P49" s="369"/>
      <c r="Q49" s="369"/>
      <c r="R49" s="369"/>
      <c r="S49" s="369"/>
      <c r="T49" s="369"/>
      <c r="U49" s="369"/>
      <c r="V49" s="370"/>
    </row>
    <row r="50" spans="1:22" outlineLevel="1" x14ac:dyDescent="0.25">
      <c r="A50" s="65"/>
      <c r="B50" s="65"/>
      <c r="C50" s="65"/>
      <c r="D50" s="65"/>
      <c r="E50" s="65"/>
      <c r="G50" s="368"/>
      <c r="H50" s="369"/>
      <c r="I50" s="369"/>
      <c r="J50" s="369"/>
      <c r="K50" s="369"/>
      <c r="L50" s="369"/>
      <c r="M50" s="369"/>
      <c r="N50" s="369"/>
      <c r="O50" s="369"/>
      <c r="P50" s="369"/>
      <c r="Q50" s="369"/>
      <c r="R50" s="369"/>
      <c r="S50" s="369"/>
      <c r="T50" s="369"/>
      <c r="U50" s="369"/>
      <c r="V50" s="370"/>
    </row>
    <row r="51" spans="1:22" outlineLevel="1" x14ac:dyDescent="0.25">
      <c r="A51" s="65"/>
      <c r="B51" s="65"/>
      <c r="C51" s="65"/>
      <c r="D51" s="65"/>
      <c r="E51" s="65"/>
      <c r="G51" s="368"/>
      <c r="H51" s="369"/>
      <c r="I51" s="369"/>
      <c r="J51" s="369"/>
      <c r="K51" s="369"/>
      <c r="L51" s="369"/>
      <c r="M51" s="369"/>
      <c r="N51" s="369"/>
      <c r="O51" s="369"/>
      <c r="P51" s="369"/>
      <c r="Q51" s="369"/>
      <c r="R51" s="369"/>
      <c r="S51" s="369"/>
      <c r="T51" s="369"/>
      <c r="U51" s="369"/>
      <c r="V51" s="370"/>
    </row>
    <row r="52" spans="1:22" outlineLevel="1" x14ac:dyDescent="0.25">
      <c r="A52" s="65"/>
      <c r="B52" s="65"/>
      <c r="C52" s="65"/>
      <c r="D52" s="65"/>
      <c r="E52" s="65"/>
      <c r="G52" s="368"/>
      <c r="H52" s="369"/>
      <c r="I52" s="369"/>
      <c r="J52" s="369"/>
      <c r="K52" s="369"/>
      <c r="L52" s="369"/>
      <c r="M52" s="369"/>
      <c r="N52" s="369"/>
      <c r="O52" s="369"/>
      <c r="P52" s="369"/>
      <c r="Q52" s="369"/>
      <c r="R52" s="369"/>
      <c r="S52" s="369"/>
      <c r="T52" s="369"/>
      <c r="U52" s="369"/>
      <c r="V52" s="370"/>
    </row>
    <row r="53" spans="1:22" outlineLevel="1" x14ac:dyDescent="0.25">
      <c r="A53" s="65"/>
      <c r="B53" s="65"/>
      <c r="C53" s="65"/>
      <c r="D53" s="65"/>
      <c r="E53" s="65"/>
      <c r="G53" s="368"/>
      <c r="H53" s="369"/>
      <c r="I53" s="369"/>
      <c r="J53" s="369"/>
      <c r="K53" s="369"/>
      <c r="L53" s="369"/>
      <c r="M53" s="369"/>
      <c r="N53" s="369"/>
      <c r="O53" s="369"/>
      <c r="P53" s="369"/>
      <c r="Q53" s="369"/>
      <c r="R53" s="369"/>
      <c r="S53" s="369"/>
      <c r="T53" s="369"/>
      <c r="U53" s="369"/>
      <c r="V53" s="370"/>
    </row>
    <row r="54" spans="1:22" ht="15.75" outlineLevel="1" thickBot="1" x14ac:dyDescent="0.3">
      <c r="A54" s="65"/>
      <c r="B54" s="65"/>
      <c r="C54" s="65"/>
      <c r="D54" s="65"/>
      <c r="E54" s="65"/>
      <c r="G54" s="371"/>
      <c r="H54" s="372"/>
      <c r="I54" s="372"/>
      <c r="J54" s="372"/>
      <c r="K54" s="372"/>
      <c r="L54" s="372"/>
      <c r="M54" s="372"/>
      <c r="N54" s="372"/>
      <c r="O54" s="372"/>
      <c r="P54" s="372"/>
      <c r="Q54" s="372"/>
      <c r="R54" s="372"/>
      <c r="S54" s="372"/>
      <c r="T54" s="372"/>
      <c r="U54" s="372"/>
      <c r="V54" s="373"/>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algorithmName="SHA-512" hashValue="AtzaHZTOcfXstDaETon4xHsrzWg98ZnmWNJi1TT2j2TdkyrqbBKxe94g7VnODVwxHoXs7K2rd+Fc192yPniORg==" saltValue="NeFYwCMmOrGZ2d6qlxnSrw==" spinCount="100000" sheet="1" selectLockedCells="1"/>
  <mergeCells count="136">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135</v>
      </c>
      <c r="B1" s="14" t="s">
        <v>679</v>
      </c>
      <c r="C1" s="377" t="s">
        <v>390</v>
      </c>
      <c r="D1" s="378"/>
      <c r="E1" s="15" t="str">
        <f>VLOOKUP(B1,'Pricing Model'!A1:C21,3)</f>
        <v>Discount Based</v>
      </c>
    </row>
    <row r="2" spans="1:22" ht="18" customHeight="1" outlineLevel="1" thickBot="1" x14ac:dyDescent="0.3">
      <c r="A2" s="17" t="s">
        <v>335</v>
      </c>
      <c r="B2" s="18" t="str">
        <f>'Blank Quote'!B2</f>
        <v>Business Name</v>
      </c>
      <c r="C2" s="379" t="s">
        <v>445</v>
      </c>
      <c r="D2" s="380"/>
      <c r="E2" s="19">
        <f>IF(E1="Discount Based", VLOOKUP(B1,'Pricing Model'!A1:D21,4), "")</f>
        <v>0.22</v>
      </c>
      <c r="P2" s="307" t="s">
        <v>968</v>
      </c>
      <c r="Q2" s="307"/>
      <c r="R2" s="307"/>
      <c r="S2" s="307"/>
      <c r="T2" s="307"/>
      <c r="U2" s="307"/>
    </row>
    <row r="3" spans="1:22" ht="18" customHeight="1" outlineLevel="1" x14ac:dyDescent="0.25">
      <c r="A3" s="17" t="s">
        <v>336</v>
      </c>
      <c r="B3" s="18" t="str">
        <f>'Blank Quote'!B3</f>
        <v>FirstName LastName</v>
      </c>
      <c r="C3" s="379" t="s">
        <v>446</v>
      </c>
      <c r="D3" s="380"/>
      <c r="E3" s="19">
        <f>IF(E1="Discount Based", VLOOKUP(B1,'Pricing Model'!A1:E21,5), "")</f>
        <v>0.46</v>
      </c>
    </row>
    <row r="4" spans="1:22" ht="18" customHeight="1" outlineLevel="1" x14ac:dyDescent="0.25">
      <c r="A4" s="20" t="s">
        <v>337</v>
      </c>
      <c r="B4" s="21" t="str">
        <f>'Blank Quote'!B4</f>
        <v>Number | email</v>
      </c>
      <c r="C4" s="379" t="s">
        <v>447</v>
      </c>
      <c r="D4" s="380"/>
      <c r="E4" s="19" t="str">
        <f>IF(E1="Cost Based", VLOOKUP(B1,'Pricing Model'!A1:F21,6), "")</f>
        <v/>
      </c>
      <c r="G4" s="322" t="s">
        <v>145</v>
      </c>
      <c r="H4" s="322"/>
      <c r="I4" s="322"/>
      <c r="J4" s="322"/>
      <c r="K4" s="322"/>
      <c r="L4" s="322"/>
      <c r="M4" s="22"/>
      <c r="P4" s="321" t="s">
        <v>142</v>
      </c>
      <c r="Q4" s="321"/>
      <c r="R4" s="321"/>
      <c r="S4" s="321"/>
      <c r="T4" s="321"/>
      <c r="U4" s="321"/>
    </row>
    <row r="5" spans="1:22" ht="18" customHeight="1" outlineLevel="1" thickBot="1" x14ac:dyDescent="0.3">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outlineLevel="1" thickBot="1" x14ac:dyDescent="0.3">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18" customHeight="1" outlineLevel="1" thickBot="1" x14ac:dyDescent="0.4">
      <c r="A7" s="17" t="s">
        <v>338</v>
      </c>
      <c r="B7" s="18" t="str">
        <f>'Blank Quote'!B7</f>
        <v>FirstName LastName</v>
      </c>
      <c r="C7" s="25"/>
      <c r="D7" s="25"/>
      <c r="E7" s="25"/>
      <c r="G7" s="26"/>
    </row>
    <row r="8" spans="1:22" ht="18" customHeight="1" outlineLevel="1" thickBot="1" x14ac:dyDescent="0.3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outlineLevel="1" x14ac:dyDescent="0.25">
      <c r="A9" s="20" t="s">
        <v>131</v>
      </c>
      <c r="B9" s="21" t="str">
        <f>'Blank Quote'!B9</f>
        <v>Address1</v>
      </c>
      <c r="C9" s="25"/>
      <c r="D9" s="25"/>
      <c r="E9" s="25"/>
      <c r="G9" s="335" t="str">
        <f>IF('Blank Quote'!B2="", "", 'Blank Quote'!B2)</f>
        <v>Business Name</v>
      </c>
      <c r="H9" s="336"/>
      <c r="I9" s="336"/>
      <c r="J9" s="336"/>
      <c r="K9" s="336"/>
      <c r="L9" s="336"/>
      <c r="M9" s="337"/>
      <c r="O9" s="326" t="str">
        <f>IF('Blank Quote'!B2="", "", 'Blank Quote'!B2)</f>
        <v>Business Name</v>
      </c>
      <c r="P9" s="327"/>
      <c r="Q9" s="327"/>
      <c r="R9" s="327"/>
      <c r="S9" s="327"/>
      <c r="T9" s="327"/>
      <c r="U9" s="327"/>
      <c r="V9" s="328"/>
    </row>
    <row r="10" spans="1:22" ht="18" customHeight="1" outlineLevel="1" thickBot="1" x14ac:dyDescent="0.3">
      <c r="A10" s="27" t="s">
        <v>132</v>
      </c>
      <c r="B10" s="24" t="str">
        <f>'Blank Quote'!B10</f>
        <v>City, State Zip</v>
      </c>
      <c r="C10" s="25"/>
      <c r="D10" s="25"/>
      <c r="E10" s="25"/>
      <c r="G10" s="326" t="str">
        <f>IF('Blank Quote'!B3="", "", 'Blank Quote'!B3)</f>
        <v>FirstName LastName</v>
      </c>
      <c r="H10" s="327"/>
      <c r="I10" s="327"/>
      <c r="J10" s="327"/>
      <c r="K10" s="327"/>
      <c r="L10" s="327"/>
      <c r="M10" s="328"/>
      <c r="O10" s="326" t="str">
        <f>IF('Blank Quote'!B7="", "", 'Blank Quote'!B7)</f>
        <v>FirstName LastName</v>
      </c>
      <c r="P10" s="327"/>
      <c r="Q10" s="327"/>
      <c r="R10" s="327"/>
      <c r="S10" s="327"/>
      <c r="T10" s="327"/>
      <c r="U10" s="327"/>
      <c r="V10" s="328"/>
    </row>
    <row r="11" spans="1:22" ht="18" customHeight="1" outlineLevel="1" thickBot="1" x14ac:dyDescent="0.3">
      <c r="A11" s="27" t="s">
        <v>370</v>
      </c>
      <c r="B11" s="28">
        <v>0</v>
      </c>
      <c r="C11" s="25"/>
      <c r="D11" s="25"/>
      <c r="E11" s="25"/>
      <c r="G11" s="326" t="str">
        <f>IF('Blank Quote'!B4="", "", 'Blank Quote'!B4)</f>
        <v>Number | email</v>
      </c>
      <c r="H11" s="327"/>
      <c r="I11" s="327"/>
      <c r="J11" s="327"/>
      <c r="K11" s="327"/>
      <c r="L11" s="327"/>
      <c r="M11" s="328"/>
      <c r="O11" s="326" t="str">
        <f>IF('Blank Quote'!B8="", "", 'Blank Quote'!B8)</f>
        <v>Number | email</v>
      </c>
      <c r="P11" s="327"/>
      <c r="Q11" s="327"/>
      <c r="R11" s="327"/>
      <c r="S11" s="327"/>
      <c r="T11" s="327"/>
      <c r="U11" s="327"/>
      <c r="V11" s="328"/>
    </row>
    <row r="12" spans="1:22" ht="18" customHeight="1" outlineLevel="1" thickBot="1" x14ac:dyDescent="0.3">
      <c r="A12" s="13" t="s">
        <v>443</v>
      </c>
      <c r="B12" s="29" t="str">
        <f>'Blank Quote'!B12</f>
        <v>EC</v>
      </c>
      <c r="C12" s="25"/>
      <c r="D12" s="25"/>
      <c r="E12" s="25"/>
      <c r="G12" s="326" t="str">
        <f>IF('Blank Quote'!B5="", "", 'Blank Quote'!B5)</f>
        <v>Address1</v>
      </c>
      <c r="H12" s="327"/>
      <c r="I12" s="327"/>
      <c r="J12" s="327"/>
      <c r="K12" s="327"/>
      <c r="L12" s="327"/>
      <c r="M12" s="328"/>
      <c r="O12" s="326" t="str">
        <f>IF('Blank Quote'!B9="", "", 'Blank Quote'!B9)</f>
        <v>Address1</v>
      </c>
      <c r="P12" s="327"/>
      <c r="Q12" s="327"/>
      <c r="R12" s="327"/>
      <c r="S12" s="327"/>
      <c r="T12" s="327"/>
      <c r="U12" s="327"/>
      <c r="V12" s="328"/>
    </row>
    <row r="13" spans="1:22" ht="18" customHeight="1" outlineLevel="1" thickBot="1" x14ac:dyDescent="0.3">
      <c r="A13" s="13" t="s">
        <v>129</v>
      </c>
      <c r="B13" s="30" t="str">
        <f>'Blank Quote'!B13</f>
        <v>Ground</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row>
    <row r="14" spans="1:22" ht="5.25" customHeight="1" outlineLevel="1" thickBot="1" x14ac:dyDescent="0.3">
      <c r="B14" s="31"/>
      <c r="C14" s="25"/>
      <c r="D14" s="25"/>
      <c r="E14" s="25"/>
    </row>
    <row r="15" spans="1:22" ht="16.5" outlineLevel="1" thickBot="1" x14ac:dyDescent="0.3">
      <c r="A15" s="32" t="s">
        <v>398</v>
      </c>
      <c r="B15" s="33" t="str">
        <f>VLOOKUP(B1,'Pricing Model'!A1:J21,10)</f>
        <v>Public</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75" outlineLevel="1" thickBot="1" x14ac:dyDescent="0.3">
      <c r="A16" s="34" t="s">
        <v>444</v>
      </c>
      <c r="B16" s="33">
        <f>VLOOKUP(B1,'Pricing Model'!A1:H21,8)</f>
        <v>0</v>
      </c>
      <c r="C16" s="25"/>
      <c r="D16" s="25"/>
      <c r="E16" s="25"/>
      <c r="G16" s="313">
        <f ca="1">TODAY()</f>
        <v>45110</v>
      </c>
      <c r="H16" s="314"/>
      <c r="I16" s="315">
        <f ca="1">NOW()</f>
        <v>45110.433634490742</v>
      </c>
      <c r="J16" s="316"/>
      <c r="K16" s="317"/>
      <c r="L16" s="318" t="str">
        <f>Distributor!B12</f>
        <v>EC</v>
      </c>
      <c r="M16" s="319"/>
      <c r="N16" s="320"/>
      <c r="O16" s="318" t="str">
        <f>VLOOKUP(B1,'Pricing Model'!A1:I21,9)</f>
        <v>Net 30</v>
      </c>
      <c r="P16" s="320"/>
      <c r="Q16" s="318" t="str">
        <f>B13</f>
        <v>Ground</v>
      </c>
      <c r="R16" s="319"/>
      <c r="S16" s="318" t="str">
        <f>IF(B16&lt;&gt;0,B16,"")</f>
        <v/>
      </c>
      <c r="T16" s="319"/>
      <c r="U16" s="319"/>
      <c r="V16" s="320"/>
    </row>
    <row r="17" spans="1:31" ht="5.25" customHeight="1" outlineLevel="1" thickBot="1" x14ac:dyDescent="0.3">
      <c r="D17" s="35"/>
    </row>
    <row r="18" spans="1:31" ht="17.25" thickTop="1" thickBot="1" x14ac:dyDescent="0.3">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384" t="s">
        <v>127</v>
      </c>
      <c r="Y18" s="384"/>
      <c r="Z18" s="384" t="s">
        <v>126</v>
      </c>
      <c r="AA18" s="384"/>
      <c r="AB18" s="181" t="s">
        <v>529</v>
      </c>
      <c r="AC18" s="181" t="s">
        <v>528</v>
      </c>
      <c r="AD18" s="181" t="s">
        <v>530</v>
      </c>
      <c r="AE18" s="181" t="s">
        <v>531</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5" t="str">
        <f>A19</f>
        <v>HW-LT-Std-Home</v>
      </c>
      <c r="H19" s="386"/>
      <c r="I19" s="387" t="str">
        <f>IF(B19&lt;&gt;"", B19, "")&amp;IF(E19&lt;&gt;"", "   *** "&amp;E19, "")</f>
        <v>Hardware-Laptop-Standard with Windows Home Edition   *** Standard with Windows 11</v>
      </c>
      <c r="J19" s="387"/>
      <c r="K19" s="387"/>
      <c r="L19" s="387"/>
      <c r="M19" s="387"/>
      <c r="N19" s="387"/>
      <c r="O19" s="387"/>
      <c r="P19" s="387"/>
      <c r="Q19" s="136">
        <f>IF(C19="", "", C19)</f>
        <v>1</v>
      </c>
      <c r="R19" s="388">
        <f>IF(C19="","",Z19-SUM(AB19:AC19))</f>
        <v>585</v>
      </c>
      <c r="S19" s="388"/>
      <c r="T19" s="388">
        <f>IF(C19="","",Q19*R19)</f>
        <v>585</v>
      </c>
      <c r="U19" s="388"/>
      <c r="V19" s="137" t="str">
        <f>IF(C19="","", VLOOKUP(B19,'Raw BOM'!$A$3:$F$495,6,FALSE))</f>
        <v>Yes</v>
      </c>
      <c r="X19" s="383">
        <f>IF(C19="", 0, Q19*Z19)</f>
        <v>750</v>
      </c>
      <c r="Y19" s="383">
        <f>O19</f>
        <v>0</v>
      </c>
      <c r="Z19" s="383">
        <f>IF(C19="", 0,IF(D19&lt;&gt;"",D19,
IF($E$1="Contract NY", VLOOKUP(B19,'Raw BOM'!$A$3:$G$495,7,FALSE),
IF($E$1="Contract FL", VLOOKUP(B19,'Raw BOM'!$A$3:$I$495,8,FALSE),
IF($E$1="Contract LA", VLOOKUP(B19,'Raw BOM'!$A$3:$K$495,9,FALSE),
IF($E$1="Contract WA", VLOOKUP(B19,'Raw BOM'!$A$3:$M$495,10,FALSE),
VLOOKUP(B19,'Raw BOM'!$A$3:$D$495,4,FALSE)))))))</f>
        <v>750</v>
      </c>
      <c r="AA19" s="383">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05" t="str">
        <f t="shared" ref="G20:G39" si="3">A20</f>
        <v>LS4G-Applicant-CA</v>
      </c>
      <c r="H20" s="306"/>
      <c r="I20" s="291" t="str">
        <f t="shared" ref="I20:I39" si="4">IF(B20&lt;&gt;"", B20, "")&amp;IF(E20&lt;&gt;"", "   *** "&amp;E20, "")</f>
        <v>LiveScan 4th Gen Software-Applicant CA TOT Module</v>
      </c>
      <c r="J20" s="291"/>
      <c r="K20" s="291"/>
      <c r="L20" s="291"/>
      <c r="M20" s="291"/>
      <c r="N20" s="291"/>
      <c r="O20" s="291"/>
      <c r="P20" s="291"/>
      <c r="Q20" s="99">
        <f t="shared" ref="Q20:Q39" si="5">IF(C20="", "", C20)</f>
        <v>1</v>
      </c>
      <c r="R20" s="389">
        <f t="shared" ref="R20" si="6">IF(C20="","",Z20-SUM(AB20:AC20))</f>
        <v>723.6</v>
      </c>
      <c r="S20" s="389"/>
      <c r="T20" s="389">
        <f t="shared" ref="T20:T39" si="7">IF(C20="","",Q20*R20)</f>
        <v>723.6</v>
      </c>
      <c r="U20" s="389"/>
      <c r="V20" s="49" t="str">
        <f>IF(C20="","", VLOOKUP(B20,'Raw BOM'!$A$3:$F$495,6,FALSE))</f>
        <v>No</v>
      </c>
      <c r="X20" s="383">
        <f t="shared" ref="X20:X36" si="8">IF(C20="", "", Q20*Z20)</f>
        <v>1340</v>
      </c>
      <c r="Y20" s="383"/>
      <c r="Z20" s="383">
        <f>IF(C20="", 0,IF(D20&lt;&gt;"",D20,
IF($E$1="Contract NY", VLOOKUP(B20,'Raw BOM'!$A$3:$G$495,7,FALSE),
IF($E$1="Contract FL", VLOOKUP(B20,'Raw BOM'!$A$3:$I$495,8,FALSE),
IF($E$1="Contract LA", VLOOKUP(B20,'Raw BOM'!$A$3:$K$495,9,FALSE),
IF($E$1="Contract WA", VLOOKUP(B20,'Raw BOM'!$A$3:$M$495,10,FALSE),
VLOOKUP(B20,'Raw BOM'!$A$3:$D$495,4,FALSE)))))))</f>
        <v>1340</v>
      </c>
      <c r="AA20" s="383">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05" t="str">
        <f t="shared" ref="G21:G35" si="10">A21</f>
        <v>HW-Scan-Patrol</v>
      </c>
      <c r="H21" s="306"/>
      <c r="I21" s="291" t="str">
        <f t="shared" ref="I21:I35" si="11">IF(B21&lt;&gt;"", B21, "")&amp;IF(E21&lt;&gt;"", "   *** "&amp;E21, "")</f>
        <v>Hardware-Scanner-Crossmatch Patrol</v>
      </c>
      <c r="J21" s="291"/>
      <c r="K21" s="291"/>
      <c r="L21" s="291"/>
      <c r="M21" s="291"/>
      <c r="N21" s="291"/>
      <c r="O21" s="291"/>
      <c r="P21" s="291"/>
      <c r="Q21" s="99">
        <f t="shared" ref="Q21:Q35" si="12">IF(C21="", "", C21)</f>
        <v>1</v>
      </c>
      <c r="R21" s="389">
        <f t="shared" ref="R21:R35" si="13">IF(C21="","",Z21-SUM(AB21:AC21))</f>
        <v>1443</v>
      </c>
      <c r="S21" s="389"/>
      <c r="T21" s="389">
        <f t="shared" ref="T21:T35" si="14">IF(C21="","",Q21*R21)</f>
        <v>1443</v>
      </c>
      <c r="U21" s="389"/>
      <c r="V21" s="49" t="str">
        <f>IF(C21="","", VLOOKUP(B21,'Raw BOM'!$A$3:$F$495,6,FALSE))</f>
        <v>Yes</v>
      </c>
      <c r="X21" s="383">
        <f t="shared" ref="X21:X35" si="15">IF(C21="", "", Q21*Z21)</f>
        <v>1850</v>
      </c>
      <c r="Y21" s="383"/>
      <c r="Z21" s="383">
        <f>IF(C21="", 0,IF(D21&lt;&gt;"",D21,
IF($E$1="Contract NY", VLOOKUP(B21,'Raw BOM'!$A$3:$G$495,7,FALSE),
IF($E$1="Contract FL", VLOOKUP(B21,'Raw BOM'!$A$3:$I$495,8,FALSE),
IF($E$1="Contract LA", VLOOKUP(B21,'Raw BOM'!$A$3:$K$495,9,FALSE),
IF($E$1="Contract WA", VLOOKUP(B21,'Raw BOM'!$A$3:$M$495,10,FALSE),
VLOOKUP(B21,'Raw BOM'!$A$3:$D$495,4,FALSE)))))))</f>
        <v>1850</v>
      </c>
      <c r="AA21" s="383">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05" t="str">
        <f t="shared" si="10"/>
        <v/>
      </c>
      <c r="H22" s="306"/>
      <c r="I22" s="291" t="str">
        <f t="shared" si="11"/>
        <v/>
      </c>
      <c r="J22" s="291"/>
      <c r="K22" s="291"/>
      <c r="L22" s="291"/>
      <c r="M22" s="291"/>
      <c r="N22" s="291"/>
      <c r="O22" s="291"/>
      <c r="P22" s="291"/>
      <c r="Q22" s="99" t="str">
        <f t="shared" si="12"/>
        <v/>
      </c>
      <c r="R22" s="389" t="str">
        <f t="shared" si="13"/>
        <v/>
      </c>
      <c r="S22" s="389"/>
      <c r="T22" s="389" t="str">
        <f t="shared" si="14"/>
        <v/>
      </c>
      <c r="U22" s="389"/>
      <c r="V22" s="49" t="str">
        <f>IF(C22="","", VLOOKUP(B22,'Raw BOM'!$A$3:$F$495,6,FALSE))</f>
        <v/>
      </c>
      <c r="X22" s="383" t="str">
        <f t="shared" si="15"/>
        <v/>
      </c>
      <c r="Y22" s="383"/>
      <c r="Z22" s="383">
        <f>IF(C22="", 0,IF(D22&lt;&gt;"",D22,
IF($E$1="Contract NY", VLOOKUP(B22,'Raw BOM'!$A$3:$G$495,7,FALSE),
IF($E$1="Contract FL", VLOOKUP(B22,'Raw BOM'!$A$3:$I$495,8,FALSE),
IF($E$1="Contract LA", VLOOKUP(B22,'Raw BOM'!$A$3:$K$495,9,FALSE),
IF($E$1="Contract WA", VLOOKUP(B22,'Raw BOM'!$A$3:$M$495,10,FALSE),
VLOOKUP(B22,'Raw BOM'!$A$3:$D$495,4,FALSE)))))))</f>
        <v>0</v>
      </c>
      <c r="AA22" s="383">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05" t="str">
        <f t="shared" si="10"/>
        <v>HW-Magtrip</v>
      </c>
      <c r="H23" s="306"/>
      <c r="I23" s="291" t="str">
        <f t="shared" si="11"/>
        <v>Hardware-Magnetic Strip Reader   *** Auto populate personal information with a swipe of a driver's license from anywhere on the screen</v>
      </c>
      <c r="J23" s="291"/>
      <c r="K23" s="291"/>
      <c r="L23" s="291"/>
      <c r="M23" s="291"/>
      <c r="N23" s="291"/>
      <c r="O23" s="291"/>
      <c r="P23" s="291"/>
      <c r="Q23" s="99">
        <f t="shared" si="12"/>
        <v>1</v>
      </c>
      <c r="R23" s="389">
        <f t="shared" si="13"/>
        <v>101.4</v>
      </c>
      <c r="S23" s="389"/>
      <c r="T23" s="389">
        <f t="shared" si="14"/>
        <v>101.4</v>
      </c>
      <c r="U23" s="389"/>
      <c r="V23" s="49" t="str">
        <f>IF(C23="","", VLOOKUP(B23,'Raw BOM'!$A$3:$F$495,6,FALSE))</f>
        <v>Yes</v>
      </c>
      <c r="X23" s="383">
        <f t="shared" si="15"/>
        <v>130</v>
      </c>
      <c r="Y23" s="383"/>
      <c r="Z23" s="383">
        <f>IF(C23="", 0,IF(D23&lt;&gt;"",D23,
IF($E$1="Contract NY", VLOOKUP(B23,'Raw BOM'!$A$3:$G$495,7,FALSE),
IF($E$1="Contract FL", VLOOKUP(B23,'Raw BOM'!$A$3:$I$495,8,FALSE),
IF($E$1="Contract LA", VLOOKUP(B23,'Raw BOM'!$A$3:$K$495,9,FALSE),
IF($E$1="Contract WA", VLOOKUP(B23,'Raw BOM'!$A$3:$M$495,10,FALSE),
VLOOKUP(B23,'Raw BOM'!$A$3:$D$495,4,FALSE)))))))</f>
        <v>130</v>
      </c>
      <c r="AA23" s="383">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05" t="str">
        <f t="shared" si="10"/>
        <v>LS4G-IDCard</v>
      </c>
      <c r="H24" s="306"/>
      <c r="I24" s="291" t="str">
        <f t="shared" si="11"/>
        <v>LiveScan 4th Gen Software-Driver License and ID Reading software</v>
      </c>
      <c r="J24" s="291"/>
      <c r="K24" s="291"/>
      <c r="L24" s="291"/>
      <c r="M24" s="291"/>
      <c r="N24" s="291"/>
      <c r="O24" s="291"/>
      <c r="P24" s="291"/>
      <c r="Q24" s="99">
        <f t="shared" si="12"/>
        <v>1</v>
      </c>
      <c r="R24" s="389">
        <f t="shared" si="13"/>
        <v>183.6</v>
      </c>
      <c r="S24" s="389"/>
      <c r="T24" s="389">
        <f t="shared" si="14"/>
        <v>183.6</v>
      </c>
      <c r="U24" s="389"/>
      <c r="V24" s="49" t="str">
        <f>IF(C24="","", VLOOKUP(B24,'Raw BOM'!$A$3:$F$495,6,FALSE))</f>
        <v>No</v>
      </c>
      <c r="X24" s="383">
        <f t="shared" si="15"/>
        <v>340</v>
      </c>
      <c r="Y24" s="383"/>
      <c r="Z24" s="383">
        <f>IF(C24="", 0,IF(D24&lt;&gt;"",D24,
IF($E$1="Contract NY", VLOOKUP(B24,'Raw BOM'!$A$3:$G$495,7,FALSE),
IF($E$1="Contract FL", VLOOKUP(B24,'Raw BOM'!$A$3:$I$495,8,FALSE),
IF($E$1="Contract LA", VLOOKUP(B24,'Raw BOM'!$A$3:$K$495,9,FALSE),
IF($E$1="Contract WA", VLOOKUP(B24,'Raw BOM'!$A$3:$M$495,10,FALSE),
VLOOKUP(B24,'Raw BOM'!$A$3:$D$495,4,FALSE)))))))</f>
        <v>340</v>
      </c>
      <c r="AA24" s="383">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05" t="str">
        <f t="shared" si="10"/>
        <v/>
      </c>
      <c r="H25" s="306"/>
      <c r="I25" s="291" t="str">
        <f t="shared" si="11"/>
        <v/>
      </c>
      <c r="J25" s="291"/>
      <c r="K25" s="291"/>
      <c r="L25" s="291"/>
      <c r="M25" s="291"/>
      <c r="N25" s="291"/>
      <c r="O25" s="291"/>
      <c r="P25" s="291"/>
      <c r="Q25" s="99" t="str">
        <f t="shared" si="12"/>
        <v/>
      </c>
      <c r="R25" s="389" t="str">
        <f t="shared" si="13"/>
        <v/>
      </c>
      <c r="S25" s="389"/>
      <c r="T25" s="389" t="str">
        <f t="shared" si="14"/>
        <v/>
      </c>
      <c r="U25" s="389"/>
      <c r="V25" s="49" t="str">
        <f>IF(C25="","", VLOOKUP(B25,'Raw BOM'!$A$3:$F$495,6,FALSE))</f>
        <v/>
      </c>
      <c r="X25" s="383" t="str">
        <f t="shared" si="15"/>
        <v/>
      </c>
      <c r="Y25" s="383"/>
      <c r="Z25" s="383">
        <f>IF(C25="", 0,IF(D25&lt;&gt;"",D25,
IF($E$1="Contract NY", VLOOKUP(B25,'Raw BOM'!$A$3:$G$495,7,FALSE),
IF($E$1="Contract FL", VLOOKUP(B25,'Raw BOM'!$A$3:$I$495,8,FALSE),
IF($E$1="Contract LA", VLOOKUP(B25,'Raw BOM'!$A$3:$K$495,9,FALSE),
IF($E$1="Contract WA", VLOOKUP(B25,'Raw BOM'!$A$3:$M$495,10,FALSE),
VLOOKUP(B25,'Raw BOM'!$A$3:$D$495,4,FALSE)))))))</f>
        <v>0</v>
      </c>
      <c r="AA25" s="383">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05" t="str">
        <f t="shared" si="10"/>
        <v>Svcs-Cfg-CAPSP</v>
      </c>
      <c r="H26" s="306"/>
      <c r="I26" s="291" t="str">
        <f t="shared" si="11"/>
        <v>Services-Configuration-CA PSP Setup   *** Pick ONE of the following capture methods at the time of capture (TWO DIFFERENT BUTTONS on the screen):</v>
      </c>
      <c r="J26" s="291"/>
      <c r="K26" s="291"/>
      <c r="L26" s="291"/>
      <c r="M26" s="291"/>
      <c r="N26" s="291"/>
      <c r="O26" s="291"/>
      <c r="P26" s="291"/>
      <c r="Q26" s="99">
        <f t="shared" si="12"/>
        <v>1</v>
      </c>
      <c r="R26" s="389">
        <f t="shared" si="13"/>
        <v>270</v>
      </c>
      <c r="S26" s="389"/>
      <c r="T26" s="389">
        <f t="shared" si="14"/>
        <v>270</v>
      </c>
      <c r="U26" s="389"/>
      <c r="V26" s="49" t="str">
        <f>IF(C26="","", VLOOKUP(B26,'Raw BOM'!$A$3:$F$495,6,FALSE))</f>
        <v>No</v>
      </c>
      <c r="X26" s="383">
        <f t="shared" si="15"/>
        <v>500</v>
      </c>
      <c r="Y26" s="383"/>
      <c r="Z26" s="383">
        <f>IF(C26="", 0,IF(D26&lt;&gt;"",D26,
IF($E$1="Contract NY", VLOOKUP(B26,'Raw BOM'!$A$3:$G$495,7,FALSE),
IF($E$1="Contract FL", VLOOKUP(B26,'Raw BOM'!$A$3:$I$495,8,FALSE),
IF($E$1="Contract LA", VLOOKUP(B26,'Raw BOM'!$A$3:$K$495,9,FALSE),
IF($E$1="Contract WA", VLOOKUP(B26,'Raw BOM'!$A$3:$M$495,10,FALSE),
VLOOKUP(B26,'Raw BOM'!$A$3:$D$495,4,FALSE)))))))</f>
        <v>500</v>
      </c>
      <c r="AA26" s="383">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05" t="str">
        <f t="shared" si="10"/>
        <v>Misc</v>
      </c>
      <c r="H27" s="306"/>
      <c r="I27" s="291" t="str">
        <f t="shared" si="11"/>
        <v xml:space="preserve">   *** Transaction Fee - Traditional FLATS and ROLLS Method (1 to 10 minutes method): $0.75 per transaction with $150 per monthly cap</v>
      </c>
      <c r="J27" s="291"/>
      <c r="K27" s="291"/>
      <c r="L27" s="291"/>
      <c r="M27" s="291"/>
      <c r="N27" s="291"/>
      <c r="O27" s="291"/>
      <c r="P27" s="291"/>
      <c r="Q27" s="99" t="str">
        <f t="shared" si="12"/>
        <v/>
      </c>
      <c r="R27" s="389" t="str">
        <f t="shared" si="13"/>
        <v/>
      </c>
      <c r="S27" s="389"/>
      <c r="T27" s="389" t="str">
        <f t="shared" si="14"/>
        <v/>
      </c>
      <c r="U27" s="389"/>
      <c r="V27" s="49" t="str">
        <f>IF(C27="","", VLOOKUP(B27,'Raw BOM'!$A$3:$F$495,6,FALSE))</f>
        <v/>
      </c>
      <c r="X27" s="383" t="str">
        <f t="shared" si="15"/>
        <v/>
      </c>
      <c r="Y27" s="383"/>
      <c r="Z27" s="383">
        <f>IF(C27="", 0,IF(D27&lt;&gt;"",D27,
IF($E$1="Contract NY", VLOOKUP(B27,'Raw BOM'!$A$3:$G$495,7,FALSE),
IF($E$1="Contract FL", VLOOKUP(B27,'Raw BOM'!$A$3:$I$495,8,FALSE),
IF($E$1="Contract LA", VLOOKUP(B27,'Raw BOM'!$A$3:$K$495,9,FALSE),
IF($E$1="Contract WA", VLOOKUP(B27,'Raw BOM'!$A$3:$M$495,10,FALSE),
VLOOKUP(B27,'Raw BOM'!$A$3:$D$495,4,FALSE)))))))</f>
        <v>0</v>
      </c>
      <c r="AA27" s="383">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05" t="str">
        <f t="shared" si="10"/>
        <v>Misc</v>
      </c>
      <c r="H28" s="306"/>
      <c r="I28" s="291" t="str">
        <f t="shared" si="11"/>
        <v xml:space="preserve">   *** Transaction Fee - NEW FLATS ONLY Method (10 to 15 second fingerprinting): $4.00 per transaction with no cap ($2.80 per trans for 501(c)(3) organizations)</v>
      </c>
      <c r="J28" s="291"/>
      <c r="K28" s="291"/>
      <c r="L28" s="291"/>
      <c r="M28" s="291"/>
      <c r="N28" s="291"/>
      <c r="O28" s="291"/>
      <c r="P28" s="291"/>
      <c r="Q28" s="99" t="str">
        <f t="shared" si="12"/>
        <v/>
      </c>
      <c r="R28" s="389" t="str">
        <f t="shared" si="13"/>
        <v/>
      </c>
      <c r="S28" s="389"/>
      <c r="T28" s="389" t="str">
        <f t="shared" si="14"/>
        <v/>
      </c>
      <c r="U28" s="389"/>
      <c r="V28" s="49" t="str">
        <f>IF(C28="","", VLOOKUP(B28,'Raw BOM'!$A$3:$F$495,6,FALSE))</f>
        <v/>
      </c>
      <c r="X28" s="383" t="str">
        <f t="shared" si="15"/>
        <v/>
      </c>
      <c r="Y28" s="383"/>
      <c r="Z28" s="383">
        <f>IF(C28="", 0,IF(D28&lt;&gt;"",D28,
IF($E$1="Contract NY", VLOOKUP(B28,'Raw BOM'!$A$3:$G$495,7,FALSE),
IF($E$1="Contract FL", VLOOKUP(B28,'Raw BOM'!$A$3:$I$495,8,FALSE),
IF($E$1="Contract LA", VLOOKUP(B28,'Raw BOM'!$A$3:$K$495,9,FALSE),
IF($E$1="Contract WA", VLOOKUP(B28,'Raw BOM'!$A$3:$M$495,10,FALSE),
VLOOKUP(B28,'Raw BOM'!$A$3:$D$495,4,FALSE)))))))</f>
        <v>0</v>
      </c>
      <c r="AA28" s="383">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05" t="str">
        <f t="shared" si="10"/>
        <v/>
      </c>
      <c r="H29" s="306"/>
      <c r="I29" s="291" t="str">
        <f t="shared" si="11"/>
        <v/>
      </c>
      <c r="J29" s="291"/>
      <c r="K29" s="291"/>
      <c r="L29" s="291"/>
      <c r="M29" s="291"/>
      <c r="N29" s="291"/>
      <c r="O29" s="291"/>
      <c r="P29" s="291"/>
      <c r="Q29" s="99" t="str">
        <f t="shared" si="12"/>
        <v/>
      </c>
      <c r="R29" s="389" t="str">
        <f t="shared" si="13"/>
        <v/>
      </c>
      <c r="S29" s="389"/>
      <c r="T29" s="389" t="str">
        <f t="shared" si="14"/>
        <v/>
      </c>
      <c r="U29" s="389"/>
      <c r="V29" s="49" t="str">
        <f>IF(C29="","", VLOOKUP(B29,'Raw BOM'!$A$3:$F$495,6,FALSE))</f>
        <v/>
      </c>
      <c r="X29" s="383" t="str">
        <f t="shared" si="15"/>
        <v/>
      </c>
      <c r="Y29" s="383"/>
      <c r="Z29" s="383">
        <f>IF(C29="", 0,IF(D29&lt;&gt;"",D29,
IF($E$1="Contract NY", VLOOKUP(B29,'Raw BOM'!$A$3:$G$495,7,FALSE),
IF($E$1="Contract FL", VLOOKUP(B29,'Raw BOM'!$A$3:$I$495,8,FALSE),
IF($E$1="Contract LA", VLOOKUP(B29,'Raw BOM'!$A$3:$K$495,9,FALSE),
IF($E$1="Contract WA", VLOOKUP(B29,'Raw BOM'!$A$3:$M$495,10,FALSE),
VLOOKUP(B29,'Raw BOM'!$A$3:$D$495,4,FALSE)))))))</f>
        <v>0</v>
      </c>
      <c r="AA29" s="383">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05" t="str">
        <f t="shared" si="10"/>
        <v>Svcs-InstallTrain</v>
      </c>
      <c r="H30" s="306"/>
      <c r="I30" s="291" t="str">
        <f t="shared" si="11"/>
        <v>Services-Installation and Training Session 4hrs (see Service Method for price)</v>
      </c>
      <c r="J30" s="291"/>
      <c r="K30" s="291"/>
      <c r="L30" s="291"/>
      <c r="M30" s="291"/>
      <c r="N30" s="291"/>
      <c r="O30" s="291"/>
      <c r="P30" s="291"/>
      <c r="Q30" s="99">
        <f t="shared" si="12"/>
        <v>1</v>
      </c>
      <c r="R30" s="389">
        <f t="shared" si="13"/>
        <v>0</v>
      </c>
      <c r="S30" s="389"/>
      <c r="T30" s="389">
        <f t="shared" si="14"/>
        <v>0</v>
      </c>
      <c r="U30" s="389"/>
      <c r="V30" s="49" t="str">
        <f>IF(C30="","", VLOOKUP(B30,'Raw BOM'!$A$3:$F$495,6,FALSE))</f>
        <v>No</v>
      </c>
      <c r="X30" s="383">
        <f t="shared" si="15"/>
        <v>0</v>
      </c>
      <c r="Y30" s="383"/>
      <c r="Z30" s="383">
        <f>IF(C30="", 0,IF(D30&lt;&gt;"",D30,
IF($E$1="Contract NY", VLOOKUP(B30,'Raw BOM'!$A$3:$G$495,7,FALSE),
IF($E$1="Contract FL", VLOOKUP(B30,'Raw BOM'!$A$3:$I$495,8,FALSE),
IF($E$1="Contract LA", VLOOKUP(B30,'Raw BOM'!$A$3:$K$495,9,FALSE),
IF($E$1="Contract WA", VLOOKUP(B30,'Raw BOM'!$A$3:$M$495,10,FALSE),
VLOOKUP(B30,'Raw BOM'!$A$3:$D$495,4,FALSE)))))))</f>
        <v>0</v>
      </c>
      <c r="AA30" s="383">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05" t="str">
        <f t="shared" si="10"/>
        <v>Svcs-Phone</v>
      </c>
      <c r="H31" s="306"/>
      <c r="I31" s="291" t="str">
        <f t="shared" si="11"/>
        <v xml:space="preserve">Services Method-Remote (Phone)   *** To perform services shown in the line above. </v>
      </c>
      <c r="J31" s="291"/>
      <c r="K31" s="291"/>
      <c r="L31" s="291"/>
      <c r="M31" s="291"/>
      <c r="N31" s="291"/>
      <c r="O31" s="291"/>
      <c r="P31" s="291"/>
      <c r="Q31" s="99">
        <f t="shared" si="12"/>
        <v>1</v>
      </c>
      <c r="R31" s="389">
        <f t="shared" si="13"/>
        <v>405</v>
      </c>
      <c r="S31" s="389"/>
      <c r="T31" s="389">
        <f t="shared" si="14"/>
        <v>405</v>
      </c>
      <c r="U31" s="389"/>
      <c r="V31" s="49" t="str">
        <f>IF(C31="","", VLOOKUP(B31,'Raw BOM'!$A$3:$F$495,6,FALSE))</f>
        <v>No</v>
      </c>
      <c r="X31" s="383">
        <f t="shared" si="15"/>
        <v>750</v>
      </c>
      <c r="Y31" s="383"/>
      <c r="Z31" s="383">
        <f>IF(C31="", 0,IF(D31&lt;&gt;"",D31,
IF($E$1="Contract NY", VLOOKUP(B31,'Raw BOM'!$A$3:$G$495,7,FALSE),
IF($E$1="Contract FL", VLOOKUP(B31,'Raw BOM'!$A$3:$I$495,8,FALSE),
IF($E$1="Contract LA", VLOOKUP(B31,'Raw BOM'!$A$3:$K$495,9,FALSE),
IF($E$1="Contract WA", VLOOKUP(B31,'Raw BOM'!$A$3:$M$495,10,FALSE),
VLOOKUP(B31,'Raw BOM'!$A$3:$D$495,4,FALSE)))))))</f>
        <v>750</v>
      </c>
      <c r="AA31" s="383">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05" t="str">
        <f t="shared" si="10"/>
        <v/>
      </c>
      <c r="H32" s="306"/>
      <c r="I32" s="291" t="str">
        <f t="shared" si="11"/>
        <v/>
      </c>
      <c r="J32" s="291"/>
      <c r="K32" s="291"/>
      <c r="L32" s="291"/>
      <c r="M32" s="291"/>
      <c r="N32" s="291"/>
      <c r="O32" s="291"/>
      <c r="P32" s="291"/>
      <c r="Q32" s="99" t="str">
        <f t="shared" si="12"/>
        <v/>
      </c>
      <c r="R32" s="389" t="str">
        <f t="shared" si="13"/>
        <v/>
      </c>
      <c r="S32" s="389"/>
      <c r="T32" s="389" t="str">
        <f t="shared" si="14"/>
        <v/>
      </c>
      <c r="U32" s="389"/>
      <c r="V32" s="49" t="str">
        <f>IF(C32="","", VLOOKUP(B32,'Raw BOM'!$A$3:$F$495,6,FALSE))</f>
        <v/>
      </c>
      <c r="X32" s="383" t="str">
        <f t="shared" si="15"/>
        <v/>
      </c>
      <c r="Y32" s="383"/>
      <c r="Z32" s="383">
        <f>IF(C32="", 0,IF(D32&lt;&gt;"",D32,
IF($E$1="Contract NY", VLOOKUP(B32,'Raw BOM'!$A$3:$G$495,7,FALSE),
IF($E$1="Contract FL", VLOOKUP(B32,'Raw BOM'!$A$3:$I$495,8,FALSE),
IF($E$1="Contract LA", VLOOKUP(B32,'Raw BOM'!$A$3:$K$495,9,FALSE),
IF($E$1="Contract WA", VLOOKUP(B32,'Raw BOM'!$A$3:$M$495,10,FALSE),
VLOOKUP(B32,'Raw BOM'!$A$3:$D$495,4,FALSE)))))))</f>
        <v>0</v>
      </c>
      <c r="AA32" s="383">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05" t="str">
        <f t="shared" si="10"/>
        <v>Ship-L</v>
      </c>
      <c r="H33" s="306"/>
      <c r="I33" s="291" t="str">
        <f t="shared" si="11"/>
        <v>Shipping-Ground for Large Package</v>
      </c>
      <c r="J33" s="291"/>
      <c r="K33" s="291"/>
      <c r="L33" s="291"/>
      <c r="M33" s="291"/>
      <c r="N33" s="291"/>
      <c r="O33" s="291"/>
      <c r="P33" s="291"/>
      <c r="Q33" s="99">
        <f t="shared" si="12"/>
        <v>1</v>
      </c>
      <c r="R33" s="389">
        <f t="shared" si="13"/>
        <v>32.4</v>
      </c>
      <c r="S33" s="389"/>
      <c r="T33" s="389">
        <f t="shared" si="14"/>
        <v>32.4</v>
      </c>
      <c r="U33" s="389"/>
      <c r="V33" s="49" t="str">
        <f>IF(C33="","", VLOOKUP(B33,'Raw BOM'!$A$3:$F$495,6,FALSE))</f>
        <v>No</v>
      </c>
      <c r="X33" s="383">
        <f t="shared" si="15"/>
        <v>60</v>
      </c>
      <c r="Y33" s="383"/>
      <c r="Z33" s="383">
        <f>IF(C33="", 0,IF(D33&lt;&gt;"",D33,
IF($E$1="Contract NY", VLOOKUP(B33,'Raw BOM'!$A$3:$G$495,7,FALSE),
IF($E$1="Contract FL", VLOOKUP(B33,'Raw BOM'!$A$3:$I$495,8,FALSE),
IF($E$1="Contract LA", VLOOKUP(B33,'Raw BOM'!$A$3:$K$495,9,FALSE),
IF($E$1="Contract WA", VLOOKUP(B33,'Raw BOM'!$A$3:$M$495,10,FALSE),
VLOOKUP(B33,'Raw BOM'!$A$3:$D$495,4,FALSE)))))))</f>
        <v>60</v>
      </c>
      <c r="AA33" s="383">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05" t="str">
        <f t="shared" si="10"/>
        <v>Maint-Warr</v>
      </c>
      <c r="H34" s="306"/>
      <c r="I34" s="291" t="str">
        <f t="shared" si="11"/>
        <v>Maintenance-Initial Year Warranty   *** Cross Ship</v>
      </c>
      <c r="J34" s="291"/>
      <c r="K34" s="291"/>
      <c r="L34" s="291"/>
      <c r="M34" s="291"/>
      <c r="N34" s="291"/>
      <c r="O34" s="291"/>
      <c r="P34" s="291"/>
      <c r="Q34" s="99">
        <f t="shared" si="12"/>
        <v>1</v>
      </c>
      <c r="R34" s="389">
        <f t="shared" si="13"/>
        <v>0</v>
      </c>
      <c r="S34" s="389"/>
      <c r="T34" s="389">
        <f t="shared" si="14"/>
        <v>0</v>
      </c>
      <c r="U34" s="389"/>
      <c r="V34" s="49" t="str">
        <f>IF(C34="","", VLOOKUP(B34,'Raw BOM'!$A$3:$F$495,6,FALSE))</f>
        <v>No</v>
      </c>
      <c r="X34" s="383">
        <f t="shared" si="15"/>
        <v>0</v>
      </c>
      <c r="Y34" s="383"/>
      <c r="Z34" s="383">
        <f>IF(C34="", 0,IF(D34&lt;&gt;"",D34,
IF($E$1="Contract NY", VLOOKUP(B34,'Raw BOM'!$A$3:$G$495,7,FALSE),
IF($E$1="Contract FL", VLOOKUP(B34,'Raw BOM'!$A$3:$I$495,8,FALSE),
IF($E$1="Contract LA", VLOOKUP(B34,'Raw BOM'!$A$3:$K$495,9,FALSE),
IF($E$1="Contract WA", VLOOKUP(B34,'Raw BOM'!$A$3:$M$495,10,FALSE),
VLOOKUP(B34,'Raw BOM'!$A$3:$D$495,4,FALSE)))))))</f>
        <v>0</v>
      </c>
      <c r="AA34" s="383">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05" t="str">
        <f t="shared" si="10"/>
        <v>Misc</v>
      </c>
      <c r="H35" s="306"/>
      <c r="I35" s="291" t="str">
        <f t="shared" si="11"/>
        <v xml:space="preserve">   *** Pick one of the following 2 Maintenance options in the 12th month.  We recommend picking 2nd line if processing more than 1,200 transactions per year.</v>
      </c>
      <c r="J35" s="291"/>
      <c r="K35" s="291"/>
      <c r="L35" s="291"/>
      <c r="M35" s="291"/>
      <c r="N35" s="291"/>
      <c r="O35" s="291"/>
      <c r="P35" s="291"/>
      <c r="Q35" s="99" t="str">
        <f t="shared" si="12"/>
        <v/>
      </c>
      <c r="R35" s="389" t="str">
        <f t="shared" si="13"/>
        <v/>
      </c>
      <c r="S35" s="389"/>
      <c r="T35" s="389" t="str">
        <f t="shared" si="14"/>
        <v/>
      </c>
      <c r="U35" s="389"/>
      <c r="V35" s="49" t="str">
        <f>IF(C35="","", VLOOKUP(B35,'Raw BOM'!$A$3:$F$495,6,FALSE))</f>
        <v/>
      </c>
      <c r="X35" s="383" t="str">
        <f t="shared" si="15"/>
        <v/>
      </c>
      <c r="Y35" s="383"/>
      <c r="Z35" s="383">
        <f>IF(C35="", 0,IF(D35&lt;&gt;"",D35,
IF($E$1="Contract NY", VLOOKUP(B35,'Raw BOM'!$A$3:$G$495,7,FALSE),
IF($E$1="Contract FL", VLOOKUP(B35,'Raw BOM'!$A$3:$I$495,8,FALSE),
IF($E$1="Contract LA", VLOOKUP(B35,'Raw BOM'!$A$3:$K$495,9,FALSE),
IF($E$1="Contract WA", VLOOKUP(B35,'Raw BOM'!$A$3:$M$495,10,FALSE),
VLOOKUP(B35,'Raw BOM'!$A$3:$D$495,4,FALSE)))))))</f>
        <v>0</v>
      </c>
      <c r="AA35" s="383">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05" t="str">
        <f t="shared" si="3"/>
        <v>Maint-9X5-SW-App</v>
      </c>
      <c r="H36" s="306"/>
      <c r="I36" s="291" t="str">
        <f t="shared" si="4"/>
        <v>Maintenance-9X5 Software Only Support Applicant   *** Software Only coverage, per system  |  If purchased and paid for with the initial PO</v>
      </c>
      <c r="J36" s="291"/>
      <c r="K36" s="291"/>
      <c r="L36" s="291"/>
      <c r="M36" s="291"/>
      <c r="N36" s="291"/>
      <c r="O36" s="291"/>
      <c r="P36" s="291"/>
      <c r="Q36" s="99">
        <f t="shared" si="5"/>
        <v>0</v>
      </c>
      <c r="R36" s="389">
        <f>D36</f>
        <v>495</v>
      </c>
      <c r="S36" s="389"/>
      <c r="T36" s="389">
        <f t="shared" si="7"/>
        <v>0</v>
      </c>
      <c r="U36" s="389"/>
      <c r="V36" s="49" t="str">
        <f>IF(C36="","", VLOOKUP(B36,'Raw BOM'!$A$3:$F$495,6,FALSE))</f>
        <v>No</v>
      </c>
      <c r="X36" s="392">
        <f t="shared" si="8"/>
        <v>0</v>
      </c>
      <c r="Y36" s="392">
        <f t="shared" ref="Y36" si="19">O36</f>
        <v>0</v>
      </c>
      <c r="Z36" s="390" t="b">
        <f>IF(D36="", $S$41*0.08,
IF($E$1="Contract NY", VLOOKUP(B36,'Raw BOM'!$A$3:$G$495,7,FALSE),
IF($E$1="Contract FL", VLOOKUP(B36,'Raw BOM'!$A$3:$I$495,8,FALSE),
IF($E$1="Contract LA", VLOOKUP(B36,'Raw BOM'!$A$3:$K$495,9,FALSE),
IF($E$1="Contract WA", VLOOKUP(B36,'Raw BOM'!$A$3:$M$495,10,FALSE))))))</f>
        <v>0</v>
      </c>
      <c r="AA36" s="391">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05" t="str">
        <f t="shared" si="3"/>
        <v>Maint-9X5-Remote</v>
      </c>
      <c r="H37" s="306"/>
      <c r="I37" s="291" t="str">
        <f t="shared" si="4"/>
        <v>Maintenance-9 X 5 (8am - 5pm, M-F) Remote with Cross Ship   *** Software and Hardware Coverage, per system  |  If purchased and paid for with the initial PO</v>
      </c>
      <c r="J37" s="291"/>
      <c r="K37" s="291"/>
      <c r="L37" s="291"/>
      <c r="M37" s="291"/>
      <c r="N37" s="291"/>
      <c r="O37" s="291"/>
      <c r="P37" s="291"/>
      <c r="Q37" s="99">
        <f t="shared" si="5"/>
        <v>0</v>
      </c>
      <c r="R37" s="389">
        <f t="shared" ref="R37:R39" si="20">D37</f>
        <v>960</v>
      </c>
      <c r="S37" s="389"/>
      <c r="T37" s="389">
        <f t="shared" si="7"/>
        <v>0</v>
      </c>
      <c r="U37" s="389"/>
      <c r="V37" s="49" t="str">
        <f>IF(C37="","", VLOOKUP(B37,'Raw BOM'!$A$3:$F$495,6,FALSE))</f>
        <v>No</v>
      </c>
      <c r="X37" s="390">
        <f t="shared" ref="X37:X39" si="21">IF(C37="", "", Q37*Z37)</f>
        <v>0</v>
      </c>
      <c r="Y37" s="391">
        <f t="shared" ref="Y37:Y39" si="22">O37</f>
        <v>0</v>
      </c>
      <c r="Z37" s="383" t="b">
        <f>IF(D37="", $S$41*0.12,
IF($E$1="Contract NY", VLOOKUP(B37,'Raw BOM'!$A$3:$G$495,7,FALSE),
IF($E$1="Contract FL", VLOOKUP(B37,'Raw BOM'!$A$3:$I$495,8,FALSE),
IF($E$1="Contract LA", VLOOKUP(B37,'Raw BOM'!$A$3:$K$495,9,FALSE),
IF($E$1="Contract WA", VLOOKUP(B37,'Raw BOM'!$A$3:$M$495,10,FALSE))))))</f>
        <v>0</v>
      </c>
      <c r="AA37" s="383">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05" t="str">
        <f t="shared" si="3"/>
        <v>Misc</v>
      </c>
      <c r="H38" s="306"/>
      <c r="I38" s="291" t="str">
        <f t="shared" si="4"/>
        <v xml:space="preserve">   ***   |  If purchased and paid for with the initial PO</v>
      </c>
      <c r="J38" s="291"/>
      <c r="K38" s="291"/>
      <c r="L38" s="291"/>
      <c r="M38" s="291"/>
      <c r="N38" s="291"/>
      <c r="O38" s="291"/>
      <c r="P38" s="291"/>
      <c r="Q38" s="99" t="str">
        <f t="shared" si="5"/>
        <v/>
      </c>
      <c r="R38" s="389">
        <f t="shared" si="20"/>
        <v>670</v>
      </c>
      <c r="S38" s="389"/>
      <c r="T38" s="389" t="str">
        <f t="shared" si="7"/>
        <v/>
      </c>
      <c r="U38" s="389"/>
      <c r="V38" s="49" t="str">
        <f>IF(C38="","", VLOOKUP(B38,'Raw BOM'!$A$3:$F$495,6,FALSE))</f>
        <v/>
      </c>
      <c r="X38" s="390" t="str">
        <f t="shared" si="21"/>
        <v/>
      </c>
      <c r="Y38" s="391">
        <f t="shared" si="22"/>
        <v>0</v>
      </c>
      <c r="Z38" s="383" t="b">
        <f>IF(D38="", $S$41*0.18,
IF($E$1="Contract NY", VLOOKUP(B38,'Raw BOM'!$A$3:$G$495,7,FALSE),
IF($E$1="Contract FL", VLOOKUP(B38,'Raw BOM'!$A$3:$I$495,8,FALSE),
IF($E$1="Contract LA", VLOOKUP(B38,'Raw BOM'!$A$3:$K$495,9,FALSE),
IF($E$1="Contract WA", VLOOKUP(B38,'Raw BOM'!$A$3:$M$495,10,FALSE))))))</f>
        <v>0</v>
      </c>
      <c r="AA38" s="383">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296" t="str">
        <f t="shared" si="3"/>
        <v>Misc</v>
      </c>
      <c r="H39" s="297"/>
      <c r="I39" s="298" t="str">
        <f t="shared" si="4"/>
        <v xml:space="preserve">   ***   |  If purchased and paid for with the initial PO</v>
      </c>
      <c r="J39" s="298"/>
      <c r="K39" s="298"/>
      <c r="L39" s="298"/>
      <c r="M39" s="298"/>
      <c r="N39" s="298"/>
      <c r="O39" s="298"/>
      <c r="P39" s="298"/>
      <c r="Q39" s="96" t="str">
        <f t="shared" si="5"/>
        <v/>
      </c>
      <c r="R39" s="395">
        <f t="shared" si="20"/>
        <v>900</v>
      </c>
      <c r="S39" s="395"/>
      <c r="T39" s="395" t="str">
        <f t="shared" si="7"/>
        <v/>
      </c>
      <c r="U39" s="395"/>
      <c r="V39" s="55" t="str">
        <f>IF(C39="","", VLOOKUP(B39,'Raw BOM'!$A$3:$F$495,6,FALSE))</f>
        <v/>
      </c>
      <c r="X39" s="393" t="str">
        <f t="shared" si="21"/>
        <v/>
      </c>
      <c r="Y39" s="394">
        <f t="shared" si="22"/>
        <v>0</v>
      </c>
      <c r="Z39" s="383" t="b">
        <f>IF(D39="", $S$41*0.24,
IF($E$1="Contract NY", VLOOKUP(B39,'Raw BOM'!$A$3:$G$495,7,FALSE),
IF($E$1="Contract FL", VLOOKUP(B39,'Raw BOM'!$A$3:$I$495,8,FALSE),
IF($E$1="Contract LA", VLOOKUP(B39,'Raw BOM'!$A$3:$K$495,9,FALSE),
IF($E$1="Contract WA", VLOOKUP(B39,'Raw BOM'!$A$3:$M$495,10,FALSE))))))</f>
        <v>0</v>
      </c>
      <c r="AA39" s="383">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47" t="s">
        <v>648</v>
      </c>
      <c r="H41" s="348"/>
      <c r="I41" s="348"/>
      <c r="J41" s="348"/>
      <c r="K41" s="348"/>
      <c r="L41" s="348"/>
      <c r="M41" s="349"/>
      <c r="N41" s="356" t="str">
        <f>'Blank Quote'!N41:O41</f>
        <v>QS: 20191222</v>
      </c>
      <c r="O41" s="357"/>
      <c r="P41" s="57"/>
      <c r="Q41" s="57"/>
      <c r="R41" s="58" t="s">
        <v>333</v>
      </c>
      <c r="S41" s="341">
        <f>SUM(T19:U35)</f>
        <v>3744</v>
      </c>
      <c r="T41" s="342"/>
      <c r="U41" s="343"/>
      <c r="V41" s="59"/>
    </row>
    <row r="42" spans="1:31" ht="17.25" customHeight="1" outlineLevel="1" thickBot="1" x14ac:dyDescent="0.3">
      <c r="A42" s="249"/>
      <c r="B42" s="249"/>
      <c r="C42" s="249"/>
      <c r="D42" s="249"/>
      <c r="E42" s="249"/>
      <c r="G42" s="350"/>
      <c r="H42" s="351"/>
      <c r="I42" s="351"/>
      <c r="J42" s="351"/>
      <c r="K42" s="351"/>
      <c r="L42" s="351"/>
      <c r="M42" s="352"/>
      <c r="N42" s="356" t="str">
        <f>'Blank Quote'!N42:O42</f>
        <v>PT: Apte</v>
      </c>
      <c r="O42" s="357"/>
      <c r="P42" s="57"/>
      <c r="Q42" s="57"/>
      <c r="R42" s="58" t="str">
        <f>IF(AA42&gt;0,"Discount on Taxable Items:", "")</f>
        <v/>
      </c>
      <c r="S42" s="344"/>
      <c r="T42" s="345"/>
      <c r="U42" s="346"/>
      <c r="V42" s="60"/>
      <c r="AA42" s="183">
        <f>SUM(AD19:AD39)</f>
        <v>0</v>
      </c>
    </row>
    <row r="43" spans="1:31" ht="17.25" customHeight="1" outlineLevel="1" thickBot="1" x14ac:dyDescent="0.3">
      <c r="A43" s="249"/>
      <c r="B43" s="249"/>
      <c r="C43" s="249"/>
      <c r="D43" s="249"/>
      <c r="E43" s="249"/>
      <c r="G43" s="350"/>
      <c r="H43" s="351"/>
      <c r="I43" s="351"/>
      <c r="J43" s="351"/>
      <c r="K43" s="351"/>
      <c r="L43" s="351"/>
      <c r="M43" s="352"/>
      <c r="N43" s="56"/>
      <c r="P43" s="57"/>
      <c r="R43" s="58" t="str">
        <f>IF(AA43&gt;0,"Discount on Non-Taxable Items:", "")</f>
        <v/>
      </c>
      <c r="S43" s="341"/>
      <c r="T43" s="342"/>
      <c r="U43" s="343"/>
      <c r="V43" s="60"/>
      <c r="AA43" s="183">
        <f>SUM(AE19:AE39)</f>
        <v>0</v>
      </c>
    </row>
    <row r="44" spans="1:31" ht="17.25" customHeight="1" outlineLevel="1" thickBot="1" x14ac:dyDescent="0.3">
      <c r="A44" s="249"/>
      <c r="B44" s="249"/>
      <c r="C44" s="249"/>
      <c r="D44" s="249"/>
      <c r="E44" s="249"/>
      <c r="G44" s="350"/>
      <c r="H44" s="351"/>
      <c r="I44" s="351"/>
      <c r="J44" s="351"/>
      <c r="K44" s="351"/>
      <c r="L44" s="351"/>
      <c r="M44" s="352"/>
      <c r="N44" s="56"/>
      <c r="P44" s="57"/>
      <c r="R44" s="58" t="s">
        <v>1442</v>
      </c>
      <c r="S44" s="341">
        <f>SUM(T36:U39)</f>
        <v>0</v>
      </c>
      <c r="T44" s="342"/>
      <c r="U44" s="343"/>
      <c r="V44" s="60"/>
      <c r="AA44" s="183"/>
    </row>
    <row r="45" spans="1:31" ht="17.25" customHeight="1" outlineLevel="1" thickBot="1" x14ac:dyDescent="0.3">
      <c r="A45" s="249"/>
      <c r="B45" s="249"/>
      <c r="C45" s="249"/>
      <c r="D45" s="249"/>
      <c r="E45" s="249"/>
      <c r="G45" s="350"/>
      <c r="H45" s="351"/>
      <c r="I45" s="351"/>
      <c r="J45" s="351"/>
      <c r="K45" s="351"/>
      <c r="L45" s="351"/>
      <c r="M45" s="352"/>
      <c r="N45" s="56"/>
      <c r="P45" s="57"/>
      <c r="Q45" s="57"/>
      <c r="R45" s="58" t="s">
        <v>649</v>
      </c>
      <c r="S45" s="344"/>
      <c r="T45" s="345"/>
      <c r="U45" s="345"/>
      <c r="V45" s="255">
        <f>B11</f>
        <v>0</v>
      </c>
      <c r="AA45" s="183">
        <f>SUM(AB19:AB39)</f>
        <v>600.6</v>
      </c>
    </row>
    <row r="46" spans="1:31" ht="17.25" customHeight="1" outlineLevel="1" thickBot="1" x14ac:dyDescent="0.3">
      <c r="A46" s="249"/>
      <c r="B46" s="249"/>
      <c r="C46" s="249"/>
      <c r="D46" s="249"/>
      <c r="E46" s="249"/>
      <c r="G46" s="353"/>
      <c r="H46" s="354"/>
      <c r="I46" s="354"/>
      <c r="J46" s="354"/>
      <c r="K46" s="354"/>
      <c r="L46" s="354"/>
      <c r="M46" s="355"/>
      <c r="N46" s="56"/>
      <c r="P46" s="57"/>
      <c r="Q46" s="57"/>
      <c r="R46" s="58" t="s">
        <v>334</v>
      </c>
      <c r="S46" s="374">
        <f>SUM(S41:U45)</f>
        <v>3744</v>
      </c>
      <c r="T46" s="375"/>
      <c r="U46" s="376"/>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65"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25">
      <c r="A49" s="249"/>
      <c r="B49" s="249"/>
      <c r="C49" s="249"/>
      <c r="D49" s="249"/>
      <c r="E49" s="249"/>
      <c r="G49" s="368"/>
      <c r="H49" s="369"/>
      <c r="I49" s="369"/>
      <c r="J49" s="369"/>
      <c r="K49" s="369"/>
      <c r="L49" s="369"/>
      <c r="M49" s="369"/>
      <c r="N49" s="369"/>
      <c r="O49" s="369"/>
      <c r="P49" s="369"/>
      <c r="Q49" s="369"/>
      <c r="R49" s="369"/>
      <c r="S49" s="369"/>
      <c r="T49" s="369"/>
      <c r="U49" s="369"/>
      <c r="V49" s="370"/>
    </row>
    <row r="50" spans="1:22" outlineLevel="1" x14ac:dyDescent="0.25">
      <c r="A50" s="249"/>
      <c r="B50" s="249"/>
      <c r="C50" s="249"/>
      <c r="D50" s="249"/>
      <c r="E50" s="249"/>
      <c r="G50" s="368"/>
      <c r="H50" s="369"/>
      <c r="I50" s="369"/>
      <c r="J50" s="369"/>
      <c r="K50" s="369"/>
      <c r="L50" s="369"/>
      <c r="M50" s="369"/>
      <c r="N50" s="369"/>
      <c r="O50" s="369"/>
      <c r="P50" s="369"/>
      <c r="Q50" s="369"/>
      <c r="R50" s="369"/>
      <c r="S50" s="369"/>
      <c r="T50" s="369"/>
      <c r="U50" s="369"/>
      <c r="V50" s="370"/>
    </row>
    <row r="51" spans="1:22" outlineLevel="1" x14ac:dyDescent="0.25">
      <c r="A51" s="249"/>
      <c r="B51" s="249"/>
      <c r="C51" s="249"/>
      <c r="D51" s="249"/>
      <c r="E51" s="249"/>
      <c r="G51" s="368"/>
      <c r="H51" s="369"/>
      <c r="I51" s="369"/>
      <c r="J51" s="369"/>
      <c r="K51" s="369"/>
      <c r="L51" s="369"/>
      <c r="M51" s="369"/>
      <c r="N51" s="369"/>
      <c r="O51" s="369"/>
      <c r="P51" s="369"/>
      <c r="Q51" s="369"/>
      <c r="R51" s="369"/>
      <c r="S51" s="369"/>
      <c r="T51" s="369"/>
      <c r="U51" s="369"/>
      <c r="V51" s="370"/>
    </row>
    <row r="52" spans="1:22" outlineLevel="1" x14ac:dyDescent="0.25">
      <c r="A52" s="249"/>
      <c r="B52" s="249"/>
      <c r="C52" s="249"/>
      <c r="D52" s="249"/>
      <c r="E52" s="249"/>
      <c r="G52" s="368"/>
      <c r="H52" s="369"/>
      <c r="I52" s="369"/>
      <c r="J52" s="369"/>
      <c r="K52" s="369"/>
      <c r="L52" s="369"/>
      <c r="M52" s="369"/>
      <c r="N52" s="369"/>
      <c r="O52" s="369"/>
      <c r="P52" s="369"/>
      <c r="Q52" s="369"/>
      <c r="R52" s="369"/>
      <c r="S52" s="369"/>
      <c r="T52" s="369"/>
      <c r="U52" s="369"/>
      <c r="V52" s="370"/>
    </row>
    <row r="53" spans="1:22" outlineLevel="1" x14ac:dyDescent="0.25">
      <c r="A53" s="249"/>
      <c r="B53" s="249"/>
      <c r="C53" s="249"/>
      <c r="D53" s="249"/>
      <c r="E53" s="249"/>
      <c r="G53" s="368"/>
      <c r="H53" s="369"/>
      <c r="I53" s="369"/>
      <c r="J53" s="369"/>
      <c r="K53" s="369"/>
      <c r="L53" s="369"/>
      <c r="M53" s="369"/>
      <c r="N53" s="369"/>
      <c r="O53" s="369"/>
      <c r="P53" s="369"/>
      <c r="Q53" s="369"/>
      <c r="R53" s="369"/>
      <c r="S53" s="369"/>
      <c r="T53" s="369"/>
      <c r="U53" s="369"/>
      <c r="V53" s="370"/>
    </row>
    <row r="54" spans="1:22" ht="15.75" outlineLevel="1" thickBot="1" x14ac:dyDescent="0.3">
      <c r="A54" s="249"/>
      <c r="B54" s="249"/>
      <c r="C54" s="249"/>
      <c r="D54" s="249"/>
      <c r="E54" s="249"/>
      <c r="G54" s="371"/>
      <c r="H54" s="372"/>
      <c r="I54" s="372"/>
      <c r="J54" s="372"/>
      <c r="K54" s="372"/>
      <c r="L54" s="372"/>
      <c r="M54" s="372"/>
      <c r="N54" s="372"/>
      <c r="O54" s="372"/>
      <c r="P54" s="372"/>
      <c r="Q54" s="372"/>
      <c r="R54" s="372"/>
      <c r="S54" s="372"/>
      <c r="T54" s="372"/>
      <c r="U54" s="372"/>
      <c r="V54" s="373"/>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algorithmName="SHA-512" hashValue="cGKyHakCvupl/oIyagcOooLWdmpuDIPgBUVbobeVeo5KtQev+JlSEHxgVGfJFguXr9GiKCOYu13NyAEHw/PADQ==" saltValue="ql3TfibKzcyXSSTOSOwj0g==" spinCount="100000" sheet="1" selectLockedCells="1"/>
  <mergeCells count="177">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10:M10"/>
    <mergeCell ref="O10:V10"/>
    <mergeCell ref="G11:M11"/>
    <mergeCell ref="O11:V11"/>
    <mergeCell ref="C5:D5"/>
    <mergeCell ref="G5:L5"/>
    <mergeCell ref="G6:L6"/>
    <mergeCell ref="P6:U6"/>
    <mergeCell ref="G8:M8"/>
    <mergeCell ref="O8:V8"/>
    <mergeCell ref="C1:D1"/>
    <mergeCell ref="C2:D2"/>
    <mergeCell ref="P2:U2"/>
    <mergeCell ref="C3:D3"/>
    <mergeCell ref="C4:D4"/>
    <mergeCell ref="G4:L4"/>
    <mergeCell ref="P4:U4"/>
    <mergeCell ref="G9:M9"/>
    <mergeCell ref="O9:V9"/>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85"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135</v>
      </c>
      <c r="B1" s="14" t="str">
        <f>'Blank Quote'!B1</f>
        <v>App CA Private</v>
      </c>
      <c r="C1" s="377" t="s">
        <v>390</v>
      </c>
      <c r="D1" s="378"/>
      <c r="E1" s="15" t="str">
        <f>VLOOKUP(B1,'Pricing Model'!A1:C21,3)</f>
        <v>Discount Based</v>
      </c>
    </row>
    <row r="2" spans="1:22" ht="18" customHeight="1" thickBot="1" x14ac:dyDescent="0.3">
      <c r="A2" s="17" t="s">
        <v>335</v>
      </c>
      <c r="B2" s="18" t="str">
        <f>'Blank Quote'!B2</f>
        <v>Business Name</v>
      </c>
      <c r="C2" s="379" t="s">
        <v>445</v>
      </c>
      <c r="D2" s="380"/>
      <c r="E2" s="19">
        <f>IF(E1="Discount Based", VLOOKUP(B1,'Pricing Model'!A1:D21,4), "")</f>
        <v>0.2</v>
      </c>
      <c r="P2" s="410" t="s">
        <v>1510</v>
      </c>
      <c r="Q2" s="410"/>
      <c r="R2" s="410"/>
      <c r="S2" s="410"/>
      <c r="T2" s="410"/>
      <c r="U2" s="410"/>
    </row>
    <row r="3" spans="1:22" ht="18" customHeight="1" x14ac:dyDescent="0.25">
      <c r="A3" s="17" t="s">
        <v>336</v>
      </c>
      <c r="B3" s="18" t="str">
        <f>'Blank Quote'!B3</f>
        <v>FirstName LastName</v>
      </c>
      <c r="C3" s="379" t="s">
        <v>446</v>
      </c>
      <c r="D3" s="380"/>
      <c r="E3" s="19">
        <f>IF(E1="Discount Based", VLOOKUP(B1,'Pricing Model'!A1:E21,5), "")</f>
        <v>0.44</v>
      </c>
      <c r="N3" s="265" t="str">
        <f>IF('Blank Quote'!$E$7&lt;&gt;"", "REPLACING", "")</f>
        <v/>
      </c>
    </row>
    <row r="4" spans="1:22" ht="18" customHeight="1" x14ac:dyDescent="0.25">
      <c r="A4" s="20" t="s">
        <v>337</v>
      </c>
      <c r="B4" s="21" t="str">
        <f>'Blank Quote'!B4</f>
        <v>Number | email</v>
      </c>
      <c r="C4" s="379" t="s">
        <v>447</v>
      </c>
      <c r="D4" s="380"/>
      <c r="E4" s="19" t="str">
        <f>IF(E1="Cost Based", VLOOKUP(B1,'Pricing Model'!A1:F21,6), "")</f>
        <v/>
      </c>
      <c r="G4" s="322" t="s">
        <v>145</v>
      </c>
      <c r="H4" s="322"/>
      <c r="I4" s="322"/>
      <c r="J4" s="322"/>
      <c r="K4" s="322"/>
      <c r="L4" s="322"/>
      <c r="M4" s="22"/>
      <c r="N4" s="264" t="str">
        <f>IF('Blank Quote'!$E$7&lt;&gt;"","LSID: "&amp;'Blank Quote'!$E$7, "")</f>
        <v/>
      </c>
      <c r="P4" s="321" t="s">
        <v>142</v>
      </c>
      <c r="Q4" s="321"/>
      <c r="R4" s="321"/>
      <c r="S4" s="321"/>
      <c r="T4" s="321"/>
      <c r="U4" s="321"/>
    </row>
    <row r="5" spans="1:22" ht="18" customHeight="1" thickBot="1" x14ac:dyDescent="0.3">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thickBot="1" x14ac:dyDescent="0.3">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18" customHeight="1" thickBot="1" x14ac:dyDescent="0.4">
      <c r="A7" s="17" t="s">
        <v>338</v>
      </c>
      <c r="B7" s="18" t="str">
        <f>'Blank Quote'!B7</f>
        <v>FirstName LastName</v>
      </c>
      <c r="C7" s="25"/>
      <c r="D7" s="25"/>
      <c r="E7" s="25"/>
      <c r="G7" s="26"/>
    </row>
    <row r="8" spans="1:22" ht="18" customHeight="1" thickBot="1" x14ac:dyDescent="0.3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x14ac:dyDescent="0.25">
      <c r="A9" s="20" t="s">
        <v>131</v>
      </c>
      <c r="B9" s="21" t="str">
        <f>'Blank Quote'!B9</f>
        <v>Address1</v>
      </c>
      <c r="C9" s="25"/>
      <c r="D9" s="25"/>
      <c r="E9" s="25"/>
      <c r="G9" s="335" t="str">
        <f>IF('CA Multi Tenprint'!B2="", "", 'CA Multi Tenprint'!B2)</f>
        <v>Business Name</v>
      </c>
      <c r="H9" s="336"/>
      <c r="I9" s="336"/>
      <c r="J9" s="336"/>
      <c r="K9" s="336"/>
      <c r="L9" s="336"/>
      <c r="M9" s="337"/>
      <c r="O9" s="326" t="str">
        <f>IF('CA Multi Tenprint'!B2="", "", 'CA Multi Tenprint'!B2)</f>
        <v>Business Name</v>
      </c>
      <c r="P9" s="327"/>
      <c r="Q9" s="327"/>
      <c r="R9" s="327"/>
      <c r="S9" s="327"/>
      <c r="T9" s="327"/>
      <c r="U9" s="327"/>
      <c r="V9" s="328"/>
    </row>
    <row r="10" spans="1:22" ht="18" customHeight="1" thickBot="1" x14ac:dyDescent="0.3">
      <c r="A10" s="27" t="s">
        <v>132</v>
      </c>
      <c r="B10" s="24" t="str">
        <f>'Blank Quote'!B10</f>
        <v>City, State Zip</v>
      </c>
      <c r="C10" s="25"/>
      <c r="D10" s="25"/>
      <c r="E10" s="25"/>
      <c r="G10" s="326" t="str">
        <f>IF('CA Multi Tenprint'!B3="", "", 'CA Multi Tenprint'!B3)</f>
        <v>FirstName LastName</v>
      </c>
      <c r="H10" s="327"/>
      <c r="I10" s="327"/>
      <c r="J10" s="327"/>
      <c r="K10" s="327"/>
      <c r="L10" s="327"/>
      <c r="M10" s="328"/>
      <c r="O10" s="326" t="str">
        <f>IF('CA Multi Tenprint'!B7="", "", 'CA Multi Tenprint'!B7)</f>
        <v>FirstName LastName</v>
      </c>
      <c r="P10" s="327"/>
      <c r="Q10" s="327"/>
      <c r="R10" s="327"/>
      <c r="S10" s="327"/>
      <c r="T10" s="327"/>
      <c r="U10" s="327"/>
      <c r="V10" s="328"/>
    </row>
    <row r="11" spans="1:22" ht="18" customHeight="1" thickBot="1" x14ac:dyDescent="0.3">
      <c r="A11" s="27" t="s">
        <v>370</v>
      </c>
      <c r="B11" s="28">
        <f>'Blank Quote'!B11</f>
        <v>0</v>
      </c>
      <c r="C11" s="25"/>
      <c r="D11" s="25"/>
      <c r="E11" s="25"/>
      <c r="G11" s="326" t="str">
        <f>IF('CA Multi Tenprint'!B4="", "", 'CA Multi Tenprint'!B4)</f>
        <v>Number | email</v>
      </c>
      <c r="H11" s="327"/>
      <c r="I11" s="327"/>
      <c r="J11" s="327"/>
      <c r="K11" s="327"/>
      <c r="L11" s="327"/>
      <c r="M11" s="328"/>
      <c r="O11" s="326" t="str">
        <f>IF('CA Multi Tenprint'!B8="", "", 'CA Multi Tenprint'!B8)</f>
        <v>Number | email</v>
      </c>
      <c r="P11" s="327"/>
      <c r="Q11" s="327"/>
      <c r="R11" s="327"/>
      <c r="S11" s="327"/>
      <c r="T11" s="327"/>
      <c r="U11" s="327"/>
      <c r="V11" s="328"/>
    </row>
    <row r="12" spans="1:22" ht="18" customHeight="1" thickBot="1" x14ac:dyDescent="0.3">
      <c r="A12" s="13" t="s">
        <v>443</v>
      </c>
      <c r="B12" s="29" t="str">
        <f>'Blank Quote'!B12</f>
        <v>EC</v>
      </c>
      <c r="C12" s="25"/>
      <c r="D12" s="25"/>
      <c r="E12" s="25"/>
      <c r="G12" s="326" t="str">
        <f>IF('CA Multi Tenprint'!B5="", "", 'CA Multi Tenprint'!B5)</f>
        <v>Address1</v>
      </c>
      <c r="H12" s="327"/>
      <c r="I12" s="327"/>
      <c r="J12" s="327"/>
      <c r="K12" s="327"/>
      <c r="L12" s="327"/>
      <c r="M12" s="328"/>
      <c r="O12" s="326" t="str">
        <f>IF('CA Multi Tenprint'!B9="", "", 'CA Multi Tenprint'!B9)</f>
        <v>Address1</v>
      </c>
      <c r="P12" s="327"/>
      <c r="Q12" s="327"/>
      <c r="R12" s="327"/>
      <c r="S12" s="327"/>
      <c r="T12" s="327"/>
      <c r="U12" s="327"/>
      <c r="V12" s="328"/>
    </row>
    <row r="13" spans="1:22" ht="18" customHeight="1" thickBot="1" x14ac:dyDescent="0.3">
      <c r="A13" s="13" t="s">
        <v>129</v>
      </c>
      <c r="B13" s="30" t="str">
        <f>'Blank Quote'!B13</f>
        <v>Ground</v>
      </c>
      <c r="C13" s="25"/>
      <c r="D13" s="25"/>
      <c r="E13" s="25"/>
      <c r="G13" s="338" t="str">
        <f>IF('CA Multi Tenprint'!B6="", "", 'CA Multi Tenprint'!B6)</f>
        <v>City, State Zip</v>
      </c>
      <c r="H13" s="339"/>
      <c r="I13" s="339"/>
      <c r="J13" s="339"/>
      <c r="K13" s="339"/>
      <c r="L13" s="339"/>
      <c r="M13" s="340"/>
      <c r="O13" s="338" t="str">
        <f>IF('CA Multi Tenprint'!B10="", "", 'CA Multi Tenprint'!B10)</f>
        <v>City, State Zip</v>
      </c>
      <c r="P13" s="339"/>
      <c r="Q13" s="339"/>
      <c r="R13" s="339"/>
      <c r="S13" s="339"/>
      <c r="T13" s="339"/>
      <c r="U13" s="339"/>
      <c r="V13" s="340"/>
    </row>
    <row r="14" spans="1:22" ht="5.25" customHeight="1" thickBot="1" x14ac:dyDescent="0.3">
      <c r="B14" s="31"/>
      <c r="C14" s="25"/>
      <c r="D14" s="25"/>
      <c r="E14" s="25"/>
    </row>
    <row r="15" spans="1:22" ht="16.5" customHeight="1" thickBot="1" x14ac:dyDescent="0.3">
      <c r="A15" s="32" t="s">
        <v>398</v>
      </c>
      <c r="B15" s="33" t="str">
        <f>VLOOKUP(B1,'Pricing Model'!A1:J21,10)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 customHeight="1" thickBot="1" x14ac:dyDescent="0.3">
      <c r="A16" s="34" t="s">
        <v>444</v>
      </c>
      <c r="B16" s="33">
        <f>VLOOKUP(B1,'Pricing Model'!A1:H21,8)</f>
        <v>0</v>
      </c>
      <c r="C16" s="25"/>
      <c r="D16" s="25"/>
      <c r="E16" s="25"/>
      <c r="G16" s="313">
        <f ca="1">TODAY()</f>
        <v>45110</v>
      </c>
      <c r="H16" s="314"/>
      <c r="I16" s="315">
        <f ca="1">NOW()</f>
        <v>45110.433634490742</v>
      </c>
      <c r="J16" s="316"/>
      <c r="K16" s="317"/>
      <c r="L16" s="318" t="str">
        <f>'CA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3">
      <c r="D17" s="35"/>
    </row>
    <row r="18" spans="1:28" ht="16.5" customHeight="1" thickTop="1" thickBot="1" x14ac:dyDescent="0.3">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97" t="s">
        <v>442</v>
      </c>
      <c r="Y18" s="97" t="s">
        <v>529</v>
      </c>
      <c r="Z18" s="97" t="s">
        <v>528</v>
      </c>
      <c r="AA18" s="97" t="s">
        <v>530</v>
      </c>
      <c r="AB18" s="97" t="s">
        <v>531</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A19</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9"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39" si="6">M19</f>
        <v>HW-LT-Std-Home</v>
      </c>
      <c r="T19" s="292">
        <f t="shared" ref="T19:T39" si="7">IF(C19="", "", Q19*R19)</f>
        <v>750</v>
      </c>
      <c r="U19" s="292" t="str">
        <f t="shared" ref="U19:U39" si="8">O19</f>
        <v>Hardware-Laptop-Standard with Windows Home Edition   *** Standard with Windows 11</v>
      </c>
      <c r="V19" s="46" t="str">
        <f>IF(C19="","", VLOOKUP(B19,'Raw BOM'!$A$3:$F$495,6,FALSE))</f>
        <v>Yes</v>
      </c>
      <c r="W19" s="1"/>
      <c r="X19" s="47">
        <f t="shared" ref="X19:X39" si="9">IF(AND(V19="Yes", Q19&lt;&gt;0), (T19-Y19)*$B$117, 0)</f>
        <v>0</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264</v>
      </c>
      <c r="C21" s="186">
        <f>IF('Blank Quote'!C21&lt;&gt;"", 'Blank Quote'!C21, "")</f>
        <v>1</v>
      </c>
      <c r="D21" s="187"/>
      <c r="E21" s="188"/>
      <c r="F21" s="189"/>
      <c r="G21" s="406" t="str">
        <f t="shared" si="0"/>
        <v>HW-Scan-Patrol</v>
      </c>
      <c r="H21" s="407"/>
      <c r="I21" s="408" t="str">
        <f>IF(B21&lt;&gt;"", B21, "")&amp;IF(E21&lt;&gt;"", "   *** "&amp;E21, "")</f>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si="1"/>
        <v>LiveScan 4th Gen Software-Driver License and ID Reading software</v>
      </c>
      <c r="J24" s="291"/>
      <c r="K24" s="291" t="str">
        <f t="shared" si="2"/>
        <v/>
      </c>
      <c r="L24" s="291"/>
      <c r="M24" s="291" t="str">
        <f t="shared" si="3"/>
        <v>LS4G-IDCard</v>
      </c>
      <c r="N24" s="291"/>
      <c r="O24" s="291" t="str">
        <f t="shared" si="4"/>
        <v>LiveScan 4th Gen Software-Driver License and ID Reading software</v>
      </c>
      <c r="P24" s="291"/>
      <c r="Q24" s="99">
        <f t="shared" si="5"/>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si="6"/>
        <v>LS4G-IDCard</v>
      </c>
      <c r="T24" s="293">
        <f t="shared" si="7"/>
        <v>340</v>
      </c>
      <c r="U24" s="293"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
        <v/>
      </c>
      <c r="J25" s="291"/>
      <c r="K25" s="291" t="str">
        <f t="shared" si="2"/>
        <v/>
      </c>
      <c r="L25" s="291"/>
      <c r="M25" s="291" t="str">
        <f t="shared" si="3"/>
        <v/>
      </c>
      <c r="N25" s="291"/>
      <c r="O25" s="291" t="str">
        <f t="shared" si="4"/>
        <v/>
      </c>
      <c r="P25" s="291"/>
      <c r="Q25" s="99" t="str">
        <f t="shared" si="5"/>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6"/>
        <v/>
      </c>
      <c r="T25" s="293" t="str">
        <f t="shared" si="7"/>
        <v/>
      </c>
      <c r="U25" s="293"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3"/>
        <v>Svcs-Cfg-CAPSP</v>
      </c>
      <c r="N26" s="291"/>
      <c r="O26" s="291" t="str">
        <f t="shared" si="4"/>
        <v>Services-Configuration-CA PSP Setup   *** Pick ONE of the following capture methods at the time of capture (TWO DIFFERENT BUTTONS on the screen):</v>
      </c>
      <c r="P26" s="291"/>
      <c r="Q26" s="99">
        <f t="shared" si="5"/>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6"/>
        <v>Svcs-Cfg-CAPSP</v>
      </c>
      <c r="T26" s="293">
        <f t="shared" si="7"/>
        <v>500</v>
      </c>
      <c r="U26" s="293"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3"/>
        <v>Misc</v>
      </c>
      <c r="N27" s="291"/>
      <c r="O27" s="291" t="str">
        <f t="shared" si="4"/>
        <v xml:space="preserve">   *** Transaction Fee - Traditional FLATS and ROLLS Method (1 to 10 minutes method): $0.75 per transaction with $150 per monthly cap</v>
      </c>
      <c r="P27" s="291"/>
      <c r="Q27" s="99" t="str">
        <f t="shared" si="5"/>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6"/>
        <v>Misc</v>
      </c>
      <c r="T27" s="293" t="str">
        <f t="shared" si="7"/>
        <v/>
      </c>
      <c r="U27" s="293"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3"/>
        <v>Misc</v>
      </c>
      <c r="N28" s="291"/>
      <c r="O28" s="291" t="str">
        <f t="shared" si="4"/>
        <v xml:space="preserve">   *** Transaction Fee - NEW FLATS ONLY Method (10 to 15 second fingerprinting): $4.00 per transaction with no cap ($2.80 per trans for 501(c)(3) organizations)</v>
      </c>
      <c r="P28" s="291"/>
      <c r="Q28" s="99" t="str">
        <f t="shared" si="5"/>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6"/>
        <v>Misc</v>
      </c>
      <c r="T28" s="293" t="str">
        <f t="shared" si="7"/>
        <v/>
      </c>
      <c r="U28" s="293"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
        <v/>
      </c>
      <c r="J29" s="291"/>
      <c r="K29" s="291" t="str">
        <f t="shared" si="2"/>
        <v/>
      </c>
      <c r="L29" s="291"/>
      <c r="M29" s="291" t="str">
        <f t="shared" si="3"/>
        <v/>
      </c>
      <c r="N29" s="291"/>
      <c r="O29" s="291" t="str">
        <f t="shared" si="4"/>
        <v/>
      </c>
      <c r="P29" s="291"/>
      <c r="Q29" s="99" t="str">
        <f t="shared" si="5"/>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6"/>
        <v/>
      </c>
      <c r="T29" s="293" t="str">
        <f t="shared" si="7"/>
        <v/>
      </c>
      <c r="U29" s="293"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
        <v>Services-Installation and Training Session 4hrs (see Service Method for price)</v>
      </c>
      <c r="J30" s="291"/>
      <c r="K30" s="291" t="str">
        <f t="shared" si="2"/>
        <v/>
      </c>
      <c r="L30" s="291"/>
      <c r="M30" s="291" t="str">
        <f t="shared" si="3"/>
        <v>Svcs-InstallTrain</v>
      </c>
      <c r="N30" s="291"/>
      <c r="O30" s="291" t="str">
        <f t="shared" si="4"/>
        <v>Services-Installation and Training Session 4hrs (see Service Method for price)</v>
      </c>
      <c r="P30" s="291"/>
      <c r="Q30" s="99">
        <f t="shared" si="5"/>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6"/>
        <v>Svcs-InstallTrain</v>
      </c>
      <c r="T30" s="293">
        <f t="shared" si="7"/>
        <v>0</v>
      </c>
      <c r="U30" s="293"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
        <v xml:space="preserve">Services Method-Remote (Phone)   *** To perform services shown in the line above. </v>
      </c>
      <c r="J31" s="291"/>
      <c r="K31" s="291" t="str">
        <f t="shared" si="2"/>
        <v xml:space="preserve">To perform services shown in the line above. </v>
      </c>
      <c r="L31" s="291"/>
      <c r="M31" s="291" t="str">
        <f t="shared" si="3"/>
        <v>Svcs-Phone</v>
      </c>
      <c r="N31" s="291"/>
      <c r="O31" s="291" t="str">
        <f t="shared" si="4"/>
        <v xml:space="preserve">Services Method-Remote (Phone)   *** To perform services shown in the line above. </v>
      </c>
      <c r="P31" s="291"/>
      <c r="Q31" s="99">
        <f t="shared" si="5"/>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6"/>
        <v>Svcs-Phone</v>
      </c>
      <c r="T31" s="293">
        <f t="shared" si="7"/>
        <v>750</v>
      </c>
      <c r="U31" s="293"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
        <v/>
      </c>
      <c r="J32" s="291"/>
      <c r="K32" s="291" t="str">
        <f t="shared" si="2"/>
        <v/>
      </c>
      <c r="L32" s="291"/>
      <c r="M32" s="291" t="str">
        <f t="shared" si="3"/>
        <v/>
      </c>
      <c r="N32" s="291"/>
      <c r="O32" s="291" t="str">
        <f t="shared" si="4"/>
        <v/>
      </c>
      <c r="P32" s="291"/>
      <c r="Q32" s="99" t="str">
        <f t="shared" si="5"/>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6"/>
        <v/>
      </c>
      <c r="T32" s="293" t="str">
        <f t="shared" si="7"/>
        <v/>
      </c>
      <c r="U32" s="293"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
        <v>Shipping-Ground for Large Package</v>
      </c>
      <c r="J33" s="291"/>
      <c r="K33" s="291" t="str">
        <f t="shared" si="2"/>
        <v/>
      </c>
      <c r="L33" s="291"/>
      <c r="M33" s="291" t="str">
        <f t="shared" si="3"/>
        <v>Ship-L</v>
      </c>
      <c r="N33" s="291"/>
      <c r="O33" s="291" t="str">
        <f t="shared" si="4"/>
        <v>Shipping-Ground for Large Package</v>
      </c>
      <c r="P33" s="291"/>
      <c r="Q33" s="99">
        <f t="shared" si="5"/>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6"/>
        <v>Ship-L</v>
      </c>
      <c r="T33" s="293">
        <f t="shared" si="7"/>
        <v>60</v>
      </c>
      <c r="U33" s="293"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
        <v>Maintenance-Initial Year Warranty   *** Cross Ship</v>
      </c>
      <c r="J34" s="291"/>
      <c r="K34" s="291" t="str">
        <f t="shared" si="2"/>
        <v>Cross Ship</v>
      </c>
      <c r="L34" s="291"/>
      <c r="M34" s="291" t="str">
        <f t="shared" si="3"/>
        <v>Maint-Warr</v>
      </c>
      <c r="N34" s="291"/>
      <c r="O34" s="291" t="str">
        <f t="shared" si="4"/>
        <v>Maintenance-Initial Year Warranty   *** Cross Ship</v>
      </c>
      <c r="P34" s="291"/>
      <c r="Q34" s="99">
        <f t="shared" si="5"/>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6"/>
        <v>Maint-Warr</v>
      </c>
      <c r="T34" s="293">
        <f t="shared" si="7"/>
        <v>0</v>
      </c>
      <c r="U34" s="293"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
        <v xml:space="preserve">   *** Pick one of the following 2 Maintenance options in the 12th month.  We recommend picking 2nd line if processing more than 1,200 transactions per year.</v>
      </c>
      <c r="J35" s="291"/>
      <c r="K35" s="291" t="str">
        <f t="shared" si="2"/>
        <v>Pick one of the following 2 Maintenance options in the 12th month.  We recommend picking 2nd line if processing more than 1,200 transactions per year.</v>
      </c>
      <c r="L35" s="291"/>
      <c r="M35" s="291" t="str">
        <f t="shared" si="3"/>
        <v>Misc</v>
      </c>
      <c r="N35" s="291"/>
      <c r="O35" s="291" t="str">
        <f t="shared" si="4"/>
        <v xml:space="preserve">   *** Pick one of the following 2 Maintenance options in the 12th month.  We recommend picking 2nd line if processing more than 1,200 transactions per year.</v>
      </c>
      <c r="P35" s="291"/>
      <c r="Q35" s="99" t="str">
        <f t="shared" si="5"/>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6"/>
        <v>Misc</v>
      </c>
      <c r="T35" s="293" t="str">
        <f t="shared" si="7"/>
        <v/>
      </c>
      <c r="U35" s="293"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664</v>
      </c>
      <c r="C36" s="43">
        <f>IF('Blank Quote'!C36&lt;&gt;"", 'Blank Quote'!C36, "")</f>
        <v>0</v>
      </c>
      <c r="D36" s="44">
        <v>495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D36</f>
        <v>495</v>
      </c>
      <c r="S36" s="293" t="str">
        <f t="shared" si="6"/>
        <v>Maint-9X5-SW-App</v>
      </c>
      <c r="T36" s="293">
        <f t="shared" si="7"/>
        <v>0</v>
      </c>
      <c r="U36" s="293"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660</v>
      </c>
      <c r="C37" s="43">
        <f>IF('Blank Quote'!C37&lt;&gt;"", 'Blank Quote'!C37, "")</f>
        <v>0</v>
      </c>
      <c r="D37" s="44">
        <v>840</v>
      </c>
      <c r="E37" s="50" t="str">
        <f>IF('Blank Quote'!E37&lt;&gt;"", 'Blank Quote'!E37, "")</f>
        <v>Software and Hardware Coverage, per system</v>
      </c>
      <c r="F37" s="251">
        <f>ROUND(S41*0.12,-1)</f>
        <v>690</v>
      </c>
      <c r="G37" s="305" t="str">
        <f t="shared" si="0"/>
        <v>Maint-9X5-Remote</v>
      </c>
      <c r="H37" s="306"/>
      <c r="I37" s="291" t="str">
        <f t="shared" ref="I37:I39" si="12">IF(B37&lt;&gt;"", B37, "")&amp;IF(E37&lt;&gt;"", "   *** "&amp;E37, "")</f>
        <v>Maintenance-9 X 5 (8am - 5pm, M-F) Remote with Cross Ship   *** Software and Hardware Coverage, per system</v>
      </c>
      <c r="J37" s="291"/>
      <c r="K37" s="291" t="str">
        <f t="shared" ref="K37:K39" si="13">E37</f>
        <v>Software and Hardware Coverage, per system</v>
      </c>
      <c r="L37" s="291"/>
      <c r="M37" s="291" t="str">
        <f t="shared" ref="M37:M39" si="14">G37</f>
        <v>Maint-9X5-Remote</v>
      </c>
      <c r="N37" s="291"/>
      <c r="O37" s="291" t="str">
        <f t="shared" ref="O37:O39" si="15">I37</f>
        <v>Maintenance-9 X 5 (8am - 5pm, M-F) Remote with Cross Ship   *** Software and Hardware Coverage, per system</v>
      </c>
      <c r="P37" s="291"/>
      <c r="Q37" s="99">
        <f t="shared" si="5"/>
        <v>0</v>
      </c>
      <c r="R37" s="293">
        <f t="shared" ref="R37:R39" si="16">D37</f>
        <v>840</v>
      </c>
      <c r="S37" s="293" t="str">
        <f t="shared" si="6"/>
        <v>Maint-9X5-Remote</v>
      </c>
      <c r="T37" s="293">
        <f t="shared" si="7"/>
        <v>0</v>
      </c>
      <c r="U37" s="293"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05" t="str">
        <f t="shared" si="0"/>
        <v/>
      </c>
      <c r="H38" s="306"/>
      <c r="I38" s="291" t="str">
        <f t="shared" si="12"/>
        <v/>
      </c>
      <c r="J38" s="291"/>
      <c r="K38" s="291" t="str">
        <f t="shared" si="13"/>
        <v/>
      </c>
      <c r="L38" s="291"/>
      <c r="M38" s="291" t="str">
        <f t="shared" si="14"/>
        <v/>
      </c>
      <c r="N38" s="291"/>
      <c r="O38" s="291" t="str">
        <f t="shared" si="15"/>
        <v/>
      </c>
      <c r="P38" s="291"/>
      <c r="Q38" s="99" t="str">
        <f t="shared" si="5"/>
        <v/>
      </c>
      <c r="R38" s="293" t="str">
        <f t="shared" si="16"/>
        <v/>
      </c>
      <c r="S38" s="293" t="str">
        <f t="shared" si="6"/>
        <v/>
      </c>
      <c r="T38" s="293" t="str">
        <f t="shared" si="7"/>
        <v/>
      </c>
      <c r="U38" s="293"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296" t="str">
        <f t="shared" si="0"/>
        <v/>
      </c>
      <c r="H39" s="297"/>
      <c r="I39" s="298" t="str">
        <f t="shared" si="12"/>
        <v/>
      </c>
      <c r="J39" s="298"/>
      <c r="K39" s="298" t="str">
        <f t="shared" si="13"/>
        <v/>
      </c>
      <c r="L39" s="298"/>
      <c r="M39" s="298" t="str">
        <f t="shared" si="14"/>
        <v/>
      </c>
      <c r="N39" s="298"/>
      <c r="O39" s="298" t="str">
        <f t="shared" si="15"/>
        <v/>
      </c>
      <c r="P39" s="298"/>
      <c r="Q39" s="96" t="str">
        <f t="shared" si="5"/>
        <v/>
      </c>
      <c r="R39" s="300" t="str">
        <f t="shared" si="16"/>
        <v/>
      </c>
      <c r="S39" s="300" t="str">
        <f t="shared" si="6"/>
        <v/>
      </c>
      <c r="T39" s="300" t="str">
        <f t="shared" si="7"/>
        <v/>
      </c>
      <c r="U39" s="300"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47" t="s">
        <v>1513</v>
      </c>
      <c r="H41" s="348"/>
      <c r="I41" s="348"/>
      <c r="J41" s="348"/>
      <c r="K41" s="348"/>
      <c r="L41" s="348"/>
      <c r="M41" s="349"/>
      <c r="N41" s="356" t="str">
        <f>'Blank Quote'!$N$41:$O$41</f>
        <v>QS: 20191222</v>
      </c>
      <c r="O41" s="357"/>
      <c r="P41" s="57"/>
      <c r="Q41" s="57"/>
      <c r="R41" s="58" t="s">
        <v>333</v>
      </c>
      <c r="S41" s="341">
        <f>SUMIF(T19:U35,"&gt;0")</f>
        <v>5720</v>
      </c>
      <c r="T41" s="342"/>
      <c r="U41" s="343"/>
      <c r="V41" s="59"/>
    </row>
    <row r="42" spans="1:28" ht="15" customHeight="1" thickBot="1" x14ac:dyDescent="0.3">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3">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3">
      <c r="A44" s="249"/>
      <c r="B44" s="249"/>
      <c r="C44" s="249"/>
      <c r="D44" s="249"/>
      <c r="E44" s="249"/>
      <c r="G44" s="350"/>
      <c r="H44" s="351"/>
      <c r="I44" s="351"/>
      <c r="J44" s="351"/>
      <c r="K44" s="351"/>
      <c r="L44" s="351"/>
      <c r="M44" s="352"/>
      <c r="N44" s="56"/>
      <c r="P44" s="57"/>
      <c r="R44" s="58" t="s">
        <v>1442</v>
      </c>
      <c r="S44" s="341">
        <f>SUM(T36:U39)</f>
        <v>0</v>
      </c>
      <c r="T44" s="342"/>
      <c r="U44" s="343"/>
      <c r="V44" s="201"/>
      <c r="X44" s="61"/>
    </row>
    <row r="45" spans="1:28" ht="15" customHeight="1" thickBot="1" x14ac:dyDescent="0.3">
      <c r="A45" s="249"/>
      <c r="B45" s="249"/>
      <c r="C45" s="249"/>
      <c r="D45" s="249"/>
      <c r="E45" s="249"/>
      <c r="G45" s="350"/>
      <c r="H45" s="351"/>
      <c r="I45" s="351"/>
      <c r="J45" s="351"/>
      <c r="K45" s="351"/>
      <c r="L45" s="351"/>
      <c r="M45" s="352"/>
      <c r="N45" s="56"/>
      <c r="P45" s="57"/>
      <c r="Q45" s="57"/>
      <c r="R45" s="58" t="s">
        <v>649</v>
      </c>
      <c r="S45" s="344" t="str">
        <f>IF(B11=0, "Tax Exempt", X45)</f>
        <v>Tax Exempt</v>
      </c>
      <c r="T45" s="345"/>
      <c r="U45" s="345"/>
      <c r="V45" s="257">
        <f>B11</f>
        <v>0</v>
      </c>
      <c r="X45" s="61">
        <f>SUM(X19:X39)</f>
        <v>0</v>
      </c>
    </row>
    <row r="46" spans="1:28" ht="15" customHeight="1" thickBot="1" x14ac:dyDescent="0.3">
      <c r="A46" s="249"/>
      <c r="B46" s="249"/>
      <c r="C46" s="249"/>
      <c r="D46" s="249"/>
      <c r="E46" s="249"/>
      <c r="G46" s="353"/>
      <c r="H46" s="354"/>
      <c r="I46" s="354"/>
      <c r="J46" s="354"/>
      <c r="K46" s="354"/>
      <c r="L46" s="354"/>
      <c r="M46" s="355"/>
      <c r="N46" s="56"/>
      <c r="P46" s="57"/>
      <c r="Q46" s="57"/>
      <c r="R46" s="58" t="s">
        <v>334</v>
      </c>
      <c r="S46" s="374">
        <f>SUM(S41:U45)</f>
        <v>3884.8</v>
      </c>
      <c r="T46" s="375"/>
      <c r="U46" s="376"/>
      <c r="V46" s="62"/>
    </row>
    <row r="47" spans="1:28" ht="5.25" customHeight="1" thickBot="1" x14ac:dyDescent="0.3">
      <c r="A47" s="249"/>
      <c r="B47" s="249"/>
      <c r="C47" s="249"/>
      <c r="D47" s="249"/>
      <c r="E47" s="249"/>
    </row>
    <row r="48" spans="1:28" ht="7.5" customHeight="1" x14ac:dyDescent="0.25">
      <c r="A48" s="249"/>
      <c r="B48" s="249"/>
      <c r="C48" s="249"/>
      <c r="D48" s="249"/>
      <c r="E48" s="249"/>
      <c r="G48" s="39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97"/>
      <c r="I48" s="397"/>
      <c r="J48" s="397"/>
      <c r="K48" s="397"/>
      <c r="L48" s="397"/>
      <c r="M48" s="397"/>
      <c r="N48" s="397"/>
      <c r="O48" s="397"/>
      <c r="P48" s="397"/>
      <c r="Q48" s="397"/>
      <c r="R48" s="397"/>
      <c r="S48" s="397"/>
      <c r="T48" s="397"/>
      <c r="U48" s="397"/>
      <c r="V48" s="398"/>
    </row>
    <row r="49" spans="1:22" ht="6.75" customHeight="1" x14ac:dyDescent="0.25">
      <c r="A49" s="249"/>
      <c r="B49" s="249"/>
      <c r="C49" s="249"/>
      <c r="D49" s="249"/>
      <c r="E49" s="249"/>
      <c r="G49" s="399"/>
      <c r="H49" s="400"/>
      <c r="I49" s="400"/>
      <c r="J49" s="400"/>
      <c r="K49" s="400"/>
      <c r="L49" s="400"/>
      <c r="M49" s="400"/>
      <c r="N49" s="400"/>
      <c r="O49" s="400"/>
      <c r="P49" s="400"/>
      <c r="Q49" s="400"/>
      <c r="R49" s="400"/>
      <c r="S49" s="400"/>
      <c r="T49" s="400"/>
      <c r="U49" s="400"/>
      <c r="V49" s="401"/>
    </row>
    <row r="50" spans="1:22" ht="13.5" customHeight="1" x14ac:dyDescent="0.25">
      <c r="A50" s="249"/>
      <c r="B50" s="249"/>
      <c r="C50" s="249"/>
      <c r="D50" s="249"/>
      <c r="E50" s="249"/>
      <c r="G50" s="399"/>
      <c r="H50" s="400"/>
      <c r="I50" s="400"/>
      <c r="J50" s="400"/>
      <c r="K50" s="400"/>
      <c r="L50" s="400"/>
      <c r="M50" s="400"/>
      <c r="N50" s="400"/>
      <c r="O50" s="400"/>
      <c r="P50" s="400"/>
      <c r="Q50" s="400"/>
      <c r="R50" s="400"/>
      <c r="S50" s="400"/>
      <c r="T50" s="400"/>
      <c r="U50" s="400"/>
      <c r="V50" s="401"/>
    </row>
    <row r="51" spans="1:22" ht="13.5" customHeight="1" x14ac:dyDescent="0.25">
      <c r="A51" s="249"/>
      <c r="B51" s="249"/>
      <c r="C51" s="249"/>
      <c r="D51" s="249"/>
      <c r="E51" s="249"/>
      <c r="G51" s="399"/>
      <c r="H51" s="400"/>
      <c r="I51" s="400"/>
      <c r="J51" s="400"/>
      <c r="K51" s="400"/>
      <c r="L51" s="400"/>
      <c r="M51" s="400"/>
      <c r="N51" s="400"/>
      <c r="O51" s="400"/>
      <c r="P51" s="400"/>
      <c r="Q51" s="400"/>
      <c r="R51" s="400"/>
      <c r="S51" s="400"/>
      <c r="T51" s="400"/>
      <c r="U51" s="400"/>
      <c r="V51" s="401"/>
    </row>
    <row r="52" spans="1:22" ht="13.5" customHeight="1" x14ac:dyDescent="0.25">
      <c r="A52" s="249"/>
      <c r="B52" s="249"/>
      <c r="C52" s="249"/>
      <c r="D52" s="249"/>
      <c r="E52" s="249"/>
      <c r="G52" s="399"/>
      <c r="H52" s="400"/>
      <c r="I52" s="400"/>
      <c r="J52" s="400"/>
      <c r="K52" s="400"/>
      <c r="L52" s="400"/>
      <c r="M52" s="400"/>
      <c r="N52" s="400"/>
      <c r="O52" s="400"/>
      <c r="P52" s="400"/>
      <c r="Q52" s="400"/>
      <c r="R52" s="400"/>
      <c r="S52" s="400"/>
      <c r="T52" s="400"/>
      <c r="U52" s="400"/>
      <c r="V52" s="401"/>
    </row>
    <row r="53" spans="1:22" ht="5.45" customHeight="1" thickBot="1" x14ac:dyDescent="0.3">
      <c r="A53" s="249"/>
      <c r="B53" s="249"/>
      <c r="C53" s="249"/>
      <c r="D53" s="249"/>
      <c r="E53" s="249"/>
      <c r="G53" s="402"/>
      <c r="H53" s="403"/>
      <c r="I53" s="403"/>
      <c r="J53" s="403"/>
      <c r="K53" s="403"/>
      <c r="L53" s="403"/>
      <c r="M53" s="403"/>
      <c r="N53" s="403"/>
      <c r="O53" s="403"/>
      <c r="P53" s="403"/>
      <c r="Q53" s="403"/>
      <c r="R53" s="403"/>
      <c r="S53" s="403"/>
      <c r="T53" s="403"/>
      <c r="U53" s="403"/>
      <c r="V53" s="404"/>
    </row>
    <row r="54" spans="1:22" ht="18" customHeight="1" outlineLevel="1" thickTop="1" thickBot="1" x14ac:dyDescent="0.3">
      <c r="A54" s="13" t="s">
        <v>135</v>
      </c>
      <c r="B54" s="14" t="str">
        <f>'Blank Quote'!B1</f>
        <v>App CA Private</v>
      </c>
      <c r="C54" s="377" t="s">
        <v>390</v>
      </c>
      <c r="D54" s="378"/>
      <c r="E54" s="15" t="str">
        <f>VLOOKUP(B54,'Pricing Model'!A1:C21,3)</f>
        <v>Discount Based</v>
      </c>
    </row>
    <row r="55" spans="1:22" ht="18" customHeight="1" outlineLevel="1" thickBot="1" x14ac:dyDescent="0.3">
      <c r="A55" s="17" t="s">
        <v>335</v>
      </c>
      <c r="B55" s="18" t="str">
        <f>'Blank Quote'!B2</f>
        <v>Business Name</v>
      </c>
      <c r="C55" s="379" t="s">
        <v>445</v>
      </c>
      <c r="D55" s="380"/>
      <c r="E55" s="19">
        <f>IF(E54="Discount Based", VLOOKUP(B54,'Pricing Model'!A1:D21,4), "")</f>
        <v>0.2</v>
      </c>
      <c r="P55" s="410" t="s">
        <v>1510</v>
      </c>
      <c r="Q55" s="410"/>
      <c r="R55" s="410"/>
      <c r="S55" s="410"/>
      <c r="T55" s="410"/>
      <c r="U55" s="410"/>
    </row>
    <row r="56" spans="1:22" ht="18" customHeight="1" outlineLevel="1" x14ac:dyDescent="0.25">
      <c r="A56" s="17" t="s">
        <v>336</v>
      </c>
      <c r="B56" s="18" t="str">
        <f>'Blank Quote'!B3</f>
        <v>FirstName LastName</v>
      </c>
      <c r="C56" s="379" t="s">
        <v>446</v>
      </c>
      <c r="D56" s="380"/>
      <c r="E56" s="19">
        <f>IF(E54="Discount Based", VLOOKUP(B54,'Pricing Model'!A1:E21,5), "")</f>
        <v>0.44</v>
      </c>
      <c r="N56" s="265" t="str">
        <f>IF('Blank Quote'!$E$7&lt;&gt;"", "REPLACING", "")</f>
        <v/>
      </c>
    </row>
    <row r="57" spans="1:22" ht="18" customHeight="1" outlineLevel="1" x14ac:dyDescent="0.25">
      <c r="A57" s="20" t="s">
        <v>337</v>
      </c>
      <c r="B57" s="21" t="str">
        <f>'Blank Quote'!B4</f>
        <v>Number | email</v>
      </c>
      <c r="C57" s="379" t="s">
        <v>447</v>
      </c>
      <c r="D57" s="380"/>
      <c r="E57" s="19" t="str">
        <f>IF(E54="Cost Based", VLOOKUP(B54,'Pricing Model'!A1:F21,6), "")</f>
        <v/>
      </c>
      <c r="G57" s="322" t="s">
        <v>145</v>
      </c>
      <c r="H57" s="322"/>
      <c r="I57" s="322"/>
      <c r="J57" s="322"/>
      <c r="K57" s="322"/>
      <c r="L57" s="322"/>
      <c r="M57" s="22"/>
      <c r="N57" s="264" t="str">
        <f>IF('Blank Quote'!$E$7&lt;&gt;"","LSID: "&amp;'Blank Quote'!$E$7, "")</f>
        <v/>
      </c>
      <c r="P57" s="321" t="s">
        <v>142</v>
      </c>
      <c r="Q57" s="321"/>
      <c r="R57" s="321"/>
      <c r="S57" s="321"/>
      <c r="T57" s="321"/>
      <c r="U57" s="321"/>
    </row>
    <row r="58" spans="1:22" ht="18" customHeight="1" outlineLevel="1" thickBot="1" x14ac:dyDescent="0.3">
      <c r="A58" s="20" t="s">
        <v>131</v>
      </c>
      <c r="B58" s="21" t="str">
        <f>'Blank Quote'!B5</f>
        <v>Address1</v>
      </c>
      <c r="C58" s="381" t="s">
        <v>448</v>
      </c>
      <c r="D58" s="382"/>
      <c r="E58" s="23" t="str">
        <f>IF(E54="Cost Based", VLOOKUP(B54,'Pricing Model'!A1:G21,7), "")</f>
        <v/>
      </c>
      <c r="G58" s="322" t="s">
        <v>1933</v>
      </c>
      <c r="H58" s="322"/>
      <c r="I58" s="322"/>
      <c r="J58" s="322"/>
      <c r="K58" s="322"/>
      <c r="L58" s="322"/>
      <c r="M58" s="22"/>
    </row>
    <row r="59" spans="1:22" ht="18" customHeight="1" outlineLevel="1" thickBot="1" x14ac:dyDescent="0.3">
      <c r="A59" s="20" t="s">
        <v>132</v>
      </c>
      <c r="B59" s="24" t="str">
        <f>'Blank Quote'!B6</f>
        <v>City, State Zip</v>
      </c>
      <c r="C59" s="25"/>
      <c r="D59" s="25"/>
      <c r="E59" s="25"/>
      <c r="G59" s="322" t="s">
        <v>146</v>
      </c>
      <c r="H59" s="322"/>
      <c r="I59" s="322"/>
      <c r="J59" s="322"/>
      <c r="K59" s="322"/>
      <c r="L59" s="322"/>
      <c r="M59" s="22"/>
      <c r="P59" s="321" t="s">
        <v>147</v>
      </c>
      <c r="Q59" s="321"/>
      <c r="R59" s="321"/>
      <c r="S59" s="321"/>
      <c r="T59" s="321"/>
      <c r="U59" s="321"/>
    </row>
    <row r="60" spans="1:22" ht="18" customHeight="1" outlineLevel="1" thickBot="1" x14ac:dyDescent="0.4">
      <c r="A60" s="17" t="s">
        <v>338</v>
      </c>
      <c r="B60" s="18" t="str">
        <f>'Blank Quote'!B7</f>
        <v>FirstName LastName</v>
      </c>
      <c r="C60" s="25"/>
      <c r="D60" s="25"/>
      <c r="E60" s="25"/>
      <c r="G60" s="26"/>
    </row>
    <row r="61" spans="1:22" ht="18" customHeight="1" outlineLevel="1" thickBot="1" x14ac:dyDescent="0.35">
      <c r="A61" s="20" t="s">
        <v>339</v>
      </c>
      <c r="B61" s="21" t="str">
        <f>'Blank Quote'!B8</f>
        <v>Number | email</v>
      </c>
      <c r="C61" s="25"/>
      <c r="D61" s="25"/>
      <c r="E61" s="25"/>
      <c r="G61" s="323" t="s">
        <v>118</v>
      </c>
      <c r="H61" s="324"/>
      <c r="I61" s="324"/>
      <c r="J61" s="324"/>
      <c r="K61" s="324"/>
      <c r="L61" s="324"/>
      <c r="M61" s="325"/>
      <c r="O61" s="323" t="s">
        <v>122</v>
      </c>
      <c r="P61" s="324"/>
      <c r="Q61" s="324"/>
      <c r="R61" s="324"/>
      <c r="S61" s="324"/>
      <c r="T61" s="324"/>
      <c r="U61" s="324"/>
      <c r="V61" s="325"/>
    </row>
    <row r="62" spans="1:22" ht="18" customHeight="1" outlineLevel="1" x14ac:dyDescent="0.25">
      <c r="A62" s="20" t="s">
        <v>131</v>
      </c>
      <c r="B62" s="21" t="str">
        <f>'Blank Quote'!B9</f>
        <v>Address1</v>
      </c>
      <c r="C62" s="25"/>
      <c r="D62" s="25"/>
      <c r="E62" s="25"/>
      <c r="G62" s="335" t="str">
        <f>IF('CA Multi Tenprint'!B55="", "", 'CA Multi Tenprint'!B55)</f>
        <v>Business Name</v>
      </c>
      <c r="H62" s="336"/>
      <c r="I62" s="336"/>
      <c r="J62" s="336"/>
      <c r="K62" s="336"/>
      <c r="L62" s="336"/>
      <c r="M62" s="337"/>
      <c r="O62" s="326" t="str">
        <f>IF('CA Multi Tenprint'!B55="", "", 'CA Multi Tenprint'!B55)</f>
        <v>Business Name</v>
      </c>
      <c r="P62" s="327"/>
      <c r="Q62" s="327"/>
      <c r="R62" s="327"/>
      <c r="S62" s="327"/>
      <c r="T62" s="327"/>
      <c r="U62" s="327"/>
      <c r="V62" s="328"/>
    </row>
    <row r="63" spans="1:22" ht="18" customHeight="1" outlineLevel="1" thickBot="1" x14ac:dyDescent="0.3">
      <c r="A63" s="27" t="s">
        <v>132</v>
      </c>
      <c r="B63" s="24" t="str">
        <f>'Blank Quote'!B10</f>
        <v>City, State Zip</v>
      </c>
      <c r="C63" s="25"/>
      <c r="D63" s="25"/>
      <c r="E63" s="25"/>
      <c r="G63" s="326" t="str">
        <f>IF('CA Multi Tenprint'!B56="", "", 'CA Multi Tenprint'!B56)</f>
        <v>FirstName LastName</v>
      </c>
      <c r="H63" s="327"/>
      <c r="I63" s="327"/>
      <c r="J63" s="327"/>
      <c r="K63" s="327"/>
      <c r="L63" s="327"/>
      <c r="M63" s="328"/>
      <c r="O63" s="326" t="str">
        <f>IF('CA Multi Tenprint'!B60="", "", 'CA Multi Tenprint'!B60)</f>
        <v>FirstName LastName</v>
      </c>
      <c r="P63" s="327"/>
      <c r="Q63" s="327"/>
      <c r="R63" s="327"/>
      <c r="S63" s="327"/>
      <c r="T63" s="327"/>
      <c r="U63" s="327"/>
      <c r="V63" s="328"/>
    </row>
    <row r="64" spans="1:22" ht="18" customHeight="1" outlineLevel="1" thickBot="1" x14ac:dyDescent="0.3">
      <c r="A64" s="27" t="s">
        <v>370</v>
      </c>
      <c r="B64" s="28">
        <f>'Blank Quote'!B11</f>
        <v>0</v>
      </c>
      <c r="C64" s="25"/>
      <c r="D64" s="25"/>
      <c r="E64" s="25"/>
      <c r="G64" s="326" t="str">
        <f>IF('CA Multi Tenprint'!B57="", "", 'CA Multi Tenprint'!B57)</f>
        <v>Number | email</v>
      </c>
      <c r="H64" s="327"/>
      <c r="I64" s="327"/>
      <c r="J64" s="327"/>
      <c r="K64" s="327"/>
      <c r="L64" s="327"/>
      <c r="M64" s="328"/>
      <c r="O64" s="326" t="str">
        <f>IF('CA Multi Tenprint'!B61="", "", 'CA Multi Tenprint'!B61)</f>
        <v>Number | email</v>
      </c>
      <c r="P64" s="327"/>
      <c r="Q64" s="327"/>
      <c r="R64" s="327"/>
      <c r="S64" s="327"/>
      <c r="T64" s="327"/>
      <c r="U64" s="327"/>
      <c r="V64" s="328"/>
    </row>
    <row r="65" spans="1:28" ht="18" customHeight="1" outlineLevel="1" thickBot="1" x14ac:dyDescent="0.3">
      <c r="A65" s="13" t="s">
        <v>443</v>
      </c>
      <c r="B65" s="29" t="str">
        <f>'Blank Quote'!B12</f>
        <v>EC</v>
      </c>
      <c r="C65" s="25"/>
      <c r="D65" s="25"/>
      <c r="E65" s="25"/>
      <c r="G65" s="326" t="str">
        <f>IF('CA Multi Tenprint'!B58="", "", 'CA Multi Tenprint'!B58)</f>
        <v>Address1</v>
      </c>
      <c r="H65" s="327"/>
      <c r="I65" s="327"/>
      <c r="J65" s="327"/>
      <c r="K65" s="327"/>
      <c r="L65" s="327"/>
      <c r="M65" s="328"/>
      <c r="O65" s="326" t="str">
        <f>IF('CA Multi Tenprint'!B62="", "", 'CA Multi Tenprint'!B62)</f>
        <v>Address1</v>
      </c>
      <c r="P65" s="327"/>
      <c r="Q65" s="327"/>
      <c r="R65" s="327"/>
      <c r="S65" s="327"/>
      <c r="T65" s="327"/>
      <c r="U65" s="327"/>
      <c r="V65" s="328"/>
    </row>
    <row r="66" spans="1:28" ht="18" customHeight="1" outlineLevel="1" thickBot="1" x14ac:dyDescent="0.3">
      <c r="A66" s="13" t="s">
        <v>129</v>
      </c>
      <c r="B66" s="30" t="str">
        <f>'Blank Quote'!B13</f>
        <v>Ground</v>
      </c>
      <c r="C66" s="25"/>
      <c r="D66" s="25"/>
      <c r="E66" s="25"/>
      <c r="G66" s="338" t="str">
        <f>IF('CA Multi Tenprint'!B59="", "", 'CA Multi Tenprint'!B59)</f>
        <v>City, State Zip</v>
      </c>
      <c r="H66" s="339"/>
      <c r="I66" s="339"/>
      <c r="J66" s="339"/>
      <c r="K66" s="339"/>
      <c r="L66" s="339"/>
      <c r="M66" s="340"/>
      <c r="O66" s="338" t="str">
        <f>IF('CA Multi Tenprint'!B63="", "", 'CA Multi Tenprint'!B63)</f>
        <v>City, State Zip</v>
      </c>
      <c r="P66" s="339"/>
      <c r="Q66" s="339"/>
      <c r="R66" s="339"/>
      <c r="S66" s="339"/>
      <c r="T66" s="339"/>
      <c r="U66" s="339"/>
      <c r="V66" s="340"/>
    </row>
    <row r="67" spans="1:28" ht="5.25" customHeight="1" outlineLevel="1" thickBot="1" x14ac:dyDescent="0.3">
      <c r="B67" s="31"/>
      <c r="C67" s="25"/>
      <c r="D67" s="25"/>
      <c r="E67" s="25"/>
    </row>
    <row r="68" spans="1:28" ht="16.5" outlineLevel="1" thickBot="1" x14ac:dyDescent="0.3">
      <c r="A68" s="32" t="s">
        <v>398</v>
      </c>
      <c r="B68" s="33" t="str">
        <f>VLOOKUP(B54,'Pricing Model'!A1:J21,10)</f>
        <v>Private</v>
      </c>
      <c r="C68" s="25"/>
      <c r="D68" s="25"/>
      <c r="E68" s="25"/>
      <c r="G68" s="310" t="s">
        <v>119</v>
      </c>
      <c r="H68" s="312"/>
      <c r="I68" s="310" t="s">
        <v>120</v>
      </c>
      <c r="J68" s="311"/>
      <c r="K68" s="312"/>
      <c r="L68" s="310" t="s">
        <v>121</v>
      </c>
      <c r="M68" s="311"/>
      <c r="N68" s="312"/>
      <c r="O68" s="310" t="s">
        <v>128</v>
      </c>
      <c r="P68" s="312"/>
      <c r="Q68" s="310" t="s">
        <v>332</v>
      </c>
      <c r="R68" s="312"/>
      <c r="S68" s="360" t="s">
        <v>535</v>
      </c>
      <c r="T68" s="361"/>
      <c r="U68" s="361"/>
      <c r="V68" s="362"/>
    </row>
    <row r="69" spans="1:28" ht="15.75" outlineLevel="1" thickBot="1" x14ac:dyDescent="0.3">
      <c r="A69" s="34" t="s">
        <v>444</v>
      </c>
      <c r="B69" s="33">
        <f>VLOOKUP(B54,'Pricing Model'!A1:H21,8)</f>
        <v>0</v>
      </c>
      <c r="C69" s="25"/>
      <c r="D69" s="25"/>
      <c r="E69" s="25"/>
      <c r="G69" s="313">
        <f ca="1">TODAY()</f>
        <v>45110</v>
      </c>
      <c r="H69" s="314"/>
      <c r="I69" s="315">
        <f ca="1">NOW()</f>
        <v>45110.433634490742</v>
      </c>
      <c r="J69" s="316"/>
      <c r="K69" s="317"/>
      <c r="L69" s="318" t="str">
        <f>'CA Multi Tenprint'!B65</f>
        <v>EC</v>
      </c>
      <c r="M69" s="319"/>
      <c r="N69" s="320"/>
      <c r="O69" s="318" t="str">
        <f>VLOOKUP(B54,'Pricing Model'!A1:I21,9)</f>
        <v>Due on Rcpt</v>
      </c>
      <c r="P69" s="320"/>
      <c r="Q69" s="318" t="str">
        <f>B66</f>
        <v>Ground</v>
      </c>
      <c r="R69" s="319"/>
      <c r="S69" s="318" t="str">
        <f>IF(B69&lt;&gt;0,B69,"")</f>
        <v/>
      </c>
      <c r="T69" s="319"/>
      <c r="U69" s="319"/>
      <c r="V69" s="320"/>
    </row>
    <row r="70" spans="1:28" ht="5.25" customHeight="1" outlineLevel="1" thickBot="1" x14ac:dyDescent="0.3">
      <c r="D70" s="35"/>
    </row>
    <row r="71" spans="1:28" ht="17.25" thickTop="1" thickBot="1" x14ac:dyDescent="0.3">
      <c r="A71" s="36" t="s">
        <v>123</v>
      </c>
      <c r="B71" s="37" t="s">
        <v>124</v>
      </c>
      <c r="C71" s="38" t="s">
        <v>125</v>
      </c>
      <c r="D71" s="38" t="s">
        <v>371</v>
      </c>
      <c r="E71" s="39" t="s">
        <v>540</v>
      </c>
      <c r="G71" s="333" t="s">
        <v>123</v>
      </c>
      <c r="H71" s="334"/>
      <c r="I71" s="301" t="s">
        <v>124</v>
      </c>
      <c r="J71" s="301"/>
      <c r="K71" s="301"/>
      <c r="L71" s="301"/>
      <c r="M71" s="301"/>
      <c r="N71" s="301"/>
      <c r="O71" s="301"/>
      <c r="P71" s="301"/>
      <c r="Q71" s="97" t="s">
        <v>125</v>
      </c>
      <c r="R71" s="301" t="s">
        <v>126</v>
      </c>
      <c r="S71" s="301"/>
      <c r="T71" s="301" t="s">
        <v>127</v>
      </c>
      <c r="U71" s="301"/>
      <c r="V71" s="40" t="s">
        <v>440</v>
      </c>
      <c r="X71" s="97" t="s">
        <v>442</v>
      </c>
      <c r="Y71" s="97" t="s">
        <v>529</v>
      </c>
      <c r="Z71" s="97" t="s">
        <v>528</v>
      </c>
      <c r="AA71" s="97" t="s">
        <v>530</v>
      </c>
      <c r="AB71" s="97" t="s">
        <v>531</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02" t="str">
        <f t="shared" ref="G72:G92" si="17">A72</f>
        <v>HW-LT-Std-Home</v>
      </c>
      <c r="H72" s="303"/>
      <c r="I72" s="304" t="str">
        <f t="shared" ref="I72:I89" si="18">IF(B72&lt;&gt;"", B72, "")&amp;IF(E72&lt;&gt;"", "   *** "&amp;E72, "")</f>
        <v>Hardware-Laptop-Standard with Windows Home Edition   *** Standard with Windows 11</v>
      </c>
      <c r="J72" s="304"/>
      <c r="K72" s="304" t="str">
        <f t="shared" ref="K72:K89" si="19">E72</f>
        <v>Standard with Windows 11</v>
      </c>
      <c r="L72" s="304"/>
      <c r="M72" s="304" t="str">
        <f t="shared" ref="M72:M89" si="20">G72</f>
        <v>HW-LT-Std-Home</v>
      </c>
      <c r="N72" s="304"/>
      <c r="O72" s="304" t="str">
        <f t="shared" ref="O72:O89" si="21">I72</f>
        <v>Hardware-Laptop-Standard with Windows Home Edition   *** Standard with Windows 11</v>
      </c>
      <c r="P72" s="304"/>
      <c r="Q72" s="98">
        <f t="shared" ref="Q72:Q92" si="22">IF(C72="", "", C72)</f>
        <v>1</v>
      </c>
      <c r="R72" s="292">
        <f>IF(C72="", "",IF(D72&gt;0,D72,
IF($E$54="NY Contract", VLOOKUP(B72,'Raw BOM'!$A$3:$G$495,7,FALSE),
IF($E$54="FL Contract", VLOOKUP(B72,'Raw BOM'!$A$3:$I$495,8,FALSE),
IF($E$54="LA Contract", VLOOKUP(B72,'Raw BOM'!$A$3:$K$495,9,FALSE),
IF($E$54="WA Contract", VLOOKUP(B72,'Raw BOM'!$A$3:$M$495,10,FALSE),
VLOOKUP(B72,'Raw BOM'!$A$3:$D$495,4,FALSE)))))))</f>
        <v>750</v>
      </c>
      <c r="S72" s="292" t="str">
        <f t="shared" ref="S72:S92" si="23">M72</f>
        <v>HW-LT-Std-Home</v>
      </c>
      <c r="T72" s="292">
        <f t="shared" ref="T72:T92" si="24">IF(C72="", "", Q72*R72)</f>
        <v>750</v>
      </c>
      <c r="U72" s="292" t="str">
        <f t="shared" ref="U72:U92" si="25">O72</f>
        <v>Hardware-Laptop-Standard with Windows Home Edition   *** Standard with Windows 11</v>
      </c>
      <c r="V72" s="46" t="str">
        <f>IF(C72="","", VLOOKUP(B72,'Raw BOM'!$A$3:$F$495,6,FALSE))</f>
        <v>Yes</v>
      </c>
      <c r="X72" s="47">
        <f t="shared" ref="X72:X92" si="26">IF(AND(V72="Yes", Q72&lt;&gt;0), (T72-Y72)*$B$117, 0)</f>
        <v>0</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05" t="str">
        <f t="shared" si="17"/>
        <v>LS4G-Applicant-CA</v>
      </c>
      <c r="H73" s="306"/>
      <c r="I73" s="291" t="str">
        <f t="shared" si="18"/>
        <v>LiveScan 4th Gen Software-Applicant CA TOT Module</v>
      </c>
      <c r="J73" s="291"/>
      <c r="K73" s="291" t="str">
        <f t="shared" si="19"/>
        <v/>
      </c>
      <c r="L73" s="291"/>
      <c r="M73" s="291" t="str">
        <f t="shared" si="20"/>
        <v>LS4G-Applicant-CA</v>
      </c>
      <c r="N73" s="291"/>
      <c r="O73" s="291" t="str">
        <f t="shared" si="21"/>
        <v>LiveScan 4th Gen Software-Applicant CA TOT Module</v>
      </c>
      <c r="P73" s="291"/>
      <c r="Q73" s="99">
        <f t="shared" si="22"/>
        <v>1</v>
      </c>
      <c r="R73" s="293">
        <f>IF(C73="", "",IF(D73&gt;0,D73,
IF($E$54="NY Contract", VLOOKUP(B73,'Raw BOM'!$A$3:$G$495,7,FALSE),
IF($E$54="FL Contract", VLOOKUP(B73,'Raw BOM'!$A$3:$I$495,8,FALSE),
IF($E$54="LA Contract", VLOOKUP(B73,'Raw BOM'!$A$3:$K$495,9,FALSE),
IF($E$54="WA Contract", VLOOKUP(B73,'Raw BOM'!$A$3:$M$495,10,FALSE),
VLOOKUP(B73,'Raw BOM'!$A$3:$D$495,4,FALSE)))))))</f>
        <v>1340</v>
      </c>
      <c r="S73" s="293" t="str">
        <f t="shared" si="23"/>
        <v>LS4G-Applicant-CA</v>
      </c>
      <c r="T73" s="293">
        <f t="shared" si="24"/>
        <v>1340</v>
      </c>
      <c r="U73" s="293"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265</v>
      </c>
      <c r="C74" s="186">
        <f>C127</f>
        <v>1</v>
      </c>
      <c r="D74" s="187"/>
      <c r="E74" s="188"/>
      <c r="F74" s="189"/>
      <c r="G74" s="406" t="str">
        <f t="shared" si="17"/>
        <v>HW-Scan-200</v>
      </c>
      <c r="H74" s="407"/>
      <c r="I74" s="408" t="str">
        <f t="shared" si="18"/>
        <v>Hardware-Scanner-Crossmatch Guardian 200</v>
      </c>
      <c r="J74" s="408"/>
      <c r="K74" s="408">
        <f t="shared" si="19"/>
        <v>0</v>
      </c>
      <c r="L74" s="408"/>
      <c r="M74" s="408" t="str">
        <f t="shared" si="20"/>
        <v>HW-Scan-200</v>
      </c>
      <c r="N74" s="408"/>
      <c r="O74" s="408" t="str">
        <f t="shared" si="21"/>
        <v>Hardware-Scanner-Crossmatch Guardian 200</v>
      </c>
      <c r="P74" s="408"/>
      <c r="Q74" s="190">
        <f t="shared" si="22"/>
        <v>1</v>
      </c>
      <c r="R74" s="409">
        <f>IF(C74="", "",IF(D74&gt;0,D74,
IF($E$54="NY Contract", VLOOKUP(B74,'Raw BOM'!$A$3:$G$495,7,FALSE),
IF($E$54="FL Contract", VLOOKUP(B74,'Raw BOM'!$A$3:$I$495,8,FALSE),
IF($E$54="LA Contract", VLOOKUP(B74,'Raw BOM'!$A$3:$K$495,9,FALSE),
IF($E$54="WA Contract", VLOOKUP(B74,'Raw BOM'!$A$3:$M$495,10,FALSE),
VLOOKUP(B74,'Raw BOM'!$A$3:$D$495,4,FALSE)))))))</f>
        <v>3750</v>
      </c>
      <c r="S74" s="409" t="str">
        <f t="shared" si="23"/>
        <v>HW-Scan-200</v>
      </c>
      <c r="T74" s="409">
        <f t="shared" si="24"/>
        <v>3750</v>
      </c>
      <c r="U74" s="409" t="str">
        <f t="shared" si="25"/>
        <v>Hardware-Scanner-Crossmatch Guardian 200</v>
      </c>
      <c r="V74" s="191" t="str">
        <f>IF(C74="","", VLOOKUP(B74,'Raw BOM'!$A$3:$F$495,6,FALSE))</f>
        <v>Yes</v>
      </c>
      <c r="X74" s="47">
        <f t="shared" si="26"/>
        <v>0</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05" t="str">
        <f t="shared" si="17"/>
        <v/>
      </c>
      <c r="H75" s="306"/>
      <c r="I75" s="291" t="str">
        <f t="shared" si="18"/>
        <v/>
      </c>
      <c r="J75" s="291"/>
      <c r="K75" s="291" t="str">
        <f t="shared" si="19"/>
        <v/>
      </c>
      <c r="L75" s="291"/>
      <c r="M75" s="291" t="str">
        <f t="shared" si="20"/>
        <v/>
      </c>
      <c r="N75" s="291"/>
      <c r="O75" s="291" t="str">
        <f t="shared" si="21"/>
        <v/>
      </c>
      <c r="P75" s="291"/>
      <c r="Q75" s="99" t="str">
        <f t="shared" si="22"/>
        <v/>
      </c>
      <c r="R75" s="293" t="str">
        <f>IF(C75="", "",IF(D75&gt;0,D75,
IF($E$54="NY Contract", VLOOKUP(B75,'Raw BOM'!$A$3:$G$495,7,FALSE),
IF($E$54="FL Contract", VLOOKUP(B75,'Raw BOM'!$A$3:$I$495,8,FALSE),
IF($E$54="LA Contract", VLOOKUP(B75,'Raw BOM'!$A$3:$K$495,9,FALSE),
IF($E$54="WA Contract", VLOOKUP(B75,'Raw BOM'!$A$3:$M$495,10,FALSE),
VLOOKUP(B75,'Raw BOM'!$A$3:$D$495,4,FALSE)))))))</f>
        <v/>
      </c>
      <c r="S75" s="293" t="str">
        <f t="shared" si="23"/>
        <v/>
      </c>
      <c r="T75" s="293" t="str">
        <f t="shared" si="24"/>
        <v/>
      </c>
      <c r="U75" s="293"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05" t="str">
        <f t="shared" si="17"/>
        <v>HW-Magtrip</v>
      </c>
      <c r="H76" s="306"/>
      <c r="I76" s="291" t="str">
        <f t="shared" si="18"/>
        <v>Hardware-Magnetic Strip Reader   *** Auto populate personal information with a swipe of a driver's license from anywhere on the screen</v>
      </c>
      <c r="J76" s="291"/>
      <c r="K76" s="291" t="str">
        <f t="shared" si="19"/>
        <v>Auto populate personal information with a swipe of a driver's license from anywhere on the screen</v>
      </c>
      <c r="L76" s="291"/>
      <c r="M76" s="291" t="str">
        <f t="shared" si="20"/>
        <v>HW-Magtrip</v>
      </c>
      <c r="N76" s="291"/>
      <c r="O76" s="291" t="str">
        <f t="shared" si="21"/>
        <v>Hardware-Magnetic Strip Reader   *** Auto populate personal information with a swipe of a driver's license from anywhere on the screen</v>
      </c>
      <c r="P76" s="291"/>
      <c r="Q76" s="99">
        <f t="shared" si="22"/>
        <v>1</v>
      </c>
      <c r="R76" s="293">
        <f>IF(C76="", "",IF(D76&gt;0,D76,
IF($E$54="NY Contract", VLOOKUP(B76,'Raw BOM'!$A$3:$G$495,7,FALSE),
IF($E$54="FL Contract", VLOOKUP(B76,'Raw BOM'!$A$3:$I$495,8,FALSE),
IF($E$54="LA Contract", VLOOKUP(B76,'Raw BOM'!$A$3:$K$495,9,FALSE),
IF($E$54="WA Contract", VLOOKUP(B76,'Raw BOM'!$A$3:$M$495,10,FALSE),
VLOOKUP(B76,'Raw BOM'!$A$3:$D$495,4,FALSE)))))))</f>
        <v>130</v>
      </c>
      <c r="S76" s="293" t="str">
        <f t="shared" si="23"/>
        <v>HW-Magtrip</v>
      </c>
      <c r="T76" s="293">
        <f t="shared" si="24"/>
        <v>130</v>
      </c>
      <c r="U76" s="293" t="str">
        <f t="shared" si="25"/>
        <v>Hardware-Magnetic Strip Reader   *** Auto populate personal information with a swipe of a driver's license from anywhere on the screen</v>
      </c>
      <c r="V76" s="49" t="str">
        <f>IF(C76="","", VLOOKUP(B76,'Raw BOM'!$A$3:$F$495,6,FALSE))</f>
        <v>Yes</v>
      </c>
      <c r="X76" s="47">
        <f t="shared" si="26"/>
        <v>0</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05" t="str">
        <f t="shared" si="17"/>
        <v>LS4G-IDCard</v>
      </c>
      <c r="H77" s="306"/>
      <c r="I77" s="291" t="str">
        <f t="shared" si="18"/>
        <v>LiveScan 4th Gen Software-Driver License and ID Reading software</v>
      </c>
      <c r="J77" s="291"/>
      <c r="K77" s="291" t="str">
        <f t="shared" si="19"/>
        <v/>
      </c>
      <c r="L77" s="291"/>
      <c r="M77" s="291" t="str">
        <f t="shared" si="20"/>
        <v>LS4G-IDCard</v>
      </c>
      <c r="N77" s="291"/>
      <c r="O77" s="291" t="str">
        <f t="shared" si="21"/>
        <v>LiveScan 4th Gen Software-Driver License and ID Reading software</v>
      </c>
      <c r="P77" s="291"/>
      <c r="Q77" s="99">
        <f t="shared" si="22"/>
        <v>1</v>
      </c>
      <c r="R77" s="293">
        <f>IF(C77="", "",IF(D77&gt;0,D77,
IF($E$54="NY Contract", VLOOKUP(B77,'Raw BOM'!$A$3:$G$495,7,FALSE),
IF($E$54="FL Contract", VLOOKUP(B77,'Raw BOM'!$A$3:$I$495,8,FALSE),
IF($E$54="LA Contract", VLOOKUP(B77,'Raw BOM'!$A$3:$K$495,9,FALSE),
IF($E$54="WA Contract", VLOOKUP(B77,'Raw BOM'!$A$3:$M$495,10,FALSE),
VLOOKUP(B77,'Raw BOM'!$A$3:$D$495,4,FALSE)))))))</f>
        <v>340</v>
      </c>
      <c r="S77" s="293" t="str">
        <f t="shared" si="23"/>
        <v>LS4G-IDCard</v>
      </c>
      <c r="T77" s="293">
        <f t="shared" si="24"/>
        <v>340</v>
      </c>
      <c r="U77" s="293"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05" t="str">
        <f t="shared" si="17"/>
        <v/>
      </c>
      <c r="H78" s="306"/>
      <c r="I78" s="291" t="str">
        <f t="shared" si="18"/>
        <v/>
      </c>
      <c r="J78" s="291"/>
      <c r="K78" s="291" t="str">
        <f t="shared" si="19"/>
        <v/>
      </c>
      <c r="L78" s="291"/>
      <c r="M78" s="291" t="str">
        <f t="shared" si="20"/>
        <v/>
      </c>
      <c r="N78" s="291"/>
      <c r="O78" s="291" t="str">
        <f t="shared" si="21"/>
        <v/>
      </c>
      <c r="P78" s="291"/>
      <c r="Q78" s="99" t="str">
        <f t="shared" si="22"/>
        <v/>
      </c>
      <c r="R78" s="293" t="str">
        <f>IF(C78="", "",IF(D78&gt;0,D78,
IF($E$54="NY Contract", VLOOKUP(B78,'Raw BOM'!$A$3:$G$495,7,FALSE),
IF($E$54="FL Contract", VLOOKUP(B78,'Raw BOM'!$A$3:$I$495,8,FALSE),
IF($E$54="LA Contract", VLOOKUP(B78,'Raw BOM'!$A$3:$K$495,9,FALSE),
IF($E$54="WA Contract", VLOOKUP(B78,'Raw BOM'!$A$3:$M$495,10,FALSE),
VLOOKUP(B78,'Raw BOM'!$A$3:$D$495,4,FALSE)))))))</f>
        <v/>
      </c>
      <c r="S78" s="293" t="str">
        <f t="shared" si="23"/>
        <v/>
      </c>
      <c r="T78" s="293" t="str">
        <f t="shared" si="24"/>
        <v/>
      </c>
      <c r="U78" s="293"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05" t="str">
        <f t="shared" si="17"/>
        <v>Svcs-Cfg-CAPSP</v>
      </c>
      <c r="H79" s="306"/>
      <c r="I79" s="291" t="str">
        <f t="shared" si="18"/>
        <v>Services-Configuration-CA PSP Setup   *** Pick ONE of the following capture methods at the time of capture (TWO DIFFERENT BUTTONS on the screen):</v>
      </c>
      <c r="J79" s="291"/>
      <c r="K79" s="291" t="str">
        <f t="shared" si="19"/>
        <v>Pick ONE of the following capture methods at the time of capture (TWO DIFFERENT BUTTONS on the screen):</v>
      </c>
      <c r="L79" s="291"/>
      <c r="M79" s="291" t="str">
        <f t="shared" si="20"/>
        <v>Svcs-Cfg-CAPSP</v>
      </c>
      <c r="N79" s="291"/>
      <c r="O79" s="291" t="str">
        <f t="shared" si="21"/>
        <v>Services-Configuration-CA PSP Setup   *** Pick ONE of the following capture methods at the time of capture (TWO DIFFERENT BUTTONS on the screen):</v>
      </c>
      <c r="P79" s="291"/>
      <c r="Q79" s="99">
        <f t="shared" si="22"/>
        <v>1</v>
      </c>
      <c r="R79" s="293">
        <f>IF(C79="", "",IF(D79&gt;0,D79,
IF($E$54="NY Contract", VLOOKUP(B79,'Raw BOM'!$A$3:$G$495,7,FALSE),
IF($E$54="FL Contract", VLOOKUP(B79,'Raw BOM'!$A$3:$I$495,8,FALSE),
IF($E$54="LA Contract", VLOOKUP(B79,'Raw BOM'!$A$3:$K$495,9,FALSE),
IF($E$54="WA Contract", VLOOKUP(B79,'Raw BOM'!$A$3:$M$495,10,FALSE),
VLOOKUP(B79,'Raw BOM'!$A$3:$D$495,4,FALSE)))))))</f>
        <v>500</v>
      </c>
      <c r="S79" s="293" t="str">
        <f t="shared" si="23"/>
        <v>Svcs-Cfg-CAPSP</v>
      </c>
      <c r="T79" s="293">
        <f t="shared" si="24"/>
        <v>500</v>
      </c>
      <c r="U79" s="293"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05" t="str">
        <f t="shared" si="17"/>
        <v>Misc</v>
      </c>
      <c r="H80" s="306"/>
      <c r="I80" s="291" t="str">
        <f t="shared" si="18"/>
        <v xml:space="preserve">   *** Transaction Fee - Traditional FLATS and ROLLS Method (1 to 10 minutes method): $0.75 per transaction with $150 per monthly cap</v>
      </c>
      <c r="J80" s="291"/>
      <c r="K80" s="291" t="str">
        <f t="shared" si="19"/>
        <v>Transaction Fee - Traditional FLATS and ROLLS Method (1 to 10 minutes method): $0.75 per transaction with $150 per monthly cap</v>
      </c>
      <c r="L80" s="291"/>
      <c r="M80" s="291" t="str">
        <f t="shared" si="20"/>
        <v>Misc</v>
      </c>
      <c r="N80" s="291"/>
      <c r="O80" s="291" t="str">
        <f t="shared" si="21"/>
        <v xml:space="preserve">   *** Transaction Fee - Traditional FLATS and ROLLS Method (1 to 10 minutes method): $0.75 per transaction with $150 per monthly cap</v>
      </c>
      <c r="P80" s="291"/>
      <c r="Q80" s="99" t="str">
        <f t="shared" si="22"/>
        <v/>
      </c>
      <c r="R80" s="293" t="str">
        <f>IF(C80="", "",IF(D80&gt;0,D80,
IF($E$54="NY Contract", VLOOKUP(B80,'Raw BOM'!$A$3:$G$495,7,FALSE),
IF($E$54="FL Contract", VLOOKUP(B80,'Raw BOM'!$A$3:$I$495,8,FALSE),
IF($E$54="LA Contract", VLOOKUP(B80,'Raw BOM'!$A$3:$K$495,9,FALSE),
IF($E$54="WA Contract", VLOOKUP(B80,'Raw BOM'!$A$3:$M$495,10,FALSE),
VLOOKUP(B80,'Raw BOM'!$A$3:$D$495,4,FALSE)))))))</f>
        <v/>
      </c>
      <c r="S80" s="293" t="str">
        <f t="shared" si="23"/>
        <v>Misc</v>
      </c>
      <c r="T80" s="293" t="str">
        <f t="shared" si="24"/>
        <v/>
      </c>
      <c r="U80" s="293"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05" t="str">
        <f t="shared" si="17"/>
        <v>Misc</v>
      </c>
      <c r="H81" s="306"/>
      <c r="I81" s="291" t="str">
        <f t="shared" si="18"/>
        <v xml:space="preserve">   *** Transaction Fee - NEW FLATS ONLY Method (10 to 15 second fingerprinting): $4.00 per transaction with no cap ($2.80 per trans for 501(c)(3) organizations)</v>
      </c>
      <c r="J81" s="291"/>
      <c r="K81" s="291" t="str">
        <f t="shared" si="19"/>
        <v>Transaction Fee - NEW FLATS ONLY Method (10 to 15 second fingerprinting): $4.00 per transaction with no cap ($2.80 per trans for 501(c)(3) organizations)</v>
      </c>
      <c r="L81" s="291"/>
      <c r="M81" s="291" t="str">
        <f t="shared" si="20"/>
        <v>Misc</v>
      </c>
      <c r="N81" s="291"/>
      <c r="O81" s="291" t="str">
        <f t="shared" si="21"/>
        <v xml:space="preserve">   *** Transaction Fee - NEW FLATS ONLY Method (10 to 15 second fingerprinting): $4.00 per transaction with no cap ($2.80 per trans for 501(c)(3) organizations)</v>
      </c>
      <c r="P81" s="291"/>
      <c r="Q81" s="99" t="str">
        <f t="shared" si="22"/>
        <v/>
      </c>
      <c r="R81" s="293" t="str">
        <f>IF(C81="", "",IF(D81&gt;0,D81,
IF($E$54="NY Contract", VLOOKUP(B81,'Raw BOM'!$A$3:$G$495,7,FALSE),
IF($E$54="FL Contract", VLOOKUP(B81,'Raw BOM'!$A$3:$I$495,8,FALSE),
IF($E$54="LA Contract", VLOOKUP(B81,'Raw BOM'!$A$3:$K$495,9,FALSE),
IF($E$54="WA Contract", VLOOKUP(B81,'Raw BOM'!$A$3:$M$495,10,FALSE),
VLOOKUP(B81,'Raw BOM'!$A$3:$D$495,4,FALSE)))))))</f>
        <v/>
      </c>
      <c r="S81" s="293" t="str">
        <f t="shared" si="23"/>
        <v>Misc</v>
      </c>
      <c r="T81" s="293" t="str">
        <f t="shared" si="24"/>
        <v/>
      </c>
      <c r="U81" s="293"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05" t="str">
        <f t="shared" si="17"/>
        <v/>
      </c>
      <c r="H82" s="306"/>
      <c r="I82" s="291" t="str">
        <f t="shared" si="18"/>
        <v/>
      </c>
      <c r="J82" s="291"/>
      <c r="K82" s="291" t="str">
        <f t="shared" si="19"/>
        <v/>
      </c>
      <c r="L82" s="291"/>
      <c r="M82" s="291" t="str">
        <f t="shared" si="20"/>
        <v/>
      </c>
      <c r="N82" s="291"/>
      <c r="O82" s="291" t="str">
        <f t="shared" si="21"/>
        <v/>
      </c>
      <c r="P82" s="291"/>
      <c r="Q82" s="99" t="str">
        <f t="shared" si="22"/>
        <v/>
      </c>
      <c r="R82" s="293" t="str">
        <f>IF(C82="", "",IF(D82&gt;0,D82,
IF($E$54="NY Contract", VLOOKUP(B82,'Raw BOM'!$A$3:$G$495,7,FALSE),
IF($E$54="FL Contract", VLOOKUP(B82,'Raw BOM'!$A$3:$I$495,8,FALSE),
IF($E$54="LA Contract", VLOOKUP(B82,'Raw BOM'!$A$3:$K$495,9,FALSE),
IF($E$54="WA Contract", VLOOKUP(B82,'Raw BOM'!$A$3:$M$495,10,FALSE),
VLOOKUP(B82,'Raw BOM'!$A$3:$D$495,4,FALSE)))))))</f>
        <v/>
      </c>
      <c r="S82" s="293" t="str">
        <f t="shared" si="23"/>
        <v/>
      </c>
      <c r="T82" s="293" t="str">
        <f t="shared" si="24"/>
        <v/>
      </c>
      <c r="U82" s="293"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05" t="str">
        <f t="shared" si="17"/>
        <v>Svcs-InstallTrain</v>
      </c>
      <c r="H83" s="306"/>
      <c r="I83" s="291" t="str">
        <f t="shared" si="18"/>
        <v>Services-Installation and Training Session 4hrs (see Service Method for price)</v>
      </c>
      <c r="J83" s="291"/>
      <c r="K83" s="291" t="str">
        <f t="shared" si="19"/>
        <v/>
      </c>
      <c r="L83" s="291"/>
      <c r="M83" s="291" t="str">
        <f t="shared" si="20"/>
        <v>Svcs-InstallTrain</v>
      </c>
      <c r="N83" s="291"/>
      <c r="O83" s="291" t="str">
        <f t="shared" si="21"/>
        <v>Services-Installation and Training Session 4hrs (see Service Method for price)</v>
      </c>
      <c r="P83" s="291"/>
      <c r="Q83" s="99">
        <f t="shared" si="22"/>
        <v>1</v>
      </c>
      <c r="R83" s="293">
        <f>IF(C83="", "",IF(D83&gt;0,D83,
IF($E$54="NY Contract", VLOOKUP(B83,'Raw BOM'!$A$3:$G$495,7,FALSE),
IF($E$54="FL Contract", VLOOKUP(B83,'Raw BOM'!$A$3:$I$495,8,FALSE),
IF($E$54="LA Contract", VLOOKUP(B83,'Raw BOM'!$A$3:$K$495,9,FALSE),
IF($E$54="WA Contract", VLOOKUP(B83,'Raw BOM'!$A$3:$M$495,10,FALSE),
VLOOKUP(B83,'Raw BOM'!$A$3:$D$495,4,FALSE)))))))</f>
        <v>0</v>
      </c>
      <c r="S83" s="293" t="str">
        <f t="shared" si="23"/>
        <v>Svcs-InstallTrain</v>
      </c>
      <c r="T83" s="293">
        <f t="shared" si="24"/>
        <v>0</v>
      </c>
      <c r="U83" s="293"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05" t="str">
        <f t="shared" si="17"/>
        <v>Svcs-Phone</v>
      </c>
      <c r="H84" s="306"/>
      <c r="I84" s="291" t="str">
        <f t="shared" si="18"/>
        <v xml:space="preserve">Services Method-Remote (Phone)   *** To perform services shown in the line above. </v>
      </c>
      <c r="J84" s="291"/>
      <c r="K84" s="291" t="str">
        <f t="shared" si="19"/>
        <v xml:space="preserve">To perform services shown in the line above. </v>
      </c>
      <c r="L84" s="291"/>
      <c r="M84" s="291" t="str">
        <f t="shared" si="20"/>
        <v>Svcs-Phone</v>
      </c>
      <c r="N84" s="291"/>
      <c r="O84" s="291" t="str">
        <f t="shared" si="21"/>
        <v xml:space="preserve">Services Method-Remote (Phone)   *** To perform services shown in the line above. </v>
      </c>
      <c r="P84" s="291"/>
      <c r="Q84" s="99">
        <f t="shared" si="22"/>
        <v>1</v>
      </c>
      <c r="R84" s="293">
        <f>IF(C84="", "",IF(D84&gt;0,D84,
IF($E$54="NY Contract", VLOOKUP(B84,'Raw BOM'!$A$3:$G$495,7,FALSE),
IF($E$54="FL Contract", VLOOKUP(B84,'Raw BOM'!$A$3:$I$495,8,FALSE),
IF($E$54="LA Contract", VLOOKUP(B84,'Raw BOM'!$A$3:$K$495,9,FALSE),
IF($E$54="WA Contract", VLOOKUP(B84,'Raw BOM'!$A$3:$M$495,10,FALSE),
VLOOKUP(B84,'Raw BOM'!$A$3:$D$495,4,FALSE)))))))</f>
        <v>750</v>
      </c>
      <c r="S84" s="293" t="str">
        <f t="shared" si="23"/>
        <v>Svcs-Phone</v>
      </c>
      <c r="T84" s="293">
        <f t="shared" si="24"/>
        <v>750</v>
      </c>
      <c r="U84" s="293"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05" t="str">
        <f t="shared" si="17"/>
        <v/>
      </c>
      <c r="H85" s="306"/>
      <c r="I85" s="291" t="str">
        <f t="shared" si="18"/>
        <v/>
      </c>
      <c r="J85" s="291"/>
      <c r="K85" s="291" t="str">
        <f t="shared" si="19"/>
        <v/>
      </c>
      <c r="L85" s="291"/>
      <c r="M85" s="291" t="str">
        <f t="shared" si="20"/>
        <v/>
      </c>
      <c r="N85" s="291"/>
      <c r="O85" s="291" t="str">
        <f t="shared" si="21"/>
        <v/>
      </c>
      <c r="P85" s="291"/>
      <c r="Q85" s="99" t="str">
        <f t="shared" si="22"/>
        <v/>
      </c>
      <c r="R85" s="293" t="str">
        <f>IF(C85="", "",IF(D85&gt;0,D85,
IF($E$54="NY Contract", VLOOKUP(B85,'Raw BOM'!$A$3:$G$495,7,FALSE),
IF($E$54="FL Contract", VLOOKUP(B85,'Raw BOM'!$A$3:$I$495,8,FALSE),
IF($E$54="LA Contract", VLOOKUP(B85,'Raw BOM'!$A$3:$K$495,9,FALSE),
IF($E$54="WA Contract", VLOOKUP(B85,'Raw BOM'!$A$3:$M$495,10,FALSE),
VLOOKUP(B85,'Raw BOM'!$A$3:$D$495,4,FALSE)))))))</f>
        <v/>
      </c>
      <c r="S85" s="293" t="str">
        <f t="shared" si="23"/>
        <v/>
      </c>
      <c r="T85" s="293" t="str">
        <f t="shared" si="24"/>
        <v/>
      </c>
      <c r="U85" s="293"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05" t="str">
        <f t="shared" si="17"/>
        <v>Ship-L</v>
      </c>
      <c r="H86" s="306"/>
      <c r="I86" s="291" t="str">
        <f t="shared" si="18"/>
        <v>Shipping-Ground for Large Package</v>
      </c>
      <c r="J86" s="291"/>
      <c r="K86" s="291" t="str">
        <f t="shared" si="19"/>
        <v/>
      </c>
      <c r="L86" s="291"/>
      <c r="M86" s="291" t="str">
        <f t="shared" si="20"/>
        <v>Ship-L</v>
      </c>
      <c r="N86" s="291"/>
      <c r="O86" s="291" t="str">
        <f t="shared" si="21"/>
        <v>Shipping-Ground for Large Package</v>
      </c>
      <c r="P86" s="291"/>
      <c r="Q86" s="99">
        <f t="shared" si="22"/>
        <v>1</v>
      </c>
      <c r="R86" s="293">
        <f>IF(C86="", "",IF(D86&gt;0,D86,
IF($E$54="NY Contract", VLOOKUP(B86,'Raw BOM'!$A$3:$G$495,7,FALSE),
IF($E$54="FL Contract", VLOOKUP(B86,'Raw BOM'!$A$3:$I$495,8,FALSE),
IF($E$54="LA Contract", VLOOKUP(B86,'Raw BOM'!$A$3:$K$495,9,FALSE),
IF($E$54="WA Contract", VLOOKUP(B86,'Raw BOM'!$A$3:$M$495,10,FALSE),
VLOOKUP(B86,'Raw BOM'!$A$3:$D$495,4,FALSE)))))))</f>
        <v>60</v>
      </c>
      <c r="S86" s="293" t="str">
        <f t="shared" si="23"/>
        <v>Ship-L</v>
      </c>
      <c r="T86" s="293">
        <f t="shared" si="24"/>
        <v>60</v>
      </c>
      <c r="U86" s="293"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05" t="str">
        <f t="shared" si="17"/>
        <v>Maint-Warr</v>
      </c>
      <c r="H87" s="306"/>
      <c r="I87" s="291" t="str">
        <f t="shared" si="18"/>
        <v>Maintenance-Initial Year Warranty   *** Cross Ship</v>
      </c>
      <c r="J87" s="291"/>
      <c r="K87" s="291" t="str">
        <f t="shared" si="19"/>
        <v>Cross Ship</v>
      </c>
      <c r="L87" s="291"/>
      <c r="M87" s="291" t="str">
        <f t="shared" si="20"/>
        <v>Maint-Warr</v>
      </c>
      <c r="N87" s="291"/>
      <c r="O87" s="291" t="str">
        <f t="shared" si="21"/>
        <v>Maintenance-Initial Year Warranty   *** Cross Ship</v>
      </c>
      <c r="P87" s="291"/>
      <c r="Q87" s="99">
        <f t="shared" si="22"/>
        <v>1</v>
      </c>
      <c r="R87" s="293">
        <f>IF(C87="", "",IF(D87&gt;0,D87,
IF($E$54="NY Contract", VLOOKUP(B87,'Raw BOM'!$A$3:$G$495,7,FALSE),
IF($E$54="FL Contract", VLOOKUP(B87,'Raw BOM'!$A$3:$I$495,8,FALSE),
IF($E$54="LA Contract", VLOOKUP(B87,'Raw BOM'!$A$3:$K$495,9,FALSE),
IF($E$54="WA Contract", VLOOKUP(B87,'Raw BOM'!$A$3:$M$495,10,FALSE),
VLOOKUP(B87,'Raw BOM'!$A$3:$D$495,4,FALSE)))))))</f>
        <v>0</v>
      </c>
      <c r="S87" s="293" t="str">
        <f t="shared" si="23"/>
        <v>Maint-Warr</v>
      </c>
      <c r="T87" s="293">
        <f t="shared" si="24"/>
        <v>0</v>
      </c>
      <c r="U87" s="293"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05" t="str">
        <f t="shared" si="17"/>
        <v>Misc</v>
      </c>
      <c r="H88" s="306"/>
      <c r="I88" s="291" t="str">
        <f t="shared" si="18"/>
        <v xml:space="preserve">   *** Pick one of the following 2 Maintenance options in the 12th month.  We recommend picking 2nd line if processing more than 1,200 transactions per year.</v>
      </c>
      <c r="J88" s="291"/>
      <c r="K88" s="291" t="str">
        <f t="shared" si="19"/>
        <v>Pick one of the following 2 Maintenance options in the 12th month.  We recommend picking 2nd line if processing more than 1,200 transactions per year.</v>
      </c>
      <c r="L88" s="291"/>
      <c r="M88" s="291" t="str">
        <f t="shared" si="20"/>
        <v>Misc</v>
      </c>
      <c r="N88" s="291"/>
      <c r="O88" s="291" t="str">
        <f t="shared" si="21"/>
        <v xml:space="preserve">   *** Pick one of the following 2 Maintenance options in the 12th month.  We recommend picking 2nd line if processing more than 1,200 transactions per year.</v>
      </c>
      <c r="P88" s="291"/>
      <c r="Q88" s="99" t="str">
        <f t="shared" si="22"/>
        <v/>
      </c>
      <c r="R88" s="293" t="str">
        <f>IF(C88="", "",IF(D88&gt;0,D88,
IF($E$54="NY Contract", VLOOKUP(B88,'Raw BOM'!$A$3:$G$495,7,FALSE),
IF($E$54="FL Contract", VLOOKUP(B88,'Raw BOM'!$A$3:$I$495,8,FALSE),
IF($E$54="LA Contract", VLOOKUP(B88,'Raw BOM'!$A$3:$K$495,9,FALSE),
IF($E$54="WA Contract", VLOOKUP(B88,'Raw BOM'!$A$3:$M$495,10,FALSE),
VLOOKUP(B88,'Raw BOM'!$A$3:$D$495,4,FALSE)))))))</f>
        <v/>
      </c>
      <c r="S88" s="293" t="str">
        <f t="shared" si="23"/>
        <v>Misc</v>
      </c>
      <c r="T88" s="293" t="str">
        <f t="shared" si="24"/>
        <v/>
      </c>
      <c r="U88" s="293"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664</v>
      </c>
      <c r="C89" s="43">
        <f>IF('Blank Quote'!C36&lt;&gt;"", 'Blank Quote'!C36, "")</f>
        <v>0</v>
      </c>
      <c r="D89" s="44">
        <v>495</v>
      </c>
      <c r="E89" s="50" t="str">
        <f>IF('Blank Quote'!E36&lt;&gt;"", 'Blank Quote'!E36, "")</f>
        <v>Software Only coverage, per system</v>
      </c>
      <c r="F89" s="251">
        <f>ROUND(S94*0.08,-1)</f>
        <v>610</v>
      </c>
      <c r="G89" s="305" t="str">
        <f t="shared" si="17"/>
        <v>Maint-9X5-SW-App</v>
      </c>
      <c r="H89" s="306"/>
      <c r="I89" s="291" t="str">
        <f t="shared" si="18"/>
        <v>Maintenance-9X5 Software Only Support Applicant   *** Software Only coverage, per system</v>
      </c>
      <c r="J89" s="291"/>
      <c r="K89" s="291" t="str">
        <f t="shared" si="19"/>
        <v>Software Only coverage, per system</v>
      </c>
      <c r="L89" s="291"/>
      <c r="M89" s="291" t="str">
        <f t="shared" si="20"/>
        <v>Maint-9X5-SW-App</v>
      </c>
      <c r="N89" s="291"/>
      <c r="O89" s="291" t="str">
        <f t="shared" si="21"/>
        <v>Maintenance-9X5 Software Only Support Applicant   *** Software Only coverage, per system</v>
      </c>
      <c r="P89" s="291"/>
      <c r="Q89" s="99">
        <f t="shared" si="22"/>
        <v>0</v>
      </c>
      <c r="R89" s="405">
        <f>D89</f>
        <v>495</v>
      </c>
      <c r="S89" s="293" t="str">
        <f t="shared" si="23"/>
        <v>Maint-9X5-SW-App</v>
      </c>
      <c r="T89" s="293">
        <f t="shared" si="24"/>
        <v>0</v>
      </c>
      <c r="U89" s="293"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660</v>
      </c>
      <c r="C90" s="43">
        <f>IF('Blank Quote'!C37&lt;&gt;"", 'Blank Quote'!C37, "")</f>
        <v>0</v>
      </c>
      <c r="D90" s="44">
        <v>960</v>
      </c>
      <c r="E90" s="50" t="str">
        <f>IF('Blank Quote'!E37&lt;&gt;"", 'Blank Quote'!E37, "")</f>
        <v>Software and Hardware Coverage, per system</v>
      </c>
      <c r="F90" s="251">
        <f>ROUND(S94*0.12,-1)</f>
        <v>910</v>
      </c>
      <c r="G90" s="305" t="str">
        <f t="shared" si="17"/>
        <v>Maint-9X5-Remote</v>
      </c>
      <c r="H90" s="306"/>
      <c r="I90" s="291" t="str">
        <f t="shared" ref="I90:I92" si="29">IF(B90&lt;&gt;"", B90, "")&amp;IF(E90&lt;&gt;"", "   *** "&amp;E90, "")</f>
        <v>Maintenance-9 X 5 (8am - 5pm, M-F) Remote with Cross Ship   *** Software and Hardware Coverage, per system</v>
      </c>
      <c r="J90" s="291"/>
      <c r="K90" s="291" t="str">
        <f t="shared" ref="K90:K92" si="30">E90</f>
        <v>Software and Hardware Coverage, per system</v>
      </c>
      <c r="L90" s="291"/>
      <c r="M90" s="291" t="str">
        <f t="shared" ref="M90:M92" si="31">G90</f>
        <v>Maint-9X5-Remote</v>
      </c>
      <c r="N90" s="291"/>
      <c r="O90" s="291" t="str">
        <f t="shared" ref="O90:O92" si="32">I90</f>
        <v>Maintenance-9 X 5 (8am - 5pm, M-F) Remote with Cross Ship   *** Software and Hardware Coverage, per system</v>
      </c>
      <c r="P90" s="291"/>
      <c r="Q90" s="99">
        <f t="shared" si="22"/>
        <v>0</v>
      </c>
      <c r="R90" s="293">
        <f t="shared" ref="R90:R92" si="33">D90</f>
        <v>960</v>
      </c>
      <c r="S90" s="293" t="str">
        <f t="shared" si="23"/>
        <v>Maint-9X5-Remote</v>
      </c>
      <c r="T90" s="293">
        <f t="shared" si="24"/>
        <v>0</v>
      </c>
      <c r="U90" s="293"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05" t="str">
        <f t="shared" si="17"/>
        <v/>
      </c>
      <c r="H91" s="306"/>
      <c r="I91" s="291" t="str">
        <f t="shared" si="29"/>
        <v/>
      </c>
      <c r="J91" s="291"/>
      <c r="K91" s="291" t="str">
        <f t="shared" si="30"/>
        <v/>
      </c>
      <c r="L91" s="291"/>
      <c r="M91" s="291" t="str">
        <f t="shared" si="31"/>
        <v/>
      </c>
      <c r="N91" s="291"/>
      <c r="O91" s="291" t="str">
        <f t="shared" si="32"/>
        <v/>
      </c>
      <c r="P91" s="291"/>
      <c r="Q91" s="99" t="str">
        <f t="shared" si="22"/>
        <v/>
      </c>
      <c r="R91" s="293" t="str">
        <f t="shared" si="33"/>
        <v/>
      </c>
      <c r="S91" s="293" t="str">
        <f t="shared" si="23"/>
        <v/>
      </c>
      <c r="T91" s="293" t="str">
        <f t="shared" si="24"/>
        <v/>
      </c>
      <c r="U91" s="293"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296" t="str">
        <f t="shared" si="17"/>
        <v/>
      </c>
      <c r="H92" s="297"/>
      <c r="I92" s="298" t="str">
        <f t="shared" si="29"/>
        <v/>
      </c>
      <c r="J92" s="298"/>
      <c r="K92" s="298" t="str">
        <f t="shared" si="30"/>
        <v/>
      </c>
      <c r="L92" s="298"/>
      <c r="M92" s="298" t="str">
        <f t="shared" si="31"/>
        <v/>
      </c>
      <c r="N92" s="298"/>
      <c r="O92" s="298" t="str">
        <f t="shared" si="32"/>
        <v/>
      </c>
      <c r="P92" s="298"/>
      <c r="Q92" s="96" t="str">
        <f t="shared" si="22"/>
        <v/>
      </c>
      <c r="R92" s="300" t="str">
        <f t="shared" si="33"/>
        <v/>
      </c>
      <c r="S92" s="300" t="str">
        <f t="shared" si="23"/>
        <v/>
      </c>
      <c r="T92" s="300" t="str">
        <f t="shared" si="24"/>
        <v/>
      </c>
      <c r="U92" s="300"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47" t="s">
        <v>1513</v>
      </c>
      <c r="H94" s="348"/>
      <c r="I94" s="348"/>
      <c r="J94" s="348"/>
      <c r="K94" s="348"/>
      <c r="L94" s="348"/>
      <c r="M94" s="349"/>
      <c r="N94" s="356" t="str">
        <f>'Blank Quote'!$N$41:$O$41</f>
        <v>QS: 20191222</v>
      </c>
      <c r="O94" s="357"/>
      <c r="P94" s="57"/>
      <c r="Q94" s="57"/>
      <c r="R94" s="58" t="s">
        <v>333</v>
      </c>
      <c r="S94" s="341">
        <f>SUMIF(T72:U88,"&gt;0")</f>
        <v>7620</v>
      </c>
      <c r="T94" s="342"/>
      <c r="U94" s="343"/>
      <c r="V94" s="59"/>
    </row>
    <row r="95" spans="1:28" ht="15" customHeight="1" outlineLevel="1" thickBot="1" x14ac:dyDescent="0.3">
      <c r="A95" s="249"/>
      <c r="B95" s="249"/>
      <c r="C95" s="249"/>
      <c r="D95" s="249"/>
      <c r="E95" s="249"/>
      <c r="G95" s="350"/>
      <c r="H95" s="351"/>
      <c r="I95" s="351"/>
      <c r="J95" s="351"/>
      <c r="K95" s="351"/>
      <c r="L95" s="351"/>
      <c r="M95" s="352"/>
      <c r="N95" s="356" t="str">
        <f>'Blank Quote'!$N$42:$O$42</f>
        <v>PT: Apte</v>
      </c>
      <c r="O95" s="357"/>
      <c r="P95" s="57"/>
      <c r="Q95" s="57"/>
      <c r="R95" s="58" t="str">
        <f>IF(X95&gt;0,"Discount on Taxable Items:", "")</f>
        <v>Discount on Taxable Items:</v>
      </c>
      <c r="S95" s="344">
        <f>IF(X95&gt;0, -X95, 0)</f>
        <v>-926</v>
      </c>
      <c r="T95" s="345"/>
      <c r="U95" s="346"/>
      <c r="V95" s="258">
        <f>S95/S94</f>
        <v>-0.12152230971128609</v>
      </c>
      <c r="X95" s="61">
        <f>SUM(AA72:AA92)</f>
        <v>926</v>
      </c>
    </row>
    <row r="96" spans="1:28" ht="15" customHeight="1" outlineLevel="1" thickBot="1" x14ac:dyDescent="0.3">
      <c r="A96" s="249"/>
      <c r="B96" s="249"/>
      <c r="C96" s="249"/>
      <c r="D96" s="249"/>
      <c r="E96" s="249"/>
      <c r="G96" s="350"/>
      <c r="H96" s="351"/>
      <c r="I96" s="351"/>
      <c r="J96" s="351"/>
      <c r="K96" s="351"/>
      <c r="L96" s="351"/>
      <c r="M96" s="352"/>
      <c r="N96" s="56"/>
      <c r="P96" s="57"/>
      <c r="R96" s="58" t="str">
        <f>IF(X96&gt;0,"Discount on Non-Taxable Items:", "")</f>
        <v>Discount on Non-Taxable Items:</v>
      </c>
      <c r="S96" s="341">
        <f>IF(X96&gt;0, -X96, 0)+SUMIF(T72:U88,"&lt;0")</f>
        <v>-1289.2</v>
      </c>
      <c r="T96" s="342"/>
      <c r="U96" s="343"/>
      <c r="V96" s="256">
        <f>S96/S94</f>
        <v>-0.16918635170603674</v>
      </c>
      <c r="X96" s="61">
        <f>SUM(AB72:AB92)</f>
        <v>1289.2</v>
      </c>
    </row>
    <row r="97" spans="1:24" ht="15" customHeight="1" outlineLevel="1" thickBot="1" x14ac:dyDescent="0.3">
      <c r="A97" s="249"/>
      <c r="B97" s="249"/>
      <c r="C97" s="249"/>
      <c r="D97" s="249"/>
      <c r="E97" s="249"/>
      <c r="G97" s="350"/>
      <c r="H97" s="351"/>
      <c r="I97" s="351"/>
      <c r="J97" s="351"/>
      <c r="K97" s="351"/>
      <c r="L97" s="351"/>
      <c r="M97" s="352"/>
      <c r="N97" s="56"/>
      <c r="P97" s="57"/>
      <c r="R97" s="58" t="s">
        <v>1442</v>
      </c>
      <c r="S97" s="341">
        <f>SUM(T89:U92)</f>
        <v>0</v>
      </c>
      <c r="T97" s="342"/>
      <c r="U97" s="343"/>
      <c r="V97" s="201"/>
      <c r="X97" s="61"/>
    </row>
    <row r="98" spans="1:24" ht="15" customHeight="1" outlineLevel="1" thickBot="1" x14ac:dyDescent="0.3">
      <c r="A98" s="249"/>
      <c r="B98" s="249"/>
      <c r="C98" s="249"/>
      <c r="D98" s="249"/>
      <c r="E98" s="249"/>
      <c r="G98" s="350"/>
      <c r="H98" s="351"/>
      <c r="I98" s="351"/>
      <c r="J98" s="351"/>
      <c r="K98" s="351"/>
      <c r="L98" s="351"/>
      <c r="M98" s="352"/>
      <c r="N98" s="56"/>
      <c r="P98" s="57"/>
      <c r="Q98" s="57"/>
      <c r="R98" s="58" t="s">
        <v>649</v>
      </c>
      <c r="S98" s="344" t="str">
        <f>IF(B64=0, "Tax Exempt", X98)</f>
        <v>Tax Exempt</v>
      </c>
      <c r="T98" s="345"/>
      <c r="U98" s="345"/>
      <c r="V98" s="257">
        <f>B64</f>
        <v>0</v>
      </c>
      <c r="X98" s="61">
        <f>SUM(X72:X92)</f>
        <v>0</v>
      </c>
    </row>
    <row r="99" spans="1:24" ht="15" customHeight="1" outlineLevel="1" thickBot="1" x14ac:dyDescent="0.3">
      <c r="A99" s="249"/>
      <c r="B99" s="249"/>
      <c r="C99" s="249"/>
      <c r="D99" s="249"/>
      <c r="E99" s="249"/>
      <c r="G99" s="353"/>
      <c r="H99" s="354"/>
      <c r="I99" s="354"/>
      <c r="J99" s="354"/>
      <c r="K99" s="354"/>
      <c r="L99" s="354"/>
      <c r="M99" s="355"/>
      <c r="N99" s="56"/>
      <c r="P99" s="57"/>
      <c r="Q99" s="57"/>
      <c r="R99" s="58" t="s">
        <v>334</v>
      </c>
      <c r="S99" s="374">
        <f>SUM(S94:U98)</f>
        <v>5404.8</v>
      </c>
      <c r="T99" s="375"/>
      <c r="U99" s="376"/>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396"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397"/>
      <c r="I101" s="397"/>
      <c r="J101" s="397"/>
      <c r="K101" s="397"/>
      <c r="L101" s="397"/>
      <c r="M101" s="397"/>
      <c r="N101" s="397"/>
      <c r="O101" s="397"/>
      <c r="P101" s="397"/>
      <c r="Q101" s="397"/>
      <c r="R101" s="397"/>
      <c r="S101" s="397"/>
      <c r="T101" s="397"/>
      <c r="U101" s="397"/>
      <c r="V101" s="398"/>
    </row>
    <row r="102" spans="1:24" ht="9.75" customHeight="1" outlineLevel="1" x14ac:dyDescent="0.25">
      <c r="A102" s="249"/>
      <c r="B102" s="249"/>
      <c r="C102" s="249"/>
      <c r="D102" s="249"/>
      <c r="E102" s="249"/>
      <c r="G102" s="399"/>
      <c r="H102" s="400"/>
      <c r="I102" s="400"/>
      <c r="J102" s="400"/>
      <c r="K102" s="400"/>
      <c r="L102" s="400"/>
      <c r="M102" s="400"/>
      <c r="N102" s="400"/>
      <c r="O102" s="400"/>
      <c r="P102" s="400"/>
      <c r="Q102" s="400"/>
      <c r="R102" s="400"/>
      <c r="S102" s="400"/>
      <c r="T102" s="400"/>
      <c r="U102" s="400"/>
      <c r="V102" s="401"/>
    </row>
    <row r="103" spans="1:24" ht="13.5" customHeight="1" outlineLevel="1" x14ac:dyDescent="0.25">
      <c r="A103" s="249"/>
      <c r="B103" s="249"/>
      <c r="C103" s="249"/>
      <c r="D103" s="249"/>
      <c r="E103" s="249"/>
      <c r="G103" s="399"/>
      <c r="H103" s="400"/>
      <c r="I103" s="400"/>
      <c r="J103" s="400"/>
      <c r="K103" s="400"/>
      <c r="L103" s="400"/>
      <c r="M103" s="400"/>
      <c r="N103" s="400"/>
      <c r="O103" s="400"/>
      <c r="P103" s="400"/>
      <c r="Q103" s="400"/>
      <c r="R103" s="400"/>
      <c r="S103" s="400"/>
      <c r="T103" s="400"/>
      <c r="U103" s="400"/>
      <c r="V103" s="401"/>
    </row>
    <row r="104" spans="1:24" ht="13.5" customHeight="1" outlineLevel="1" x14ac:dyDescent="0.25">
      <c r="A104" s="249"/>
      <c r="B104" s="249"/>
      <c r="C104" s="249"/>
      <c r="D104" s="249"/>
      <c r="E104" s="249"/>
      <c r="G104" s="399"/>
      <c r="H104" s="400"/>
      <c r="I104" s="400"/>
      <c r="J104" s="400"/>
      <c r="K104" s="400"/>
      <c r="L104" s="400"/>
      <c r="M104" s="400"/>
      <c r="N104" s="400"/>
      <c r="O104" s="400"/>
      <c r="P104" s="400"/>
      <c r="Q104" s="400"/>
      <c r="R104" s="400"/>
      <c r="S104" s="400"/>
      <c r="T104" s="400"/>
      <c r="U104" s="400"/>
      <c r="V104" s="401"/>
    </row>
    <row r="105" spans="1:24" ht="13.5" customHeight="1" outlineLevel="1" x14ac:dyDescent="0.25">
      <c r="A105" s="249"/>
      <c r="B105" s="249"/>
      <c r="C105" s="249"/>
      <c r="D105" s="249"/>
      <c r="E105" s="249"/>
      <c r="G105" s="399"/>
      <c r="H105" s="400"/>
      <c r="I105" s="400"/>
      <c r="J105" s="400"/>
      <c r="K105" s="400"/>
      <c r="L105" s="400"/>
      <c r="M105" s="400"/>
      <c r="N105" s="400"/>
      <c r="O105" s="400"/>
      <c r="P105" s="400"/>
      <c r="Q105" s="400"/>
      <c r="R105" s="400"/>
      <c r="S105" s="400"/>
      <c r="T105" s="400"/>
      <c r="U105" s="400"/>
      <c r="V105" s="401"/>
    </row>
    <row r="106" spans="1:24" ht="6" customHeight="1" outlineLevel="1" thickBot="1" x14ac:dyDescent="0.3">
      <c r="A106" s="249"/>
      <c r="B106" s="249"/>
      <c r="C106" s="249"/>
      <c r="D106" s="249"/>
      <c r="E106" s="249"/>
      <c r="G106" s="402"/>
      <c r="H106" s="403"/>
      <c r="I106" s="403"/>
      <c r="J106" s="403"/>
      <c r="K106" s="403"/>
      <c r="L106" s="403"/>
      <c r="M106" s="403"/>
      <c r="N106" s="403"/>
      <c r="O106" s="403"/>
      <c r="P106" s="403"/>
      <c r="Q106" s="403"/>
      <c r="R106" s="403"/>
      <c r="S106" s="403"/>
      <c r="T106" s="403"/>
      <c r="U106" s="403"/>
      <c r="V106" s="404"/>
    </row>
    <row r="107" spans="1:24" ht="23.45" customHeight="1" outlineLevel="1" thickTop="1" thickBot="1" x14ac:dyDescent="0.3">
      <c r="A107" s="13" t="str">
        <f>'Blank Quote'!$A1</f>
        <v>Pricing Type</v>
      </c>
      <c r="B107" s="14" t="str">
        <f>'Blank Quote'!B1</f>
        <v>App CA Private</v>
      </c>
      <c r="C107" s="425" t="s">
        <v>390</v>
      </c>
      <c r="D107" s="377"/>
      <c r="E107" s="15" t="str">
        <f>VLOOKUP(B107,'Pricing Model'!A1:C21,3)</f>
        <v>Discount Based</v>
      </c>
    </row>
    <row r="108" spans="1:24" ht="18" customHeight="1" outlineLevel="1" thickBot="1" x14ac:dyDescent="0.3">
      <c r="A108" s="17" t="str">
        <f>'Blank Quote'!$A2</f>
        <v>Company / Agency</v>
      </c>
      <c r="B108" s="18" t="str">
        <f>'Blank Quote'!B2</f>
        <v>Business Name</v>
      </c>
      <c r="C108" s="426" t="s">
        <v>445</v>
      </c>
      <c r="D108" s="379"/>
      <c r="E108" s="252">
        <f>IF(E107="Discount Based", VLOOKUP(B107,'Pricing Model'!A1:D21,4), "")</f>
        <v>0.2</v>
      </c>
      <c r="P108" s="410" t="s">
        <v>1510</v>
      </c>
      <c r="Q108" s="410"/>
      <c r="R108" s="410"/>
      <c r="S108" s="410"/>
      <c r="T108" s="410"/>
      <c r="U108" s="410"/>
    </row>
    <row r="109" spans="1:24" ht="18" customHeight="1" outlineLevel="1" x14ac:dyDescent="0.25">
      <c r="A109" s="17" t="str">
        <f>'Blank Quote'!$A3</f>
        <v>Billing Contact</v>
      </c>
      <c r="B109" s="18" t="str">
        <f>'Blank Quote'!B3</f>
        <v>FirstName LastName</v>
      </c>
      <c r="C109" s="426" t="s">
        <v>446</v>
      </c>
      <c r="D109" s="379"/>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Number | email</v>
      </c>
      <c r="C110" s="426" t="s">
        <v>447</v>
      </c>
      <c r="D110" s="379"/>
      <c r="E110" s="19" t="str">
        <f>IF(E107="Cost Based", VLOOKUP(B107,'Pricing Model'!A1:F21,6), "")</f>
        <v/>
      </c>
      <c r="G110" s="322" t="s">
        <v>145</v>
      </c>
      <c r="H110" s="322"/>
      <c r="I110" s="322"/>
      <c r="J110" s="322"/>
      <c r="K110" s="322"/>
      <c r="L110" s="322"/>
      <c r="M110" s="22"/>
      <c r="N110" s="264" t="str">
        <f>IF('Blank Quote'!$E$7&lt;&gt;"","LSID: "&amp;'Blank Quote'!$E$7, "")</f>
        <v/>
      </c>
      <c r="P110" s="321" t="s">
        <v>142</v>
      </c>
      <c r="Q110" s="321"/>
      <c r="R110" s="321"/>
      <c r="S110" s="321"/>
      <c r="T110" s="321"/>
      <c r="U110" s="321"/>
    </row>
    <row r="111" spans="1:24" ht="18" customHeight="1" outlineLevel="1" thickBot="1" x14ac:dyDescent="0.3">
      <c r="A111" s="20" t="str">
        <f>'Blank Quote'!$A5</f>
        <v>Bill To Address</v>
      </c>
      <c r="B111" s="21" t="str">
        <f>'Blank Quote'!B5</f>
        <v>Address1</v>
      </c>
      <c r="C111" s="427" t="s">
        <v>448</v>
      </c>
      <c r="D111" s="382"/>
      <c r="E111" s="23" t="str">
        <f>IF(E107="Cost Based", VLOOKUP(B107,'Pricing Model'!A1:G21,7), "")</f>
        <v/>
      </c>
      <c r="G111" s="322" t="s">
        <v>1933</v>
      </c>
      <c r="H111" s="322"/>
      <c r="I111" s="322"/>
      <c r="J111" s="322"/>
      <c r="K111" s="322"/>
      <c r="L111" s="322"/>
      <c r="M111" s="22"/>
    </row>
    <row r="112" spans="1:24" ht="18" customHeight="1" outlineLevel="1" thickBot="1" x14ac:dyDescent="0.3">
      <c r="A112" s="20" t="str">
        <f>'Blank Quote'!$A6</f>
        <v>City, State Zip</v>
      </c>
      <c r="B112" s="24" t="str">
        <f>'Blank Quote'!B6</f>
        <v>City, State Zip</v>
      </c>
      <c r="C112" s="25"/>
      <c r="D112" s="25"/>
      <c r="E112" s="25"/>
      <c r="G112" s="322" t="s">
        <v>146</v>
      </c>
      <c r="H112" s="322"/>
      <c r="I112" s="322"/>
      <c r="J112" s="322"/>
      <c r="K112" s="322"/>
      <c r="L112" s="322"/>
      <c r="M112" s="22"/>
      <c r="P112" s="321" t="s">
        <v>147</v>
      </c>
      <c r="Q112" s="321"/>
      <c r="R112" s="321"/>
      <c r="S112" s="321"/>
      <c r="T112" s="321"/>
      <c r="U112" s="321"/>
    </row>
    <row r="113" spans="1:28" ht="18" customHeight="1" outlineLevel="1" thickBot="1" x14ac:dyDescent="0.4">
      <c r="A113" s="17" t="str">
        <f>'Blank Quote'!$A7</f>
        <v>Shipping Contact</v>
      </c>
      <c r="B113" s="18" t="str">
        <f>'Blank Quote'!B7</f>
        <v>FirstName LastName</v>
      </c>
      <c r="C113" s="25"/>
      <c r="D113" s="25"/>
      <c r="E113" s="25"/>
      <c r="G113" s="26"/>
    </row>
    <row r="114" spans="1:28" ht="18" customHeight="1" outlineLevel="1" thickBot="1" x14ac:dyDescent="0.35">
      <c r="A114" s="20" t="str">
        <f>'Blank Quote'!$A8</f>
        <v>Ship Email | Phone</v>
      </c>
      <c r="B114" s="21" t="str">
        <f>'Blank Quote'!B8</f>
        <v>Number | email</v>
      </c>
      <c r="C114" s="25"/>
      <c r="D114" s="25"/>
      <c r="E114" s="25"/>
      <c r="G114" s="323" t="s">
        <v>118</v>
      </c>
      <c r="H114" s="324"/>
      <c r="I114" s="324"/>
      <c r="J114" s="324"/>
      <c r="K114" s="324"/>
      <c r="L114" s="324"/>
      <c r="M114" s="325"/>
      <c r="O114" s="323" t="s">
        <v>122</v>
      </c>
      <c r="P114" s="324"/>
      <c r="Q114" s="324"/>
      <c r="R114" s="324"/>
      <c r="S114" s="324"/>
      <c r="T114" s="324"/>
      <c r="U114" s="324"/>
      <c r="V114" s="325"/>
    </row>
    <row r="115" spans="1:28" ht="18" customHeight="1" outlineLevel="1" x14ac:dyDescent="0.25">
      <c r="A115" s="20" t="str">
        <f>'Blank Quote'!$A9</f>
        <v>Ship To Address</v>
      </c>
      <c r="B115" s="21" t="str">
        <f>'Blank Quote'!B9</f>
        <v>Address1</v>
      </c>
      <c r="C115" s="25"/>
      <c r="D115" s="25"/>
      <c r="E115" s="25"/>
      <c r="G115" s="335" t="str">
        <f>IF('Blank Quote'!B2="", "", 'Blank Quote'!B2)</f>
        <v>Business Name</v>
      </c>
      <c r="H115" s="336"/>
      <c r="I115" s="336"/>
      <c r="J115" s="336"/>
      <c r="K115" s="336"/>
      <c r="L115" s="336"/>
      <c r="M115" s="337"/>
      <c r="O115" s="326" t="str">
        <f>IF('Blank Quote'!B2="", "", 'Blank Quote'!B2)</f>
        <v>Business Name</v>
      </c>
      <c r="P115" s="327"/>
      <c r="Q115" s="327"/>
      <c r="R115" s="327"/>
      <c r="S115" s="327"/>
      <c r="T115" s="327"/>
      <c r="U115" s="327"/>
      <c r="V115" s="328"/>
    </row>
    <row r="116" spans="1:28" ht="18" customHeight="1" outlineLevel="1" thickBot="1" x14ac:dyDescent="0.3">
      <c r="A116" s="27" t="str">
        <f>'Blank Quote'!$A10</f>
        <v>City, State Zip</v>
      </c>
      <c r="B116" s="24" t="str">
        <f>'Blank Quote'!B10</f>
        <v>City, State Zip</v>
      </c>
      <c r="C116" s="25"/>
      <c r="D116" s="25"/>
      <c r="E116" s="25"/>
      <c r="G116" s="326" t="str">
        <f>IF('Blank Quote'!B3="", "", 'Blank Quote'!B3)</f>
        <v>FirstName LastName</v>
      </c>
      <c r="H116" s="327"/>
      <c r="I116" s="327"/>
      <c r="J116" s="327"/>
      <c r="K116" s="327"/>
      <c r="L116" s="327"/>
      <c r="M116" s="328"/>
      <c r="O116" s="326" t="str">
        <f>IF('Blank Quote'!B7="", "", 'Blank Quote'!B7)</f>
        <v>FirstName LastName</v>
      </c>
      <c r="P116" s="327"/>
      <c r="Q116" s="327"/>
      <c r="R116" s="327"/>
      <c r="S116" s="327"/>
      <c r="T116" s="327"/>
      <c r="U116" s="327"/>
      <c r="V116" s="328"/>
    </row>
    <row r="117" spans="1:28" ht="18" customHeight="1" outlineLevel="1" thickBot="1" x14ac:dyDescent="0.3">
      <c r="A117" s="27" t="str">
        <f>'Blank Quote'!$A11</f>
        <v>Sales Tax Rate</v>
      </c>
      <c r="B117" s="28">
        <f>'Blank Quote'!B11</f>
        <v>0</v>
      </c>
      <c r="C117" s="25"/>
      <c r="D117" s="25"/>
      <c r="E117" s="25"/>
      <c r="G117" s="326" t="str">
        <f>IF('Blank Quote'!B4="", "", 'Blank Quote'!B4)</f>
        <v>Number | email</v>
      </c>
      <c r="H117" s="327"/>
      <c r="I117" s="327"/>
      <c r="J117" s="327"/>
      <c r="K117" s="327"/>
      <c r="L117" s="327"/>
      <c r="M117" s="328"/>
      <c r="O117" s="326" t="str">
        <f>IF('Blank Quote'!B8="", "", 'Blank Quote'!B8)</f>
        <v>Number | email</v>
      </c>
      <c r="P117" s="327"/>
      <c r="Q117" s="327"/>
      <c r="R117" s="327"/>
      <c r="S117" s="327"/>
      <c r="T117" s="327"/>
      <c r="U117" s="327"/>
      <c r="V117" s="328"/>
    </row>
    <row r="118" spans="1:28" ht="18" customHeight="1" outlineLevel="1" thickBot="1" x14ac:dyDescent="0.3">
      <c r="A118" s="13" t="str">
        <f>'Blank Quote'!$A12</f>
        <v>Sales Rep</v>
      </c>
      <c r="B118" s="29" t="str">
        <f>'Blank Quote'!B12</f>
        <v>EC</v>
      </c>
      <c r="C118" s="25"/>
      <c r="D118" s="25"/>
      <c r="E118" s="25"/>
      <c r="G118" s="326" t="str">
        <f>IF('Blank Quote'!B5="", "", 'Blank Quote'!B5)</f>
        <v>Address1</v>
      </c>
      <c r="H118" s="327"/>
      <c r="I118" s="327"/>
      <c r="J118" s="327"/>
      <c r="K118" s="327"/>
      <c r="L118" s="327"/>
      <c r="M118" s="328"/>
      <c r="O118" s="326" t="str">
        <f>IF('Blank Quote'!B9="", "", 'Blank Quote'!B9)</f>
        <v>Address1</v>
      </c>
      <c r="P118" s="327"/>
      <c r="Q118" s="327"/>
      <c r="R118" s="327"/>
      <c r="S118" s="327"/>
      <c r="T118" s="327"/>
      <c r="U118" s="327"/>
      <c r="V118" s="328"/>
    </row>
    <row r="119" spans="1:28" ht="18" customHeight="1" outlineLevel="1" thickBot="1" x14ac:dyDescent="0.3">
      <c r="A119" s="13" t="str">
        <f>'Blank Quote'!$A13</f>
        <v>Shipping Method</v>
      </c>
      <c r="B119" s="30" t="str">
        <f>'Blank Quote'!B13</f>
        <v>Ground</v>
      </c>
      <c r="C119" s="25"/>
      <c r="D119" s="25"/>
      <c r="E119" s="25"/>
      <c r="G119" s="338" t="str">
        <f>IF('Blank Quote'!B6="", "", 'Blank Quote'!B6)</f>
        <v>City, State Zip</v>
      </c>
      <c r="H119" s="339"/>
      <c r="I119" s="339"/>
      <c r="J119" s="339"/>
      <c r="K119" s="339"/>
      <c r="L119" s="339"/>
      <c r="M119" s="340"/>
      <c r="O119" s="338" t="str">
        <f>IF('Blank Quote'!B10="", "", 'Blank Quote'!B10)</f>
        <v>City, State Zip</v>
      </c>
      <c r="P119" s="339"/>
      <c r="Q119" s="339"/>
      <c r="R119" s="339"/>
      <c r="S119" s="339"/>
      <c r="T119" s="339"/>
      <c r="U119" s="339"/>
      <c r="V119" s="340"/>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310" t="s">
        <v>119</v>
      </c>
      <c r="H121" s="312"/>
      <c r="I121" s="310" t="s">
        <v>120</v>
      </c>
      <c r="J121" s="311"/>
      <c r="K121" s="312"/>
      <c r="L121" s="310" t="s">
        <v>121</v>
      </c>
      <c r="M121" s="311"/>
      <c r="N121" s="312"/>
      <c r="O121" s="310" t="s">
        <v>128</v>
      </c>
      <c r="P121" s="312"/>
      <c r="Q121" s="310" t="s">
        <v>332</v>
      </c>
      <c r="R121" s="312"/>
      <c r="S121" s="360" t="s">
        <v>535</v>
      </c>
      <c r="T121" s="361"/>
      <c r="U121" s="361"/>
      <c r="V121" s="362"/>
    </row>
    <row r="122" spans="1:28" ht="15.75" outlineLevel="1" thickBot="1" x14ac:dyDescent="0.3">
      <c r="A122" s="34" t="str">
        <f>'Blank Quote'!$A16</f>
        <v>Contract Number</v>
      </c>
      <c r="B122" s="33">
        <f>VLOOKUP(B107,'Pricing Model'!A1:H21,8)</f>
        <v>0</v>
      </c>
      <c r="C122" s="25"/>
      <c r="D122" s="25"/>
      <c r="E122" s="25"/>
      <c r="G122" s="313">
        <f ca="1">TODAY()</f>
        <v>45110</v>
      </c>
      <c r="H122" s="314"/>
      <c r="I122" s="315">
        <f ca="1">NOW()</f>
        <v>45110.433634490742</v>
      </c>
      <c r="J122" s="316"/>
      <c r="K122" s="317"/>
      <c r="L122" s="318" t="str">
        <f>'CA Multi Tenprint'!B118</f>
        <v>EC</v>
      </c>
      <c r="M122" s="319"/>
      <c r="N122" s="320"/>
      <c r="O122" s="318" t="str">
        <f>VLOOKUP(B107,'Pricing Model'!A1:I21,9)</f>
        <v>Due on Rcpt</v>
      </c>
      <c r="P122" s="320"/>
      <c r="Q122" s="318" t="str">
        <f>B119</f>
        <v>Ground</v>
      </c>
      <c r="R122" s="319"/>
      <c r="S122" s="318" t="str">
        <f>IF(B122&lt;&gt;0,B122,"")</f>
        <v/>
      </c>
      <c r="T122" s="319"/>
      <c r="U122" s="319"/>
      <c r="V122" s="320"/>
    </row>
    <row r="123" spans="1:28" ht="5.25" customHeight="1" outlineLevel="1" thickBot="1" x14ac:dyDescent="0.3">
      <c r="D123" s="35"/>
    </row>
    <row r="124" spans="1:28" ht="17.25" thickTop="1" thickBot="1" x14ac:dyDescent="0.3">
      <c r="A124" s="36" t="s">
        <v>123</v>
      </c>
      <c r="B124" s="37" t="s">
        <v>124</v>
      </c>
      <c r="C124" s="38" t="s">
        <v>125</v>
      </c>
      <c r="D124" s="38" t="s">
        <v>371</v>
      </c>
      <c r="E124" s="39" t="s">
        <v>540</v>
      </c>
      <c r="G124" s="333" t="s">
        <v>123</v>
      </c>
      <c r="H124" s="334"/>
      <c r="I124" s="301" t="s">
        <v>124</v>
      </c>
      <c r="J124" s="301"/>
      <c r="K124" s="301"/>
      <c r="L124" s="301"/>
      <c r="M124" s="301"/>
      <c r="N124" s="301"/>
      <c r="O124" s="301"/>
      <c r="P124" s="301"/>
      <c r="Q124" s="97" t="s">
        <v>125</v>
      </c>
      <c r="R124" s="301" t="s">
        <v>126</v>
      </c>
      <c r="S124" s="301"/>
      <c r="T124" s="301" t="s">
        <v>127</v>
      </c>
      <c r="U124" s="301"/>
      <c r="V124" s="40" t="s">
        <v>440</v>
      </c>
      <c r="X124" s="97" t="s">
        <v>442</v>
      </c>
      <c r="Y124" s="97" t="s">
        <v>529</v>
      </c>
      <c r="Z124" s="97" t="s">
        <v>528</v>
      </c>
      <c r="AA124" s="97" t="s">
        <v>530</v>
      </c>
      <c r="AB124" s="97" t="s">
        <v>531</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02" t="str">
        <f t="shared" ref="G125:G145" si="34">A125</f>
        <v>HW-LT-Std-Home</v>
      </c>
      <c r="H125" s="303"/>
      <c r="I125" s="304" t="str">
        <f t="shared" ref="I125:I139" si="35">IF(B125&lt;&gt;"", B125, "")&amp;IF(E125&lt;&gt;"", "   *** "&amp;E125, "")</f>
        <v>Hardware-Laptop-Standard with Windows Home Edition   *** Standard with Windows 11</v>
      </c>
      <c r="J125" s="304"/>
      <c r="K125" s="304" t="str">
        <f t="shared" ref="K125:K145" si="36">E125</f>
        <v>Standard with Windows 11</v>
      </c>
      <c r="L125" s="304"/>
      <c r="M125" s="304" t="str">
        <f t="shared" ref="M125:M145" si="37">G125</f>
        <v>HW-LT-Std-Home</v>
      </c>
      <c r="N125" s="304"/>
      <c r="O125" s="304" t="str">
        <f t="shared" ref="O125:O145" si="38">I125</f>
        <v>Hardware-Laptop-Standard with Windows Home Edition   *** Standard with Windows 11</v>
      </c>
      <c r="P125" s="304"/>
      <c r="Q125" s="98">
        <f t="shared" ref="Q125:Q145" si="39">IF(C125="", "", C125)</f>
        <v>1</v>
      </c>
      <c r="R125" s="292">
        <f>IF(C125="", "",IF(D125&gt;0,D125,
IF($E$107="NY Contract", VLOOKUP(B125,'Raw BOM'!$A$3:$G$495,7,FALSE),
IF($E$107="FL Contract", VLOOKUP(B125,'Raw BOM'!$A$3:$I$495,8,FALSE),
IF($E$107="LA Contract", VLOOKUP(B125,'Raw BOM'!$A$3:$K$495,9,FALSE),
IF($E$107="WA Contract", VLOOKUP(B125,'Raw BOM'!$A$3:$M$495,10,FALSE),
VLOOKUP(B125,'Raw BOM'!$A$3:$D$495,4,FALSE)))))))</f>
        <v>750</v>
      </c>
      <c r="S125" s="292" t="str">
        <f t="shared" ref="S125:S145" si="40">M125</f>
        <v>HW-LT-Std-Home</v>
      </c>
      <c r="T125" s="292">
        <f t="shared" ref="T125:T145" si="41">IF(C125="", "", Q125*R125)</f>
        <v>750</v>
      </c>
      <c r="U125" s="292" t="str">
        <f t="shared" ref="U125:U145" si="42">O125</f>
        <v>Hardware-Laptop-Standard with Windows Home Edition   *** Standard with Windows 11</v>
      </c>
      <c r="V125" s="46" t="str">
        <f>IF(C125="","", VLOOKUP(B125,'Raw BOM'!$A$3:$F$495,6,FALSE))</f>
        <v>Yes</v>
      </c>
      <c r="X125" s="47">
        <f t="shared" ref="X125:X145" si="43">IF(AND(V125="Yes", Q125&lt;&gt;0), (T125-Y125)*$B$117, 0)</f>
        <v>0</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05" t="str">
        <f t="shared" si="34"/>
        <v>LS4G-Applicant-CA</v>
      </c>
      <c r="H126" s="306"/>
      <c r="I126" s="291" t="str">
        <f t="shared" si="35"/>
        <v>LiveScan 4th Gen Software-Applicant CA TOT Module</v>
      </c>
      <c r="J126" s="291"/>
      <c r="K126" s="291" t="str">
        <f t="shared" si="36"/>
        <v/>
      </c>
      <c r="L126" s="291"/>
      <c r="M126" s="291" t="str">
        <f t="shared" si="37"/>
        <v>LS4G-Applicant-CA</v>
      </c>
      <c r="N126" s="291"/>
      <c r="O126" s="291" t="str">
        <f t="shared" si="38"/>
        <v>LiveScan 4th Gen Software-Applicant CA TOT Module</v>
      </c>
      <c r="P126" s="291"/>
      <c r="Q126" s="99">
        <f t="shared" si="39"/>
        <v>1</v>
      </c>
      <c r="R126" s="293">
        <f>IF(C126="", "",IF(D126&gt;0,D126,
IF($E$107="NY Contract", VLOOKUP(B126,'Raw BOM'!$A$3:$G$495,7,FALSE),
IF($E$107="FL Contract", VLOOKUP(B126,'Raw BOM'!$A$3:$I$495,8,FALSE),
IF($E$107="LA Contract", VLOOKUP(B126,'Raw BOM'!$A$3:$K$495,9,FALSE),
IF($E$107="WA Contract", VLOOKUP(B126,'Raw BOM'!$A$3:$M$495,10,FALSE),
VLOOKUP(B126,'Raw BOM'!$A$3:$D$495,4,FALSE)))))))</f>
        <v>1340</v>
      </c>
      <c r="S126" s="293" t="str">
        <f t="shared" si="40"/>
        <v>LS4G-Applicant-CA</v>
      </c>
      <c r="T126" s="293">
        <f t="shared" si="41"/>
        <v>1340</v>
      </c>
      <c r="U126" s="293"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1027</v>
      </c>
      <c r="C127" s="186">
        <f>IF('Blank Quote'!C21&lt;&gt;"", 'Blank Quote'!C21, "")</f>
        <v>1</v>
      </c>
      <c r="D127" s="187"/>
      <c r="E127" s="188" t="str">
        <f>IF('Blank Quote'!E21&lt;&gt;"", 'Blank Quote'!E21, "")</f>
        <v/>
      </c>
      <c r="F127" s="189"/>
      <c r="G127" s="418" t="str">
        <f t="shared" si="34"/>
        <v>HW-Scan-Kojak</v>
      </c>
      <c r="H127" s="419"/>
      <c r="I127" s="420" t="str">
        <f t="shared" si="35"/>
        <v>Hardware-Scanner-IBT Kojak</v>
      </c>
      <c r="J127" s="421"/>
      <c r="K127" s="421" t="str">
        <f t="shared" si="36"/>
        <v/>
      </c>
      <c r="L127" s="421"/>
      <c r="M127" s="421" t="str">
        <f t="shared" si="37"/>
        <v>HW-Scan-Kojak</v>
      </c>
      <c r="N127" s="421"/>
      <c r="O127" s="421" t="str">
        <f t="shared" si="38"/>
        <v>Hardware-Scanner-IBT Kojak</v>
      </c>
      <c r="P127" s="422"/>
      <c r="Q127" s="190">
        <f t="shared" si="39"/>
        <v>1</v>
      </c>
      <c r="R127" s="423">
        <f>IF(C127="", "",IF(D127&gt;0,D127,
IF($E$107="NY Contract", VLOOKUP(B127,'Raw BOM'!$A$3:$G$495,7,FALSE),
IF($E$107="FL Contract", VLOOKUP(B127,'Raw BOM'!$A$3:$I$495,8,FALSE),
IF($E$107="LA Contract", VLOOKUP(B127,'Raw BOM'!$A$3:$K$495,9,FALSE),
IF($E$107="WA Contract", VLOOKUP(B127,'Raw BOM'!$A$3:$M$495,10,FALSE),
VLOOKUP(B127,'Raw BOM'!$A$3:$D$495,4,FALSE)))))))</f>
        <v>1220</v>
      </c>
      <c r="S127" s="424" t="str">
        <f t="shared" si="40"/>
        <v>HW-Scan-Kojak</v>
      </c>
      <c r="T127" s="423">
        <f t="shared" si="41"/>
        <v>1220</v>
      </c>
      <c r="U127" s="424" t="str">
        <f t="shared" si="42"/>
        <v>Hardware-Scanner-IBT Kojak</v>
      </c>
      <c r="V127" s="191" t="str">
        <f>IF(C127="","", VLOOKUP(B127,'Raw BOM'!$A$3:$F$495,6,FALSE))</f>
        <v>Yes</v>
      </c>
      <c r="X127" s="47">
        <f t="shared" si="43"/>
        <v>0</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11" t="str">
        <f t="shared" si="34"/>
        <v/>
      </c>
      <c r="H128" s="412"/>
      <c r="I128" s="413" t="str">
        <f t="shared" si="35"/>
        <v/>
      </c>
      <c r="J128" s="414"/>
      <c r="K128" s="414" t="str">
        <f t="shared" si="36"/>
        <v/>
      </c>
      <c r="L128" s="414"/>
      <c r="M128" s="414" t="str">
        <f t="shared" si="37"/>
        <v/>
      </c>
      <c r="N128" s="414"/>
      <c r="O128" s="414" t="str">
        <f t="shared" si="38"/>
        <v/>
      </c>
      <c r="P128" s="415"/>
      <c r="Q128" s="99" t="str">
        <f t="shared" si="39"/>
        <v/>
      </c>
      <c r="R128" s="416" t="str">
        <f>IF(C128="", "",IF(D128&gt;0,D128,
IF($E$107="NY Contract", VLOOKUP(B128,'Raw BOM'!$A$3:$G$495,7,FALSE),
IF($E$107="FL Contract", VLOOKUP(B128,'Raw BOM'!$A$3:$I$495,8,FALSE),
IF($E$107="LA Contract", VLOOKUP(B128,'Raw BOM'!$A$3:$K$495,9,FALSE),
IF($E$107="WA Contract", VLOOKUP(B128,'Raw BOM'!$A$3:$M$495,10,FALSE),
VLOOKUP(B128,'Raw BOM'!$A$3:$D$495,4,FALSE)))))))</f>
        <v/>
      </c>
      <c r="S128" s="417" t="str">
        <f t="shared" si="40"/>
        <v/>
      </c>
      <c r="T128" s="416" t="str">
        <f t="shared" si="41"/>
        <v/>
      </c>
      <c r="U128" s="417"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11" t="str">
        <f t="shared" si="34"/>
        <v>HW-Magtrip</v>
      </c>
      <c r="H129" s="412"/>
      <c r="I129" s="413" t="str">
        <f t="shared" si="35"/>
        <v>Hardware-Magnetic Strip Reader   *** Auto populate personal information with a swipe of a driver's license from anywhere on the screen</v>
      </c>
      <c r="J129" s="414"/>
      <c r="K129" s="414" t="str">
        <f t="shared" si="36"/>
        <v>Auto populate personal information with a swipe of a driver's license from anywhere on the screen</v>
      </c>
      <c r="L129" s="414"/>
      <c r="M129" s="414" t="str">
        <f t="shared" si="37"/>
        <v>HW-Magtrip</v>
      </c>
      <c r="N129" s="414"/>
      <c r="O129" s="414" t="str">
        <f t="shared" si="38"/>
        <v>Hardware-Magnetic Strip Reader   *** Auto populate personal information with a swipe of a driver's license from anywhere on the screen</v>
      </c>
      <c r="P129" s="415"/>
      <c r="Q129" s="99">
        <f t="shared" si="39"/>
        <v>1</v>
      </c>
      <c r="R129" s="416">
        <f>IF(C129="", "",IF(D129&gt;0,D129,
IF($E$107="NY Contract", VLOOKUP(B129,'Raw BOM'!$A$3:$G$495,7,FALSE),
IF($E$107="FL Contract", VLOOKUP(B129,'Raw BOM'!$A$3:$I$495,8,FALSE),
IF($E$107="LA Contract", VLOOKUP(B129,'Raw BOM'!$A$3:$K$495,9,FALSE),
IF($E$107="WA Contract", VLOOKUP(B129,'Raw BOM'!$A$3:$M$495,10,FALSE),
VLOOKUP(B129,'Raw BOM'!$A$3:$D$495,4,FALSE)))))))</f>
        <v>130</v>
      </c>
      <c r="S129" s="417" t="str">
        <f t="shared" si="40"/>
        <v>HW-Magtrip</v>
      </c>
      <c r="T129" s="416">
        <f t="shared" si="41"/>
        <v>130</v>
      </c>
      <c r="U129" s="417" t="str">
        <f t="shared" si="42"/>
        <v>Hardware-Magnetic Strip Reader   *** Auto populate personal information with a swipe of a driver's license from anywhere on the screen</v>
      </c>
      <c r="V129" s="49" t="str">
        <f>IF(C129="","", VLOOKUP(B129,'Raw BOM'!$A$3:$F$495,6,FALSE))</f>
        <v>Yes</v>
      </c>
      <c r="X129" s="47">
        <f t="shared" si="43"/>
        <v>0</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11" t="str">
        <f t="shared" si="34"/>
        <v>LS4G-IDCard</v>
      </c>
      <c r="H130" s="412"/>
      <c r="I130" s="413" t="str">
        <f t="shared" si="35"/>
        <v>LiveScan 4th Gen Software-Driver License and ID Reading software</v>
      </c>
      <c r="J130" s="414"/>
      <c r="K130" s="414" t="str">
        <f t="shared" si="36"/>
        <v/>
      </c>
      <c r="L130" s="414"/>
      <c r="M130" s="414" t="str">
        <f t="shared" si="37"/>
        <v>LS4G-IDCard</v>
      </c>
      <c r="N130" s="414"/>
      <c r="O130" s="414" t="str">
        <f t="shared" si="38"/>
        <v>LiveScan 4th Gen Software-Driver License and ID Reading software</v>
      </c>
      <c r="P130" s="415"/>
      <c r="Q130" s="99">
        <f t="shared" si="39"/>
        <v>1</v>
      </c>
      <c r="R130" s="416">
        <f>IF(C130="", "",IF(D130&gt;0,D130,
IF($E$107="NY Contract", VLOOKUP(B130,'Raw BOM'!$A$3:$G$495,7,FALSE),
IF($E$107="FL Contract", VLOOKUP(B130,'Raw BOM'!$A$3:$I$495,8,FALSE),
IF($E$107="LA Contract", VLOOKUP(B130,'Raw BOM'!$A$3:$K$495,9,FALSE),
IF($E$107="WA Contract", VLOOKUP(B130,'Raw BOM'!$A$3:$M$495,10,FALSE),
VLOOKUP(B130,'Raw BOM'!$A$3:$D$495,4,FALSE)))))))</f>
        <v>340</v>
      </c>
      <c r="S130" s="417" t="str">
        <f t="shared" si="40"/>
        <v>LS4G-IDCard</v>
      </c>
      <c r="T130" s="416">
        <f t="shared" si="41"/>
        <v>340</v>
      </c>
      <c r="U130" s="417"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11" t="str">
        <f t="shared" si="34"/>
        <v/>
      </c>
      <c r="H131" s="412"/>
      <c r="I131" s="413" t="str">
        <f t="shared" si="35"/>
        <v/>
      </c>
      <c r="J131" s="414"/>
      <c r="K131" s="414" t="str">
        <f t="shared" si="36"/>
        <v/>
      </c>
      <c r="L131" s="414"/>
      <c r="M131" s="414" t="str">
        <f t="shared" si="37"/>
        <v/>
      </c>
      <c r="N131" s="414"/>
      <c r="O131" s="414" t="str">
        <f t="shared" si="38"/>
        <v/>
      </c>
      <c r="P131" s="415"/>
      <c r="Q131" s="99" t="str">
        <f t="shared" si="39"/>
        <v/>
      </c>
      <c r="R131" s="416" t="str">
        <f>IF(C131="", "",IF(D131&gt;0,D131,
IF($E$107="NY Contract", VLOOKUP(B131,'Raw BOM'!$A$3:$G$495,7,FALSE),
IF($E$107="FL Contract", VLOOKUP(B131,'Raw BOM'!$A$3:$I$495,8,FALSE),
IF($E$107="LA Contract", VLOOKUP(B131,'Raw BOM'!$A$3:$K$495,9,FALSE),
IF($E$107="WA Contract", VLOOKUP(B131,'Raw BOM'!$A$3:$M$495,10,FALSE),
VLOOKUP(B131,'Raw BOM'!$A$3:$D$495,4,FALSE)))))))</f>
        <v/>
      </c>
      <c r="S131" s="417" t="str">
        <f t="shared" si="40"/>
        <v/>
      </c>
      <c r="T131" s="416" t="str">
        <f t="shared" si="41"/>
        <v/>
      </c>
      <c r="U131" s="417"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11" t="str">
        <f t="shared" si="34"/>
        <v>Svcs-Cfg-CAPSP</v>
      </c>
      <c r="H132" s="412"/>
      <c r="I132" s="413" t="str">
        <f t="shared" si="35"/>
        <v>Services-Configuration-CA PSP Setup   *** Pick ONE of the following capture methods at the time of capture (TWO DIFFERENT BUTTONS on the screen):</v>
      </c>
      <c r="J132" s="414"/>
      <c r="K132" s="414" t="str">
        <f t="shared" si="36"/>
        <v>Pick ONE of the following capture methods at the time of capture (TWO DIFFERENT BUTTONS on the screen):</v>
      </c>
      <c r="L132" s="414"/>
      <c r="M132" s="414" t="str">
        <f t="shared" si="37"/>
        <v>Svcs-Cfg-CAPSP</v>
      </c>
      <c r="N132" s="414"/>
      <c r="O132" s="414" t="str">
        <f t="shared" si="38"/>
        <v>Services-Configuration-CA PSP Setup   *** Pick ONE of the following capture methods at the time of capture (TWO DIFFERENT BUTTONS on the screen):</v>
      </c>
      <c r="P132" s="415"/>
      <c r="Q132" s="99">
        <f t="shared" si="39"/>
        <v>1</v>
      </c>
      <c r="R132" s="416">
        <f>IF(C132="", "",IF(D132&gt;0,D132,
IF($E$107="NY Contract", VLOOKUP(B132,'Raw BOM'!$A$3:$G$495,7,FALSE),
IF($E$107="FL Contract", VLOOKUP(B132,'Raw BOM'!$A$3:$I$495,8,FALSE),
IF($E$107="LA Contract", VLOOKUP(B132,'Raw BOM'!$A$3:$K$495,9,FALSE),
IF($E$107="WA Contract", VLOOKUP(B132,'Raw BOM'!$A$3:$M$495,10,FALSE),
VLOOKUP(B132,'Raw BOM'!$A$3:$D$495,4,FALSE)))))))</f>
        <v>500</v>
      </c>
      <c r="S132" s="417" t="str">
        <f t="shared" si="40"/>
        <v>Svcs-Cfg-CAPSP</v>
      </c>
      <c r="T132" s="416">
        <f t="shared" si="41"/>
        <v>500</v>
      </c>
      <c r="U132" s="417"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11" t="str">
        <f t="shared" si="34"/>
        <v>Misc</v>
      </c>
      <c r="H133" s="412"/>
      <c r="I133" s="413" t="str">
        <f t="shared" si="35"/>
        <v xml:space="preserve">   *** Transaction Fee - Traditional FLATS and ROLLS Method (1 to 10 minutes method): $0.75 per transaction with $150 per monthly cap</v>
      </c>
      <c r="J133" s="414"/>
      <c r="K133" s="414" t="str">
        <f t="shared" si="36"/>
        <v>Transaction Fee - Traditional FLATS and ROLLS Method (1 to 10 minutes method): $0.75 per transaction with $150 per monthly cap</v>
      </c>
      <c r="L133" s="414"/>
      <c r="M133" s="414" t="str">
        <f t="shared" si="37"/>
        <v>Misc</v>
      </c>
      <c r="N133" s="414"/>
      <c r="O133" s="414" t="str">
        <f t="shared" si="38"/>
        <v xml:space="preserve">   *** Transaction Fee - Traditional FLATS and ROLLS Method (1 to 10 minutes method): $0.75 per transaction with $150 per monthly cap</v>
      </c>
      <c r="P133" s="415"/>
      <c r="Q133" s="99" t="str">
        <f t="shared" si="39"/>
        <v/>
      </c>
      <c r="R133" s="416" t="str">
        <f>IF(C133="", "",IF(D133&gt;0,D133,
IF($E$107="NY Contract", VLOOKUP(B133,'Raw BOM'!$A$3:$G$495,7,FALSE),
IF($E$107="FL Contract", VLOOKUP(B133,'Raw BOM'!$A$3:$I$495,8,FALSE),
IF($E$107="LA Contract", VLOOKUP(B133,'Raw BOM'!$A$3:$K$495,9,FALSE),
IF($E$107="WA Contract", VLOOKUP(B133,'Raw BOM'!$A$3:$M$495,10,FALSE),
VLOOKUP(B133,'Raw BOM'!$A$3:$D$495,4,FALSE)))))))</f>
        <v/>
      </c>
      <c r="S133" s="417" t="str">
        <f t="shared" si="40"/>
        <v>Misc</v>
      </c>
      <c r="T133" s="416" t="str">
        <f t="shared" si="41"/>
        <v/>
      </c>
      <c r="U133" s="417"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11" t="str">
        <f t="shared" si="34"/>
        <v>Misc</v>
      </c>
      <c r="H134" s="412"/>
      <c r="I134" s="413" t="str">
        <f t="shared" si="35"/>
        <v xml:space="preserve">   *** Transaction Fee - NEW FLATS ONLY Method (10 to 15 second fingerprinting): $4.00 per transaction with no cap ($2.80 per trans for 501(c)(3) organizations)</v>
      </c>
      <c r="J134" s="414"/>
      <c r="K134" s="414" t="str">
        <f t="shared" si="36"/>
        <v>Transaction Fee - NEW FLATS ONLY Method (10 to 15 second fingerprinting): $4.00 per transaction with no cap ($2.80 per trans for 501(c)(3) organizations)</v>
      </c>
      <c r="L134" s="414"/>
      <c r="M134" s="414" t="str">
        <f t="shared" si="37"/>
        <v>Misc</v>
      </c>
      <c r="N134" s="414"/>
      <c r="O134" s="414" t="str">
        <f t="shared" si="38"/>
        <v xml:space="preserve">   *** Transaction Fee - NEW FLATS ONLY Method (10 to 15 second fingerprinting): $4.00 per transaction with no cap ($2.80 per trans for 501(c)(3) organizations)</v>
      </c>
      <c r="P134" s="415"/>
      <c r="Q134" s="99" t="str">
        <f t="shared" si="39"/>
        <v/>
      </c>
      <c r="R134" s="416" t="str">
        <f>IF(C134="", "",IF(D134&gt;0,D134,
IF($E$107="NY Contract", VLOOKUP(B134,'Raw BOM'!$A$3:$G$495,7,FALSE),
IF($E$107="FL Contract", VLOOKUP(B134,'Raw BOM'!$A$3:$I$495,8,FALSE),
IF($E$107="LA Contract", VLOOKUP(B134,'Raw BOM'!$A$3:$K$495,9,FALSE),
IF($E$107="WA Contract", VLOOKUP(B134,'Raw BOM'!$A$3:$M$495,10,FALSE),
VLOOKUP(B134,'Raw BOM'!$A$3:$D$495,4,FALSE)))))))</f>
        <v/>
      </c>
      <c r="S134" s="417" t="str">
        <f t="shared" si="40"/>
        <v>Misc</v>
      </c>
      <c r="T134" s="416" t="str">
        <f t="shared" si="41"/>
        <v/>
      </c>
      <c r="U134" s="417"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11" t="str">
        <f t="shared" si="34"/>
        <v/>
      </c>
      <c r="H135" s="412"/>
      <c r="I135" s="413" t="str">
        <f t="shared" si="35"/>
        <v/>
      </c>
      <c r="J135" s="414"/>
      <c r="K135" s="414" t="str">
        <f t="shared" si="36"/>
        <v/>
      </c>
      <c r="L135" s="414"/>
      <c r="M135" s="414" t="str">
        <f t="shared" si="37"/>
        <v/>
      </c>
      <c r="N135" s="414"/>
      <c r="O135" s="414" t="str">
        <f t="shared" si="38"/>
        <v/>
      </c>
      <c r="P135" s="415"/>
      <c r="Q135" s="99" t="str">
        <f t="shared" si="39"/>
        <v/>
      </c>
      <c r="R135" s="416" t="str">
        <f>IF(C135="", "",IF(D135&gt;0,D135,
IF($E$107="NY Contract", VLOOKUP(B135,'Raw BOM'!$A$3:$G$495,7,FALSE),
IF($E$107="FL Contract", VLOOKUP(B135,'Raw BOM'!$A$3:$I$495,8,FALSE),
IF($E$107="LA Contract", VLOOKUP(B135,'Raw BOM'!$A$3:$K$495,9,FALSE),
IF($E$107="WA Contract", VLOOKUP(B135,'Raw BOM'!$A$3:$M$495,10,FALSE),
VLOOKUP(B135,'Raw BOM'!$A$3:$D$495,4,FALSE)))))))</f>
        <v/>
      </c>
      <c r="S135" s="417" t="str">
        <f t="shared" si="40"/>
        <v/>
      </c>
      <c r="T135" s="416" t="str">
        <f t="shared" si="41"/>
        <v/>
      </c>
      <c r="U135" s="417"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11" t="str">
        <f t="shared" si="34"/>
        <v>Svcs-InstallTrain</v>
      </c>
      <c r="H136" s="412"/>
      <c r="I136" s="413" t="str">
        <f t="shared" si="35"/>
        <v>Services-Installation and Training Session 4hrs (see Service Method for price)</v>
      </c>
      <c r="J136" s="414"/>
      <c r="K136" s="414" t="str">
        <f t="shared" si="36"/>
        <v/>
      </c>
      <c r="L136" s="414"/>
      <c r="M136" s="414" t="str">
        <f t="shared" si="37"/>
        <v>Svcs-InstallTrain</v>
      </c>
      <c r="N136" s="414"/>
      <c r="O136" s="414" t="str">
        <f t="shared" si="38"/>
        <v>Services-Installation and Training Session 4hrs (see Service Method for price)</v>
      </c>
      <c r="P136" s="415"/>
      <c r="Q136" s="99">
        <f t="shared" si="39"/>
        <v>1</v>
      </c>
      <c r="R136" s="416">
        <f>IF(C136="", "",IF(D136&gt;0,D136,
IF($E$107="NY Contract", VLOOKUP(B136,'Raw BOM'!$A$3:$G$495,7,FALSE),
IF($E$107="FL Contract", VLOOKUP(B136,'Raw BOM'!$A$3:$I$495,8,FALSE),
IF($E$107="LA Contract", VLOOKUP(B136,'Raw BOM'!$A$3:$K$495,9,FALSE),
IF($E$107="WA Contract", VLOOKUP(B136,'Raw BOM'!$A$3:$M$495,10,FALSE),
VLOOKUP(B136,'Raw BOM'!$A$3:$D$495,4,FALSE)))))))</f>
        <v>0</v>
      </c>
      <c r="S136" s="417" t="str">
        <f t="shared" si="40"/>
        <v>Svcs-InstallTrain</v>
      </c>
      <c r="T136" s="416">
        <f t="shared" si="41"/>
        <v>0</v>
      </c>
      <c r="U136" s="417"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11" t="str">
        <f t="shared" si="34"/>
        <v>Svcs-Phone</v>
      </c>
      <c r="H137" s="412"/>
      <c r="I137" s="413" t="str">
        <f t="shared" si="35"/>
        <v xml:space="preserve">Services Method-Remote (Phone)   *** To perform services shown in the line above. </v>
      </c>
      <c r="J137" s="414"/>
      <c r="K137" s="414" t="str">
        <f t="shared" si="36"/>
        <v xml:space="preserve">To perform services shown in the line above. </v>
      </c>
      <c r="L137" s="414"/>
      <c r="M137" s="414" t="str">
        <f t="shared" si="37"/>
        <v>Svcs-Phone</v>
      </c>
      <c r="N137" s="414"/>
      <c r="O137" s="414" t="str">
        <f t="shared" si="38"/>
        <v xml:space="preserve">Services Method-Remote (Phone)   *** To perform services shown in the line above. </v>
      </c>
      <c r="P137" s="415"/>
      <c r="Q137" s="99">
        <f t="shared" si="39"/>
        <v>1</v>
      </c>
      <c r="R137" s="416">
        <f>IF(C137="", "",IF(D137&gt;0,D137,
IF($E$107="NY Contract", VLOOKUP(B137,'Raw BOM'!$A$3:$G$495,7,FALSE),
IF($E$107="FL Contract", VLOOKUP(B137,'Raw BOM'!$A$3:$I$495,8,FALSE),
IF($E$107="LA Contract", VLOOKUP(B137,'Raw BOM'!$A$3:$K$495,9,FALSE),
IF($E$107="WA Contract", VLOOKUP(B137,'Raw BOM'!$A$3:$M$495,10,FALSE),
VLOOKUP(B137,'Raw BOM'!$A$3:$D$495,4,FALSE)))))))</f>
        <v>750</v>
      </c>
      <c r="S137" s="417" t="str">
        <f t="shared" si="40"/>
        <v>Svcs-Phone</v>
      </c>
      <c r="T137" s="416">
        <f t="shared" si="41"/>
        <v>750</v>
      </c>
      <c r="U137" s="417"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11" t="str">
        <f t="shared" si="34"/>
        <v/>
      </c>
      <c r="H138" s="412"/>
      <c r="I138" s="413" t="str">
        <f t="shared" si="35"/>
        <v/>
      </c>
      <c r="J138" s="414"/>
      <c r="K138" s="414" t="str">
        <f t="shared" si="36"/>
        <v/>
      </c>
      <c r="L138" s="414"/>
      <c r="M138" s="414" t="str">
        <f t="shared" si="37"/>
        <v/>
      </c>
      <c r="N138" s="414"/>
      <c r="O138" s="414" t="str">
        <f t="shared" si="38"/>
        <v/>
      </c>
      <c r="P138" s="415"/>
      <c r="Q138" s="99" t="str">
        <f t="shared" si="39"/>
        <v/>
      </c>
      <c r="R138" s="416" t="str">
        <f>IF(C138="", "",IF(D138&gt;0,D138,
IF($E$107="NY Contract", VLOOKUP(B138,'Raw BOM'!$A$3:$G$495,7,FALSE),
IF($E$107="FL Contract", VLOOKUP(B138,'Raw BOM'!$A$3:$I$495,8,FALSE),
IF($E$107="LA Contract", VLOOKUP(B138,'Raw BOM'!$A$3:$K$495,9,FALSE),
IF($E$107="WA Contract", VLOOKUP(B138,'Raw BOM'!$A$3:$M$495,10,FALSE),
VLOOKUP(B138,'Raw BOM'!$A$3:$D$495,4,FALSE)))))))</f>
        <v/>
      </c>
      <c r="S138" s="417" t="str">
        <f t="shared" si="40"/>
        <v/>
      </c>
      <c r="T138" s="416" t="str">
        <f t="shared" si="41"/>
        <v/>
      </c>
      <c r="U138" s="417"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11" t="str">
        <f t="shared" si="34"/>
        <v>Ship-L</v>
      </c>
      <c r="H139" s="412"/>
      <c r="I139" s="413" t="str">
        <f t="shared" si="35"/>
        <v>Shipping-Ground for Large Package</v>
      </c>
      <c r="J139" s="414"/>
      <c r="K139" s="414" t="str">
        <f t="shared" si="36"/>
        <v/>
      </c>
      <c r="L139" s="414"/>
      <c r="M139" s="414" t="str">
        <f t="shared" si="37"/>
        <v>Ship-L</v>
      </c>
      <c r="N139" s="414"/>
      <c r="O139" s="414" t="str">
        <f t="shared" si="38"/>
        <v>Shipping-Ground for Large Package</v>
      </c>
      <c r="P139" s="415"/>
      <c r="Q139" s="99">
        <f t="shared" si="39"/>
        <v>1</v>
      </c>
      <c r="R139" s="416">
        <f>IF(C139="", "",IF(D139&gt;0,D139,
IF($E$107="NY Contract", VLOOKUP(B139,'Raw BOM'!$A$3:$G$495,7,FALSE),
IF($E$107="FL Contract", VLOOKUP(B139,'Raw BOM'!$A$3:$I$495,8,FALSE),
IF($E$107="LA Contract", VLOOKUP(B139,'Raw BOM'!$A$3:$K$495,9,FALSE),
IF($E$107="WA Contract", VLOOKUP(B139,'Raw BOM'!$A$3:$M$495,10,FALSE),
VLOOKUP(B139,'Raw BOM'!$A$3:$D$495,4,FALSE)))))))</f>
        <v>60</v>
      </c>
      <c r="S139" s="417" t="str">
        <f t="shared" si="40"/>
        <v>Ship-L</v>
      </c>
      <c r="T139" s="416">
        <f t="shared" si="41"/>
        <v>60</v>
      </c>
      <c r="U139" s="417"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11" t="str">
        <f t="shared" si="34"/>
        <v>Maint-Warr</v>
      </c>
      <c r="H140" s="412"/>
      <c r="I140" s="413"/>
      <c r="J140" s="414"/>
      <c r="K140" s="414" t="str">
        <f t="shared" si="36"/>
        <v>Cross Ship</v>
      </c>
      <c r="L140" s="414"/>
      <c r="M140" s="414" t="str">
        <f t="shared" si="37"/>
        <v>Maint-Warr</v>
      </c>
      <c r="N140" s="414"/>
      <c r="O140" s="414">
        <f t="shared" si="38"/>
        <v>0</v>
      </c>
      <c r="P140" s="415"/>
      <c r="Q140" s="99">
        <f t="shared" si="39"/>
        <v>1</v>
      </c>
      <c r="R140" s="416">
        <f>IF(C140="", "",IF(D140&gt;0,D140,
IF($E$107="NY Contract", VLOOKUP(B140,'Raw BOM'!$A$3:$G$495,7,FALSE),
IF($E$107="FL Contract", VLOOKUP(B140,'Raw BOM'!$A$3:$I$495,8,FALSE),
IF($E$107="LA Contract", VLOOKUP(B140,'Raw BOM'!$A$3:$K$495,9,FALSE),
IF($E$107="WA Contract", VLOOKUP(B140,'Raw BOM'!$A$3:$M$495,10,FALSE),
VLOOKUP(B140,'Raw BOM'!$A$3:$D$495,4,FALSE)))))))</f>
        <v>0</v>
      </c>
      <c r="S140" s="417" t="str">
        <f t="shared" si="40"/>
        <v>Maint-Warr</v>
      </c>
      <c r="T140" s="416">
        <f t="shared" si="41"/>
        <v>0</v>
      </c>
      <c r="U140" s="417">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11" t="str">
        <f t="shared" si="34"/>
        <v>Misc</v>
      </c>
      <c r="H141" s="412"/>
      <c r="I141" s="413" t="str">
        <f>IF(B141&lt;&gt;"", B141, "")&amp;IF(E141&lt;&gt;"", "   *** "&amp;E141, "")</f>
        <v xml:space="preserve">   *** Pick one of the following 2 Maintenance options in the 12th month.  We recommend picking 2nd line if processing more than 1,200 transactions per year.</v>
      </c>
      <c r="J141" s="414"/>
      <c r="K141" s="414" t="str">
        <f t="shared" si="36"/>
        <v>Pick one of the following 2 Maintenance options in the 12th month.  We recommend picking 2nd line if processing more than 1,200 transactions per year.</v>
      </c>
      <c r="L141" s="414"/>
      <c r="M141" s="414" t="str">
        <f t="shared" si="37"/>
        <v>Misc</v>
      </c>
      <c r="N141" s="414"/>
      <c r="O141" s="414" t="str">
        <f t="shared" si="38"/>
        <v xml:space="preserve">   *** Pick one of the following 2 Maintenance options in the 12th month.  We recommend picking 2nd line if processing more than 1,200 transactions per year.</v>
      </c>
      <c r="P141" s="415"/>
      <c r="Q141" s="99" t="str">
        <f t="shared" si="39"/>
        <v/>
      </c>
      <c r="R141" s="416" t="str">
        <f>IF(C141="", "",IF(D141&gt;0,D141,
IF($E$107="NY Contract", VLOOKUP(B141,'Raw BOM'!$A$3:$G$495,7,FALSE),
IF($E$107="FL Contract", VLOOKUP(B141,'Raw BOM'!$A$3:$I$495,8,FALSE),
IF($E$107="LA Contract", VLOOKUP(B141,'Raw BOM'!$A$3:$K$495,9,FALSE),
IF($E$107="WA Contract", VLOOKUP(B141,'Raw BOM'!$A$3:$M$495,10,FALSE),
VLOOKUP(B141,'Raw BOM'!$A$3:$D$495,4,FALSE)))))))</f>
        <v/>
      </c>
      <c r="S141" s="417" t="str">
        <f t="shared" si="40"/>
        <v>Misc</v>
      </c>
      <c r="T141" s="416" t="str">
        <f t="shared" si="41"/>
        <v/>
      </c>
      <c r="U141" s="417"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664</v>
      </c>
      <c r="C142" s="43">
        <f>IF('Blank Quote'!C36&lt;&gt;"", 'Blank Quote'!C36, "")</f>
        <v>0</v>
      </c>
      <c r="D142" s="44">
        <v>495</v>
      </c>
      <c r="E142" s="50" t="str">
        <f>IF('Blank Quote'!E36&lt;&gt;"", 'Blank Quote'!E36, "")</f>
        <v>Software Only coverage, per system</v>
      </c>
      <c r="F142" s="251">
        <f>ROUND(S147*0.08,-1)</f>
        <v>410</v>
      </c>
      <c r="G142" s="305" t="str">
        <f t="shared" si="34"/>
        <v>Maint-9X5-SW-App</v>
      </c>
      <c r="H142" s="306"/>
      <c r="I142" s="291" t="str">
        <f>IF(B142&lt;&gt;"", B142, "")&amp;IF(E142&lt;&gt;"", "   *** "&amp;E142, "")</f>
        <v>Maintenance-9X5 Software Only Support Applicant   *** Software Only coverage, per system</v>
      </c>
      <c r="J142" s="291"/>
      <c r="K142" s="291" t="str">
        <f t="shared" si="36"/>
        <v>Software Only coverage, per system</v>
      </c>
      <c r="L142" s="291"/>
      <c r="M142" s="291" t="str">
        <f t="shared" si="37"/>
        <v>Maint-9X5-SW-App</v>
      </c>
      <c r="N142" s="291"/>
      <c r="O142" s="291" t="str">
        <f t="shared" si="38"/>
        <v>Maintenance-9X5 Software Only Support Applicant   *** Software Only coverage, per system</v>
      </c>
      <c r="P142" s="291"/>
      <c r="Q142" s="99">
        <f t="shared" si="39"/>
        <v>0</v>
      </c>
      <c r="R142" s="405">
        <f>D142</f>
        <v>495</v>
      </c>
      <c r="S142" s="293" t="str">
        <f t="shared" si="40"/>
        <v>Maint-9X5-SW-App</v>
      </c>
      <c r="T142" s="293">
        <f t="shared" si="41"/>
        <v>0</v>
      </c>
      <c r="U142" s="293"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660</v>
      </c>
      <c r="C143" s="43">
        <f>IF('Blank Quote'!C37&lt;&gt;"", 'Blank Quote'!C37, "")</f>
        <v>0</v>
      </c>
      <c r="D143" s="44">
        <v>720</v>
      </c>
      <c r="E143" s="50" t="str">
        <f>IF('Blank Quote'!E37&lt;&gt;"", 'Blank Quote'!E37, "")</f>
        <v>Software and Hardware Coverage, per system</v>
      </c>
      <c r="F143" s="251">
        <f>ROUND(S147*0.12,-1)</f>
        <v>610</v>
      </c>
      <c r="G143" s="305" t="str">
        <f t="shared" si="34"/>
        <v>Maint-9X5-Remote</v>
      </c>
      <c r="H143" s="306"/>
      <c r="I143" s="291" t="str">
        <f>IF(B143&lt;&gt;"", B143, "")&amp;IF(E143&lt;&gt;"", "   *** "&amp;E143, "")</f>
        <v>Maintenance-9 X 5 (8am - 5pm, M-F) Remote with Cross Ship   *** Software and Hardware Coverage, per system</v>
      </c>
      <c r="J143" s="291"/>
      <c r="K143" s="291" t="str">
        <f t="shared" si="36"/>
        <v>Software and Hardware Coverage, per system</v>
      </c>
      <c r="L143" s="291"/>
      <c r="M143" s="291" t="str">
        <f t="shared" si="37"/>
        <v>Maint-9X5-Remote</v>
      </c>
      <c r="N143" s="291"/>
      <c r="O143" s="291" t="str">
        <f t="shared" si="38"/>
        <v>Maintenance-9 X 5 (8am - 5pm, M-F) Remote with Cross Ship   *** Software and Hardware Coverage, per system</v>
      </c>
      <c r="P143" s="291"/>
      <c r="Q143" s="99">
        <f t="shared" si="39"/>
        <v>0</v>
      </c>
      <c r="R143" s="293">
        <f>D143</f>
        <v>720</v>
      </c>
      <c r="S143" s="293" t="str">
        <f t="shared" si="40"/>
        <v>Maint-9X5-Remote</v>
      </c>
      <c r="T143" s="293">
        <f t="shared" si="41"/>
        <v>0</v>
      </c>
      <c r="U143" s="293"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05" t="str">
        <f t="shared" si="34"/>
        <v/>
      </c>
      <c r="H144" s="306"/>
      <c r="I144" s="291" t="str">
        <f>IF(B144&lt;&gt;"", B144, "")&amp;IF(E144&lt;&gt;"", "   *** "&amp;E144, "")</f>
        <v/>
      </c>
      <c r="J144" s="291"/>
      <c r="K144" s="291" t="str">
        <f t="shared" si="36"/>
        <v/>
      </c>
      <c r="L144" s="291"/>
      <c r="M144" s="291" t="str">
        <f t="shared" si="37"/>
        <v/>
      </c>
      <c r="N144" s="291"/>
      <c r="O144" s="291" t="str">
        <f t="shared" si="38"/>
        <v/>
      </c>
      <c r="P144" s="291"/>
      <c r="Q144" s="99" t="str">
        <f t="shared" si="39"/>
        <v/>
      </c>
      <c r="R144" s="293" t="str">
        <f>D144</f>
        <v/>
      </c>
      <c r="S144" s="293" t="str">
        <f t="shared" si="40"/>
        <v/>
      </c>
      <c r="T144" s="293" t="str">
        <f t="shared" si="41"/>
        <v/>
      </c>
      <c r="U144" s="293"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296" t="str">
        <f t="shared" si="34"/>
        <v/>
      </c>
      <c r="H145" s="297"/>
      <c r="I145" s="298" t="str">
        <f>IF(B145&lt;&gt;"", B145, "")&amp;IF(E145&lt;&gt;"", "   *** "&amp;E145, "")</f>
        <v/>
      </c>
      <c r="J145" s="298"/>
      <c r="K145" s="298" t="str">
        <f t="shared" si="36"/>
        <v/>
      </c>
      <c r="L145" s="298"/>
      <c r="M145" s="298" t="str">
        <f t="shared" si="37"/>
        <v/>
      </c>
      <c r="N145" s="298"/>
      <c r="O145" s="298" t="str">
        <f t="shared" si="38"/>
        <v/>
      </c>
      <c r="P145" s="298"/>
      <c r="Q145" s="96" t="str">
        <f t="shared" si="39"/>
        <v/>
      </c>
      <c r="R145" s="300" t="str">
        <f>D145</f>
        <v/>
      </c>
      <c r="S145" s="300" t="str">
        <f t="shared" si="40"/>
        <v/>
      </c>
      <c r="T145" s="300" t="str">
        <f t="shared" si="41"/>
        <v/>
      </c>
      <c r="U145" s="300"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47" t="s">
        <v>1513</v>
      </c>
      <c r="H147" s="348"/>
      <c r="I147" s="348"/>
      <c r="J147" s="348"/>
      <c r="K147" s="348"/>
      <c r="L147" s="348"/>
      <c r="M147" s="349"/>
      <c r="N147" s="356" t="str">
        <f>'Blank Quote'!$N$41:$O$41</f>
        <v>QS: 20191222</v>
      </c>
      <c r="O147" s="357"/>
      <c r="P147" s="57"/>
      <c r="Q147" s="57"/>
      <c r="R147" s="58" t="s">
        <v>333</v>
      </c>
      <c r="S147" s="341">
        <f>SUMIF(T125:U141,"&gt;0")</f>
        <v>5090</v>
      </c>
      <c r="T147" s="342"/>
      <c r="U147" s="343"/>
      <c r="V147" s="59"/>
    </row>
    <row r="148" spans="1:28" ht="15" customHeight="1" outlineLevel="1" thickBot="1" x14ac:dyDescent="0.3">
      <c r="A148" s="249"/>
      <c r="B148" s="249"/>
      <c r="C148" s="249"/>
      <c r="D148" s="249"/>
      <c r="E148" s="249"/>
      <c r="G148" s="350"/>
      <c r="H148" s="351"/>
      <c r="I148" s="351"/>
      <c r="J148" s="351"/>
      <c r="K148" s="351"/>
      <c r="L148" s="351"/>
      <c r="M148" s="352"/>
      <c r="N148" s="356" t="str">
        <f>'Blank Quote'!$N$42:$O$42</f>
        <v>PT: Apte</v>
      </c>
      <c r="O148" s="357"/>
      <c r="P148" s="57"/>
      <c r="Q148" s="57"/>
      <c r="R148" s="58" t="str">
        <f>IF(X148&gt;0,"Discount on Taxable Items:", "")</f>
        <v>Discount on Taxable Items:</v>
      </c>
      <c r="S148" s="344">
        <f>IF(X148&gt;0, -X148, 0)</f>
        <v>-420</v>
      </c>
      <c r="T148" s="345"/>
      <c r="U148" s="346"/>
      <c r="V148" s="258">
        <f>S148/S147</f>
        <v>-8.2514734774066803E-2</v>
      </c>
      <c r="X148" s="61">
        <f>SUM(AA125:AA145)</f>
        <v>420</v>
      </c>
    </row>
    <row r="149" spans="1:28" ht="15" customHeight="1" outlineLevel="1" thickBot="1" x14ac:dyDescent="0.3">
      <c r="A149" s="249"/>
      <c r="B149" s="249"/>
      <c r="C149" s="249"/>
      <c r="D149" s="249"/>
      <c r="E149" s="249"/>
      <c r="G149" s="350"/>
      <c r="H149" s="351"/>
      <c r="I149" s="351"/>
      <c r="J149" s="351"/>
      <c r="K149" s="351"/>
      <c r="L149" s="351"/>
      <c r="M149" s="352"/>
      <c r="N149" s="56"/>
      <c r="P149" s="57"/>
      <c r="R149" s="58" t="str">
        <f>IF(X149&gt;0,"Discount on Non-Taxable Items:", "")</f>
        <v>Discount on Non-Taxable Items:</v>
      </c>
      <c r="S149" s="341">
        <f>IF(X149&gt;0, -X149, 0)+SUMIF(T125:U141,"&lt;0")</f>
        <v>-1289.2</v>
      </c>
      <c r="T149" s="342"/>
      <c r="U149" s="343"/>
      <c r="V149" s="256">
        <f>S149/S147</f>
        <v>-0.25328094302554027</v>
      </c>
      <c r="X149" s="61">
        <f>SUM(AB125:AB145)</f>
        <v>1289.2</v>
      </c>
    </row>
    <row r="150" spans="1:28" ht="15" customHeight="1" outlineLevel="1" thickBot="1" x14ac:dyDescent="0.3">
      <c r="A150" s="249"/>
      <c r="B150" s="249"/>
      <c r="C150" s="249"/>
      <c r="D150" s="249"/>
      <c r="E150" s="249"/>
      <c r="G150" s="350"/>
      <c r="H150" s="351"/>
      <c r="I150" s="351"/>
      <c r="J150" s="351"/>
      <c r="K150" s="351"/>
      <c r="L150" s="351"/>
      <c r="M150" s="352"/>
      <c r="N150" s="56"/>
      <c r="P150" s="57"/>
      <c r="R150" s="58" t="s">
        <v>1442</v>
      </c>
      <c r="S150" s="341">
        <f>SUM(T142:U145)</f>
        <v>0</v>
      </c>
      <c r="T150" s="342"/>
      <c r="U150" s="343"/>
      <c r="V150" s="201"/>
      <c r="X150" s="61"/>
    </row>
    <row r="151" spans="1:28" ht="15" customHeight="1" outlineLevel="1" thickBot="1" x14ac:dyDescent="0.3">
      <c r="A151" s="249"/>
      <c r="B151" s="249"/>
      <c r="C151" s="249"/>
      <c r="D151" s="249"/>
      <c r="E151" s="249"/>
      <c r="G151" s="350"/>
      <c r="H151" s="351"/>
      <c r="I151" s="351"/>
      <c r="J151" s="351"/>
      <c r="K151" s="351"/>
      <c r="L151" s="351"/>
      <c r="M151" s="352"/>
      <c r="N151" s="56"/>
      <c r="P151" s="57"/>
      <c r="Q151" s="57"/>
      <c r="R151" s="58" t="s">
        <v>649</v>
      </c>
      <c r="S151" s="344" t="str">
        <f>IF(B117=0, "Tax Exempt", X151)</f>
        <v>Tax Exempt</v>
      </c>
      <c r="T151" s="345"/>
      <c r="U151" s="345"/>
      <c r="V151" s="257">
        <f>B117</f>
        <v>0</v>
      </c>
      <c r="X151" s="61">
        <f>SUM(X125:X145)</f>
        <v>0</v>
      </c>
    </row>
    <row r="152" spans="1:28" ht="24" customHeight="1" outlineLevel="1" thickBot="1" x14ac:dyDescent="0.3">
      <c r="A152" s="249"/>
      <c r="B152" s="249"/>
      <c r="C152" s="249"/>
      <c r="D152" s="249"/>
      <c r="E152" s="249"/>
      <c r="G152" s="353"/>
      <c r="H152" s="354"/>
      <c r="I152" s="354"/>
      <c r="J152" s="354"/>
      <c r="K152" s="354"/>
      <c r="L152" s="354"/>
      <c r="M152" s="355"/>
      <c r="N152" s="66"/>
      <c r="O152" s="65"/>
      <c r="P152" s="57"/>
      <c r="Q152" s="57"/>
      <c r="R152" s="58" t="s">
        <v>334</v>
      </c>
      <c r="S152" s="374">
        <f>SUM(S147:U151)</f>
        <v>3380.8</v>
      </c>
      <c r="T152" s="375"/>
      <c r="U152" s="376"/>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396"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397"/>
      <c r="I154" s="397"/>
      <c r="J154" s="397"/>
      <c r="K154" s="397"/>
      <c r="L154" s="397"/>
      <c r="M154" s="397"/>
      <c r="N154" s="397"/>
      <c r="O154" s="397"/>
      <c r="P154" s="397"/>
      <c r="Q154" s="397"/>
      <c r="R154" s="397"/>
      <c r="S154" s="397"/>
      <c r="T154" s="397"/>
      <c r="U154" s="397"/>
      <c r="V154" s="398"/>
    </row>
    <row r="155" spans="1:28" ht="6.2" customHeight="1" outlineLevel="1" x14ac:dyDescent="0.25">
      <c r="A155" s="249"/>
      <c r="B155" s="249"/>
      <c r="C155" s="249"/>
      <c r="D155" s="249"/>
      <c r="E155" s="249"/>
      <c r="G155" s="399"/>
      <c r="H155" s="400"/>
      <c r="I155" s="400"/>
      <c r="J155" s="400"/>
      <c r="K155" s="400"/>
      <c r="L155" s="400"/>
      <c r="M155" s="400"/>
      <c r="N155" s="400"/>
      <c r="O155" s="400"/>
      <c r="P155" s="400"/>
      <c r="Q155" s="400"/>
      <c r="R155" s="400"/>
      <c r="S155" s="400"/>
      <c r="T155" s="400"/>
      <c r="U155" s="400"/>
      <c r="V155" s="401"/>
    </row>
    <row r="156" spans="1:28" ht="13.5" customHeight="1" outlineLevel="1" x14ac:dyDescent="0.25">
      <c r="A156" s="249"/>
      <c r="B156" s="249"/>
      <c r="C156" s="249"/>
      <c r="D156" s="249"/>
      <c r="E156" s="249"/>
      <c r="G156" s="399"/>
      <c r="H156" s="400"/>
      <c r="I156" s="400"/>
      <c r="J156" s="400"/>
      <c r="K156" s="400"/>
      <c r="L156" s="400"/>
      <c r="M156" s="400"/>
      <c r="N156" s="400"/>
      <c r="O156" s="400"/>
      <c r="P156" s="400"/>
      <c r="Q156" s="400"/>
      <c r="R156" s="400"/>
      <c r="S156" s="400"/>
      <c r="T156" s="400"/>
      <c r="U156" s="400"/>
      <c r="V156" s="401"/>
    </row>
    <row r="157" spans="1:28" ht="22.35" customHeight="1" outlineLevel="1" x14ac:dyDescent="0.25">
      <c r="A157" s="249"/>
      <c r="B157" s="249"/>
      <c r="C157" s="249"/>
      <c r="D157" s="249"/>
      <c r="E157" s="249"/>
      <c r="G157" s="399"/>
      <c r="H157" s="400"/>
      <c r="I157" s="400"/>
      <c r="J157" s="400"/>
      <c r="K157" s="400"/>
      <c r="L157" s="400"/>
      <c r="M157" s="400"/>
      <c r="N157" s="400"/>
      <c r="O157" s="400"/>
      <c r="P157" s="400"/>
      <c r="Q157" s="400"/>
      <c r="R157" s="400"/>
      <c r="S157" s="400"/>
      <c r="T157" s="400"/>
      <c r="U157" s="400"/>
      <c r="V157" s="401"/>
    </row>
    <row r="158" spans="1:28" ht="8.85" customHeight="1" outlineLevel="1" x14ac:dyDescent="0.25">
      <c r="A158" s="249"/>
      <c r="B158" s="249"/>
      <c r="C158" s="249"/>
      <c r="D158" s="249"/>
      <c r="E158" s="249"/>
      <c r="G158" s="399"/>
      <c r="H158" s="400"/>
      <c r="I158" s="400"/>
      <c r="J158" s="400"/>
      <c r="K158" s="400"/>
      <c r="L158" s="400"/>
      <c r="M158" s="400"/>
      <c r="N158" s="400"/>
      <c r="O158" s="400"/>
      <c r="P158" s="400"/>
      <c r="Q158" s="400"/>
      <c r="R158" s="400"/>
      <c r="S158" s="400"/>
      <c r="T158" s="400"/>
      <c r="U158" s="400"/>
      <c r="V158" s="401"/>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algorithmName="SHA-512" hashValue="sSI8mcoXiupQMzDhOlr0fU0CVGkfmPNtAYKdLN2/eiw4VnsfQAaXsDSPHschyoMS1anFQZCy3Lgd6ONsgXJITg==" saltValue="UTLC48Z8ktLhhRT15Oi8+Q==" spinCount="100000" sheet="1" selectLockedCells="1"/>
  <mergeCells count="399">
    <mergeCell ref="C107:D107"/>
    <mergeCell ref="C108:D108"/>
    <mergeCell ref="P108:U108"/>
    <mergeCell ref="C109:D109"/>
    <mergeCell ref="C110:D110"/>
    <mergeCell ref="G110:L110"/>
    <mergeCell ref="P110:U110"/>
    <mergeCell ref="C111:D111"/>
    <mergeCell ref="G115:M115"/>
    <mergeCell ref="O115:V115"/>
    <mergeCell ref="G116:M116"/>
    <mergeCell ref="O116:V116"/>
    <mergeCell ref="G117:M117"/>
    <mergeCell ref="O117:V117"/>
    <mergeCell ref="G111:L111"/>
    <mergeCell ref="G112:L112"/>
    <mergeCell ref="P112:U112"/>
    <mergeCell ref="G114:M114"/>
    <mergeCell ref="O114:V114"/>
    <mergeCell ref="G118:M118"/>
    <mergeCell ref="O118:V118"/>
    <mergeCell ref="G119:M119"/>
    <mergeCell ref="O119:V119"/>
    <mergeCell ref="G121:H121"/>
    <mergeCell ref="I121:K121"/>
    <mergeCell ref="L121:N121"/>
    <mergeCell ref="O121:P121"/>
    <mergeCell ref="Q121:R121"/>
    <mergeCell ref="S121:V121"/>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5:L5"/>
    <mergeCell ref="G6:L6"/>
    <mergeCell ref="P6:U6"/>
    <mergeCell ref="G8:M8"/>
    <mergeCell ref="O8:V8"/>
    <mergeCell ref="G12:M12"/>
    <mergeCell ref="O12:V12"/>
    <mergeCell ref="G13:M13"/>
    <mergeCell ref="O13:V13"/>
    <mergeCell ref="G15:H15"/>
    <mergeCell ref="I15:K15"/>
    <mergeCell ref="L15:N15"/>
    <mergeCell ref="O15:P15"/>
    <mergeCell ref="Q15:R15"/>
    <mergeCell ref="S15:V15"/>
    <mergeCell ref="G18:H18"/>
    <mergeCell ref="I18:P18"/>
    <mergeCell ref="R18:S18"/>
    <mergeCell ref="T18:U18"/>
    <mergeCell ref="G19:H19"/>
    <mergeCell ref="I19:P19"/>
    <mergeCell ref="R19:S19"/>
    <mergeCell ref="T19:U19"/>
    <mergeCell ref="G16:H16"/>
    <mergeCell ref="I16:K16"/>
    <mergeCell ref="L16:N16"/>
    <mergeCell ref="O16:P16"/>
    <mergeCell ref="Q16:R16"/>
    <mergeCell ref="S16:V16"/>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62:M62"/>
    <mergeCell ref="O62:V62"/>
    <mergeCell ref="G63:M63"/>
    <mergeCell ref="O63:V63"/>
    <mergeCell ref="G64:M64"/>
    <mergeCell ref="O64:V64"/>
    <mergeCell ref="C58:D58"/>
    <mergeCell ref="G58:L58"/>
    <mergeCell ref="G59:L59"/>
    <mergeCell ref="P59:U59"/>
    <mergeCell ref="G61:M61"/>
    <mergeCell ref="O61:V61"/>
    <mergeCell ref="G65:M65"/>
    <mergeCell ref="O65:V65"/>
    <mergeCell ref="G66:M66"/>
    <mergeCell ref="O66:V66"/>
    <mergeCell ref="G68:H68"/>
    <mergeCell ref="I68:K68"/>
    <mergeCell ref="L68:N68"/>
    <mergeCell ref="O68:P68"/>
    <mergeCell ref="Q68:R68"/>
    <mergeCell ref="S68:V68"/>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101:V106"/>
    <mergeCell ref="G94:M99"/>
    <mergeCell ref="N94:O94"/>
    <mergeCell ref="S94:U94"/>
    <mergeCell ref="N95:O95"/>
    <mergeCell ref="S95:U95"/>
    <mergeCell ref="S96:U96"/>
    <mergeCell ref="S97:U97"/>
    <mergeCell ref="S98:U98"/>
    <mergeCell ref="S99:U99"/>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135</v>
      </c>
      <c r="B1" s="14" t="str">
        <f>'Blank Quote'!B1</f>
        <v>App CA Private</v>
      </c>
      <c r="C1" s="377" t="s">
        <v>390</v>
      </c>
      <c r="D1" s="378"/>
      <c r="E1" s="15" t="str">
        <f>VLOOKUP(B1,'Pricing Model'!A1:C21,3)</f>
        <v>Discount Based</v>
      </c>
    </row>
    <row r="2" spans="1:22" ht="12.75" customHeight="1" thickBot="1" x14ac:dyDescent="0.3">
      <c r="A2" s="17" t="s">
        <v>335</v>
      </c>
      <c r="B2" s="18" t="str">
        <f>'Blank Quote'!B2</f>
        <v>Business Name</v>
      </c>
      <c r="C2" s="379" t="s">
        <v>445</v>
      </c>
      <c r="D2" s="380"/>
      <c r="E2" s="252">
        <f>IF(E1="Discount Based", VLOOKUP(B1,'Pricing Model'!A1:D21,4), "")</f>
        <v>0.2</v>
      </c>
      <c r="P2" s="410" t="s">
        <v>1510</v>
      </c>
      <c r="Q2" s="410"/>
      <c r="R2" s="410"/>
      <c r="S2" s="410"/>
      <c r="T2" s="410"/>
      <c r="U2" s="410"/>
    </row>
    <row r="3" spans="1:22" ht="18" customHeight="1" x14ac:dyDescent="0.25">
      <c r="A3" s="17" t="s">
        <v>336</v>
      </c>
      <c r="B3" s="18" t="str">
        <f>'Blank Quote'!B3</f>
        <v>FirstName LastName</v>
      </c>
      <c r="C3" s="379" t="s">
        <v>446</v>
      </c>
      <c r="D3" s="380"/>
      <c r="E3" s="252">
        <f>IF(E1="Discount Based", VLOOKUP(B1,'Pricing Model'!A1:E21,5), "")</f>
        <v>0.44</v>
      </c>
      <c r="N3" s="265" t="str">
        <f>IF('Blank Quote'!$E$7&lt;&gt;"", "REPLACING", "")</f>
        <v/>
      </c>
    </row>
    <row r="4" spans="1:22" ht="18" customHeight="1" x14ac:dyDescent="0.25">
      <c r="A4" s="20" t="s">
        <v>337</v>
      </c>
      <c r="B4" s="21" t="str">
        <f>'Blank Quote'!B4</f>
        <v>Number | email</v>
      </c>
      <c r="C4" s="379" t="s">
        <v>447</v>
      </c>
      <c r="D4" s="380"/>
      <c r="E4" s="19" t="str">
        <f>IF(E1="Cost Based", VLOOKUP(B1,'Pricing Model'!A1:F21,6), "")</f>
        <v/>
      </c>
      <c r="G4" s="322" t="s">
        <v>145</v>
      </c>
      <c r="H4" s="322"/>
      <c r="I4" s="322"/>
      <c r="J4" s="322"/>
      <c r="K4" s="322"/>
      <c r="L4" s="322"/>
      <c r="M4" s="22"/>
      <c r="N4" s="264" t="str">
        <f>IF('Blank Quote'!$E$7&lt;&gt;"","LSID: "&amp;'Blank Quote'!$E$7, "")</f>
        <v/>
      </c>
      <c r="P4" s="321" t="s">
        <v>142</v>
      </c>
      <c r="Q4" s="321"/>
      <c r="R4" s="321"/>
      <c r="S4" s="321"/>
      <c r="T4" s="321"/>
      <c r="U4" s="321"/>
    </row>
    <row r="5" spans="1:22" ht="18" customHeight="1" thickBot="1" x14ac:dyDescent="0.3">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thickBot="1" x14ac:dyDescent="0.3">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8.4499999999999993" customHeight="1" thickBot="1" x14ac:dyDescent="0.4">
      <c r="A7" s="17" t="s">
        <v>338</v>
      </c>
      <c r="B7" s="18" t="str">
        <f>'Blank Quote'!B7</f>
        <v>FirstName LastName</v>
      </c>
      <c r="C7" s="25"/>
      <c r="D7" s="25"/>
      <c r="E7" s="25"/>
      <c r="G7" s="26"/>
    </row>
    <row r="8" spans="1:22" ht="18" customHeight="1" thickBot="1" x14ac:dyDescent="0.3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x14ac:dyDescent="0.25">
      <c r="A9" s="20" t="s">
        <v>131</v>
      </c>
      <c r="B9" s="21" t="str">
        <f>'Blank Quote'!B9</f>
        <v>Address1</v>
      </c>
      <c r="C9" s="25"/>
      <c r="D9" s="25"/>
      <c r="E9" s="25"/>
      <c r="G9" s="335" t="str">
        <f>IF('Non_CA Multi Tenprint'!B2="", "", 'Non_CA Multi Tenprint'!B2)</f>
        <v>Business Name</v>
      </c>
      <c r="H9" s="336"/>
      <c r="I9" s="336"/>
      <c r="J9" s="336"/>
      <c r="K9" s="336"/>
      <c r="L9" s="336"/>
      <c r="M9" s="337"/>
      <c r="O9" s="326" t="str">
        <f>IF('Non_CA Multi Tenprint'!B2="", "", 'Non_CA Multi Tenprint'!B2)</f>
        <v>Business Name</v>
      </c>
      <c r="P9" s="327"/>
      <c r="Q9" s="327"/>
      <c r="R9" s="327"/>
      <c r="S9" s="327"/>
      <c r="T9" s="327"/>
      <c r="U9" s="327"/>
      <c r="V9" s="328"/>
    </row>
    <row r="10" spans="1:22" ht="18" customHeight="1" thickBot="1" x14ac:dyDescent="0.3">
      <c r="A10" s="27" t="s">
        <v>132</v>
      </c>
      <c r="B10" s="24" t="str">
        <f>'Blank Quote'!B10</f>
        <v>City, State Zip</v>
      </c>
      <c r="C10" s="25"/>
      <c r="D10" s="25"/>
      <c r="E10" s="25"/>
      <c r="G10" s="326" t="str">
        <f>IF('Non_CA Multi Tenprint'!B3="", "", 'Non_CA Multi Tenprint'!B3)</f>
        <v>FirstName LastName</v>
      </c>
      <c r="H10" s="327"/>
      <c r="I10" s="327"/>
      <c r="J10" s="327"/>
      <c r="K10" s="327"/>
      <c r="L10" s="327"/>
      <c r="M10" s="328"/>
      <c r="O10" s="326" t="str">
        <f>IF('Non_CA Multi Tenprint'!B7="", "", 'Non_CA Multi Tenprint'!B7)</f>
        <v>FirstName LastName</v>
      </c>
      <c r="P10" s="327"/>
      <c r="Q10" s="327"/>
      <c r="R10" s="327"/>
      <c r="S10" s="327"/>
      <c r="T10" s="327"/>
      <c r="U10" s="327"/>
      <c r="V10" s="328"/>
    </row>
    <row r="11" spans="1:22" ht="18" customHeight="1" thickBot="1" x14ac:dyDescent="0.3">
      <c r="A11" s="27" t="s">
        <v>370</v>
      </c>
      <c r="B11" s="28">
        <f>'Blank Quote'!B11</f>
        <v>0</v>
      </c>
      <c r="C11" s="25"/>
      <c r="D11" s="25"/>
      <c r="E11" s="25"/>
      <c r="G11" s="326" t="str">
        <f>IF('Non_CA Multi Tenprint'!B4="", "", 'Non_CA Multi Tenprint'!B4)</f>
        <v>Number | email</v>
      </c>
      <c r="H11" s="327"/>
      <c r="I11" s="327"/>
      <c r="J11" s="327"/>
      <c r="K11" s="327"/>
      <c r="L11" s="327"/>
      <c r="M11" s="328"/>
      <c r="O11" s="326" t="str">
        <f>IF('Non_CA Multi Tenprint'!B8="", "", 'Non_CA Multi Tenprint'!B8)</f>
        <v>Number | email</v>
      </c>
      <c r="P11" s="327"/>
      <c r="Q11" s="327"/>
      <c r="R11" s="327"/>
      <c r="S11" s="327"/>
      <c r="T11" s="327"/>
      <c r="U11" s="327"/>
      <c r="V11" s="328"/>
    </row>
    <row r="12" spans="1:22" ht="18" customHeight="1" thickBot="1" x14ac:dyDescent="0.3">
      <c r="A12" s="13" t="s">
        <v>443</v>
      </c>
      <c r="B12" s="29" t="str">
        <f>'Blank Quote'!B12</f>
        <v>EC</v>
      </c>
      <c r="C12" s="25"/>
      <c r="D12" s="25"/>
      <c r="E12" s="25"/>
      <c r="G12" s="326" t="str">
        <f>IF('Non_CA Multi Tenprint'!B5="", "", 'Non_CA Multi Tenprint'!B5)</f>
        <v>Address1</v>
      </c>
      <c r="H12" s="327"/>
      <c r="I12" s="327"/>
      <c r="J12" s="327"/>
      <c r="K12" s="327"/>
      <c r="L12" s="327"/>
      <c r="M12" s="328"/>
      <c r="O12" s="326" t="str">
        <f>IF('Non_CA Multi Tenprint'!B9="", "", 'Non_CA Multi Tenprint'!B9)</f>
        <v>Address1</v>
      </c>
      <c r="P12" s="327"/>
      <c r="Q12" s="327"/>
      <c r="R12" s="327"/>
      <c r="S12" s="327"/>
      <c r="T12" s="327"/>
      <c r="U12" s="327"/>
      <c r="V12" s="328"/>
    </row>
    <row r="13" spans="1:22" ht="18" customHeight="1" thickBot="1" x14ac:dyDescent="0.3">
      <c r="A13" s="13" t="s">
        <v>129</v>
      </c>
      <c r="B13" s="30" t="str">
        <f>'Blank Quote'!B13</f>
        <v>Ground</v>
      </c>
      <c r="C13" s="25"/>
      <c r="D13" s="25"/>
      <c r="E13" s="25"/>
      <c r="G13" s="338" t="str">
        <f>IF('Non_CA Multi Tenprint'!B6="", "", 'Non_CA Multi Tenprint'!B6)</f>
        <v>City, State Zip</v>
      </c>
      <c r="H13" s="339"/>
      <c r="I13" s="339"/>
      <c r="J13" s="339"/>
      <c r="K13" s="339"/>
      <c r="L13" s="339"/>
      <c r="M13" s="340"/>
      <c r="O13" s="338" t="str">
        <f>IF('Non_CA Multi Tenprint'!B10="", "", 'Non_CA Multi Tenprint'!B10)</f>
        <v>City, State Zip</v>
      </c>
      <c r="P13" s="339"/>
      <c r="Q13" s="339"/>
      <c r="R13" s="339"/>
      <c r="S13" s="339"/>
      <c r="T13" s="339"/>
      <c r="U13" s="339"/>
      <c r="V13" s="340"/>
    </row>
    <row r="14" spans="1:22" ht="5.25" customHeight="1" thickBot="1" x14ac:dyDescent="0.3">
      <c r="B14" s="31"/>
      <c r="C14" s="25"/>
      <c r="D14" s="25"/>
      <c r="E14" s="25"/>
    </row>
    <row r="15" spans="1:22" ht="16.5" customHeight="1" thickBot="1" x14ac:dyDescent="0.3">
      <c r="A15" s="32" t="s">
        <v>398</v>
      </c>
      <c r="B15" s="33" t="str">
        <f>VLOOKUP(B1,'Pricing Model'!A1:J21,10)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 customHeight="1" thickBot="1" x14ac:dyDescent="0.3">
      <c r="A16" s="34" t="s">
        <v>444</v>
      </c>
      <c r="B16" s="33">
        <f>VLOOKUP(B1,'Pricing Model'!A1:H21,8)</f>
        <v>0</v>
      </c>
      <c r="C16" s="25"/>
      <c r="D16" s="25"/>
      <c r="E16" s="25"/>
      <c r="G16" s="313">
        <f ca="1">TODAY()</f>
        <v>45110</v>
      </c>
      <c r="H16" s="314"/>
      <c r="I16" s="315">
        <f ca="1">NOW()</f>
        <v>45110.433634490742</v>
      </c>
      <c r="J16" s="316"/>
      <c r="K16" s="317"/>
      <c r="L16" s="318" t="str">
        <f>'Non_CA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3">
      <c r="D17" s="35"/>
    </row>
    <row r="18" spans="1:28" ht="16.5" customHeight="1" thickTop="1" thickBot="1" x14ac:dyDescent="0.3">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97" t="s">
        <v>442</v>
      </c>
      <c r="Y18" s="97" t="s">
        <v>529</v>
      </c>
      <c r="Z18" s="97" t="s">
        <v>528</v>
      </c>
      <c r="AA18" s="97" t="s">
        <v>530</v>
      </c>
      <c r="AB18" s="97" t="s">
        <v>531</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IF(A19&lt;&gt;"", A19, "")</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7"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23" si="6">M19</f>
        <v>HW-LT-Std-Home</v>
      </c>
      <c r="T19" s="292">
        <f t="shared" ref="T19:T23" si="7">IF(C19="", "", Q19*R19)</f>
        <v>750</v>
      </c>
      <c r="U19" s="292" t="str">
        <f t="shared" ref="U19:U23" si="8">O19</f>
        <v>Hardware-Laptop-Standard with Windows Home Edition   *** Standard with Windows 11</v>
      </c>
      <c r="V19" s="46" t="str">
        <f>IF(C19="","", VLOOKUP(B19,'Raw BOM'!$A$3:$F$495,6,FALSE))</f>
        <v>Yes</v>
      </c>
      <c r="W19" s="1"/>
      <c r="X19" s="47">
        <f t="shared" ref="X19:X39" si="9">IF(AND(V19="Yes", Q19&lt;&gt;0), (T19-Y19)*$B$119, 0)</f>
        <v>0</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264</v>
      </c>
      <c r="C21" s="186">
        <f>IF('Blank Quote'!C21&lt;&gt;"", 'Blank Quote'!C21, "")</f>
        <v>1</v>
      </c>
      <c r="D21" s="187"/>
      <c r="E21" s="188"/>
      <c r="F21" s="189"/>
      <c r="G21" s="406" t="str">
        <f t="shared" si="0"/>
        <v>HW-Scan-Patrol</v>
      </c>
      <c r="H21" s="407"/>
      <c r="I21" s="408" t="str">
        <f t="shared" si="1"/>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ref="I24:I35" si="12">IF(B24&lt;&gt;"", B24, "")&amp;IF(E24&lt;&gt;"", "   *** "&amp;E24, "")</f>
        <v>LiveScan 4th Gen Software-Driver License and ID Reading software</v>
      </c>
      <c r="J24" s="291"/>
      <c r="K24" s="291" t="str">
        <f t="shared" ref="K24:K35" si="13">E24</f>
        <v/>
      </c>
      <c r="L24" s="291"/>
      <c r="M24" s="291" t="str">
        <f t="shared" ref="M24:M35" si="14">G24</f>
        <v>LS4G-IDCard</v>
      </c>
      <c r="N24" s="291"/>
      <c r="O24" s="291" t="str">
        <f t="shared" ref="O24:O35" si="15">I24</f>
        <v>LiveScan 4th Gen Software-Driver License and ID Reading software</v>
      </c>
      <c r="P24" s="291"/>
      <c r="Q24" s="99">
        <f t="shared" ref="Q24:Q35" si="16">IF(C24="", "", C24)</f>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ref="S24:S35" si="17">M24</f>
        <v>LS4G-IDCard</v>
      </c>
      <c r="T24" s="293">
        <f t="shared" ref="T24:T39" si="18">IF(C24="", "", Q24*R24)</f>
        <v>340</v>
      </c>
      <c r="U24" s="293"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2"/>
        <v/>
      </c>
      <c r="J25" s="291"/>
      <c r="K25" s="291" t="str">
        <f t="shared" si="13"/>
        <v/>
      </c>
      <c r="L25" s="291"/>
      <c r="M25" s="291" t="str">
        <f t="shared" si="14"/>
        <v/>
      </c>
      <c r="N25" s="291"/>
      <c r="O25" s="291" t="str">
        <f t="shared" si="15"/>
        <v/>
      </c>
      <c r="P25" s="291"/>
      <c r="Q25" s="99" t="str">
        <f t="shared" si="16"/>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17"/>
        <v/>
      </c>
      <c r="T25" s="293" t="str">
        <f t="shared" si="18"/>
        <v/>
      </c>
      <c r="U25" s="293"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2"/>
        <v>Services-Configuration-CA PSP Setup   *** Pick ONE of the following capture methods at the time of capture (TWO DIFFERENT BUTTONS on the screen):</v>
      </c>
      <c r="J26" s="291"/>
      <c r="K26" s="291" t="str">
        <f t="shared" si="13"/>
        <v>Pick ONE of the following capture methods at the time of capture (TWO DIFFERENT BUTTONS on the screen):</v>
      </c>
      <c r="L26" s="291"/>
      <c r="M26" s="291" t="str">
        <f t="shared" si="14"/>
        <v>Svcs-Cfg-CAPSP</v>
      </c>
      <c r="N26" s="291"/>
      <c r="O26" s="291" t="str">
        <f t="shared" si="15"/>
        <v>Services-Configuration-CA PSP Setup   *** Pick ONE of the following capture methods at the time of capture (TWO DIFFERENT BUTTONS on the screen):</v>
      </c>
      <c r="P26" s="291"/>
      <c r="Q26" s="99">
        <f t="shared" si="16"/>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17"/>
        <v>Svcs-Cfg-CAPSP</v>
      </c>
      <c r="T26" s="293">
        <f t="shared" si="18"/>
        <v>500</v>
      </c>
      <c r="U26" s="293"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2"/>
        <v xml:space="preserve">   *** Transaction Fee - Traditional FLATS and ROLLS Method (1 to 10 minutes method): $0.75 per transaction with $150 per monthly cap</v>
      </c>
      <c r="J27" s="291"/>
      <c r="K27" s="291" t="str">
        <f t="shared" si="13"/>
        <v>Transaction Fee - Traditional FLATS and ROLLS Method (1 to 10 minutes method): $0.75 per transaction with $150 per monthly cap</v>
      </c>
      <c r="L27" s="291"/>
      <c r="M27" s="291" t="str">
        <f t="shared" si="14"/>
        <v>Misc</v>
      </c>
      <c r="N27" s="291"/>
      <c r="O27" s="291" t="str">
        <f t="shared" si="15"/>
        <v xml:space="preserve">   *** Transaction Fee - Traditional FLATS and ROLLS Method (1 to 10 minutes method): $0.75 per transaction with $150 per monthly cap</v>
      </c>
      <c r="P27" s="291"/>
      <c r="Q27" s="99" t="str">
        <f t="shared" si="16"/>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17"/>
        <v>Misc</v>
      </c>
      <c r="T27" s="293" t="str">
        <f t="shared" si="18"/>
        <v/>
      </c>
      <c r="U27" s="293"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2"/>
        <v xml:space="preserve">   *** Transaction Fee - NEW FLATS ONLY Method (10 to 15 second fingerprinting): $4.00 per transaction with no cap ($2.80 per trans for 501(c)(3) organizations)</v>
      </c>
      <c r="J28" s="291"/>
      <c r="K28" s="291" t="str">
        <f t="shared" si="13"/>
        <v>Transaction Fee - NEW FLATS ONLY Method (10 to 15 second fingerprinting): $4.00 per transaction with no cap ($2.80 per trans for 501(c)(3) organizations)</v>
      </c>
      <c r="L28" s="291"/>
      <c r="M28" s="291" t="str">
        <f t="shared" si="14"/>
        <v>Misc</v>
      </c>
      <c r="N28" s="291"/>
      <c r="O28" s="291" t="str">
        <f t="shared" si="15"/>
        <v xml:space="preserve">   *** Transaction Fee - NEW FLATS ONLY Method (10 to 15 second fingerprinting): $4.00 per transaction with no cap ($2.80 per trans for 501(c)(3) organizations)</v>
      </c>
      <c r="P28" s="291"/>
      <c r="Q28" s="99" t="str">
        <f t="shared" si="16"/>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17"/>
        <v>Misc</v>
      </c>
      <c r="T28" s="293" t="str">
        <f t="shared" si="18"/>
        <v/>
      </c>
      <c r="U28" s="293"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2"/>
        <v/>
      </c>
      <c r="J29" s="291"/>
      <c r="K29" s="291" t="str">
        <f t="shared" si="13"/>
        <v/>
      </c>
      <c r="L29" s="291"/>
      <c r="M29" s="291" t="str">
        <f t="shared" si="14"/>
        <v/>
      </c>
      <c r="N29" s="291"/>
      <c r="O29" s="291" t="str">
        <f t="shared" si="15"/>
        <v/>
      </c>
      <c r="P29" s="291"/>
      <c r="Q29" s="99" t="str">
        <f t="shared" si="16"/>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17"/>
        <v/>
      </c>
      <c r="T29" s="293" t="str">
        <f t="shared" si="18"/>
        <v/>
      </c>
      <c r="U29" s="293"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2"/>
        <v>Services-Installation and Training Session 4hrs (see Service Method for price)</v>
      </c>
      <c r="J30" s="291"/>
      <c r="K30" s="291" t="str">
        <f t="shared" si="13"/>
        <v/>
      </c>
      <c r="L30" s="291"/>
      <c r="M30" s="291" t="str">
        <f t="shared" si="14"/>
        <v>Svcs-InstallTrain</v>
      </c>
      <c r="N30" s="291"/>
      <c r="O30" s="291" t="str">
        <f t="shared" si="15"/>
        <v>Services-Installation and Training Session 4hrs (see Service Method for price)</v>
      </c>
      <c r="P30" s="291"/>
      <c r="Q30" s="99">
        <f t="shared" si="16"/>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17"/>
        <v>Svcs-InstallTrain</v>
      </c>
      <c r="T30" s="293">
        <f t="shared" si="18"/>
        <v>0</v>
      </c>
      <c r="U30" s="293"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2"/>
        <v xml:space="preserve">Services Method-Remote (Phone)   *** To perform services shown in the line above. </v>
      </c>
      <c r="J31" s="291"/>
      <c r="K31" s="291" t="str">
        <f t="shared" si="13"/>
        <v xml:space="preserve">To perform services shown in the line above. </v>
      </c>
      <c r="L31" s="291"/>
      <c r="M31" s="291" t="str">
        <f t="shared" si="14"/>
        <v>Svcs-Phone</v>
      </c>
      <c r="N31" s="291"/>
      <c r="O31" s="291" t="str">
        <f t="shared" si="15"/>
        <v xml:space="preserve">Services Method-Remote (Phone)   *** To perform services shown in the line above. </v>
      </c>
      <c r="P31" s="291"/>
      <c r="Q31" s="99">
        <f t="shared" si="16"/>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17"/>
        <v>Svcs-Phone</v>
      </c>
      <c r="T31" s="293">
        <f t="shared" si="18"/>
        <v>750</v>
      </c>
      <c r="U31" s="293"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2"/>
        <v/>
      </c>
      <c r="J32" s="291"/>
      <c r="K32" s="291" t="str">
        <f t="shared" si="13"/>
        <v/>
      </c>
      <c r="L32" s="291"/>
      <c r="M32" s="291" t="str">
        <f t="shared" si="14"/>
        <v/>
      </c>
      <c r="N32" s="291"/>
      <c r="O32" s="291" t="str">
        <f t="shared" si="15"/>
        <v/>
      </c>
      <c r="P32" s="291"/>
      <c r="Q32" s="99" t="str">
        <f t="shared" si="16"/>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17"/>
        <v/>
      </c>
      <c r="T32" s="293" t="str">
        <f t="shared" si="18"/>
        <v/>
      </c>
      <c r="U32" s="293"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2"/>
        <v>Shipping-Ground for Large Package</v>
      </c>
      <c r="J33" s="291"/>
      <c r="K33" s="291" t="str">
        <f t="shared" si="13"/>
        <v/>
      </c>
      <c r="L33" s="291"/>
      <c r="M33" s="291" t="str">
        <f t="shared" si="14"/>
        <v>Ship-L</v>
      </c>
      <c r="N33" s="291"/>
      <c r="O33" s="291" t="str">
        <f t="shared" si="15"/>
        <v>Shipping-Ground for Large Package</v>
      </c>
      <c r="P33" s="291"/>
      <c r="Q33" s="99">
        <f t="shared" si="16"/>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17"/>
        <v>Ship-L</v>
      </c>
      <c r="T33" s="293">
        <f t="shared" si="18"/>
        <v>60</v>
      </c>
      <c r="U33" s="293"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2"/>
        <v>Maintenance-Initial Year Warranty   *** Cross Ship</v>
      </c>
      <c r="J34" s="291"/>
      <c r="K34" s="291" t="str">
        <f t="shared" si="13"/>
        <v>Cross Ship</v>
      </c>
      <c r="L34" s="291"/>
      <c r="M34" s="291" t="str">
        <f t="shared" si="14"/>
        <v>Maint-Warr</v>
      </c>
      <c r="N34" s="291"/>
      <c r="O34" s="291" t="str">
        <f t="shared" si="15"/>
        <v>Maintenance-Initial Year Warranty   *** Cross Ship</v>
      </c>
      <c r="P34" s="291"/>
      <c r="Q34" s="99">
        <f t="shared" si="16"/>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17"/>
        <v>Maint-Warr</v>
      </c>
      <c r="T34" s="293">
        <f t="shared" si="18"/>
        <v>0</v>
      </c>
      <c r="U34" s="293"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2"/>
        <v xml:space="preserve">   *** Pick one of the following 2 Maintenance options in the 12th month.  We recommend picking 2nd line if processing more than 1,200 transactions per year.</v>
      </c>
      <c r="J35" s="291"/>
      <c r="K35" s="291" t="str">
        <f t="shared" si="13"/>
        <v>Pick one of the following 2 Maintenance options in the 12th month.  We recommend picking 2nd line if processing more than 1,200 transactions per year.</v>
      </c>
      <c r="L35" s="291"/>
      <c r="M35" s="291" t="str">
        <f t="shared" si="14"/>
        <v>Misc</v>
      </c>
      <c r="N35" s="291"/>
      <c r="O35" s="291" t="str">
        <f t="shared" si="15"/>
        <v xml:space="preserve">   *** Pick one of the following 2 Maintenance options in the 12th month.  We recommend picking 2nd line if processing more than 1,200 transactions per year.</v>
      </c>
      <c r="P35" s="291"/>
      <c r="Q35" s="99" t="str">
        <f t="shared" si="16"/>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17"/>
        <v>Misc</v>
      </c>
      <c r="T35" s="293" t="str">
        <f t="shared" si="18"/>
        <v/>
      </c>
      <c r="U35" s="293"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664</v>
      </c>
      <c r="C36" s="43">
        <f>IF('Blank Quote'!C36&lt;&gt;"", 'Blank Quote'!C36, "")</f>
        <v>0</v>
      </c>
      <c r="D36" s="44">
        <v>595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 t="shared" ref="R36:R39" si="22">IF(D36="", "", D36)</f>
        <v>595</v>
      </c>
      <c r="S36" s="405" t="str">
        <f t="shared" ref="S36:S39" si="23">IF(E36="", "", E36)</f>
        <v>Software Only coverage, per system</v>
      </c>
      <c r="T36" s="293">
        <f t="shared" si="18"/>
        <v>0</v>
      </c>
      <c r="U36" s="293"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660</v>
      </c>
      <c r="C37" s="43">
        <f>IF('Blank Quote'!C37&lt;&gt;"", 'Blank Quote'!C37, "")</f>
        <v>0</v>
      </c>
      <c r="D37" s="44">
        <v>960</v>
      </c>
      <c r="E37" s="50" t="str">
        <f>IF('Blank Quote'!E37&lt;&gt;"", 'Blank Quote'!E37, "")</f>
        <v>Software and Hardware Coverage, per system</v>
      </c>
      <c r="F37" s="251">
        <f>ROUND(S41*0.12,-1)</f>
        <v>690</v>
      </c>
      <c r="G37" s="305" t="str">
        <f t="shared" si="0"/>
        <v>Maint-9X5-Remote</v>
      </c>
      <c r="H37" s="306"/>
      <c r="I37" s="291" t="str">
        <f t="shared" ref="I37" si="24">IF(B37&lt;&gt;"", B37, "")&amp;IF(E37&lt;&gt;"", "   *** "&amp;E37, "")</f>
        <v>Maintenance-9 X 5 (8am - 5pm, M-F) Remote with Cross Ship   *** Software and Hardware Coverage, per system</v>
      </c>
      <c r="J37" s="291"/>
      <c r="K37" s="291" t="str">
        <f t="shared" ref="K37" si="25">E37</f>
        <v>Software and Hardware Coverage, per system</v>
      </c>
      <c r="L37" s="291"/>
      <c r="M37" s="291" t="str">
        <f t="shared" ref="M37" si="26">G37</f>
        <v>Maint-9X5-Remote</v>
      </c>
      <c r="N37" s="291"/>
      <c r="O37" s="291" t="str">
        <f t="shared" ref="O37" si="27">I37</f>
        <v>Maintenance-9 X 5 (8am - 5pm, M-F) Remote with Cross Ship   *** Software and Hardware Coverage, per system</v>
      </c>
      <c r="P37" s="291"/>
      <c r="Q37" s="99">
        <f t="shared" si="5"/>
        <v>0</v>
      </c>
      <c r="R37" s="293">
        <f t="shared" si="22"/>
        <v>960</v>
      </c>
      <c r="S37" s="293" t="str">
        <f t="shared" si="23"/>
        <v>Software and Hardware Coverage, per system</v>
      </c>
      <c r="T37" s="293">
        <f t="shared" si="18"/>
        <v>0</v>
      </c>
      <c r="U37" s="293"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05" t="str">
        <f t="shared" si="0"/>
        <v/>
      </c>
      <c r="H38" s="306"/>
      <c r="I38" s="291" t="str">
        <f t="shared" ref="I38:I39" si="28">IF(B38&lt;&gt;"", B38, "")&amp;IF(E38&lt;&gt;"", "   *** "&amp;E38, "")</f>
        <v/>
      </c>
      <c r="J38" s="291"/>
      <c r="K38" s="291" t="str">
        <f t="shared" ref="K38:K39" si="29">E38</f>
        <v/>
      </c>
      <c r="L38" s="291"/>
      <c r="M38" s="291" t="str">
        <f t="shared" ref="M38:M39" si="30">G38</f>
        <v/>
      </c>
      <c r="N38" s="291"/>
      <c r="O38" s="291" t="str">
        <f t="shared" ref="O38:O39" si="31">I38</f>
        <v/>
      </c>
      <c r="P38" s="291"/>
      <c r="Q38" s="99" t="str">
        <f t="shared" ref="Q38:Q39" si="32">IF(C38="", "", C38)</f>
        <v/>
      </c>
      <c r="R38" s="293" t="str">
        <f t="shared" si="22"/>
        <v/>
      </c>
      <c r="S38" s="293" t="str">
        <f t="shared" si="23"/>
        <v/>
      </c>
      <c r="T38" s="293" t="str">
        <f t="shared" si="18"/>
        <v/>
      </c>
      <c r="U38" s="293"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296" t="str">
        <f t="shared" si="0"/>
        <v/>
      </c>
      <c r="H39" s="297"/>
      <c r="I39" s="298" t="str">
        <f t="shared" si="28"/>
        <v/>
      </c>
      <c r="J39" s="298"/>
      <c r="K39" s="298" t="str">
        <f t="shared" si="29"/>
        <v/>
      </c>
      <c r="L39" s="298"/>
      <c r="M39" s="298" t="str">
        <f t="shared" si="30"/>
        <v/>
      </c>
      <c r="N39" s="298"/>
      <c r="O39" s="298" t="str">
        <f t="shared" si="31"/>
        <v/>
      </c>
      <c r="P39" s="298"/>
      <c r="Q39" s="96" t="str">
        <f t="shared" si="32"/>
        <v/>
      </c>
      <c r="R39" s="300" t="str">
        <f t="shared" si="22"/>
        <v/>
      </c>
      <c r="S39" s="300" t="str">
        <f t="shared" si="23"/>
        <v/>
      </c>
      <c r="T39" s="300" t="str">
        <f t="shared" si="18"/>
        <v/>
      </c>
      <c r="U39" s="300"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47" t="s">
        <v>1513</v>
      </c>
      <c r="H41" s="348"/>
      <c r="I41" s="348"/>
      <c r="J41" s="348"/>
      <c r="K41" s="348"/>
      <c r="L41" s="348"/>
      <c r="M41" s="349"/>
      <c r="N41" s="356" t="str">
        <f>'Blank Quote'!$N$41:$O$41</f>
        <v>QS: 20191222</v>
      </c>
      <c r="O41" s="357"/>
      <c r="P41" s="57"/>
      <c r="Q41" s="57"/>
      <c r="R41" s="58" t="s">
        <v>333</v>
      </c>
      <c r="S41" s="341">
        <f>SUMIF(T19:U35,"&gt;0")</f>
        <v>5720</v>
      </c>
      <c r="T41" s="342"/>
      <c r="U41" s="343"/>
      <c r="V41" s="59"/>
    </row>
    <row r="42" spans="1:28" ht="15" customHeight="1" thickBot="1" x14ac:dyDescent="0.3">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3">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3">
      <c r="A44" s="249"/>
      <c r="B44" s="249"/>
      <c r="C44" s="249"/>
      <c r="D44" s="249"/>
      <c r="E44" s="249"/>
      <c r="G44" s="350"/>
      <c r="H44" s="351"/>
      <c r="I44" s="351"/>
      <c r="J44" s="351"/>
      <c r="K44" s="351"/>
      <c r="L44" s="351"/>
      <c r="M44" s="352"/>
      <c r="N44" s="56"/>
      <c r="P44" s="57"/>
      <c r="R44" s="58" t="s">
        <v>1442</v>
      </c>
      <c r="S44" s="341">
        <f>SUM(T36:U39)</f>
        <v>0</v>
      </c>
      <c r="T44" s="342"/>
      <c r="U44" s="343"/>
      <c r="V44" s="201"/>
      <c r="X44" s="61"/>
    </row>
    <row r="45" spans="1:28" ht="15" customHeight="1" thickBot="1" x14ac:dyDescent="0.3">
      <c r="A45" s="249"/>
      <c r="B45" s="249"/>
      <c r="C45" s="249"/>
      <c r="D45" s="249"/>
      <c r="E45" s="249"/>
      <c r="G45" s="350"/>
      <c r="H45" s="351"/>
      <c r="I45" s="351"/>
      <c r="J45" s="351"/>
      <c r="K45" s="351"/>
      <c r="L45" s="351"/>
      <c r="M45" s="352"/>
      <c r="N45" s="56"/>
      <c r="P45" s="57"/>
      <c r="Q45" s="57"/>
      <c r="R45" s="58" t="s">
        <v>649</v>
      </c>
      <c r="S45" s="344" t="str">
        <f>IF(B11=0, "Tax Exempt or TBD", X45)</f>
        <v>Tax Exempt or TBD</v>
      </c>
      <c r="T45" s="345"/>
      <c r="U45" s="345"/>
      <c r="V45" s="257">
        <f>B11</f>
        <v>0</v>
      </c>
      <c r="X45" s="61">
        <f>SUM(X19:X39)</f>
        <v>0</v>
      </c>
    </row>
    <row r="46" spans="1:28" ht="15" customHeight="1" thickBot="1" x14ac:dyDescent="0.3">
      <c r="A46" s="249"/>
      <c r="B46" s="249"/>
      <c r="C46" s="249"/>
      <c r="D46" s="249"/>
      <c r="E46" s="249"/>
      <c r="G46" s="353"/>
      <c r="H46" s="354"/>
      <c r="I46" s="354"/>
      <c r="J46" s="354"/>
      <c r="K46" s="354"/>
      <c r="L46" s="354"/>
      <c r="M46" s="355"/>
      <c r="N46" s="56"/>
      <c r="P46" s="57"/>
      <c r="Q46" s="57"/>
      <c r="R46" s="58" t="s">
        <v>334</v>
      </c>
      <c r="S46" s="374">
        <f>SUM(S41:U45)</f>
        <v>3884.8</v>
      </c>
      <c r="T46" s="375"/>
      <c r="U46" s="376"/>
      <c r="V46" s="62"/>
    </row>
    <row r="47" spans="1:28" ht="12" customHeight="1" thickBot="1" x14ac:dyDescent="0.3">
      <c r="A47" s="249"/>
      <c r="B47" s="249"/>
      <c r="C47" s="249"/>
      <c r="D47" s="249"/>
      <c r="E47" s="249"/>
    </row>
    <row r="48" spans="1:28" ht="2.25" customHeight="1" x14ac:dyDescent="0.25">
      <c r="A48" s="249"/>
      <c r="B48" s="249"/>
      <c r="C48" s="249"/>
      <c r="D48" s="249"/>
      <c r="E48" s="249"/>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ht="13.5" customHeight="1" x14ac:dyDescent="0.25">
      <c r="A49" s="249"/>
      <c r="B49" s="249"/>
      <c r="C49" s="249"/>
      <c r="D49" s="249"/>
      <c r="E49" s="249"/>
      <c r="G49" s="368"/>
      <c r="H49" s="369"/>
      <c r="I49" s="369"/>
      <c r="J49" s="369"/>
      <c r="K49" s="369"/>
      <c r="L49" s="369"/>
      <c r="M49" s="369"/>
      <c r="N49" s="369"/>
      <c r="O49" s="369"/>
      <c r="P49" s="369"/>
      <c r="Q49" s="369"/>
      <c r="R49" s="369"/>
      <c r="S49" s="369"/>
      <c r="T49" s="369"/>
      <c r="U49" s="369"/>
      <c r="V49" s="370"/>
    </row>
    <row r="50" spans="1:22" ht="13.5" customHeight="1" x14ac:dyDescent="0.25">
      <c r="A50" s="249"/>
      <c r="B50" s="249"/>
      <c r="C50" s="249"/>
      <c r="D50" s="249"/>
      <c r="E50" s="249"/>
      <c r="G50" s="368"/>
      <c r="H50" s="369"/>
      <c r="I50" s="369"/>
      <c r="J50" s="369"/>
      <c r="K50" s="369"/>
      <c r="L50" s="369"/>
      <c r="M50" s="369"/>
      <c r="N50" s="369"/>
      <c r="O50" s="369"/>
      <c r="P50" s="369"/>
      <c r="Q50" s="369"/>
      <c r="R50" s="369"/>
      <c r="S50" s="369"/>
      <c r="T50" s="369"/>
      <c r="U50" s="369"/>
      <c r="V50" s="370"/>
    </row>
    <row r="51" spans="1:22" ht="13.5" customHeight="1" x14ac:dyDescent="0.25">
      <c r="A51" s="249"/>
      <c r="B51" s="249"/>
      <c r="C51" s="249"/>
      <c r="D51" s="249"/>
      <c r="E51" s="249"/>
      <c r="G51" s="368"/>
      <c r="H51" s="369"/>
      <c r="I51" s="369"/>
      <c r="J51" s="369"/>
      <c r="K51" s="369"/>
      <c r="L51" s="369"/>
      <c r="M51" s="369"/>
      <c r="N51" s="369"/>
      <c r="O51" s="369"/>
      <c r="P51" s="369"/>
      <c r="Q51" s="369"/>
      <c r="R51" s="369"/>
      <c r="S51" s="369"/>
      <c r="T51" s="369"/>
      <c r="U51" s="369"/>
      <c r="V51" s="370"/>
    </row>
    <row r="52" spans="1:22" ht="13.5" customHeight="1" x14ac:dyDescent="0.25">
      <c r="A52" s="249"/>
      <c r="B52" s="249"/>
      <c r="C52" s="249"/>
      <c r="D52" s="249"/>
      <c r="E52" s="249"/>
      <c r="G52" s="368"/>
      <c r="H52" s="369"/>
      <c r="I52" s="369"/>
      <c r="J52" s="369"/>
      <c r="K52" s="369"/>
      <c r="L52" s="369"/>
      <c r="M52" s="369"/>
      <c r="N52" s="369"/>
      <c r="O52" s="369"/>
      <c r="P52" s="369"/>
      <c r="Q52" s="369"/>
      <c r="R52" s="369"/>
      <c r="S52" s="369"/>
      <c r="T52" s="369"/>
      <c r="U52" s="369"/>
      <c r="V52" s="370"/>
    </row>
    <row r="53" spans="1:22" ht="12" customHeight="1" x14ac:dyDescent="0.25">
      <c r="A53" s="249"/>
      <c r="B53" s="249"/>
      <c r="C53" s="249"/>
      <c r="D53" s="249"/>
      <c r="E53" s="249"/>
      <c r="G53" s="368"/>
      <c r="H53" s="369"/>
      <c r="I53" s="369"/>
      <c r="J53" s="369"/>
      <c r="K53" s="369"/>
      <c r="L53" s="369"/>
      <c r="M53" s="369"/>
      <c r="N53" s="369"/>
      <c r="O53" s="369"/>
      <c r="P53" s="369"/>
      <c r="Q53" s="369"/>
      <c r="R53" s="369"/>
      <c r="S53" s="369"/>
      <c r="T53" s="369"/>
      <c r="U53" s="369"/>
      <c r="V53" s="370"/>
    </row>
    <row r="54" spans="1:22" ht="15.95" customHeight="1" thickBot="1" x14ac:dyDescent="0.3">
      <c r="A54" s="249"/>
      <c r="B54" s="249"/>
      <c r="C54" s="249"/>
      <c r="D54" s="249"/>
      <c r="E54" s="249"/>
      <c r="G54" s="371"/>
      <c r="H54" s="372"/>
      <c r="I54" s="372"/>
      <c r="J54" s="372"/>
      <c r="K54" s="372"/>
      <c r="L54" s="372"/>
      <c r="M54" s="372"/>
      <c r="N54" s="372"/>
      <c r="O54" s="372"/>
      <c r="P54" s="372"/>
      <c r="Q54" s="372"/>
      <c r="R54" s="372"/>
      <c r="S54" s="372"/>
      <c r="T54" s="372"/>
      <c r="U54" s="372"/>
      <c r="V54" s="373"/>
    </row>
    <row r="55" spans="1:22" ht="9" customHeight="1" outlineLevel="1" thickTop="1" thickBot="1" x14ac:dyDescent="0.3">
      <c r="A55" s="13" t="s">
        <v>135</v>
      </c>
      <c r="B55" s="14" t="str">
        <f>'Blank Quote'!B1</f>
        <v>App CA Private</v>
      </c>
      <c r="C55" s="377" t="s">
        <v>390</v>
      </c>
      <c r="D55" s="378"/>
      <c r="E55" s="15" t="str">
        <f>VLOOKUP(B55,'Pricing Model'!A1:C21,3)</f>
        <v>Discount Based</v>
      </c>
    </row>
    <row r="56" spans="1:22" ht="18" customHeight="1" outlineLevel="1" thickBot="1" x14ac:dyDescent="0.3">
      <c r="A56" s="17" t="s">
        <v>335</v>
      </c>
      <c r="B56" s="18" t="str">
        <f>'Blank Quote'!B2</f>
        <v>Business Name</v>
      </c>
      <c r="C56" s="379" t="s">
        <v>445</v>
      </c>
      <c r="D56" s="380"/>
      <c r="E56" s="252">
        <f>IF(E55="Discount Based", VLOOKUP(B55,'Pricing Model'!A1:D21,4), "")</f>
        <v>0.2</v>
      </c>
      <c r="P56" s="410" t="s">
        <v>1510</v>
      </c>
      <c r="Q56" s="410"/>
      <c r="R56" s="410"/>
      <c r="S56" s="410"/>
      <c r="T56" s="410"/>
      <c r="U56" s="410"/>
    </row>
    <row r="57" spans="1:22" ht="18" customHeight="1" outlineLevel="1" x14ac:dyDescent="0.25">
      <c r="A57" s="17" t="s">
        <v>336</v>
      </c>
      <c r="B57" s="18" t="str">
        <f>'Blank Quote'!B3</f>
        <v>FirstName LastName</v>
      </c>
      <c r="C57" s="379" t="s">
        <v>446</v>
      </c>
      <c r="D57" s="380"/>
      <c r="E57" s="252">
        <f>IF(E55="Discount Based", VLOOKUP(B55,'Pricing Model'!A1:E21,5), "")</f>
        <v>0.44</v>
      </c>
      <c r="N57" s="265" t="str">
        <f>IF('Blank Quote'!$E$7&lt;&gt;"", "REPLACING", "")</f>
        <v/>
      </c>
    </row>
    <row r="58" spans="1:22" ht="18" customHeight="1" outlineLevel="1" x14ac:dyDescent="0.25">
      <c r="A58" s="20" t="s">
        <v>337</v>
      </c>
      <c r="B58" s="21" t="str">
        <f>'Blank Quote'!B4</f>
        <v>Number | email</v>
      </c>
      <c r="C58" s="379" t="s">
        <v>447</v>
      </c>
      <c r="D58" s="380"/>
      <c r="E58" s="19" t="str">
        <f>IF(E55="Cost Based", VLOOKUP(B55,'Pricing Model'!A1:F21,6), "")</f>
        <v/>
      </c>
      <c r="G58" s="322" t="s">
        <v>145</v>
      </c>
      <c r="H58" s="322"/>
      <c r="I58" s="322"/>
      <c r="J58" s="322"/>
      <c r="K58" s="322"/>
      <c r="L58" s="322"/>
      <c r="M58" s="22"/>
      <c r="N58" s="264" t="str">
        <f>IF('Blank Quote'!$E$7&lt;&gt;"","LSID: "&amp;'Blank Quote'!$E$7, "")</f>
        <v/>
      </c>
      <c r="P58" s="321" t="s">
        <v>142</v>
      </c>
      <c r="Q58" s="321"/>
      <c r="R58" s="321"/>
      <c r="S58" s="321"/>
      <c r="T58" s="321"/>
      <c r="U58" s="321"/>
    </row>
    <row r="59" spans="1:22" ht="18" customHeight="1" outlineLevel="1" thickBot="1" x14ac:dyDescent="0.3">
      <c r="A59" s="20" t="s">
        <v>131</v>
      </c>
      <c r="B59" s="21" t="str">
        <f>'Blank Quote'!B5</f>
        <v>Address1</v>
      </c>
      <c r="C59" s="381" t="s">
        <v>448</v>
      </c>
      <c r="D59" s="382"/>
      <c r="E59" s="23" t="str">
        <f>IF(E55="Cost Based", VLOOKUP(B55,'Pricing Model'!A1:G21,7), "")</f>
        <v/>
      </c>
      <c r="G59" s="322" t="s">
        <v>1933</v>
      </c>
      <c r="H59" s="322"/>
      <c r="I59" s="322"/>
      <c r="J59" s="322"/>
      <c r="K59" s="322"/>
      <c r="L59" s="322"/>
      <c r="M59" s="22"/>
    </row>
    <row r="60" spans="1:22" ht="18" customHeight="1" outlineLevel="1" thickBot="1" x14ac:dyDescent="0.3">
      <c r="A60" s="20" t="s">
        <v>132</v>
      </c>
      <c r="B60" s="24" t="str">
        <f>'Blank Quote'!B6</f>
        <v>City, State Zip</v>
      </c>
      <c r="C60" s="25"/>
      <c r="D60" s="25"/>
      <c r="E60" s="25"/>
      <c r="G60" s="322" t="s">
        <v>146</v>
      </c>
      <c r="H60" s="322"/>
      <c r="I60" s="322"/>
      <c r="J60" s="322"/>
      <c r="K60" s="322"/>
      <c r="L60" s="322"/>
      <c r="M60" s="22"/>
      <c r="P60" s="321" t="s">
        <v>147</v>
      </c>
      <c r="Q60" s="321"/>
      <c r="R60" s="321"/>
      <c r="S60" s="321"/>
      <c r="T60" s="321"/>
      <c r="U60" s="321"/>
    </row>
    <row r="61" spans="1:22" ht="9.9499999999999993" customHeight="1" outlineLevel="1" thickBot="1" x14ac:dyDescent="0.4">
      <c r="A61" s="17" t="s">
        <v>338</v>
      </c>
      <c r="B61" s="18" t="str">
        <f>'Blank Quote'!B7</f>
        <v>FirstName LastName</v>
      </c>
      <c r="C61" s="25"/>
      <c r="D61" s="25"/>
      <c r="E61" s="25"/>
      <c r="G61" s="26"/>
    </row>
    <row r="62" spans="1:22" ht="18" customHeight="1" outlineLevel="1" thickBot="1" x14ac:dyDescent="0.35">
      <c r="A62" s="20" t="s">
        <v>339</v>
      </c>
      <c r="B62" s="21" t="str">
        <f>'Blank Quote'!B8</f>
        <v>Number | email</v>
      </c>
      <c r="C62" s="25"/>
      <c r="D62" s="25"/>
      <c r="E62" s="25"/>
      <c r="G62" s="323" t="s">
        <v>118</v>
      </c>
      <c r="H62" s="324"/>
      <c r="I62" s="324"/>
      <c r="J62" s="324"/>
      <c r="K62" s="324"/>
      <c r="L62" s="324"/>
      <c r="M62" s="325"/>
      <c r="O62" s="323" t="s">
        <v>122</v>
      </c>
      <c r="P62" s="324"/>
      <c r="Q62" s="324"/>
      <c r="R62" s="324"/>
      <c r="S62" s="324"/>
      <c r="T62" s="324"/>
      <c r="U62" s="324"/>
      <c r="V62" s="325"/>
    </row>
    <row r="63" spans="1:22" ht="18" customHeight="1" outlineLevel="1" x14ac:dyDescent="0.25">
      <c r="A63" s="20" t="s">
        <v>131</v>
      </c>
      <c r="B63" s="21" t="str">
        <f>'Blank Quote'!B9</f>
        <v>Address1</v>
      </c>
      <c r="C63" s="25"/>
      <c r="D63" s="25"/>
      <c r="E63" s="25"/>
      <c r="G63" s="335" t="str">
        <f>IF('Non_CA Multi Tenprint'!B56="", "", 'Non_CA Multi Tenprint'!B56)</f>
        <v>Business Name</v>
      </c>
      <c r="H63" s="336"/>
      <c r="I63" s="336"/>
      <c r="J63" s="336"/>
      <c r="K63" s="336"/>
      <c r="L63" s="336"/>
      <c r="M63" s="337"/>
      <c r="O63" s="326" t="str">
        <f>IF('Non_CA Multi Tenprint'!B56="", "", 'Non_CA Multi Tenprint'!B56)</f>
        <v>Business Name</v>
      </c>
      <c r="P63" s="327"/>
      <c r="Q63" s="327"/>
      <c r="R63" s="327"/>
      <c r="S63" s="327"/>
      <c r="T63" s="327"/>
      <c r="U63" s="327"/>
      <c r="V63" s="328"/>
    </row>
    <row r="64" spans="1:22" ht="18" customHeight="1" outlineLevel="1" thickBot="1" x14ac:dyDescent="0.3">
      <c r="A64" s="27" t="s">
        <v>132</v>
      </c>
      <c r="B64" s="24" t="str">
        <f>'Blank Quote'!B10</f>
        <v>City, State Zip</v>
      </c>
      <c r="C64" s="25"/>
      <c r="D64" s="25"/>
      <c r="E64" s="25"/>
      <c r="G64" s="326" t="str">
        <f>IF('Non_CA Multi Tenprint'!B57="", "", 'Non_CA Multi Tenprint'!B57)</f>
        <v>FirstName LastName</v>
      </c>
      <c r="H64" s="327"/>
      <c r="I64" s="327"/>
      <c r="J64" s="327"/>
      <c r="K64" s="327"/>
      <c r="L64" s="327"/>
      <c r="M64" s="328"/>
      <c r="O64" s="326" t="str">
        <f>IF('Non_CA Multi Tenprint'!B61="", "", 'Non_CA Multi Tenprint'!B61)</f>
        <v>FirstName LastName</v>
      </c>
      <c r="P64" s="327"/>
      <c r="Q64" s="327"/>
      <c r="R64" s="327"/>
      <c r="S64" s="327"/>
      <c r="T64" s="327"/>
      <c r="U64" s="327"/>
      <c r="V64" s="328"/>
    </row>
    <row r="65" spans="1:28" ht="18" customHeight="1" outlineLevel="1" thickBot="1" x14ac:dyDescent="0.3">
      <c r="A65" s="27" t="s">
        <v>370</v>
      </c>
      <c r="B65" s="28">
        <f>'Blank Quote'!B11</f>
        <v>0</v>
      </c>
      <c r="C65" s="25"/>
      <c r="D65" s="25"/>
      <c r="E65" s="25"/>
      <c r="G65" s="326" t="str">
        <f>IF('Non_CA Multi Tenprint'!B58="", "", 'Non_CA Multi Tenprint'!B58)</f>
        <v>Number | email</v>
      </c>
      <c r="H65" s="327"/>
      <c r="I65" s="327"/>
      <c r="J65" s="327"/>
      <c r="K65" s="327"/>
      <c r="L65" s="327"/>
      <c r="M65" s="328"/>
      <c r="O65" s="326" t="str">
        <f>IF('Non_CA Multi Tenprint'!B62="", "", 'Non_CA Multi Tenprint'!B62)</f>
        <v>Number | email</v>
      </c>
      <c r="P65" s="327"/>
      <c r="Q65" s="327"/>
      <c r="R65" s="327"/>
      <c r="S65" s="327"/>
      <c r="T65" s="327"/>
      <c r="U65" s="327"/>
      <c r="V65" s="328"/>
    </row>
    <row r="66" spans="1:28" ht="18" customHeight="1" outlineLevel="1" thickBot="1" x14ac:dyDescent="0.3">
      <c r="A66" s="13" t="s">
        <v>443</v>
      </c>
      <c r="B66" s="29" t="str">
        <f>'Blank Quote'!B12</f>
        <v>EC</v>
      </c>
      <c r="C66" s="25"/>
      <c r="D66" s="25"/>
      <c r="E66" s="25"/>
      <c r="G66" s="326" t="str">
        <f>IF('Non_CA Multi Tenprint'!B59="", "", 'Non_CA Multi Tenprint'!B59)</f>
        <v>Address1</v>
      </c>
      <c r="H66" s="327"/>
      <c r="I66" s="327"/>
      <c r="J66" s="327"/>
      <c r="K66" s="327"/>
      <c r="L66" s="327"/>
      <c r="M66" s="328"/>
      <c r="O66" s="326" t="str">
        <f>IF('Non_CA Multi Tenprint'!B63="", "", 'Non_CA Multi Tenprint'!B63)</f>
        <v>Address1</v>
      </c>
      <c r="P66" s="327"/>
      <c r="Q66" s="327"/>
      <c r="R66" s="327"/>
      <c r="S66" s="327"/>
      <c r="T66" s="327"/>
      <c r="U66" s="327"/>
      <c r="V66" s="328"/>
    </row>
    <row r="67" spans="1:28" ht="18" customHeight="1" outlineLevel="1" thickBot="1" x14ac:dyDescent="0.3">
      <c r="A67" s="13" t="s">
        <v>129</v>
      </c>
      <c r="B67" s="30" t="str">
        <f>'Blank Quote'!B13</f>
        <v>Ground</v>
      </c>
      <c r="C67" s="25"/>
      <c r="D67" s="25"/>
      <c r="E67" s="25"/>
      <c r="G67" s="338" t="str">
        <f>IF('Non_CA Multi Tenprint'!B60="", "", 'Non_CA Multi Tenprint'!B60)</f>
        <v>City, State Zip</v>
      </c>
      <c r="H67" s="339"/>
      <c r="I67" s="339"/>
      <c r="J67" s="339"/>
      <c r="K67" s="339"/>
      <c r="L67" s="339"/>
      <c r="M67" s="340"/>
      <c r="O67" s="338" t="str">
        <f>IF('Non_CA Multi Tenprint'!B64="", "", 'Non_CA Multi Tenprint'!B64)</f>
        <v>City, State Zip</v>
      </c>
      <c r="P67" s="339"/>
      <c r="Q67" s="339"/>
      <c r="R67" s="339"/>
      <c r="S67" s="339"/>
      <c r="T67" s="339"/>
      <c r="U67" s="339"/>
      <c r="V67" s="340"/>
    </row>
    <row r="68" spans="1:28" ht="5.25" customHeight="1" outlineLevel="1" thickBot="1" x14ac:dyDescent="0.3">
      <c r="B68" s="31"/>
      <c r="C68" s="25"/>
      <c r="D68" s="25"/>
      <c r="E68" s="25"/>
    </row>
    <row r="69" spans="1:28" ht="16.5" outlineLevel="1" thickBot="1" x14ac:dyDescent="0.3">
      <c r="A69" s="32" t="s">
        <v>398</v>
      </c>
      <c r="B69" s="33" t="str">
        <f>VLOOKUP(B55,'Pricing Model'!A1:J21,10)</f>
        <v>Private</v>
      </c>
      <c r="C69" s="25"/>
      <c r="D69" s="25"/>
      <c r="E69" s="25"/>
      <c r="G69" s="310" t="s">
        <v>119</v>
      </c>
      <c r="H69" s="312"/>
      <c r="I69" s="310" t="s">
        <v>120</v>
      </c>
      <c r="J69" s="311"/>
      <c r="K69" s="312"/>
      <c r="L69" s="310" t="s">
        <v>121</v>
      </c>
      <c r="M69" s="311"/>
      <c r="N69" s="312"/>
      <c r="O69" s="310" t="s">
        <v>128</v>
      </c>
      <c r="P69" s="312"/>
      <c r="Q69" s="310" t="s">
        <v>332</v>
      </c>
      <c r="R69" s="312"/>
      <c r="S69" s="360" t="s">
        <v>535</v>
      </c>
      <c r="T69" s="361"/>
      <c r="U69" s="361"/>
      <c r="V69" s="362"/>
    </row>
    <row r="70" spans="1:28" ht="15.75" outlineLevel="1" thickBot="1" x14ac:dyDescent="0.3">
      <c r="A70" s="34" t="s">
        <v>444</v>
      </c>
      <c r="B70" s="33">
        <f>VLOOKUP(B55,'Pricing Model'!A1:H21,8)</f>
        <v>0</v>
      </c>
      <c r="C70" s="25"/>
      <c r="D70" s="25"/>
      <c r="E70" s="25"/>
      <c r="G70" s="313">
        <f ca="1">TODAY()</f>
        <v>45110</v>
      </c>
      <c r="H70" s="314"/>
      <c r="I70" s="315">
        <f ca="1">NOW()</f>
        <v>45110.433634490742</v>
      </c>
      <c r="J70" s="316"/>
      <c r="K70" s="317"/>
      <c r="L70" s="318" t="str">
        <f>'Non_CA Multi Tenprint'!B66</f>
        <v>EC</v>
      </c>
      <c r="M70" s="319"/>
      <c r="N70" s="320"/>
      <c r="O70" s="318" t="str">
        <f>VLOOKUP(B55,'Pricing Model'!A1:I21,9)</f>
        <v>Due on Rcpt</v>
      </c>
      <c r="P70" s="320"/>
      <c r="Q70" s="318" t="str">
        <f>B67</f>
        <v>Ground</v>
      </c>
      <c r="R70" s="319"/>
      <c r="S70" s="318" t="str">
        <f>IF(B70&lt;&gt;0,B70,"")</f>
        <v/>
      </c>
      <c r="T70" s="319"/>
      <c r="U70" s="319"/>
      <c r="V70" s="320"/>
    </row>
    <row r="71" spans="1:28" ht="5.25" customHeight="1" outlineLevel="1" thickBot="1" x14ac:dyDescent="0.3">
      <c r="D71" s="35"/>
    </row>
    <row r="72" spans="1:28" ht="17.25" thickTop="1" thickBot="1" x14ac:dyDescent="0.3">
      <c r="A72" s="36" t="s">
        <v>123</v>
      </c>
      <c r="B72" s="37" t="s">
        <v>124</v>
      </c>
      <c r="C72" s="38" t="s">
        <v>125</v>
      </c>
      <c r="D72" s="38" t="s">
        <v>371</v>
      </c>
      <c r="E72" s="39" t="s">
        <v>540</v>
      </c>
      <c r="G72" s="333" t="s">
        <v>123</v>
      </c>
      <c r="H72" s="334"/>
      <c r="I72" s="301" t="s">
        <v>124</v>
      </c>
      <c r="J72" s="301"/>
      <c r="K72" s="301"/>
      <c r="L72" s="301"/>
      <c r="M72" s="301"/>
      <c r="N72" s="301"/>
      <c r="O72" s="301"/>
      <c r="P72" s="301"/>
      <c r="Q72" s="97" t="s">
        <v>125</v>
      </c>
      <c r="R72" s="301" t="s">
        <v>126</v>
      </c>
      <c r="S72" s="301"/>
      <c r="T72" s="301" t="s">
        <v>127</v>
      </c>
      <c r="U72" s="301"/>
      <c r="V72" s="40" t="s">
        <v>440</v>
      </c>
      <c r="X72" s="97" t="s">
        <v>442</v>
      </c>
      <c r="Y72" s="97" t="s">
        <v>529</v>
      </c>
      <c r="Z72" s="97" t="s">
        <v>528</v>
      </c>
      <c r="AA72" s="97" t="s">
        <v>530</v>
      </c>
      <c r="AB72" s="97" t="s">
        <v>531</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02" t="str">
        <f t="shared" ref="G73:G93" si="33">IF(A73&lt;&gt;"", A73, "")</f>
        <v>HW-LT-Std-Home</v>
      </c>
      <c r="H73" s="303"/>
      <c r="I73" s="304" t="str">
        <f t="shared" ref="I73:I90" si="34">IF(B73&lt;&gt;"", B73, "")&amp;IF(E73&lt;&gt;"", "   *** "&amp;E73, "")</f>
        <v>Hardware-Laptop-Standard with Windows Home Edition   *** Standard with Windows 11</v>
      </c>
      <c r="J73" s="304"/>
      <c r="K73" s="304" t="str">
        <f t="shared" ref="K73:K90" si="35">E73</f>
        <v>Standard with Windows 11</v>
      </c>
      <c r="L73" s="304"/>
      <c r="M73" s="304" t="str">
        <f t="shared" ref="M73:M90" si="36">G73</f>
        <v>HW-LT-Std-Home</v>
      </c>
      <c r="N73" s="304"/>
      <c r="O73" s="304" t="str">
        <f t="shared" ref="O73:O90" si="37">I73</f>
        <v>Hardware-Laptop-Standard with Windows Home Edition   *** Standard with Windows 11</v>
      </c>
      <c r="P73" s="304"/>
      <c r="Q73" s="98">
        <f t="shared" ref="Q73:Q90" si="38">IF(C73="", "", C73)</f>
        <v>1</v>
      </c>
      <c r="R73" s="292">
        <f>IF(C73="", "",IF(D73&gt;0,D73,
IF($E$55="NY Contract", VLOOKUP(B73,'Raw BOM'!$A$3:$G$495,7,FALSE),
IF($E$55="FL Contract", VLOOKUP(B73,'Raw BOM'!$A$3:$I$495,8,FALSE),
IF($E$55="LA Contract", VLOOKUP(B73,'Raw BOM'!$A$3:$K$495,9,FALSE),
IF($E$55="WA Contract", VLOOKUP(B73,'Raw BOM'!$A$3:$M$495,10,FALSE),
VLOOKUP(B73,'Raw BOM'!$A$3:$D$495,4,FALSE)))))))</f>
        <v>750</v>
      </c>
      <c r="S73" s="292" t="str">
        <f t="shared" ref="S73:S77" si="39">M73</f>
        <v>HW-LT-Std-Home</v>
      </c>
      <c r="T73" s="292">
        <f t="shared" ref="T73:T77" si="40">IF(C73="", "", Q73*R73)</f>
        <v>750</v>
      </c>
      <c r="U73" s="292" t="str">
        <f t="shared" ref="U73:U77" si="41">O73</f>
        <v>Hardware-Laptop-Standard with Windows Home Edition   *** Standard with Windows 11</v>
      </c>
      <c r="V73" s="46" t="str">
        <f>IF(C73="","", VLOOKUP(B73,'Raw BOM'!$A$3:$F$495,6,FALSE))</f>
        <v>Yes</v>
      </c>
      <c r="X73" s="47">
        <f t="shared" ref="X73:X93" si="42">IF(AND(V73="Yes", Q73&lt;&gt;0), (T73-Y73)*$B$119, 0)</f>
        <v>0</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05" t="str">
        <f t="shared" si="33"/>
        <v>LS4G-Applicant-CA</v>
      </c>
      <c r="H74" s="306"/>
      <c r="I74" s="291" t="str">
        <f t="shared" si="34"/>
        <v>LiveScan 4th Gen Software-Applicant CA TOT Module</v>
      </c>
      <c r="J74" s="291"/>
      <c r="K74" s="291" t="str">
        <f t="shared" si="35"/>
        <v/>
      </c>
      <c r="L74" s="291"/>
      <c r="M74" s="291" t="str">
        <f t="shared" si="36"/>
        <v>LS4G-Applicant-CA</v>
      </c>
      <c r="N74" s="291"/>
      <c r="O74" s="291" t="str">
        <f t="shared" si="37"/>
        <v>LiveScan 4th Gen Software-Applicant CA TOT Module</v>
      </c>
      <c r="P74" s="291"/>
      <c r="Q74" s="99">
        <f t="shared" si="38"/>
        <v>1</v>
      </c>
      <c r="R74" s="293">
        <f>IF(C74="", "",IF(D74&gt;0,D74,
IF($E$55="NY Contract", VLOOKUP(B74,'Raw BOM'!$A$3:$G$495,7,FALSE),
IF($E$55="FL Contract", VLOOKUP(B74,'Raw BOM'!$A$3:$I$495,8,FALSE),
IF($E$55="LA Contract", VLOOKUP(B74,'Raw BOM'!$A$3:$K$495,9,FALSE),
IF($E$55="WA Contract", VLOOKUP(B74,'Raw BOM'!$A$3:$M$495,10,FALSE),
VLOOKUP(B74,'Raw BOM'!$A$3:$D$495,4,FALSE)))))))</f>
        <v>1340</v>
      </c>
      <c r="S74" s="293" t="str">
        <f t="shared" si="39"/>
        <v>LS4G-Applicant-CA</v>
      </c>
      <c r="T74" s="293">
        <f t="shared" si="40"/>
        <v>1340</v>
      </c>
      <c r="U74" s="293"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265</v>
      </c>
      <c r="C75" s="186">
        <f>C129</f>
        <v>1</v>
      </c>
      <c r="D75" s="187"/>
      <c r="E75" s="188" t="str">
        <f>IF('Blank Quote'!E21&lt;&gt;"", 'Blank Quote'!E21, "")</f>
        <v/>
      </c>
      <c r="F75" s="189"/>
      <c r="G75" s="406" t="str">
        <f t="shared" si="33"/>
        <v>HW-Scan-200</v>
      </c>
      <c r="H75" s="407"/>
      <c r="I75" s="408" t="str">
        <f t="shared" si="34"/>
        <v>Hardware-Scanner-Crossmatch Guardian 200</v>
      </c>
      <c r="J75" s="408"/>
      <c r="K75" s="408" t="str">
        <f t="shared" si="35"/>
        <v/>
      </c>
      <c r="L75" s="408"/>
      <c r="M75" s="408" t="str">
        <f t="shared" si="36"/>
        <v>HW-Scan-200</v>
      </c>
      <c r="N75" s="408"/>
      <c r="O75" s="408" t="str">
        <f t="shared" si="37"/>
        <v>Hardware-Scanner-Crossmatch Guardian 200</v>
      </c>
      <c r="P75" s="408"/>
      <c r="Q75" s="190">
        <f t="shared" si="38"/>
        <v>1</v>
      </c>
      <c r="R75" s="409">
        <f>IF(C75="", "",IF(D75&gt;0,D75,
IF($E$55="NY Contract", VLOOKUP(B75,'Raw BOM'!$A$3:$G$495,7,FALSE),
IF($E$55="FL Contract", VLOOKUP(B75,'Raw BOM'!$A$3:$I$495,8,FALSE),
IF($E$55="LA Contract", VLOOKUP(B75,'Raw BOM'!$A$3:$K$495,9,FALSE),
IF($E$55="WA Contract", VLOOKUP(B75,'Raw BOM'!$A$3:$M$495,10,FALSE),
VLOOKUP(B75,'Raw BOM'!$A$3:$D$495,4,FALSE)))))))</f>
        <v>3750</v>
      </c>
      <c r="S75" s="409" t="str">
        <f t="shared" si="39"/>
        <v>HW-Scan-200</v>
      </c>
      <c r="T75" s="409">
        <f t="shared" si="40"/>
        <v>3750</v>
      </c>
      <c r="U75" s="409" t="str">
        <f t="shared" si="41"/>
        <v>Hardware-Scanner-Crossmatch Guardian 200</v>
      </c>
      <c r="V75" s="191" t="str">
        <f>IF(C75="","", VLOOKUP(B75,'Raw BOM'!$A$3:$F$495,6,FALSE))</f>
        <v>Yes</v>
      </c>
      <c r="X75" s="47">
        <f t="shared" si="42"/>
        <v>0</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05" t="str">
        <f t="shared" si="33"/>
        <v/>
      </c>
      <c r="H76" s="306"/>
      <c r="I76" s="291" t="str">
        <f t="shared" si="34"/>
        <v/>
      </c>
      <c r="J76" s="291"/>
      <c r="K76" s="291" t="str">
        <f t="shared" si="35"/>
        <v/>
      </c>
      <c r="L76" s="291"/>
      <c r="M76" s="291" t="str">
        <f t="shared" si="36"/>
        <v/>
      </c>
      <c r="N76" s="291"/>
      <c r="O76" s="291" t="str">
        <f t="shared" si="37"/>
        <v/>
      </c>
      <c r="P76" s="291"/>
      <c r="Q76" s="99" t="str">
        <f t="shared" si="38"/>
        <v/>
      </c>
      <c r="R76" s="293" t="str">
        <f>IF(C76="", "",IF(D76&gt;0,D76,
IF($E$55="NY Contract", VLOOKUP(B76,'Raw BOM'!$A$3:$G$495,7,FALSE),
IF($E$55="FL Contract", VLOOKUP(B76,'Raw BOM'!$A$3:$I$495,8,FALSE),
IF($E$55="LA Contract", VLOOKUP(B76,'Raw BOM'!$A$3:$K$495,9,FALSE),
IF($E$55="WA Contract", VLOOKUP(B76,'Raw BOM'!$A$3:$M$495,10,FALSE),
VLOOKUP(B76,'Raw BOM'!$A$3:$D$495,4,FALSE)))))))</f>
        <v/>
      </c>
      <c r="S76" s="293" t="str">
        <f t="shared" si="39"/>
        <v/>
      </c>
      <c r="T76" s="293" t="str">
        <f t="shared" si="40"/>
        <v/>
      </c>
      <c r="U76" s="293"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05" t="str">
        <f t="shared" si="33"/>
        <v>HW-Magtrip</v>
      </c>
      <c r="H77" s="306"/>
      <c r="I77" s="291" t="str">
        <f t="shared" si="34"/>
        <v>Hardware-Magnetic Strip Reader   *** Auto populate personal information with a swipe of a driver's license from anywhere on the screen</v>
      </c>
      <c r="J77" s="291"/>
      <c r="K77" s="291" t="str">
        <f t="shared" si="35"/>
        <v>Auto populate personal information with a swipe of a driver's license from anywhere on the screen</v>
      </c>
      <c r="L77" s="291"/>
      <c r="M77" s="291" t="str">
        <f t="shared" si="36"/>
        <v>HW-Magtrip</v>
      </c>
      <c r="N77" s="291"/>
      <c r="O77" s="291" t="str">
        <f t="shared" si="37"/>
        <v>Hardware-Magnetic Strip Reader   *** Auto populate personal information with a swipe of a driver's license from anywhere on the screen</v>
      </c>
      <c r="P77" s="291"/>
      <c r="Q77" s="99">
        <f t="shared" si="38"/>
        <v>1</v>
      </c>
      <c r="R77" s="293">
        <f>IF(C77="", "",IF(D77&gt;0,D77,
IF($E$55="NY Contract", VLOOKUP(B77,'Raw BOM'!$A$3:$G$495,7,FALSE),
IF($E$55="FL Contract", VLOOKUP(B77,'Raw BOM'!$A$3:$I$495,8,FALSE),
IF($E$55="LA Contract", VLOOKUP(B77,'Raw BOM'!$A$3:$K$495,9,FALSE),
IF($E$55="WA Contract", VLOOKUP(B77,'Raw BOM'!$A$3:$M$495,10,FALSE),
VLOOKUP(B77,'Raw BOM'!$A$3:$D$495,4,FALSE)))))))</f>
        <v>130</v>
      </c>
      <c r="S77" s="293" t="str">
        <f t="shared" si="39"/>
        <v>HW-Magtrip</v>
      </c>
      <c r="T77" s="293">
        <f t="shared" si="40"/>
        <v>130</v>
      </c>
      <c r="U77" s="293" t="str">
        <f t="shared" si="41"/>
        <v>Hardware-Magnetic Strip Reader   *** Auto populate personal information with a swipe of a driver's license from anywhere on the screen</v>
      </c>
      <c r="V77" s="49" t="str">
        <f>IF(C77="","", VLOOKUP(B77,'Raw BOM'!$A$3:$F$495,6,FALSE))</f>
        <v>Yes</v>
      </c>
      <c r="X77" s="47">
        <f t="shared" si="42"/>
        <v>0</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05" t="str">
        <f t="shared" si="33"/>
        <v>LS4G-IDCard</v>
      </c>
      <c r="H78" s="306"/>
      <c r="I78" s="291" t="str">
        <f t="shared" ref="I78:I89" si="45">IF(B78&lt;&gt;"", B78, "")&amp;IF(E78&lt;&gt;"", "   *** "&amp;E78, "")</f>
        <v>LiveScan 4th Gen Software-Driver License and ID Reading software</v>
      </c>
      <c r="J78" s="291"/>
      <c r="K78" s="291" t="str">
        <f t="shared" ref="K78:K89" si="46">E78</f>
        <v/>
      </c>
      <c r="L78" s="291"/>
      <c r="M78" s="291" t="str">
        <f t="shared" ref="M78:M89" si="47">G78</f>
        <v>LS4G-IDCard</v>
      </c>
      <c r="N78" s="291"/>
      <c r="O78" s="291" t="str">
        <f t="shared" ref="O78:O89" si="48">I78</f>
        <v>LiveScan 4th Gen Software-Driver License and ID Reading software</v>
      </c>
      <c r="P78" s="291"/>
      <c r="Q78" s="99">
        <f t="shared" ref="Q78:Q89" si="49">IF(C78="", "", C78)</f>
        <v>1</v>
      </c>
      <c r="R78" s="293">
        <f>IF(C78="", "",IF(D78&gt;0,D78,
IF($E$55="NY Contract", VLOOKUP(B78,'Raw BOM'!$A$3:$G$495,7,FALSE),
IF($E$55="FL Contract", VLOOKUP(B78,'Raw BOM'!$A$3:$I$495,8,FALSE),
IF($E$55="LA Contract", VLOOKUP(B78,'Raw BOM'!$A$3:$K$495,9,FALSE),
IF($E$55="WA Contract", VLOOKUP(B78,'Raw BOM'!$A$3:$M$495,10,FALSE),
VLOOKUP(B78,'Raw BOM'!$A$3:$D$495,4,FALSE)))))))</f>
        <v>340</v>
      </c>
      <c r="S78" s="293" t="str">
        <f t="shared" ref="S78:S89" si="50">M78</f>
        <v>LS4G-IDCard</v>
      </c>
      <c r="T78" s="293">
        <f t="shared" ref="T78:T89" si="51">IF(C78="", "", Q78*R78)</f>
        <v>340</v>
      </c>
      <c r="U78" s="293"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05" t="str">
        <f t="shared" si="33"/>
        <v/>
      </c>
      <c r="H79" s="306"/>
      <c r="I79" s="291" t="str">
        <f t="shared" si="45"/>
        <v/>
      </c>
      <c r="J79" s="291"/>
      <c r="K79" s="291" t="str">
        <f t="shared" si="46"/>
        <v/>
      </c>
      <c r="L79" s="291"/>
      <c r="M79" s="291" t="str">
        <f t="shared" si="47"/>
        <v/>
      </c>
      <c r="N79" s="291"/>
      <c r="O79" s="291" t="str">
        <f t="shared" si="48"/>
        <v/>
      </c>
      <c r="P79" s="291"/>
      <c r="Q79" s="99" t="str">
        <f t="shared" si="49"/>
        <v/>
      </c>
      <c r="R79" s="293" t="str">
        <f>IF(C79="", "",IF(D79&gt;0,D79,
IF($E$55="NY Contract", VLOOKUP(B79,'Raw BOM'!$A$3:$G$495,7,FALSE),
IF($E$55="FL Contract", VLOOKUP(B79,'Raw BOM'!$A$3:$I$495,8,FALSE),
IF($E$55="LA Contract", VLOOKUP(B79,'Raw BOM'!$A$3:$K$495,9,FALSE),
IF($E$55="WA Contract", VLOOKUP(B79,'Raw BOM'!$A$3:$M$495,10,FALSE),
VLOOKUP(B79,'Raw BOM'!$A$3:$D$495,4,FALSE)))))))</f>
        <v/>
      </c>
      <c r="S79" s="293" t="str">
        <f t="shared" si="50"/>
        <v/>
      </c>
      <c r="T79" s="293" t="str">
        <f t="shared" si="51"/>
        <v/>
      </c>
      <c r="U79" s="293"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05" t="str">
        <f t="shared" si="33"/>
        <v>Svcs-Cfg-CAPSP</v>
      </c>
      <c r="H80" s="306"/>
      <c r="I80" s="291" t="str">
        <f t="shared" si="45"/>
        <v>Services-Configuration-CA PSP Setup   *** Pick ONE of the following capture methods at the time of capture (TWO DIFFERENT BUTTONS on the screen):</v>
      </c>
      <c r="J80" s="291"/>
      <c r="K80" s="291" t="str">
        <f t="shared" si="46"/>
        <v>Pick ONE of the following capture methods at the time of capture (TWO DIFFERENT BUTTONS on the screen):</v>
      </c>
      <c r="L80" s="291"/>
      <c r="M80" s="291" t="str">
        <f t="shared" si="47"/>
        <v>Svcs-Cfg-CAPSP</v>
      </c>
      <c r="N80" s="291"/>
      <c r="O80" s="291" t="str">
        <f t="shared" si="48"/>
        <v>Services-Configuration-CA PSP Setup   *** Pick ONE of the following capture methods at the time of capture (TWO DIFFERENT BUTTONS on the screen):</v>
      </c>
      <c r="P80" s="291"/>
      <c r="Q80" s="99">
        <f t="shared" si="49"/>
        <v>1</v>
      </c>
      <c r="R80" s="293">
        <f>IF(C80="", "",IF(D80&gt;0,D80,
IF($E$55="NY Contract", VLOOKUP(B80,'Raw BOM'!$A$3:$G$495,7,FALSE),
IF($E$55="FL Contract", VLOOKUP(B80,'Raw BOM'!$A$3:$I$495,8,FALSE),
IF($E$55="LA Contract", VLOOKUP(B80,'Raw BOM'!$A$3:$K$495,9,FALSE),
IF($E$55="WA Contract", VLOOKUP(B80,'Raw BOM'!$A$3:$M$495,10,FALSE),
VLOOKUP(B80,'Raw BOM'!$A$3:$D$495,4,FALSE)))))))</f>
        <v>500</v>
      </c>
      <c r="S80" s="293" t="str">
        <f t="shared" si="50"/>
        <v>Svcs-Cfg-CAPSP</v>
      </c>
      <c r="T80" s="293">
        <f t="shared" si="51"/>
        <v>500</v>
      </c>
      <c r="U80" s="293"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05" t="str">
        <f t="shared" si="33"/>
        <v>Misc</v>
      </c>
      <c r="H81" s="306"/>
      <c r="I81" s="291" t="str">
        <f t="shared" si="45"/>
        <v xml:space="preserve">   *** Transaction Fee - Traditional FLATS and ROLLS Method (1 to 10 minutes method): $0.75 per transaction with $150 per monthly cap</v>
      </c>
      <c r="J81" s="291"/>
      <c r="K81" s="291" t="str">
        <f t="shared" si="46"/>
        <v>Transaction Fee - Traditional FLATS and ROLLS Method (1 to 10 minutes method): $0.75 per transaction with $150 per monthly cap</v>
      </c>
      <c r="L81" s="291"/>
      <c r="M81" s="291" t="str">
        <f t="shared" si="47"/>
        <v>Misc</v>
      </c>
      <c r="N81" s="291"/>
      <c r="O81" s="291" t="str">
        <f t="shared" si="48"/>
        <v xml:space="preserve">   *** Transaction Fee - Traditional FLATS and ROLLS Method (1 to 10 minutes method): $0.75 per transaction with $150 per monthly cap</v>
      </c>
      <c r="P81" s="291"/>
      <c r="Q81" s="99" t="str">
        <f t="shared" si="49"/>
        <v/>
      </c>
      <c r="R81" s="293" t="str">
        <f>IF(C81="", "",IF(D81&gt;0,D81,
IF($E$55="NY Contract", VLOOKUP(B81,'Raw BOM'!$A$3:$G$495,7,FALSE),
IF($E$55="FL Contract", VLOOKUP(B81,'Raw BOM'!$A$3:$I$495,8,FALSE),
IF($E$55="LA Contract", VLOOKUP(B81,'Raw BOM'!$A$3:$K$495,9,FALSE),
IF($E$55="WA Contract", VLOOKUP(B81,'Raw BOM'!$A$3:$M$495,10,FALSE),
VLOOKUP(B81,'Raw BOM'!$A$3:$D$495,4,FALSE)))))))</f>
        <v/>
      </c>
      <c r="S81" s="293" t="str">
        <f t="shared" si="50"/>
        <v>Misc</v>
      </c>
      <c r="T81" s="293" t="str">
        <f t="shared" si="51"/>
        <v/>
      </c>
      <c r="U81" s="293"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05" t="str">
        <f t="shared" si="33"/>
        <v>Misc</v>
      </c>
      <c r="H82" s="306"/>
      <c r="I82" s="291" t="str">
        <f t="shared" si="45"/>
        <v xml:space="preserve">   *** Transaction Fee - NEW FLATS ONLY Method (10 to 15 second fingerprinting): $4.00 per transaction with no cap ($2.80 per trans for 501(c)(3) organizations)</v>
      </c>
      <c r="J82" s="291"/>
      <c r="K82" s="291" t="str">
        <f t="shared" si="46"/>
        <v>Transaction Fee - NEW FLATS ONLY Method (10 to 15 second fingerprinting): $4.00 per transaction with no cap ($2.80 per trans for 501(c)(3) organizations)</v>
      </c>
      <c r="L82" s="291"/>
      <c r="M82" s="291" t="str">
        <f t="shared" si="47"/>
        <v>Misc</v>
      </c>
      <c r="N82" s="291"/>
      <c r="O82" s="291" t="str">
        <f t="shared" si="48"/>
        <v xml:space="preserve">   *** Transaction Fee - NEW FLATS ONLY Method (10 to 15 second fingerprinting): $4.00 per transaction with no cap ($2.80 per trans for 501(c)(3) organizations)</v>
      </c>
      <c r="P82" s="291"/>
      <c r="Q82" s="99" t="str">
        <f t="shared" si="49"/>
        <v/>
      </c>
      <c r="R82" s="293" t="str">
        <f>IF(C82="", "",IF(D82&gt;0,D82,
IF($E$55="NY Contract", VLOOKUP(B82,'Raw BOM'!$A$3:$G$495,7,FALSE),
IF($E$55="FL Contract", VLOOKUP(B82,'Raw BOM'!$A$3:$I$495,8,FALSE),
IF($E$55="LA Contract", VLOOKUP(B82,'Raw BOM'!$A$3:$K$495,9,FALSE),
IF($E$55="WA Contract", VLOOKUP(B82,'Raw BOM'!$A$3:$M$495,10,FALSE),
VLOOKUP(B82,'Raw BOM'!$A$3:$D$495,4,FALSE)))))))</f>
        <v/>
      </c>
      <c r="S82" s="293" t="str">
        <f t="shared" si="50"/>
        <v>Misc</v>
      </c>
      <c r="T82" s="293" t="str">
        <f t="shared" si="51"/>
        <v/>
      </c>
      <c r="U82" s="293"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05" t="str">
        <f t="shared" si="33"/>
        <v/>
      </c>
      <c r="H83" s="306"/>
      <c r="I83" s="291" t="str">
        <f t="shared" si="45"/>
        <v/>
      </c>
      <c r="J83" s="291"/>
      <c r="K83" s="291" t="str">
        <f t="shared" si="46"/>
        <v/>
      </c>
      <c r="L83" s="291"/>
      <c r="M83" s="291" t="str">
        <f t="shared" si="47"/>
        <v/>
      </c>
      <c r="N83" s="291"/>
      <c r="O83" s="291" t="str">
        <f t="shared" si="48"/>
        <v/>
      </c>
      <c r="P83" s="291"/>
      <c r="Q83" s="99" t="str">
        <f t="shared" si="49"/>
        <v/>
      </c>
      <c r="R83" s="293" t="str">
        <f>IF(C83="", "",IF(D83&gt;0,D83,
IF($E$55="NY Contract", VLOOKUP(B83,'Raw BOM'!$A$3:$G$495,7,FALSE),
IF($E$55="FL Contract", VLOOKUP(B83,'Raw BOM'!$A$3:$I$495,8,FALSE),
IF($E$55="LA Contract", VLOOKUP(B83,'Raw BOM'!$A$3:$K$495,9,FALSE),
IF($E$55="WA Contract", VLOOKUP(B83,'Raw BOM'!$A$3:$M$495,10,FALSE),
VLOOKUP(B83,'Raw BOM'!$A$3:$D$495,4,FALSE)))))))</f>
        <v/>
      </c>
      <c r="S83" s="293" t="str">
        <f t="shared" si="50"/>
        <v/>
      </c>
      <c r="T83" s="293" t="str">
        <f t="shared" si="51"/>
        <v/>
      </c>
      <c r="U83" s="293"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05" t="str">
        <f t="shared" si="33"/>
        <v>Svcs-InstallTrain</v>
      </c>
      <c r="H84" s="306"/>
      <c r="I84" s="291" t="str">
        <f t="shared" si="45"/>
        <v>Services-Installation and Training Session 4hrs (see Service Method for price)</v>
      </c>
      <c r="J84" s="291"/>
      <c r="K84" s="291" t="str">
        <f t="shared" si="46"/>
        <v/>
      </c>
      <c r="L84" s="291"/>
      <c r="M84" s="291" t="str">
        <f t="shared" si="47"/>
        <v>Svcs-InstallTrain</v>
      </c>
      <c r="N84" s="291"/>
      <c r="O84" s="291" t="str">
        <f t="shared" si="48"/>
        <v>Services-Installation and Training Session 4hrs (see Service Method for price)</v>
      </c>
      <c r="P84" s="291"/>
      <c r="Q84" s="99">
        <f t="shared" si="49"/>
        <v>1</v>
      </c>
      <c r="R84" s="293">
        <f>IF(C84="", "",IF(D84&gt;0,D84,
IF($E$55="NY Contract", VLOOKUP(B84,'Raw BOM'!$A$3:$G$495,7,FALSE),
IF($E$55="FL Contract", VLOOKUP(B84,'Raw BOM'!$A$3:$I$495,8,FALSE),
IF($E$55="LA Contract", VLOOKUP(B84,'Raw BOM'!$A$3:$K$495,9,FALSE),
IF($E$55="WA Contract", VLOOKUP(B84,'Raw BOM'!$A$3:$M$495,10,FALSE),
VLOOKUP(B84,'Raw BOM'!$A$3:$D$495,4,FALSE)))))))</f>
        <v>0</v>
      </c>
      <c r="S84" s="293" t="str">
        <f t="shared" si="50"/>
        <v>Svcs-InstallTrain</v>
      </c>
      <c r="T84" s="293">
        <f t="shared" si="51"/>
        <v>0</v>
      </c>
      <c r="U84" s="293"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05" t="str">
        <f t="shared" si="33"/>
        <v>Svcs-Phone</v>
      </c>
      <c r="H85" s="306"/>
      <c r="I85" s="291" t="str">
        <f t="shared" si="45"/>
        <v xml:space="preserve">Services Method-Remote (Phone)   *** To perform services shown in the line above. </v>
      </c>
      <c r="J85" s="291"/>
      <c r="K85" s="291" t="str">
        <f t="shared" si="46"/>
        <v xml:space="preserve">To perform services shown in the line above. </v>
      </c>
      <c r="L85" s="291"/>
      <c r="M85" s="291" t="str">
        <f t="shared" si="47"/>
        <v>Svcs-Phone</v>
      </c>
      <c r="N85" s="291"/>
      <c r="O85" s="291" t="str">
        <f t="shared" si="48"/>
        <v xml:space="preserve">Services Method-Remote (Phone)   *** To perform services shown in the line above. </v>
      </c>
      <c r="P85" s="291"/>
      <c r="Q85" s="99">
        <f t="shared" si="49"/>
        <v>1</v>
      </c>
      <c r="R85" s="293">
        <f>IF(C85="", "",IF(D85&gt;0,D85,
IF($E$55="NY Contract", VLOOKUP(B85,'Raw BOM'!$A$3:$G$495,7,FALSE),
IF($E$55="FL Contract", VLOOKUP(B85,'Raw BOM'!$A$3:$I$495,8,FALSE),
IF($E$55="LA Contract", VLOOKUP(B85,'Raw BOM'!$A$3:$K$495,9,FALSE),
IF($E$55="WA Contract", VLOOKUP(B85,'Raw BOM'!$A$3:$M$495,10,FALSE),
VLOOKUP(B85,'Raw BOM'!$A$3:$D$495,4,FALSE)))))))</f>
        <v>750</v>
      </c>
      <c r="S85" s="293" t="str">
        <f t="shared" si="50"/>
        <v>Svcs-Phone</v>
      </c>
      <c r="T85" s="293">
        <f t="shared" si="51"/>
        <v>750</v>
      </c>
      <c r="U85" s="293"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05" t="str">
        <f t="shared" si="33"/>
        <v/>
      </c>
      <c r="H86" s="306"/>
      <c r="I86" s="291" t="str">
        <f t="shared" si="45"/>
        <v/>
      </c>
      <c r="J86" s="291"/>
      <c r="K86" s="291" t="str">
        <f t="shared" si="46"/>
        <v/>
      </c>
      <c r="L86" s="291"/>
      <c r="M86" s="291" t="str">
        <f t="shared" si="47"/>
        <v/>
      </c>
      <c r="N86" s="291"/>
      <c r="O86" s="291" t="str">
        <f t="shared" si="48"/>
        <v/>
      </c>
      <c r="P86" s="291"/>
      <c r="Q86" s="99" t="str">
        <f t="shared" si="49"/>
        <v/>
      </c>
      <c r="R86" s="293" t="str">
        <f>IF(C86="", "",IF(D86&gt;0,D86,
IF($E$55="NY Contract", VLOOKUP(B86,'Raw BOM'!$A$3:$G$495,7,FALSE),
IF($E$55="FL Contract", VLOOKUP(B86,'Raw BOM'!$A$3:$I$495,8,FALSE),
IF($E$55="LA Contract", VLOOKUP(B86,'Raw BOM'!$A$3:$K$495,9,FALSE),
IF($E$55="WA Contract", VLOOKUP(B86,'Raw BOM'!$A$3:$M$495,10,FALSE),
VLOOKUP(B86,'Raw BOM'!$A$3:$D$495,4,FALSE)))))))</f>
        <v/>
      </c>
      <c r="S86" s="293" t="str">
        <f t="shared" si="50"/>
        <v/>
      </c>
      <c r="T86" s="293" t="str">
        <f t="shared" si="51"/>
        <v/>
      </c>
      <c r="U86" s="293"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05" t="str">
        <f t="shared" si="33"/>
        <v>Ship-L</v>
      </c>
      <c r="H87" s="306"/>
      <c r="I87" s="291" t="str">
        <f t="shared" si="45"/>
        <v>Shipping-Ground for Large Package</v>
      </c>
      <c r="J87" s="291"/>
      <c r="K87" s="291" t="str">
        <f t="shared" si="46"/>
        <v/>
      </c>
      <c r="L87" s="291"/>
      <c r="M87" s="291" t="str">
        <f t="shared" si="47"/>
        <v>Ship-L</v>
      </c>
      <c r="N87" s="291"/>
      <c r="O87" s="291" t="str">
        <f t="shared" si="48"/>
        <v>Shipping-Ground for Large Package</v>
      </c>
      <c r="P87" s="291"/>
      <c r="Q87" s="99">
        <f t="shared" si="49"/>
        <v>1</v>
      </c>
      <c r="R87" s="293">
        <f>IF(C87="", "",IF(D87&gt;0,D87,
IF($E$55="NY Contract", VLOOKUP(B87,'Raw BOM'!$A$3:$G$495,7,FALSE),
IF($E$55="FL Contract", VLOOKUP(B87,'Raw BOM'!$A$3:$I$495,8,FALSE),
IF($E$55="LA Contract", VLOOKUP(B87,'Raw BOM'!$A$3:$K$495,9,FALSE),
IF($E$55="WA Contract", VLOOKUP(B87,'Raw BOM'!$A$3:$M$495,10,FALSE),
VLOOKUP(B87,'Raw BOM'!$A$3:$D$495,4,FALSE)))))))</f>
        <v>60</v>
      </c>
      <c r="S87" s="293" t="str">
        <f t="shared" si="50"/>
        <v>Ship-L</v>
      </c>
      <c r="T87" s="293">
        <f t="shared" si="51"/>
        <v>60</v>
      </c>
      <c r="U87" s="293"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05" t="str">
        <f t="shared" si="33"/>
        <v>Maint-Warr</v>
      </c>
      <c r="H88" s="306"/>
      <c r="I88" s="291" t="str">
        <f t="shared" si="45"/>
        <v>Maintenance-Initial Year Warranty   *** Cross Ship</v>
      </c>
      <c r="J88" s="291"/>
      <c r="K88" s="291" t="str">
        <f t="shared" si="46"/>
        <v>Cross Ship</v>
      </c>
      <c r="L88" s="291"/>
      <c r="M88" s="291" t="str">
        <f t="shared" si="47"/>
        <v>Maint-Warr</v>
      </c>
      <c r="N88" s="291"/>
      <c r="O88" s="291" t="str">
        <f t="shared" si="48"/>
        <v>Maintenance-Initial Year Warranty   *** Cross Ship</v>
      </c>
      <c r="P88" s="291"/>
      <c r="Q88" s="99">
        <f t="shared" si="49"/>
        <v>1</v>
      </c>
      <c r="R88" s="293">
        <f>IF(C88="", "",IF(D88&gt;0,D88,
IF($E$55="NY Contract", VLOOKUP(B88,'Raw BOM'!$A$3:$G$495,7,FALSE),
IF($E$55="FL Contract", VLOOKUP(B88,'Raw BOM'!$A$3:$I$495,8,FALSE),
IF($E$55="LA Contract", VLOOKUP(B88,'Raw BOM'!$A$3:$K$495,9,FALSE),
IF($E$55="WA Contract", VLOOKUP(B88,'Raw BOM'!$A$3:$M$495,10,FALSE),
VLOOKUP(B88,'Raw BOM'!$A$3:$D$495,4,FALSE)))))))</f>
        <v>0</v>
      </c>
      <c r="S88" s="293" t="str">
        <f t="shared" si="50"/>
        <v>Maint-Warr</v>
      </c>
      <c r="T88" s="293">
        <f t="shared" si="51"/>
        <v>0</v>
      </c>
      <c r="U88" s="293"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05" t="str">
        <f t="shared" si="33"/>
        <v>Misc</v>
      </c>
      <c r="H89" s="306"/>
      <c r="I89" s="291" t="str">
        <f t="shared" si="45"/>
        <v xml:space="preserve">   *** Pick one of the following 2 Maintenance options in the 12th month.  We recommend picking 2nd line if processing more than 1,200 transactions per year.</v>
      </c>
      <c r="J89" s="291"/>
      <c r="K89" s="291" t="str">
        <f t="shared" si="46"/>
        <v>Pick one of the following 2 Maintenance options in the 12th month.  We recommend picking 2nd line if processing more than 1,200 transactions per year.</v>
      </c>
      <c r="L89" s="291"/>
      <c r="M89" s="291" t="str">
        <f t="shared" si="47"/>
        <v>Misc</v>
      </c>
      <c r="N89" s="291"/>
      <c r="O89" s="291" t="str">
        <f t="shared" si="48"/>
        <v xml:space="preserve">   *** Pick one of the following 2 Maintenance options in the 12th month.  We recommend picking 2nd line if processing more than 1,200 transactions per year.</v>
      </c>
      <c r="P89" s="291"/>
      <c r="Q89" s="99" t="str">
        <f t="shared" si="49"/>
        <v/>
      </c>
      <c r="R89" s="293" t="str">
        <f>IF(C89="", "",IF(D89&gt;0,D89,
IF($E$55="NY Contract", VLOOKUP(B89,'Raw BOM'!$A$3:$G$495,7,FALSE),
IF($E$55="FL Contract", VLOOKUP(B89,'Raw BOM'!$A$3:$I$495,8,FALSE),
IF($E$55="LA Contract", VLOOKUP(B89,'Raw BOM'!$A$3:$K$495,9,FALSE),
IF($E$55="WA Contract", VLOOKUP(B89,'Raw BOM'!$A$3:$M$495,10,FALSE),
VLOOKUP(B89,'Raw BOM'!$A$3:$D$495,4,FALSE)))))))</f>
        <v/>
      </c>
      <c r="S89" s="293" t="str">
        <f t="shared" si="50"/>
        <v>Misc</v>
      </c>
      <c r="T89" s="293" t="str">
        <f t="shared" si="51"/>
        <v/>
      </c>
      <c r="U89" s="293"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664</v>
      </c>
      <c r="C90" s="43">
        <f>IF('Blank Quote'!C36&lt;&gt;"", 'Blank Quote'!C36, "")</f>
        <v>0</v>
      </c>
      <c r="D90" s="44">
        <v>595</v>
      </c>
      <c r="E90" s="50" t="str">
        <f>IF('Blank Quote'!E36&lt;&gt;"", 'Blank Quote'!E36, "")</f>
        <v>Software Only coverage, per system</v>
      </c>
      <c r="F90" s="251">
        <f>ROUND(S95*0.08,-1)</f>
        <v>610</v>
      </c>
      <c r="G90" s="305" t="str">
        <f t="shared" si="33"/>
        <v>Maint-9X5-SW-App</v>
      </c>
      <c r="H90" s="306"/>
      <c r="I90" s="291" t="str">
        <f t="shared" si="34"/>
        <v>Maintenance-9X5 Software Only Support Applicant   *** Software Only coverage, per system</v>
      </c>
      <c r="J90" s="291"/>
      <c r="K90" s="291" t="str">
        <f t="shared" si="35"/>
        <v>Software Only coverage, per system</v>
      </c>
      <c r="L90" s="291"/>
      <c r="M90" s="291" t="str">
        <f t="shared" si="36"/>
        <v>Maint-9X5-SW-App</v>
      </c>
      <c r="N90" s="291"/>
      <c r="O90" s="291" t="str">
        <f t="shared" si="37"/>
        <v>Maintenance-9X5 Software Only Support Applicant   *** Software Only coverage, per system</v>
      </c>
      <c r="P90" s="291"/>
      <c r="Q90" s="99">
        <f t="shared" si="38"/>
        <v>0</v>
      </c>
      <c r="R90" s="405">
        <f t="shared" ref="R90" si="55">IF(D90="", "", D90)</f>
        <v>595</v>
      </c>
      <c r="S90" s="405" t="str">
        <f t="shared" ref="S90" si="56">IF(E90="", "", E90)</f>
        <v>Software Only coverage, per system</v>
      </c>
      <c r="T90" s="293">
        <f t="shared" ref="T90" si="57">IF(C90="", "", Q90*R90)</f>
        <v>0</v>
      </c>
      <c r="U90" s="293"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660</v>
      </c>
      <c r="C91" s="43">
        <f>IF('Blank Quote'!C37&lt;&gt;"", 'Blank Quote'!C37, "")</f>
        <v>0</v>
      </c>
      <c r="D91" s="44">
        <v>1190</v>
      </c>
      <c r="E91" s="50" t="str">
        <f>IF('Blank Quote'!E37&lt;&gt;"", 'Blank Quote'!E37, "")</f>
        <v>Software and Hardware Coverage, per system</v>
      </c>
      <c r="F91" s="251">
        <f>ROUND(S95*0.12,-1)</f>
        <v>910</v>
      </c>
      <c r="G91" s="305" t="str">
        <f t="shared" si="33"/>
        <v>Maint-9X5-Remote</v>
      </c>
      <c r="H91" s="306"/>
      <c r="I91" s="291" t="str">
        <f t="shared" ref="I91" si="59">IF(B91&lt;&gt;"", B91, "")&amp;IF(E91&lt;&gt;"", "   *** "&amp;E91, "")</f>
        <v>Maintenance-9 X 5 (8am - 5pm, M-F) Remote with Cross Ship   *** Software and Hardware Coverage, per system</v>
      </c>
      <c r="J91" s="291"/>
      <c r="K91" s="291" t="str">
        <f t="shared" ref="K91" si="60">E91</f>
        <v>Software and Hardware Coverage, per system</v>
      </c>
      <c r="L91" s="291"/>
      <c r="M91" s="291" t="str">
        <f t="shared" ref="M91" si="61">G91</f>
        <v>Maint-9X5-Remote</v>
      </c>
      <c r="N91" s="291"/>
      <c r="O91" s="291" t="str">
        <f t="shared" ref="O91" si="62">I91</f>
        <v>Maintenance-9 X 5 (8am - 5pm, M-F) Remote with Cross Ship   *** Software and Hardware Coverage, per system</v>
      </c>
      <c r="P91" s="291"/>
      <c r="Q91" s="99">
        <f t="shared" ref="Q91:Q93" si="63">IF(C91="", "", C91)</f>
        <v>0</v>
      </c>
      <c r="R91" s="405">
        <f t="shared" ref="R91:R93" si="64">IF(D91="", "", D91)</f>
        <v>1190</v>
      </c>
      <c r="S91" s="405" t="str">
        <f t="shared" ref="S91:S93" si="65">IF(E91="", "", E91)</f>
        <v>Software and Hardware Coverage, per system</v>
      </c>
      <c r="T91" s="293">
        <f t="shared" ref="T91" si="66">IF(C91="", "", Q91*R91)</f>
        <v>0</v>
      </c>
      <c r="U91" s="293"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11" t="str">
        <f t="shared" si="33"/>
        <v/>
      </c>
      <c r="H92" s="412"/>
      <c r="I92" s="291" t="str">
        <f t="shared" ref="I92:I93" si="68">IF(B92&lt;&gt;"", B92, "")&amp;IF(E92&lt;&gt;"", "   *** "&amp;E92, "")</f>
        <v/>
      </c>
      <c r="J92" s="291"/>
      <c r="K92" s="291" t="str">
        <f t="shared" ref="K92:K93" si="69">E92</f>
        <v/>
      </c>
      <c r="L92" s="291"/>
      <c r="M92" s="291" t="str">
        <f t="shared" ref="M92:M93" si="70">G92</f>
        <v/>
      </c>
      <c r="N92" s="291"/>
      <c r="O92" s="291" t="str">
        <f t="shared" ref="O92:O93" si="71">I92</f>
        <v/>
      </c>
      <c r="P92" s="291"/>
      <c r="Q92" s="99" t="str">
        <f t="shared" si="63"/>
        <v/>
      </c>
      <c r="R92" s="293" t="str">
        <f t="shared" si="64"/>
        <v/>
      </c>
      <c r="S92" s="293" t="str">
        <f t="shared" si="65"/>
        <v/>
      </c>
      <c r="T92" s="293" t="str">
        <f t="shared" ref="T92:T93" si="72">IF(C92="", "", Q92*R92)</f>
        <v/>
      </c>
      <c r="U92" s="293"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298" t="str">
        <f t="shared" si="68"/>
        <v/>
      </c>
      <c r="J93" s="298"/>
      <c r="K93" s="298" t="str">
        <f t="shared" si="69"/>
        <v/>
      </c>
      <c r="L93" s="298"/>
      <c r="M93" s="298" t="str">
        <f t="shared" si="70"/>
        <v/>
      </c>
      <c r="N93" s="298"/>
      <c r="O93" s="298" t="str">
        <f t="shared" si="71"/>
        <v/>
      </c>
      <c r="P93" s="298"/>
      <c r="Q93" s="96" t="str">
        <f t="shared" si="63"/>
        <v/>
      </c>
      <c r="R93" s="300" t="str">
        <f t="shared" si="64"/>
        <v/>
      </c>
      <c r="S93" s="300" t="str">
        <f t="shared" si="65"/>
        <v/>
      </c>
      <c r="T93" s="300" t="str">
        <f t="shared" si="72"/>
        <v/>
      </c>
      <c r="U93" s="300"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47" t="s">
        <v>1513</v>
      </c>
      <c r="H95" s="348"/>
      <c r="I95" s="348"/>
      <c r="J95" s="348"/>
      <c r="K95" s="348"/>
      <c r="L95" s="348"/>
      <c r="M95" s="349"/>
      <c r="N95" s="356" t="str">
        <f>'Blank Quote'!$N$41:$O$41</f>
        <v>QS: 20191222</v>
      </c>
      <c r="O95" s="357"/>
      <c r="P95" s="57"/>
      <c r="Q95" s="57"/>
      <c r="R95" s="58" t="s">
        <v>333</v>
      </c>
      <c r="S95" s="341">
        <f>SUMIF(T73:U89,"&gt;0")</f>
        <v>7620</v>
      </c>
      <c r="T95" s="342"/>
      <c r="U95" s="343"/>
      <c r="V95" s="59"/>
    </row>
    <row r="96" spans="1:28" ht="15" customHeight="1" outlineLevel="1" thickBot="1" x14ac:dyDescent="0.3">
      <c r="A96" s="249"/>
      <c r="B96" s="249"/>
      <c r="C96" s="249"/>
      <c r="D96" s="249"/>
      <c r="E96" s="249"/>
      <c r="G96" s="350"/>
      <c r="H96" s="351"/>
      <c r="I96" s="351"/>
      <c r="J96" s="351"/>
      <c r="K96" s="351"/>
      <c r="L96" s="351"/>
      <c r="M96" s="352"/>
      <c r="N96" s="356" t="str">
        <f>'Blank Quote'!$N$42:$O$42</f>
        <v>PT: Apte</v>
      </c>
      <c r="O96" s="357"/>
      <c r="P96" s="57"/>
      <c r="Q96" s="57"/>
      <c r="R96" s="58" t="str">
        <f>IF(X96&gt;0,"Discount on Taxable Items:", "")</f>
        <v>Discount on Taxable Items:</v>
      </c>
      <c r="S96" s="344">
        <f>IF(X96&gt;0, -X96, 0)</f>
        <v>-926</v>
      </c>
      <c r="T96" s="345"/>
      <c r="U96" s="346"/>
      <c r="V96" s="258">
        <f>S96/S95</f>
        <v>-0.12152230971128609</v>
      </c>
      <c r="X96" s="61">
        <f>SUM(AA73:AA93)</f>
        <v>926</v>
      </c>
    </row>
    <row r="97" spans="1:24" ht="15" customHeight="1" outlineLevel="1" thickBot="1" x14ac:dyDescent="0.3">
      <c r="A97" s="249"/>
      <c r="B97" s="249"/>
      <c r="C97" s="249"/>
      <c r="D97" s="249"/>
      <c r="E97" s="249"/>
      <c r="G97" s="350"/>
      <c r="H97" s="351"/>
      <c r="I97" s="351"/>
      <c r="J97" s="351"/>
      <c r="K97" s="351"/>
      <c r="L97" s="351"/>
      <c r="M97" s="352"/>
      <c r="N97" s="56"/>
      <c r="P97" s="57"/>
      <c r="R97" s="58" t="str">
        <f>IF(X97&gt;0,"Discount on Non-Taxable Items:", "")</f>
        <v>Discount on Non-Taxable Items:</v>
      </c>
      <c r="S97" s="341">
        <f>IF(X97&gt;0, -X97, 0)+SUMIF(T73:U89,"&lt;0")</f>
        <v>-1289.2</v>
      </c>
      <c r="T97" s="342"/>
      <c r="U97" s="343"/>
      <c r="V97" s="256">
        <f>S97/S95</f>
        <v>-0.16918635170603674</v>
      </c>
      <c r="X97" s="61">
        <f>SUM(AB73:AB93)</f>
        <v>1289.2</v>
      </c>
    </row>
    <row r="98" spans="1:24" ht="15" customHeight="1" outlineLevel="1" thickBot="1" x14ac:dyDescent="0.3">
      <c r="A98" s="249"/>
      <c r="B98" s="249"/>
      <c r="C98" s="249"/>
      <c r="D98" s="249"/>
      <c r="E98" s="249"/>
      <c r="G98" s="350"/>
      <c r="H98" s="351"/>
      <c r="I98" s="351"/>
      <c r="J98" s="351"/>
      <c r="K98" s="351"/>
      <c r="L98" s="351"/>
      <c r="M98" s="352"/>
      <c r="N98" s="56"/>
      <c r="P98" s="57"/>
      <c r="R98" s="58" t="s">
        <v>1442</v>
      </c>
      <c r="S98" s="341">
        <f>SUM(T90:U93)</f>
        <v>0</v>
      </c>
      <c r="T98" s="342"/>
      <c r="U98" s="343"/>
      <c r="V98" s="201"/>
      <c r="X98" s="61"/>
    </row>
    <row r="99" spans="1:24" ht="15" customHeight="1" outlineLevel="1" thickBot="1" x14ac:dyDescent="0.3">
      <c r="A99" s="249"/>
      <c r="B99" s="249"/>
      <c r="C99" s="249"/>
      <c r="D99" s="249"/>
      <c r="E99" s="249"/>
      <c r="G99" s="350"/>
      <c r="H99" s="351"/>
      <c r="I99" s="351"/>
      <c r="J99" s="351"/>
      <c r="K99" s="351"/>
      <c r="L99" s="351"/>
      <c r="M99" s="352"/>
      <c r="N99" s="56"/>
      <c r="P99" s="57"/>
      <c r="Q99" s="57"/>
      <c r="R99" s="58" t="s">
        <v>649</v>
      </c>
      <c r="S99" s="344" t="str">
        <f>IF(B65=0, "Tax Exempt or TBD", X99)</f>
        <v>Tax Exempt or TBD</v>
      </c>
      <c r="T99" s="345"/>
      <c r="U99" s="345"/>
      <c r="V99" s="257">
        <f>B65</f>
        <v>0</v>
      </c>
      <c r="X99" s="61">
        <f>SUM(X73:X93)</f>
        <v>0</v>
      </c>
    </row>
    <row r="100" spans="1:24" ht="15" customHeight="1" outlineLevel="1" thickBot="1" x14ac:dyDescent="0.3">
      <c r="A100" s="249"/>
      <c r="B100" s="249"/>
      <c r="C100" s="249"/>
      <c r="D100" s="249"/>
      <c r="E100" s="249"/>
      <c r="G100" s="353"/>
      <c r="H100" s="354"/>
      <c r="I100" s="354"/>
      <c r="J100" s="354"/>
      <c r="K100" s="354"/>
      <c r="L100" s="354"/>
      <c r="M100" s="355"/>
      <c r="N100" s="56"/>
      <c r="P100" s="57"/>
      <c r="Q100" s="57"/>
      <c r="R100" s="58" t="s">
        <v>334</v>
      </c>
      <c r="S100" s="374">
        <f>SUM(S95:U99)</f>
        <v>5404.8</v>
      </c>
      <c r="T100" s="375"/>
      <c r="U100" s="376"/>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65"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66"/>
      <c r="I102" s="366"/>
      <c r="J102" s="366"/>
      <c r="K102" s="366"/>
      <c r="L102" s="366"/>
      <c r="M102" s="366"/>
      <c r="N102" s="366"/>
      <c r="O102" s="366"/>
      <c r="P102" s="366"/>
      <c r="Q102" s="366"/>
      <c r="R102" s="366"/>
      <c r="S102" s="366"/>
      <c r="T102" s="366"/>
      <c r="U102" s="366"/>
      <c r="V102" s="367"/>
    </row>
    <row r="103" spans="1:24" ht="13.5" customHeight="1" outlineLevel="1" x14ac:dyDescent="0.25">
      <c r="A103" s="249"/>
      <c r="B103" s="249"/>
      <c r="C103" s="249"/>
      <c r="D103" s="249"/>
      <c r="E103" s="249"/>
      <c r="G103" s="368"/>
      <c r="H103" s="369"/>
      <c r="I103" s="369"/>
      <c r="J103" s="369"/>
      <c r="K103" s="369"/>
      <c r="L103" s="369"/>
      <c r="M103" s="369"/>
      <c r="N103" s="369"/>
      <c r="O103" s="369"/>
      <c r="P103" s="369"/>
      <c r="Q103" s="369"/>
      <c r="R103" s="369"/>
      <c r="S103" s="369"/>
      <c r="T103" s="369"/>
      <c r="U103" s="369"/>
      <c r="V103" s="370"/>
    </row>
    <row r="104" spans="1:24" ht="13.5" customHeight="1" outlineLevel="1" x14ac:dyDescent="0.25">
      <c r="A104" s="249"/>
      <c r="B104" s="249"/>
      <c r="C104" s="249"/>
      <c r="D104" s="249"/>
      <c r="E104" s="249"/>
      <c r="G104" s="368"/>
      <c r="H104" s="369"/>
      <c r="I104" s="369"/>
      <c r="J104" s="369"/>
      <c r="K104" s="369"/>
      <c r="L104" s="369"/>
      <c r="M104" s="369"/>
      <c r="N104" s="369"/>
      <c r="O104" s="369"/>
      <c r="P104" s="369"/>
      <c r="Q104" s="369"/>
      <c r="R104" s="369"/>
      <c r="S104" s="369"/>
      <c r="T104" s="369"/>
      <c r="U104" s="369"/>
      <c r="V104" s="370"/>
    </row>
    <row r="105" spans="1:24" ht="13.5" customHeight="1" outlineLevel="1" x14ac:dyDescent="0.25">
      <c r="A105" s="249"/>
      <c r="B105" s="249"/>
      <c r="C105" s="249"/>
      <c r="D105" s="249"/>
      <c r="E105" s="249"/>
      <c r="G105" s="368"/>
      <c r="H105" s="369"/>
      <c r="I105" s="369"/>
      <c r="J105" s="369"/>
      <c r="K105" s="369"/>
      <c r="L105" s="369"/>
      <c r="M105" s="369"/>
      <c r="N105" s="369"/>
      <c r="O105" s="369"/>
      <c r="P105" s="369"/>
      <c r="Q105" s="369"/>
      <c r="R105" s="369"/>
      <c r="S105" s="369"/>
      <c r="T105" s="369"/>
      <c r="U105" s="369"/>
      <c r="V105" s="370"/>
    </row>
    <row r="106" spans="1:24" ht="13.5" customHeight="1" outlineLevel="1" x14ac:dyDescent="0.25">
      <c r="A106" s="249"/>
      <c r="B106" s="249"/>
      <c r="C106" s="249"/>
      <c r="D106" s="249"/>
      <c r="E106" s="249"/>
      <c r="G106" s="368"/>
      <c r="H106" s="369"/>
      <c r="I106" s="369"/>
      <c r="J106" s="369"/>
      <c r="K106" s="369"/>
      <c r="L106" s="369"/>
      <c r="M106" s="369"/>
      <c r="N106" s="369"/>
      <c r="O106" s="369"/>
      <c r="P106" s="369"/>
      <c r="Q106" s="369"/>
      <c r="R106" s="369"/>
      <c r="S106" s="369"/>
      <c r="T106" s="369"/>
      <c r="U106" s="369"/>
      <c r="V106" s="370"/>
    </row>
    <row r="107" spans="1:24" ht="13.5" customHeight="1" outlineLevel="1" x14ac:dyDescent="0.25">
      <c r="A107" s="249"/>
      <c r="B107" s="249"/>
      <c r="C107" s="249"/>
      <c r="D107" s="249"/>
      <c r="E107" s="249"/>
      <c r="G107" s="368"/>
      <c r="H107" s="369"/>
      <c r="I107" s="369"/>
      <c r="J107" s="369"/>
      <c r="K107" s="369"/>
      <c r="L107" s="369"/>
      <c r="M107" s="369"/>
      <c r="N107" s="369"/>
      <c r="O107" s="369"/>
      <c r="P107" s="369"/>
      <c r="Q107" s="369"/>
      <c r="R107" s="369"/>
      <c r="S107" s="369"/>
      <c r="T107" s="369"/>
      <c r="U107" s="369"/>
      <c r="V107" s="370"/>
    </row>
    <row r="108" spans="1:24" ht="12.95" customHeight="1" outlineLevel="1" thickBot="1" x14ac:dyDescent="0.3">
      <c r="A108" s="249"/>
      <c r="B108" s="249"/>
      <c r="C108" s="249"/>
      <c r="D108" s="249"/>
      <c r="E108" s="249"/>
      <c r="G108" s="371"/>
      <c r="H108" s="372"/>
      <c r="I108" s="372"/>
      <c r="J108" s="372"/>
      <c r="K108" s="372"/>
      <c r="L108" s="372"/>
      <c r="M108" s="372"/>
      <c r="N108" s="372"/>
      <c r="O108" s="372"/>
      <c r="P108" s="372"/>
      <c r="Q108" s="372"/>
      <c r="R108" s="372"/>
      <c r="S108" s="372"/>
      <c r="T108" s="372"/>
      <c r="U108" s="372"/>
      <c r="V108" s="373"/>
    </row>
    <row r="109" spans="1:24" ht="17.45" customHeight="1" outlineLevel="1" thickTop="1" thickBot="1" x14ac:dyDescent="0.3">
      <c r="A109" s="13" t="str">
        <f>'Blank Quote'!$A1</f>
        <v>Pricing Type</v>
      </c>
      <c r="B109" s="14" t="s">
        <v>676</v>
      </c>
      <c r="C109" s="425" t="s">
        <v>390</v>
      </c>
      <c r="D109" s="377"/>
      <c r="E109" s="15" t="str">
        <f>VLOOKUP(B109,'Pricing Model'!A1:C21,3)</f>
        <v>Discount Based</v>
      </c>
    </row>
    <row r="110" spans="1:24" ht="24" customHeight="1" outlineLevel="1" thickBot="1" x14ac:dyDescent="0.3">
      <c r="A110" s="17" t="str">
        <f>'Blank Quote'!$A2</f>
        <v>Company / Agency</v>
      </c>
      <c r="B110" s="18" t="str">
        <f>'Blank Quote'!B2</f>
        <v>Business Name</v>
      </c>
      <c r="C110" s="379" t="s">
        <v>445</v>
      </c>
      <c r="D110" s="380"/>
      <c r="E110" s="252">
        <f>IF(E109="Discount Based", VLOOKUP(B109,'Pricing Model'!A1:D21,4), "")</f>
        <v>0.2</v>
      </c>
      <c r="P110" s="410" t="s">
        <v>1510</v>
      </c>
      <c r="Q110" s="410"/>
      <c r="R110" s="410"/>
      <c r="S110" s="410"/>
      <c r="T110" s="410"/>
      <c r="U110" s="410"/>
    </row>
    <row r="111" spans="1:24" ht="18" customHeight="1" outlineLevel="1" x14ac:dyDescent="0.25">
      <c r="A111" s="17" t="str">
        <f>'Blank Quote'!$A3</f>
        <v>Billing Contact</v>
      </c>
      <c r="B111" s="18" t="str">
        <f>'Blank Quote'!B3</f>
        <v>FirstName LastName</v>
      </c>
      <c r="C111" s="379" t="s">
        <v>446</v>
      </c>
      <c r="D111" s="380"/>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Number | email</v>
      </c>
      <c r="C112" s="379" t="s">
        <v>447</v>
      </c>
      <c r="D112" s="380"/>
      <c r="E112" s="19" t="str">
        <f>IF(E109="Cost Based", VLOOKUP(B109,'Pricing Model'!A1:F21,6), "")</f>
        <v/>
      </c>
      <c r="G112" s="322" t="s">
        <v>145</v>
      </c>
      <c r="H112" s="322"/>
      <c r="I112" s="322"/>
      <c r="J112" s="322"/>
      <c r="K112" s="322"/>
      <c r="L112" s="322"/>
      <c r="M112" s="22"/>
      <c r="N112" s="264" t="str">
        <f>IF('Blank Quote'!$E$7&lt;&gt;"","LSID: "&amp;'Blank Quote'!$E$7, "")</f>
        <v/>
      </c>
      <c r="P112" s="321" t="s">
        <v>142</v>
      </c>
      <c r="Q112" s="321"/>
      <c r="R112" s="321"/>
      <c r="S112" s="321"/>
      <c r="T112" s="321"/>
      <c r="U112" s="321"/>
    </row>
    <row r="113" spans="1:28" ht="18" customHeight="1" outlineLevel="1" thickBot="1" x14ac:dyDescent="0.3">
      <c r="A113" s="20" t="str">
        <f>'Blank Quote'!$A5</f>
        <v>Bill To Address</v>
      </c>
      <c r="B113" s="21" t="str">
        <f>'Blank Quote'!B5</f>
        <v>Address1</v>
      </c>
      <c r="C113" s="381" t="s">
        <v>448</v>
      </c>
      <c r="D113" s="382"/>
      <c r="E113" s="23" t="str">
        <f>IF(E109="Cost Based", VLOOKUP(B109,'Pricing Model'!A1:G21,7), "")</f>
        <v/>
      </c>
      <c r="G113" s="322" t="s">
        <v>1933</v>
      </c>
      <c r="H113" s="322"/>
      <c r="I113" s="322"/>
      <c r="J113" s="322"/>
      <c r="K113" s="322"/>
      <c r="L113" s="322"/>
      <c r="M113" s="22"/>
    </row>
    <row r="114" spans="1:28" ht="18" customHeight="1" outlineLevel="1" thickBot="1" x14ac:dyDescent="0.3">
      <c r="A114" s="20" t="str">
        <f>'Blank Quote'!$A6</f>
        <v>City, State Zip</v>
      </c>
      <c r="B114" s="24" t="str">
        <f>'Blank Quote'!B6</f>
        <v>City, State Zip</v>
      </c>
      <c r="C114" s="25"/>
      <c r="D114" s="25"/>
      <c r="E114" s="25"/>
      <c r="G114" s="322" t="s">
        <v>146</v>
      </c>
      <c r="H114" s="322"/>
      <c r="I114" s="322"/>
      <c r="J114" s="322"/>
      <c r="K114" s="322"/>
      <c r="L114" s="322"/>
      <c r="M114" s="22"/>
      <c r="P114" s="321" t="s">
        <v>147</v>
      </c>
      <c r="Q114" s="321"/>
      <c r="R114" s="321"/>
      <c r="S114" s="321"/>
      <c r="T114" s="321"/>
      <c r="U114" s="321"/>
    </row>
    <row r="115" spans="1:28" ht="6" customHeight="1" outlineLevel="1" thickBot="1" x14ac:dyDescent="0.4">
      <c r="A115" s="17" t="str">
        <f>'Blank Quote'!$A7</f>
        <v>Shipping Contact</v>
      </c>
      <c r="B115" s="18" t="str">
        <f>'Blank Quote'!B7</f>
        <v>FirstName LastName</v>
      </c>
      <c r="C115" s="25"/>
      <c r="D115" s="25"/>
      <c r="E115" s="25"/>
      <c r="G115" s="26"/>
    </row>
    <row r="116" spans="1:28" ht="18" customHeight="1" outlineLevel="1" thickBot="1" x14ac:dyDescent="0.35">
      <c r="A116" s="20" t="str">
        <f>'Blank Quote'!$A8</f>
        <v>Ship Email | Phone</v>
      </c>
      <c r="B116" s="21" t="str">
        <f>'Blank Quote'!B8</f>
        <v>Number | email</v>
      </c>
      <c r="C116" s="25"/>
      <c r="D116" s="25"/>
      <c r="E116" s="25"/>
      <c r="G116" s="323" t="s">
        <v>118</v>
      </c>
      <c r="H116" s="324"/>
      <c r="I116" s="324"/>
      <c r="J116" s="324"/>
      <c r="K116" s="324"/>
      <c r="L116" s="324"/>
      <c r="M116" s="325"/>
      <c r="O116" s="323" t="s">
        <v>122</v>
      </c>
      <c r="P116" s="324"/>
      <c r="Q116" s="324"/>
      <c r="R116" s="324"/>
      <c r="S116" s="324"/>
      <c r="T116" s="324"/>
      <c r="U116" s="324"/>
      <c r="V116" s="325"/>
    </row>
    <row r="117" spans="1:28" ht="18" customHeight="1" outlineLevel="1" x14ac:dyDescent="0.25">
      <c r="A117" s="20" t="str">
        <f>'Blank Quote'!$A9</f>
        <v>Ship To Address</v>
      </c>
      <c r="B117" s="21" t="str">
        <f>'Blank Quote'!B9</f>
        <v>Address1</v>
      </c>
      <c r="C117" s="25"/>
      <c r="D117" s="25"/>
      <c r="E117" s="25"/>
      <c r="G117" s="335" t="str">
        <f>IF('Blank Quote'!B2="", "", 'Blank Quote'!B2)</f>
        <v>Business Name</v>
      </c>
      <c r="H117" s="336"/>
      <c r="I117" s="336"/>
      <c r="J117" s="336"/>
      <c r="K117" s="336"/>
      <c r="L117" s="336"/>
      <c r="M117" s="337"/>
      <c r="O117" s="326" t="str">
        <f>IF('Blank Quote'!B2="", "", 'Blank Quote'!B2)</f>
        <v>Business Name</v>
      </c>
      <c r="P117" s="327"/>
      <c r="Q117" s="327"/>
      <c r="R117" s="327"/>
      <c r="S117" s="327"/>
      <c r="T117" s="327"/>
      <c r="U117" s="327"/>
      <c r="V117" s="328"/>
    </row>
    <row r="118" spans="1:28" ht="18" customHeight="1" outlineLevel="1" thickBot="1" x14ac:dyDescent="0.3">
      <c r="A118" s="27" t="str">
        <f>'Blank Quote'!$A10</f>
        <v>City, State Zip</v>
      </c>
      <c r="B118" s="24" t="str">
        <f>'Blank Quote'!B10</f>
        <v>City, State Zip</v>
      </c>
      <c r="C118" s="25"/>
      <c r="D118" s="25"/>
      <c r="E118" s="25"/>
      <c r="G118" s="326" t="str">
        <f>IF('Blank Quote'!B3="", "", 'Blank Quote'!B3)</f>
        <v>FirstName LastName</v>
      </c>
      <c r="H118" s="327"/>
      <c r="I118" s="327"/>
      <c r="J118" s="327"/>
      <c r="K118" s="327"/>
      <c r="L118" s="327"/>
      <c r="M118" s="328"/>
      <c r="O118" s="326" t="str">
        <f>IF('Blank Quote'!B7="", "", 'Blank Quote'!B7)</f>
        <v>FirstName LastName</v>
      </c>
      <c r="P118" s="327"/>
      <c r="Q118" s="327"/>
      <c r="R118" s="327"/>
      <c r="S118" s="327"/>
      <c r="T118" s="327"/>
      <c r="U118" s="327"/>
      <c r="V118" s="328"/>
    </row>
    <row r="119" spans="1:28" ht="18" customHeight="1" outlineLevel="1" thickBot="1" x14ac:dyDescent="0.3">
      <c r="A119" s="27" t="str">
        <f>'Blank Quote'!$A11</f>
        <v>Sales Tax Rate</v>
      </c>
      <c r="B119" s="28">
        <f>'Blank Quote'!B11</f>
        <v>0</v>
      </c>
      <c r="C119" s="25"/>
      <c r="D119" s="25"/>
      <c r="E119" s="25"/>
      <c r="G119" s="326" t="str">
        <f>IF('Blank Quote'!B4="", "", 'Blank Quote'!B4)</f>
        <v>Number | email</v>
      </c>
      <c r="H119" s="327"/>
      <c r="I119" s="327"/>
      <c r="J119" s="327"/>
      <c r="K119" s="327"/>
      <c r="L119" s="327"/>
      <c r="M119" s="328"/>
      <c r="O119" s="326" t="str">
        <f>IF('Blank Quote'!B8="", "", 'Blank Quote'!B8)</f>
        <v>Number | email</v>
      </c>
      <c r="P119" s="327"/>
      <c r="Q119" s="327"/>
      <c r="R119" s="327"/>
      <c r="S119" s="327"/>
      <c r="T119" s="327"/>
      <c r="U119" s="327"/>
      <c r="V119" s="328"/>
    </row>
    <row r="120" spans="1:28" ht="18" customHeight="1" outlineLevel="1" thickBot="1" x14ac:dyDescent="0.3">
      <c r="A120" s="13" t="str">
        <f>'Blank Quote'!$A12</f>
        <v>Sales Rep</v>
      </c>
      <c r="B120" s="29" t="str">
        <f>'Blank Quote'!B12</f>
        <v>EC</v>
      </c>
      <c r="C120" s="25"/>
      <c r="D120" s="25"/>
      <c r="E120" s="25"/>
      <c r="G120" s="326" t="str">
        <f>IF('Blank Quote'!B5="", "", 'Blank Quote'!B5)</f>
        <v>Address1</v>
      </c>
      <c r="H120" s="327"/>
      <c r="I120" s="327"/>
      <c r="J120" s="327"/>
      <c r="K120" s="327"/>
      <c r="L120" s="327"/>
      <c r="M120" s="328"/>
      <c r="O120" s="326" t="str">
        <f>IF('Blank Quote'!B9="", "", 'Blank Quote'!B9)</f>
        <v>Address1</v>
      </c>
      <c r="P120" s="327"/>
      <c r="Q120" s="327"/>
      <c r="R120" s="327"/>
      <c r="S120" s="327"/>
      <c r="T120" s="327"/>
      <c r="U120" s="327"/>
      <c r="V120" s="328"/>
    </row>
    <row r="121" spans="1:28" ht="18" customHeight="1" outlineLevel="1" thickBot="1" x14ac:dyDescent="0.3">
      <c r="A121" s="13" t="str">
        <f>'Blank Quote'!$A13</f>
        <v>Shipping Method</v>
      </c>
      <c r="B121" s="30" t="str">
        <f>'Blank Quote'!B13</f>
        <v>Ground</v>
      </c>
      <c r="C121" s="25"/>
      <c r="D121" s="25"/>
      <c r="E121" s="25"/>
      <c r="G121" s="338" t="str">
        <f>IF('Blank Quote'!B6="", "", 'Blank Quote'!B6)</f>
        <v>City, State Zip</v>
      </c>
      <c r="H121" s="339"/>
      <c r="I121" s="339"/>
      <c r="J121" s="339"/>
      <c r="K121" s="339"/>
      <c r="L121" s="339"/>
      <c r="M121" s="340"/>
      <c r="O121" s="338" t="str">
        <f>IF('Blank Quote'!B10="", "", 'Blank Quote'!B10)</f>
        <v>City, State Zip</v>
      </c>
      <c r="P121" s="339"/>
      <c r="Q121" s="339"/>
      <c r="R121" s="339"/>
      <c r="S121" s="339"/>
      <c r="T121" s="339"/>
      <c r="U121" s="339"/>
      <c r="V121" s="340"/>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310" t="s">
        <v>119</v>
      </c>
      <c r="H123" s="312"/>
      <c r="I123" s="310" t="s">
        <v>120</v>
      </c>
      <c r="J123" s="311"/>
      <c r="K123" s="312"/>
      <c r="L123" s="310" t="s">
        <v>121</v>
      </c>
      <c r="M123" s="311"/>
      <c r="N123" s="312"/>
      <c r="O123" s="310" t="s">
        <v>128</v>
      </c>
      <c r="P123" s="312"/>
      <c r="Q123" s="310" t="s">
        <v>332</v>
      </c>
      <c r="R123" s="312"/>
      <c r="S123" s="360" t="s">
        <v>535</v>
      </c>
      <c r="T123" s="361"/>
      <c r="U123" s="361"/>
      <c r="V123" s="362"/>
    </row>
    <row r="124" spans="1:28" ht="15.75" outlineLevel="1" thickBot="1" x14ac:dyDescent="0.3">
      <c r="A124" s="34" t="str">
        <f>'Blank Quote'!$A16</f>
        <v>Contract Number</v>
      </c>
      <c r="B124" s="33">
        <f>VLOOKUP(B109,'Pricing Model'!A1:H21,8)</f>
        <v>0</v>
      </c>
      <c r="C124" s="25"/>
      <c r="D124" s="25"/>
      <c r="E124" s="25"/>
      <c r="G124" s="313">
        <f ca="1">TODAY()</f>
        <v>45110</v>
      </c>
      <c r="H124" s="314"/>
      <c r="I124" s="315">
        <f ca="1">NOW()</f>
        <v>45110.433634490742</v>
      </c>
      <c r="J124" s="316"/>
      <c r="K124" s="317"/>
      <c r="L124" s="318" t="str">
        <f>'Non_CA Multi Tenprint'!B120</f>
        <v>EC</v>
      </c>
      <c r="M124" s="319"/>
      <c r="N124" s="320"/>
      <c r="O124" s="318" t="str">
        <f>VLOOKUP(B109,'Pricing Model'!A1:I21,9)</f>
        <v>Due on Rcpt</v>
      </c>
      <c r="P124" s="320"/>
      <c r="Q124" s="318" t="str">
        <f>B121</f>
        <v>Ground</v>
      </c>
      <c r="R124" s="319"/>
      <c r="S124" s="318" t="str">
        <f>IF(B124&lt;&gt;0,B124,"")</f>
        <v/>
      </c>
      <c r="T124" s="319"/>
      <c r="U124" s="319"/>
      <c r="V124" s="320"/>
    </row>
    <row r="125" spans="1:28" ht="5.25" customHeight="1" outlineLevel="1" thickBot="1" x14ac:dyDescent="0.3">
      <c r="D125" s="35"/>
    </row>
    <row r="126" spans="1:28" ht="17.25" thickTop="1" thickBot="1" x14ac:dyDescent="0.3">
      <c r="A126" s="36" t="s">
        <v>123</v>
      </c>
      <c r="B126" s="37" t="s">
        <v>124</v>
      </c>
      <c r="C126" s="38" t="s">
        <v>125</v>
      </c>
      <c r="D126" s="38" t="s">
        <v>371</v>
      </c>
      <c r="E126" s="39" t="s">
        <v>540</v>
      </c>
      <c r="G126" s="333" t="s">
        <v>123</v>
      </c>
      <c r="H126" s="334"/>
      <c r="I126" s="301" t="s">
        <v>124</v>
      </c>
      <c r="J126" s="301"/>
      <c r="K126" s="301"/>
      <c r="L126" s="301"/>
      <c r="M126" s="301"/>
      <c r="N126" s="301"/>
      <c r="O126" s="301"/>
      <c r="P126" s="301"/>
      <c r="Q126" s="97" t="s">
        <v>125</v>
      </c>
      <c r="R126" s="301" t="s">
        <v>126</v>
      </c>
      <c r="S126" s="301"/>
      <c r="T126" s="301" t="s">
        <v>127</v>
      </c>
      <c r="U126" s="301"/>
      <c r="V126" s="40" t="s">
        <v>440</v>
      </c>
      <c r="X126" s="97" t="s">
        <v>442</v>
      </c>
      <c r="Y126" s="97" t="s">
        <v>529</v>
      </c>
      <c r="Z126" s="97" t="s">
        <v>528</v>
      </c>
      <c r="AA126" s="97" t="s">
        <v>530</v>
      </c>
      <c r="AB126" s="97" t="s">
        <v>531</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02" t="str">
        <f t="shared" ref="G127:G146" si="74">IF(A127&lt;&gt;"", A127, "")</f>
        <v>HW-LT-Std-Home</v>
      </c>
      <c r="H127" s="303"/>
      <c r="I127" s="304" t="str">
        <f>IF(B127&lt;&gt;"", B127, "")&amp;IF(E127&lt;&gt;"", "   *** "&amp;E127, "")</f>
        <v>Hardware-Laptop-Standard with Windows Home Edition   *** Standard with Windows 11</v>
      </c>
      <c r="J127" s="304"/>
      <c r="K127" s="304" t="str">
        <f t="shared" ref="K127:K144" si="75">E127</f>
        <v>Standard with Windows 11</v>
      </c>
      <c r="L127" s="304"/>
      <c r="M127" s="304" t="str">
        <f t="shared" ref="M127:M144" si="76">G127</f>
        <v>HW-LT-Std-Home</v>
      </c>
      <c r="N127" s="304"/>
      <c r="O127" s="304" t="str">
        <f t="shared" ref="O127:O144" si="77">I127</f>
        <v>Hardware-Laptop-Standard with Windows Home Edition   *** Standard with Windows 11</v>
      </c>
      <c r="P127" s="304"/>
      <c r="Q127" s="98">
        <f>IF(C127="", "", C127)</f>
        <v>1</v>
      </c>
      <c r="R127" s="292">
        <f>IF(C127="", "",IF(D127&gt;0,D127,
IF($E$109="NY Contract", VLOOKUP(B127,'Raw BOM'!$A$3:$G$495,7,FALSE),
IF($E$109="FL Contract", VLOOKUP(B127,'Raw BOM'!$A$3:$I$495,8,FALSE),
IF($E$109="LA Contract", VLOOKUP(B127,'Raw BOM'!$A$3:$K$495,9,FALSE),
IF($E$109="WA Contract", VLOOKUP(B127,'Raw BOM'!$A$3:$M$495,10,FALSE),
VLOOKUP(B127,'Raw BOM'!$A$3:$D$495,4,FALSE)))))))</f>
        <v>750</v>
      </c>
      <c r="S127" s="292" t="str">
        <f t="shared" ref="S127:S128" si="78">M127</f>
        <v>HW-LT-Std-Home</v>
      </c>
      <c r="T127" s="292">
        <f>IF(C127="", "", Q127*R127)</f>
        <v>750</v>
      </c>
      <c r="U127" s="292" t="str">
        <f t="shared" ref="U127:U128" si="79">O127</f>
        <v>Hardware-Laptop-Standard with Windows Home Edition   *** Standard with Windows 11</v>
      </c>
      <c r="V127" s="46" t="str">
        <f>IF(C127="","", VLOOKUP(B127,'Raw BOM'!$A$3:$F$495,6,FALSE))</f>
        <v>Yes</v>
      </c>
      <c r="X127" s="47">
        <f t="shared" ref="X127:X147" si="80">IF(AND(V127="Yes", Q127&lt;&gt;0), (T127-Y127)*$B$119, 0)</f>
        <v>0</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05" t="str">
        <f t="shared" si="74"/>
        <v>LS4G-Applicant-CA</v>
      </c>
      <c r="H128" s="306"/>
      <c r="I128" s="291" t="str">
        <f t="shared" ref="I128:I144" si="81">IF(B128&lt;&gt;"", B128, "")&amp;IF(E128&lt;&gt;"", "   *** "&amp;E128, "")</f>
        <v>LiveScan 4th Gen Software-Applicant CA TOT Module</v>
      </c>
      <c r="J128" s="291"/>
      <c r="K128" s="291" t="str">
        <f t="shared" si="75"/>
        <v/>
      </c>
      <c r="L128" s="291"/>
      <c r="M128" s="291" t="str">
        <f t="shared" si="76"/>
        <v>LS4G-Applicant-CA</v>
      </c>
      <c r="N128" s="291"/>
      <c r="O128" s="291" t="str">
        <f t="shared" si="77"/>
        <v>LiveScan 4th Gen Software-Applicant CA TOT Module</v>
      </c>
      <c r="P128" s="291"/>
      <c r="Q128" s="99">
        <f t="shared" ref="Q128:Q147" si="82">IF(C128="", "", C128)</f>
        <v>1</v>
      </c>
      <c r="R128" s="293">
        <f>IF(C128="", "",IF(D128&gt;0,D128,
IF($E$109="NY Contract", VLOOKUP(B128,'Raw BOM'!$A$3:$G$495,7,FALSE),
IF($E$109="FL Contract", VLOOKUP(B128,'Raw BOM'!$A$3:$I$495,8,FALSE),
IF($E$109="LA Contract", VLOOKUP(B128,'Raw BOM'!$A$3:$K$495,9,FALSE),
IF($E$109="WA Contract", VLOOKUP(B128,'Raw BOM'!$A$3:$M$495,10,FALSE),
VLOOKUP(B128,'Raw BOM'!$A$3:$D$495,4,FALSE)))))))</f>
        <v>1340</v>
      </c>
      <c r="S128" s="293" t="str">
        <f t="shared" si="78"/>
        <v>LS4G-Applicant-CA</v>
      </c>
      <c r="T128" s="293">
        <f t="shared" ref="T128" si="83">IF(C128="", "", Q128*R128)</f>
        <v>1340</v>
      </c>
      <c r="U128" s="293"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1027</v>
      </c>
      <c r="C129" s="186">
        <f>IF('Blank Quote'!C21&lt;&gt;"", 'Blank Quote'!C21, "")</f>
        <v>1</v>
      </c>
      <c r="D129" s="187"/>
      <c r="E129" s="188" t="str">
        <f>IF('Blank Quote'!E21&lt;&gt;"", 'Blank Quote'!E21, "")</f>
        <v/>
      </c>
      <c r="F129" s="189"/>
      <c r="G129" s="418" t="str">
        <f t="shared" si="74"/>
        <v>HW-Scan-Kojak</v>
      </c>
      <c r="H129" s="419"/>
      <c r="I129" s="420" t="str">
        <f t="shared" ref="I129:I131" si="86">IF(B129&lt;&gt;"", B129, "")&amp;IF(E129&lt;&gt;"", "   *** "&amp;E129, "")</f>
        <v>Hardware-Scanner-IBT Kojak</v>
      </c>
      <c r="J129" s="421"/>
      <c r="K129" s="421" t="str">
        <f t="shared" ref="K129:K131" si="87">E129</f>
        <v/>
      </c>
      <c r="L129" s="421"/>
      <c r="M129" s="421" t="str">
        <f t="shared" ref="M129:M131" si="88">G129</f>
        <v>HW-Scan-Kojak</v>
      </c>
      <c r="N129" s="421"/>
      <c r="O129" s="421" t="str">
        <f t="shared" ref="O129:O131" si="89">I129</f>
        <v>Hardware-Scanner-IBT Kojak</v>
      </c>
      <c r="P129" s="422"/>
      <c r="Q129" s="190">
        <f t="shared" ref="Q129:Q131" si="90">IF(C129="", "", C129)</f>
        <v>1</v>
      </c>
      <c r="R129" s="423">
        <f>IF(C129="", "",IF(D129&gt;0,D129,
IF($E$109="NY Contract", VLOOKUP(B129,'Raw BOM'!$A$3:$G$495,7,FALSE),
IF($E$109="FL Contract", VLOOKUP(B129,'Raw BOM'!$A$3:$I$495,8,FALSE),
IF($E$109="LA Contract", VLOOKUP(B129,'Raw BOM'!$A$3:$K$495,9,FALSE),
IF($E$109="WA Contract", VLOOKUP(B129,'Raw BOM'!$A$3:$M$495,10,FALSE),
VLOOKUP(B129,'Raw BOM'!$A$3:$D$495,4,FALSE)))))))</f>
        <v>1220</v>
      </c>
      <c r="S129" s="424" t="str">
        <f t="shared" ref="S129:S131" si="91">M129</f>
        <v>HW-Scan-Kojak</v>
      </c>
      <c r="T129" s="423">
        <f t="shared" ref="T129:T131" si="92">IF(C129="", "", Q129*R129)</f>
        <v>1220</v>
      </c>
      <c r="U129" s="424" t="str">
        <f t="shared" ref="U129:U131" si="93">O129</f>
        <v>Hardware-Scanner-IBT Kojak</v>
      </c>
      <c r="V129" s="191" t="str">
        <f>IF(C129="","", VLOOKUP(B129,'Raw BOM'!$A$3:$F$495,6,FALSE))</f>
        <v>Yes</v>
      </c>
      <c r="X129" s="47">
        <f t="shared" si="80"/>
        <v>0</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11" t="str">
        <f t="shared" si="74"/>
        <v/>
      </c>
      <c r="H130" s="412"/>
      <c r="I130" s="413" t="str">
        <f t="shared" si="86"/>
        <v/>
      </c>
      <c r="J130" s="414"/>
      <c r="K130" s="414" t="str">
        <f t="shared" si="87"/>
        <v/>
      </c>
      <c r="L130" s="414"/>
      <c r="M130" s="414" t="str">
        <f t="shared" si="88"/>
        <v/>
      </c>
      <c r="N130" s="414"/>
      <c r="O130" s="414" t="str">
        <f t="shared" si="89"/>
        <v/>
      </c>
      <c r="P130" s="415"/>
      <c r="Q130" s="99" t="str">
        <f t="shared" si="90"/>
        <v/>
      </c>
      <c r="R130" s="416" t="str">
        <f>IF(C130="", "",IF(D130&gt;0,D130,
IF($E$109="NY Contract", VLOOKUP(B130,'Raw BOM'!$A$3:$G$495,7,FALSE),
IF($E$109="FL Contract", VLOOKUP(B130,'Raw BOM'!$A$3:$I$495,8,FALSE),
IF($E$109="LA Contract", VLOOKUP(B130,'Raw BOM'!$A$3:$K$495,9,FALSE),
IF($E$109="WA Contract", VLOOKUP(B130,'Raw BOM'!$A$3:$M$495,10,FALSE),
VLOOKUP(B130,'Raw BOM'!$A$3:$D$495,4,FALSE)))))))</f>
        <v/>
      </c>
      <c r="S130" s="417" t="str">
        <f t="shared" si="91"/>
        <v/>
      </c>
      <c r="T130" s="416" t="str">
        <f t="shared" si="92"/>
        <v/>
      </c>
      <c r="U130" s="417"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11" t="str">
        <f t="shared" si="74"/>
        <v>HW-Magtrip</v>
      </c>
      <c r="H131" s="412"/>
      <c r="I131" s="413" t="str">
        <f t="shared" si="86"/>
        <v>Hardware-Magnetic Strip Reader   *** Auto populate personal information with a swipe of a driver's license from anywhere on the screen</v>
      </c>
      <c r="J131" s="414"/>
      <c r="K131" s="414" t="str">
        <f t="shared" si="87"/>
        <v>Auto populate personal information with a swipe of a driver's license from anywhere on the screen</v>
      </c>
      <c r="L131" s="414"/>
      <c r="M131" s="414" t="str">
        <f t="shared" si="88"/>
        <v>HW-Magtrip</v>
      </c>
      <c r="N131" s="414"/>
      <c r="O131" s="414" t="str">
        <f t="shared" si="89"/>
        <v>Hardware-Magnetic Strip Reader   *** Auto populate personal information with a swipe of a driver's license from anywhere on the screen</v>
      </c>
      <c r="P131" s="415"/>
      <c r="Q131" s="99">
        <f t="shared" si="90"/>
        <v>1</v>
      </c>
      <c r="R131" s="416">
        <f>IF(C131="", "",IF(D131&gt;0,D131,
IF($E$109="NY Contract", VLOOKUP(B131,'Raw BOM'!$A$3:$G$495,7,FALSE),
IF($E$109="FL Contract", VLOOKUP(B131,'Raw BOM'!$A$3:$I$495,8,FALSE),
IF($E$109="LA Contract", VLOOKUP(B131,'Raw BOM'!$A$3:$K$495,9,FALSE),
IF($E$109="WA Contract", VLOOKUP(B131,'Raw BOM'!$A$3:$M$495,10,FALSE),
VLOOKUP(B131,'Raw BOM'!$A$3:$D$495,4,FALSE)))))))</f>
        <v>130</v>
      </c>
      <c r="S131" s="417" t="str">
        <f t="shared" si="91"/>
        <v>HW-Magtrip</v>
      </c>
      <c r="T131" s="416">
        <f t="shared" si="92"/>
        <v>130</v>
      </c>
      <c r="U131" s="417" t="str">
        <f t="shared" si="93"/>
        <v>Hardware-Magnetic Strip Reader   *** Auto populate personal information with a swipe of a driver's license from anywhere on the screen</v>
      </c>
      <c r="V131" s="49" t="str">
        <f>IF(C131="","", VLOOKUP(B131,'Raw BOM'!$A$3:$F$495,6,FALSE))</f>
        <v>Yes</v>
      </c>
      <c r="X131" s="47">
        <f t="shared" si="80"/>
        <v>0</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11" t="str">
        <f t="shared" si="74"/>
        <v>LS4G-IDCard</v>
      </c>
      <c r="H132" s="412"/>
      <c r="I132" s="413" t="str">
        <f t="shared" ref="I132:I143" si="96">IF(B132&lt;&gt;"", B132, "")&amp;IF(E132&lt;&gt;"", "   *** "&amp;E132, "")</f>
        <v>LiveScan 4th Gen Software-Driver License and ID Reading software</v>
      </c>
      <c r="J132" s="414"/>
      <c r="K132" s="414" t="str">
        <f t="shared" ref="K132:K143" si="97">E132</f>
        <v/>
      </c>
      <c r="L132" s="414"/>
      <c r="M132" s="414" t="str">
        <f t="shared" ref="M132:M143" si="98">G132</f>
        <v>LS4G-IDCard</v>
      </c>
      <c r="N132" s="414"/>
      <c r="O132" s="414" t="str">
        <f t="shared" ref="O132:O143" si="99">I132</f>
        <v>LiveScan 4th Gen Software-Driver License and ID Reading software</v>
      </c>
      <c r="P132" s="415"/>
      <c r="Q132" s="99">
        <f t="shared" ref="Q132:Q143" si="100">IF(C132="", "", C132)</f>
        <v>1</v>
      </c>
      <c r="R132" s="416">
        <f>IF(C132="", "",IF(D132&gt;0,D132,
IF($E$109="NY Contract", VLOOKUP(B132,'Raw BOM'!$A$3:$G$495,7,FALSE),
IF($E$109="FL Contract", VLOOKUP(B132,'Raw BOM'!$A$3:$I$495,8,FALSE),
IF($E$109="LA Contract", VLOOKUP(B132,'Raw BOM'!$A$3:$K$495,9,FALSE),
IF($E$109="WA Contract", VLOOKUP(B132,'Raw BOM'!$A$3:$M$495,10,FALSE),
VLOOKUP(B132,'Raw BOM'!$A$3:$D$495,4,FALSE)))))))</f>
        <v>340</v>
      </c>
      <c r="S132" s="417" t="str">
        <f t="shared" ref="S132:S144" si="101">M132</f>
        <v>LS4G-IDCard</v>
      </c>
      <c r="T132" s="416">
        <f t="shared" ref="T132:T143" si="102">IF(C132="", "", Q132*R132)</f>
        <v>340</v>
      </c>
      <c r="U132" s="417"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11" t="str">
        <f t="shared" si="74"/>
        <v/>
      </c>
      <c r="H133" s="412"/>
      <c r="I133" s="413" t="str">
        <f t="shared" si="96"/>
        <v/>
      </c>
      <c r="J133" s="414"/>
      <c r="K133" s="414" t="str">
        <f t="shared" si="97"/>
        <v/>
      </c>
      <c r="L133" s="414"/>
      <c r="M133" s="414" t="str">
        <f t="shared" si="98"/>
        <v/>
      </c>
      <c r="N133" s="414"/>
      <c r="O133" s="414" t="str">
        <f t="shared" si="99"/>
        <v/>
      </c>
      <c r="P133" s="415"/>
      <c r="Q133" s="99" t="str">
        <f t="shared" si="100"/>
        <v/>
      </c>
      <c r="R133" s="416" t="str">
        <f>IF(C133="", "",IF(D133&gt;0,D133,
IF($E$109="NY Contract", VLOOKUP(B133,'Raw BOM'!$A$3:$G$495,7,FALSE),
IF($E$109="FL Contract", VLOOKUP(B133,'Raw BOM'!$A$3:$I$495,8,FALSE),
IF($E$109="LA Contract", VLOOKUP(B133,'Raw BOM'!$A$3:$K$495,9,FALSE),
IF($E$109="WA Contract", VLOOKUP(B133,'Raw BOM'!$A$3:$M$495,10,FALSE),
VLOOKUP(B133,'Raw BOM'!$A$3:$D$495,4,FALSE)))))))</f>
        <v/>
      </c>
      <c r="S133" s="417" t="str">
        <f t="shared" si="101"/>
        <v/>
      </c>
      <c r="T133" s="416" t="str">
        <f t="shared" si="102"/>
        <v/>
      </c>
      <c r="U133" s="417"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11" t="str">
        <f t="shared" si="74"/>
        <v>Svcs-Cfg-CAPSP</v>
      </c>
      <c r="H134" s="412"/>
      <c r="I134" s="413" t="str">
        <f t="shared" si="96"/>
        <v>Services-Configuration-CA PSP Setup   *** Pick ONE of the following capture methods at the time of capture (TWO DIFFERENT BUTTONS on the screen):</v>
      </c>
      <c r="J134" s="414"/>
      <c r="K134" s="414" t="str">
        <f t="shared" si="97"/>
        <v>Pick ONE of the following capture methods at the time of capture (TWO DIFFERENT BUTTONS on the screen):</v>
      </c>
      <c r="L134" s="414"/>
      <c r="M134" s="414" t="str">
        <f t="shared" si="98"/>
        <v>Svcs-Cfg-CAPSP</v>
      </c>
      <c r="N134" s="414"/>
      <c r="O134" s="414" t="str">
        <f t="shared" si="99"/>
        <v>Services-Configuration-CA PSP Setup   *** Pick ONE of the following capture methods at the time of capture (TWO DIFFERENT BUTTONS on the screen):</v>
      </c>
      <c r="P134" s="415"/>
      <c r="Q134" s="99">
        <f t="shared" si="100"/>
        <v>1</v>
      </c>
      <c r="R134" s="416">
        <f>IF(C134="", "",IF(D134&gt;0,D134,
IF($E$109="NY Contract", VLOOKUP(B134,'Raw BOM'!$A$3:$G$495,7,FALSE),
IF($E$109="FL Contract", VLOOKUP(B134,'Raw BOM'!$A$3:$I$495,8,FALSE),
IF($E$109="LA Contract", VLOOKUP(B134,'Raw BOM'!$A$3:$K$495,9,FALSE),
IF($E$109="WA Contract", VLOOKUP(B134,'Raw BOM'!$A$3:$M$495,10,FALSE),
VLOOKUP(B134,'Raw BOM'!$A$3:$D$495,4,FALSE)))))))</f>
        <v>500</v>
      </c>
      <c r="S134" s="417" t="str">
        <f t="shared" si="101"/>
        <v>Svcs-Cfg-CAPSP</v>
      </c>
      <c r="T134" s="416">
        <f t="shared" si="102"/>
        <v>500</v>
      </c>
      <c r="U134" s="417"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11" t="str">
        <f t="shared" si="74"/>
        <v>Misc</v>
      </c>
      <c r="H135" s="412"/>
      <c r="I135" s="413" t="str">
        <f t="shared" si="96"/>
        <v xml:space="preserve">   *** Transaction Fee - Traditional FLATS and ROLLS Method (1 to 10 minutes method): $0.75 per transaction with $150 per monthly cap</v>
      </c>
      <c r="J135" s="414"/>
      <c r="K135" s="414" t="str">
        <f t="shared" si="97"/>
        <v>Transaction Fee - Traditional FLATS and ROLLS Method (1 to 10 minutes method): $0.75 per transaction with $150 per monthly cap</v>
      </c>
      <c r="L135" s="414"/>
      <c r="M135" s="414" t="str">
        <f t="shared" si="98"/>
        <v>Misc</v>
      </c>
      <c r="N135" s="414"/>
      <c r="O135" s="414" t="str">
        <f t="shared" si="99"/>
        <v xml:space="preserve">   *** Transaction Fee - Traditional FLATS and ROLLS Method (1 to 10 minutes method): $0.75 per transaction with $150 per monthly cap</v>
      </c>
      <c r="P135" s="415"/>
      <c r="Q135" s="99" t="str">
        <f t="shared" si="100"/>
        <v/>
      </c>
      <c r="R135" s="416" t="str">
        <f>IF(C135="", "",IF(D135&gt;0,D135,
IF($E$109="NY Contract", VLOOKUP(B135,'Raw BOM'!$A$3:$G$495,7,FALSE),
IF($E$109="FL Contract", VLOOKUP(B135,'Raw BOM'!$A$3:$I$495,8,FALSE),
IF($E$109="LA Contract", VLOOKUP(B135,'Raw BOM'!$A$3:$K$495,9,FALSE),
IF($E$109="WA Contract", VLOOKUP(B135,'Raw BOM'!$A$3:$M$495,10,FALSE),
VLOOKUP(B135,'Raw BOM'!$A$3:$D$495,4,FALSE)))))))</f>
        <v/>
      </c>
      <c r="S135" s="417" t="str">
        <f t="shared" si="101"/>
        <v>Misc</v>
      </c>
      <c r="T135" s="416" t="str">
        <f t="shared" si="102"/>
        <v/>
      </c>
      <c r="U135" s="417"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11" t="str">
        <f t="shared" si="74"/>
        <v>Misc</v>
      </c>
      <c r="H136" s="412"/>
      <c r="I136" s="413" t="str">
        <f t="shared" si="96"/>
        <v xml:space="preserve">   *** Transaction Fee - NEW FLATS ONLY Method (10 to 15 second fingerprinting): $4.00 per transaction with no cap ($2.80 per trans for 501(c)(3) organizations)</v>
      </c>
      <c r="J136" s="414"/>
      <c r="K136" s="414" t="str">
        <f t="shared" si="97"/>
        <v>Transaction Fee - NEW FLATS ONLY Method (10 to 15 second fingerprinting): $4.00 per transaction with no cap ($2.80 per trans for 501(c)(3) organizations)</v>
      </c>
      <c r="L136" s="414"/>
      <c r="M136" s="414" t="str">
        <f t="shared" si="98"/>
        <v>Misc</v>
      </c>
      <c r="N136" s="414"/>
      <c r="O136" s="414" t="str">
        <f t="shared" si="99"/>
        <v xml:space="preserve">   *** Transaction Fee - NEW FLATS ONLY Method (10 to 15 second fingerprinting): $4.00 per transaction with no cap ($2.80 per trans for 501(c)(3) organizations)</v>
      </c>
      <c r="P136" s="415"/>
      <c r="Q136" s="99" t="str">
        <f t="shared" si="100"/>
        <v/>
      </c>
      <c r="R136" s="416" t="str">
        <f>IF(C136="", "",IF(D136&gt;0,D136,
IF($E$109="NY Contract", VLOOKUP(B136,'Raw BOM'!$A$3:$G$495,7,FALSE),
IF($E$109="FL Contract", VLOOKUP(B136,'Raw BOM'!$A$3:$I$495,8,FALSE),
IF($E$109="LA Contract", VLOOKUP(B136,'Raw BOM'!$A$3:$K$495,9,FALSE),
IF($E$109="WA Contract", VLOOKUP(B136,'Raw BOM'!$A$3:$M$495,10,FALSE),
VLOOKUP(B136,'Raw BOM'!$A$3:$D$495,4,FALSE)))))))</f>
        <v/>
      </c>
      <c r="S136" s="417" t="str">
        <f t="shared" si="101"/>
        <v>Misc</v>
      </c>
      <c r="T136" s="416" t="str">
        <f t="shared" si="102"/>
        <v/>
      </c>
      <c r="U136" s="417"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11" t="str">
        <f t="shared" si="74"/>
        <v/>
      </c>
      <c r="H137" s="412"/>
      <c r="I137" s="413" t="str">
        <f t="shared" si="96"/>
        <v/>
      </c>
      <c r="J137" s="414"/>
      <c r="K137" s="414" t="str">
        <f t="shared" si="97"/>
        <v/>
      </c>
      <c r="L137" s="414"/>
      <c r="M137" s="414" t="str">
        <f t="shared" si="98"/>
        <v/>
      </c>
      <c r="N137" s="414"/>
      <c r="O137" s="414" t="str">
        <f t="shared" si="99"/>
        <v/>
      </c>
      <c r="P137" s="415"/>
      <c r="Q137" s="99" t="str">
        <f t="shared" si="100"/>
        <v/>
      </c>
      <c r="R137" s="416" t="str">
        <f>IF(C137="", "",IF(D137&gt;0,D137,
IF($E$109="NY Contract", VLOOKUP(B137,'Raw BOM'!$A$3:$G$495,7,FALSE),
IF($E$109="FL Contract", VLOOKUP(B137,'Raw BOM'!$A$3:$I$495,8,FALSE),
IF($E$109="LA Contract", VLOOKUP(B137,'Raw BOM'!$A$3:$K$495,9,FALSE),
IF($E$109="WA Contract", VLOOKUP(B137,'Raw BOM'!$A$3:$M$495,10,FALSE),
VLOOKUP(B137,'Raw BOM'!$A$3:$D$495,4,FALSE)))))))</f>
        <v/>
      </c>
      <c r="S137" s="417" t="str">
        <f t="shared" si="101"/>
        <v/>
      </c>
      <c r="T137" s="416" t="str">
        <f t="shared" si="102"/>
        <v/>
      </c>
      <c r="U137" s="417"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11" t="str">
        <f t="shared" si="74"/>
        <v>Svcs-InstallTrain</v>
      </c>
      <c r="H138" s="412"/>
      <c r="I138" s="413" t="str">
        <f t="shared" si="96"/>
        <v>Services-Installation and Training Session 4hrs (see Service Method for price)</v>
      </c>
      <c r="J138" s="414"/>
      <c r="K138" s="414" t="str">
        <f t="shared" si="97"/>
        <v/>
      </c>
      <c r="L138" s="414"/>
      <c r="M138" s="414" t="str">
        <f t="shared" si="98"/>
        <v>Svcs-InstallTrain</v>
      </c>
      <c r="N138" s="414"/>
      <c r="O138" s="414" t="str">
        <f t="shared" si="99"/>
        <v>Services-Installation and Training Session 4hrs (see Service Method for price)</v>
      </c>
      <c r="P138" s="415"/>
      <c r="Q138" s="99">
        <f t="shared" si="100"/>
        <v>1</v>
      </c>
      <c r="R138" s="416">
        <f>IF(C138="", "",IF(D138&gt;0,D138,
IF($E$109="NY Contract", VLOOKUP(B138,'Raw BOM'!$A$3:$G$495,7,FALSE),
IF($E$109="FL Contract", VLOOKUP(B138,'Raw BOM'!$A$3:$I$495,8,FALSE),
IF($E$109="LA Contract", VLOOKUP(B138,'Raw BOM'!$A$3:$K$495,9,FALSE),
IF($E$109="WA Contract", VLOOKUP(B138,'Raw BOM'!$A$3:$M$495,10,FALSE),
VLOOKUP(B138,'Raw BOM'!$A$3:$D$495,4,FALSE)))))))</f>
        <v>0</v>
      </c>
      <c r="S138" s="417" t="str">
        <f t="shared" si="101"/>
        <v>Svcs-InstallTrain</v>
      </c>
      <c r="T138" s="416">
        <f t="shared" si="102"/>
        <v>0</v>
      </c>
      <c r="U138" s="417"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11" t="str">
        <f t="shared" si="74"/>
        <v>Svcs-Phone</v>
      </c>
      <c r="H139" s="412"/>
      <c r="I139" s="413" t="str">
        <f t="shared" si="96"/>
        <v xml:space="preserve">Services Method-Remote (Phone)   *** To perform services shown in the line above. </v>
      </c>
      <c r="J139" s="414"/>
      <c r="K139" s="414" t="str">
        <f t="shared" si="97"/>
        <v xml:space="preserve">To perform services shown in the line above. </v>
      </c>
      <c r="L139" s="414"/>
      <c r="M139" s="414" t="str">
        <f t="shared" si="98"/>
        <v>Svcs-Phone</v>
      </c>
      <c r="N139" s="414"/>
      <c r="O139" s="414" t="str">
        <f t="shared" si="99"/>
        <v xml:space="preserve">Services Method-Remote (Phone)   *** To perform services shown in the line above. </v>
      </c>
      <c r="P139" s="415"/>
      <c r="Q139" s="99">
        <f t="shared" si="100"/>
        <v>1</v>
      </c>
      <c r="R139" s="416">
        <f>IF(C139="", "",IF(D139&gt;0,D139,
IF($E$109="NY Contract", VLOOKUP(B139,'Raw BOM'!$A$3:$G$495,7,FALSE),
IF($E$109="FL Contract", VLOOKUP(B139,'Raw BOM'!$A$3:$I$495,8,FALSE),
IF($E$109="LA Contract", VLOOKUP(B139,'Raw BOM'!$A$3:$K$495,9,FALSE),
IF($E$109="WA Contract", VLOOKUP(B139,'Raw BOM'!$A$3:$M$495,10,FALSE),
VLOOKUP(B139,'Raw BOM'!$A$3:$D$495,4,FALSE)))))))</f>
        <v>750</v>
      </c>
      <c r="S139" s="417" t="str">
        <f t="shared" si="101"/>
        <v>Svcs-Phone</v>
      </c>
      <c r="T139" s="416">
        <f t="shared" si="102"/>
        <v>750</v>
      </c>
      <c r="U139" s="417"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11" t="str">
        <f t="shared" si="74"/>
        <v/>
      </c>
      <c r="H140" s="412"/>
      <c r="I140" s="413" t="str">
        <f t="shared" si="96"/>
        <v/>
      </c>
      <c r="J140" s="414"/>
      <c r="K140" s="414" t="str">
        <f t="shared" si="97"/>
        <v/>
      </c>
      <c r="L140" s="414"/>
      <c r="M140" s="414" t="str">
        <f t="shared" si="98"/>
        <v/>
      </c>
      <c r="N140" s="414"/>
      <c r="O140" s="414" t="str">
        <f t="shared" si="99"/>
        <v/>
      </c>
      <c r="P140" s="415"/>
      <c r="Q140" s="99" t="str">
        <f t="shared" si="100"/>
        <v/>
      </c>
      <c r="R140" s="416" t="str">
        <f>IF(C140="", "",IF(D140&gt;0,D140,
IF($E$109="NY Contract", VLOOKUP(B140,'Raw BOM'!$A$3:$G$495,7,FALSE),
IF($E$109="FL Contract", VLOOKUP(B140,'Raw BOM'!$A$3:$I$495,8,FALSE),
IF($E$109="LA Contract", VLOOKUP(B140,'Raw BOM'!$A$3:$K$495,9,FALSE),
IF($E$109="WA Contract", VLOOKUP(B140,'Raw BOM'!$A$3:$M$495,10,FALSE),
VLOOKUP(B140,'Raw BOM'!$A$3:$D$495,4,FALSE)))))))</f>
        <v/>
      </c>
      <c r="S140" s="417" t="str">
        <f t="shared" si="101"/>
        <v/>
      </c>
      <c r="T140" s="416" t="str">
        <f t="shared" si="102"/>
        <v/>
      </c>
      <c r="U140" s="417"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11" t="str">
        <f t="shared" si="74"/>
        <v>Ship-L</v>
      </c>
      <c r="H141" s="412"/>
      <c r="I141" s="413" t="str">
        <f t="shared" si="96"/>
        <v>Shipping-Ground for Large Package</v>
      </c>
      <c r="J141" s="414"/>
      <c r="K141" s="414" t="str">
        <f t="shared" si="97"/>
        <v/>
      </c>
      <c r="L141" s="414"/>
      <c r="M141" s="414" t="str">
        <f t="shared" si="98"/>
        <v>Ship-L</v>
      </c>
      <c r="N141" s="414"/>
      <c r="O141" s="414" t="str">
        <f t="shared" si="99"/>
        <v>Shipping-Ground for Large Package</v>
      </c>
      <c r="P141" s="415"/>
      <c r="Q141" s="99">
        <f t="shared" si="100"/>
        <v>1</v>
      </c>
      <c r="R141" s="416">
        <f>IF(C141="", "",IF(D141&gt;0,D141,
IF($E$109="NY Contract", VLOOKUP(B141,'Raw BOM'!$A$3:$G$495,7,FALSE),
IF($E$109="FL Contract", VLOOKUP(B141,'Raw BOM'!$A$3:$I$495,8,FALSE),
IF($E$109="LA Contract", VLOOKUP(B141,'Raw BOM'!$A$3:$K$495,9,FALSE),
IF($E$109="WA Contract", VLOOKUP(B141,'Raw BOM'!$A$3:$M$495,10,FALSE),
VLOOKUP(B141,'Raw BOM'!$A$3:$D$495,4,FALSE)))))))</f>
        <v>60</v>
      </c>
      <c r="S141" s="417" t="str">
        <f t="shared" si="101"/>
        <v>Ship-L</v>
      </c>
      <c r="T141" s="416">
        <f t="shared" si="102"/>
        <v>60</v>
      </c>
      <c r="U141" s="417"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11" t="str">
        <f t="shared" si="74"/>
        <v>Maint-Warr</v>
      </c>
      <c r="H142" s="412"/>
      <c r="I142" s="413" t="str">
        <f t="shared" si="96"/>
        <v>Maintenance-Initial Year Warranty   *** Cross Ship</v>
      </c>
      <c r="J142" s="414"/>
      <c r="K142" s="414" t="str">
        <f t="shared" si="97"/>
        <v>Cross Ship</v>
      </c>
      <c r="L142" s="414"/>
      <c r="M142" s="414" t="str">
        <f t="shared" si="98"/>
        <v>Maint-Warr</v>
      </c>
      <c r="N142" s="414"/>
      <c r="O142" s="414" t="str">
        <f t="shared" si="99"/>
        <v>Maintenance-Initial Year Warranty   *** Cross Ship</v>
      </c>
      <c r="P142" s="415"/>
      <c r="Q142" s="99">
        <f t="shared" si="100"/>
        <v>1</v>
      </c>
      <c r="R142" s="416">
        <f>IF(C142="", "",IF(D142&gt;0,D142,
IF($E$109="NY Contract", VLOOKUP(B142,'Raw BOM'!$A$3:$G$495,7,FALSE),
IF($E$109="FL Contract", VLOOKUP(B142,'Raw BOM'!$A$3:$I$495,8,FALSE),
IF($E$109="LA Contract", VLOOKUP(B142,'Raw BOM'!$A$3:$K$495,9,FALSE),
IF($E$109="WA Contract", VLOOKUP(B142,'Raw BOM'!$A$3:$M$495,10,FALSE),
VLOOKUP(B142,'Raw BOM'!$A$3:$D$495,4,FALSE)))))))</f>
        <v>0</v>
      </c>
      <c r="S142" s="417" t="str">
        <f t="shared" si="101"/>
        <v>Maint-Warr</v>
      </c>
      <c r="T142" s="416">
        <f t="shared" si="102"/>
        <v>0</v>
      </c>
      <c r="U142" s="417"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11" t="str">
        <f t="shared" si="74"/>
        <v>Misc</v>
      </c>
      <c r="H143" s="412"/>
      <c r="I143" s="413" t="str">
        <f t="shared" si="96"/>
        <v xml:space="preserve">   *** Pick one of the following 2 Maintenance options in the 12th month.  We recommend picking 2nd line if processing more than 1,200 transactions per year.</v>
      </c>
      <c r="J143" s="414"/>
      <c r="K143" s="414" t="str">
        <f t="shared" si="97"/>
        <v>Pick one of the following 2 Maintenance options in the 12th month.  We recommend picking 2nd line if processing more than 1,200 transactions per year.</v>
      </c>
      <c r="L143" s="414"/>
      <c r="M143" s="414" t="str">
        <f t="shared" si="98"/>
        <v>Misc</v>
      </c>
      <c r="N143" s="414"/>
      <c r="O143" s="414" t="str">
        <f t="shared" si="99"/>
        <v xml:space="preserve">   *** Pick one of the following 2 Maintenance options in the 12th month.  We recommend picking 2nd line if processing more than 1,200 transactions per year.</v>
      </c>
      <c r="P143" s="415"/>
      <c r="Q143" s="99" t="str">
        <f t="shared" si="100"/>
        <v/>
      </c>
      <c r="R143" s="416" t="str">
        <f>IF(C143="", "",IF(D143&gt;0,D143,
IF($E$109="NY Contract", VLOOKUP(B143,'Raw BOM'!$A$3:$G$495,7,FALSE),
IF($E$109="FL Contract", VLOOKUP(B143,'Raw BOM'!$A$3:$I$495,8,FALSE),
IF($E$109="LA Contract", VLOOKUP(B143,'Raw BOM'!$A$3:$K$495,9,FALSE),
IF($E$109="WA Contract", VLOOKUP(B143,'Raw BOM'!$A$3:$M$495,10,FALSE),
VLOOKUP(B143,'Raw BOM'!$A$3:$D$495,4,FALSE)))))))</f>
        <v/>
      </c>
      <c r="S143" s="417" t="str">
        <f t="shared" si="101"/>
        <v>Misc</v>
      </c>
      <c r="T143" s="416" t="str">
        <f t="shared" si="102"/>
        <v/>
      </c>
      <c r="U143" s="417"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664</v>
      </c>
      <c r="C144" s="43">
        <f>IF('Blank Quote'!C36&lt;&gt;"", 'Blank Quote'!C36, "")</f>
        <v>0</v>
      </c>
      <c r="D144" s="44">
        <v>595</v>
      </c>
      <c r="E144" s="50" t="str">
        <f>IF('Blank Quote'!E36&lt;&gt;"", 'Blank Quote'!E36, "")</f>
        <v>Software Only coverage, per system</v>
      </c>
      <c r="F144" s="251">
        <f>ROUND(S149*0.08,-1)</f>
        <v>410</v>
      </c>
      <c r="G144" s="305" t="str">
        <f t="shared" si="74"/>
        <v>Maint-9X5-SW-App</v>
      </c>
      <c r="H144" s="306"/>
      <c r="I144" s="291" t="str">
        <f t="shared" si="81"/>
        <v>Maintenance-9X5 Software Only Support Applicant   *** Software Only coverage, per system</v>
      </c>
      <c r="J144" s="291"/>
      <c r="K144" s="291" t="str">
        <f t="shared" si="75"/>
        <v>Software Only coverage, per system</v>
      </c>
      <c r="L144" s="291"/>
      <c r="M144" s="291" t="str">
        <f t="shared" si="76"/>
        <v>Maint-9X5-SW-App</v>
      </c>
      <c r="N144" s="291"/>
      <c r="O144" s="291" t="str">
        <f t="shared" si="77"/>
        <v>Maintenance-9X5 Software Only Support Applicant   *** Software Only coverage, per system</v>
      </c>
      <c r="P144" s="291"/>
      <c r="Q144" s="99">
        <f t="shared" si="82"/>
        <v>0</v>
      </c>
      <c r="R144" s="405">
        <f>D144</f>
        <v>595</v>
      </c>
      <c r="S144" s="405" t="str">
        <f t="shared" si="101"/>
        <v>Maint-9X5-SW-App</v>
      </c>
      <c r="T144" s="293">
        <f t="shared" ref="T144:T147" si="106">IF(C144="", "", Q144*R144)</f>
        <v>0</v>
      </c>
      <c r="U144" s="293"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660</v>
      </c>
      <c r="C145" s="43">
        <f>IF('Blank Quote'!C37&lt;&gt;"", 'Blank Quote'!C37, "")</f>
        <v>0</v>
      </c>
      <c r="D145" s="44">
        <v>880</v>
      </c>
      <c r="E145" s="50" t="str">
        <f>IF('Blank Quote'!E37&lt;&gt;"", 'Blank Quote'!E37, "")</f>
        <v>Software and Hardware Coverage, per system</v>
      </c>
      <c r="F145" s="251">
        <f>ROUND(S149*0.12,-1)</f>
        <v>610</v>
      </c>
      <c r="G145" s="305" t="str">
        <f t="shared" si="74"/>
        <v>Maint-9X5-Remote</v>
      </c>
      <c r="H145" s="306"/>
      <c r="I145" s="291" t="str">
        <f t="shared" ref="I145:I147" si="108">IF(B145&lt;&gt;"", B145, "")&amp;IF(E145&lt;&gt;"", "   *** "&amp;E145, "")</f>
        <v>Maintenance-9 X 5 (8am - 5pm, M-F) Remote with Cross Ship   *** Software and Hardware Coverage, per system</v>
      </c>
      <c r="J145" s="291"/>
      <c r="K145" s="291" t="str">
        <f t="shared" ref="K145:K147" si="109">E145</f>
        <v>Software and Hardware Coverage, per system</v>
      </c>
      <c r="L145" s="291"/>
      <c r="M145" s="291" t="str">
        <f t="shared" ref="M145:M147" si="110">G145</f>
        <v>Maint-9X5-Remote</v>
      </c>
      <c r="N145" s="291"/>
      <c r="O145" s="291" t="str">
        <f t="shared" ref="O145:O147" si="111">I145</f>
        <v>Maintenance-9 X 5 (8am - 5pm, M-F) Remote with Cross Ship   *** Software and Hardware Coverage, per system</v>
      </c>
      <c r="P145" s="291"/>
      <c r="Q145" s="99">
        <f t="shared" si="82"/>
        <v>0</v>
      </c>
      <c r="R145" s="293">
        <f t="shared" ref="R145:R147" si="112">D145</f>
        <v>880</v>
      </c>
      <c r="S145" s="293" t="str">
        <f t="shared" ref="S145:S147" si="113">M145</f>
        <v>Maint-9X5-Remote</v>
      </c>
      <c r="T145" s="293">
        <f t="shared" si="106"/>
        <v>0</v>
      </c>
      <c r="U145" s="293"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05" t="str">
        <f t="shared" si="74"/>
        <v/>
      </c>
      <c r="H146" s="306"/>
      <c r="I146" s="291" t="str">
        <f t="shared" si="108"/>
        <v/>
      </c>
      <c r="J146" s="291"/>
      <c r="K146" s="291" t="str">
        <f t="shared" si="109"/>
        <v/>
      </c>
      <c r="L146" s="291"/>
      <c r="M146" s="291" t="str">
        <f t="shared" si="110"/>
        <v/>
      </c>
      <c r="N146" s="291"/>
      <c r="O146" s="291" t="str">
        <f t="shared" si="111"/>
        <v/>
      </c>
      <c r="P146" s="291"/>
      <c r="Q146" s="99" t="str">
        <f t="shared" si="82"/>
        <v/>
      </c>
      <c r="R146" s="293" t="str">
        <f t="shared" si="112"/>
        <v/>
      </c>
      <c r="S146" s="293" t="str">
        <f t="shared" si="113"/>
        <v/>
      </c>
      <c r="T146" s="293" t="str">
        <f t="shared" si="106"/>
        <v/>
      </c>
      <c r="U146" s="293"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296" t="str">
        <f>IF(A147&lt;&gt;"", A147, "")</f>
        <v/>
      </c>
      <c r="H147" s="297"/>
      <c r="I147" s="298" t="str">
        <f t="shared" si="108"/>
        <v/>
      </c>
      <c r="J147" s="298"/>
      <c r="K147" s="298" t="str">
        <f t="shared" si="109"/>
        <v/>
      </c>
      <c r="L147" s="298"/>
      <c r="M147" s="298" t="str">
        <f t="shared" si="110"/>
        <v/>
      </c>
      <c r="N147" s="298"/>
      <c r="O147" s="298" t="str">
        <f t="shared" si="111"/>
        <v/>
      </c>
      <c r="P147" s="298"/>
      <c r="Q147" s="96" t="str">
        <f t="shared" si="82"/>
        <v/>
      </c>
      <c r="R147" s="300" t="str">
        <f t="shared" si="112"/>
        <v/>
      </c>
      <c r="S147" s="300" t="str">
        <f t="shared" si="113"/>
        <v/>
      </c>
      <c r="T147" s="300" t="str">
        <f t="shared" si="106"/>
        <v/>
      </c>
      <c r="U147" s="300"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47" t="s">
        <v>1513</v>
      </c>
      <c r="H149" s="348"/>
      <c r="I149" s="348"/>
      <c r="J149" s="348"/>
      <c r="K149" s="348"/>
      <c r="L149" s="348"/>
      <c r="M149" s="349"/>
      <c r="N149" s="356" t="str">
        <f>'Blank Quote'!$N$41:$O$41</f>
        <v>QS: 20191222</v>
      </c>
      <c r="O149" s="357"/>
      <c r="P149" s="57"/>
      <c r="Q149" s="57"/>
      <c r="R149" s="58" t="s">
        <v>333</v>
      </c>
      <c r="S149" s="341">
        <f>SUMIF(T127:U143,"&gt;0")</f>
        <v>5090</v>
      </c>
      <c r="T149" s="342"/>
      <c r="U149" s="343"/>
      <c r="V149" s="59"/>
    </row>
    <row r="150" spans="1:28" ht="15" customHeight="1" outlineLevel="1" thickBot="1" x14ac:dyDescent="0.3">
      <c r="A150" s="249"/>
      <c r="B150" s="249"/>
      <c r="C150" s="249"/>
      <c r="D150" s="249"/>
      <c r="E150" s="249"/>
      <c r="G150" s="350"/>
      <c r="H150" s="351"/>
      <c r="I150" s="351"/>
      <c r="J150" s="351"/>
      <c r="K150" s="351"/>
      <c r="L150" s="351"/>
      <c r="M150" s="352"/>
      <c r="N150" s="356" t="str">
        <f>'Blank Quote'!$N$42:$O$42</f>
        <v>PT: Apte</v>
      </c>
      <c r="O150" s="357"/>
      <c r="P150" s="57"/>
      <c r="Q150" s="57"/>
      <c r="R150" s="58" t="str">
        <f>IF(X150&gt;0,"Discount on Taxable Items:", "")</f>
        <v>Discount on Taxable Items:</v>
      </c>
      <c r="S150" s="344">
        <f>IF(X150&gt;0, -X150, 0)</f>
        <v>-420</v>
      </c>
      <c r="T150" s="345"/>
      <c r="U150" s="346"/>
      <c r="V150" s="258">
        <f>S150/S149</f>
        <v>-8.2514734774066803E-2</v>
      </c>
      <c r="X150" s="61">
        <f>SUM(AA127:AA147)</f>
        <v>420</v>
      </c>
    </row>
    <row r="151" spans="1:28" ht="15" customHeight="1" outlineLevel="1" thickBot="1" x14ac:dyDescent="0.3">
      <c r="A151" s="249"/>
      <c r="B151" s="249"/>
      <c r="C151" s="249"/>
      <c r="D151" s="249"/>
      <c r="E151" s="249"/>
      <c r="G151" s="350"/>
      <c r="H151" s="351"/>
      <c r="I151" s="351"/>
      <c r="J151" s="351"/>
      <c r="K151" s="351"/>
      <c r="L151" s="351"/>
      <c r="M151" s="352"/>
      <c r="N151" s="56"/>
      <c r="P151" s="57"/>
      <c r="R151" s="58" t="str">
        <f>IF(X151&gt;0,"Discount on Non-Taxable Items:", "")</f>
        <v>Discount on Non-Taxable Items:</v>
      </c>
      <c r="S151" s="341">
        <f>IF(X151&gt;0, -X151, 0)+SUMIF(T127:U143,"&lt;0")</f>
        <v>-1289.2</v>
      </c>
      <c r="T151" s="342"/>
      <c r="U151" s="343"/>
      <c r="V151" s="256">
        <f>S151/S149</f>
        <v>-0.25328094302554027</v>
      </c>
      <c r="X151" s="61">
        <f>SUM(AB127:AB147)</f>
        <v>1289.2</v>
      </c>
    </row>
    <row r="152" spans="1:28" ht="15" customHeight="1" outlineLevel="1" thickBot="1" x14ac:dyDescent="0.3">
      <c r="A152" s="249"/>
      <c r="B152" s="249"/>
      <c r="C152" s="249"/>
      <c r="D152" s="249"/>
      <c r="E152" s="249"/>
      <c r="G152" s="350"/>
      <c r="H152" s="351"/>
      <c r="I152" s="351"/>
      <c r="J152" s="351"/>
      <c r="K152" s="351"/>
      <c r="L152" s="351"/>
      <c r="M152" s="352"/>
      <c r="N152" s="56"/>
      <c r="P152" s="57"/>
      <c r="R152" s="58" t="s">
        <v>1442</v>
      </c>
      <c r="S152" s="341">
        <f>SUM(T144:U147)</f>
        <v>0</v>
      </c>
      <c r="T152" s="342"/>
      <c r="U152" s="343"/>
      <c r="V152" s="201"/>
      <c r="X152" s="61"/>
    </row>
    <row r="153" spans="1:28" ht="15" customHeight="1" outlineLevel="1" thickBot="1" x14ac:dyDescent="0.3">
      <c r="A153" s="249"/>
      <c r="B153" s="249"/>
      <c r="C153" s="249"/>
      <c r="D153" s="249"/>
      <c r="E153" s="249"/>
      <c r="G153" s="350"/>
      <c r="H153" s="351"/>
      <c r="I153" s="351"/>
      <c r="J153" s="351"/>
      <c r="K153" s="351"/>
      <c r="L153" s="351"/>
      <c r="M153" s="352"/>
      <c r="N153" s="56"/>
      <c r="P153" s="57"/>
      <c r="Q153" s="57"/>
      <c r="R153" s="58" t="s">
        <v>649</v>
      </c>
      <c r="S153" s="344" t="str">
        <f>IF(B119=0, "Tax Exempt or TBD", X153)</f>
        <v>Tax Exempt or TBD</v>
      </c>
      <c r="T153" s="345"/>
      <c r="U153" s="345"/>
      <c r="V153" s="257">
        <f>B119</f>
        <v>0</v>
      </c>
      <c r="X153" s="61">
        <f>SUM(X127:X147)</f>
        <v>0</v>
      </c>
    </row>
    <row r="154" spans="1:28" ht="15" customHeight="1" outlineLevel="1" thickBot="1" x14ac:dyDescent="0.3">
      <c r="A154" s="249"/>
      <c r="B154" s="249"/>
      <c r="C154" s="249"/>
      <c r="D154" s="249"/>
      <c r="E154" s="249"/>
      <c r="G154" s="353"/>
      <c r="H154" s="354"/>
      <c r="I154" s="354"/>
      <c r="J154" s="354"/>
      <c r="K154" s="354"/>
      <c r="L154" s="354"/>
      <c r="M154" s="355"/>
      <c r="N154" s="66"/>
      <c r="O154" s="65"/>
      <c r="P154" s="57"/>
      <c r="Q154" s="57"/>
      <c r="R154" s="58" t="s">
        <v>334</v>
      </c>
      <c r="S154" s="374">
        <f>SUM(S149:U153)</f>
        <v>3380.8</v>
      </c>
      <c r="T154" s="375"/>
      <c r="U154" s="376"/>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65"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66"/>
      <c r="I156" s="366"/>
      <c r="J156" s="366"/>
      <c r="K156" s="366"/>
      <c r="L156" s="366"/>
      <c r="M156" s="366"/>
      <c r="N156" s="366"/>
      <c r="O156" s="366"/>
      <c r="P156" s="366"/>
      <c r="Q156" s="366"/>
      <c r="R156" s="366"/>
      <c r="S156" s="366"/>
      <c r="T156" s="366"/>
      <c r="U156" s="366"/>
      <c r="V156" s="367"/>
    </row>
    <row r="157" spans="1:28" ht="6" customHeight="1" outlineLevel="1" x14ac:dyDescent="0.25">
      <c r="A157" s="249"/>
      <c r="B157" s="249"/>
      <c r="C157" s="249"/>
      <c r="D157" s="249"/>
      <c r="E157" s="249"/>
      <c r="G157" s="368"/>
      <c r="H157" s="369"/>
      <c r="I157" s="369"/>
      <c r="J157" s="369"/>
      <c r="K157" s="369"/>
      <c r="L157" s="369"/>
      <c r="M157" s="369"/>
      <c r="N157" s="369"/>
      <c r="O157" s="369"/>
      <c r="P157" s="369"/>
      <c r="Q157" s="369"/>
      <c r="R157" s="369"/>
      <c r="S157" s="369"/>
      <c r="T157" s="369"/>
      <c r="U157" s="369"/>
      <c r="V157" s="370"/>
    </row>
    <row r="158" spans="1:28" ht="13.5" customHeight="1" outlineLevel="1" x14ac:dyDescent="0.25">
      <c r="A158" s="249"/>
      <c r="B158" s="249"/>
      <c r="C158" s="249"/>
      <c r="D158" s="249"/>
      <c r="E158" s="249"/>
      <c r="G158" s="368"/>
      <c r="H158" s="369"/>
      <c r="I158" s="369"/>
      <c r="J158" s="369"/>
      <c r="K158" s="369"/>
      <c r="L158" s="369"/>
      <c r="M158" s="369"/>
      <c r="N158" s="369"/>
      <c r="O158" s="369"/>
      <c r="P158" s="369"/>
      <c r="Q158" s="369"/>
      <c r="R158" s="369"/>
      <c r="S158" s="369"/>
      <c r="T158" s="369"/>
      <c r="U158" s="369"/>
      <c r="V158" s="370"/>
    </row>
    <row r="159" spans="1:28" ht="13.5" customHeight="1" outlineLevel="1" x14ac:dyDescent="0.25">
      <c r="A159" s="249"/>
      <c r="B159" s="249"/>
      <c r="C159" s="249"/>
      <c r="D159" s="249"/>
      <c r="E159" s="249"/>
      <c r="G159" s="368"/>
      <c r="H159" s="369"/>
      <c r="I159" s="369"/>
      <c r="J159" s="369"/>
      <c r="K159" s="369"/>
      <c r="L159" s="369"/>
      <c r="M159" s="369"/>
      <c r="N159" s="369"/>
      <c r="O159" s="369"/>
      <c r="P159" s="369"/>
      <c r="Q159" s="369"/>
      <c r="R159" s="369"/>
      <c r="S159" s="369"/>
      <c r="T159" s="369"/>
      <c r="U159" s="369"/>
      <c r="V159" s="370"/>
    </row>
    <row r="160" spans="1:28" ht="13.5" customHeight="1" outlineLevel="1" x14ac:dyDescent="0.25">
      <c r="A160" s="249"/>
      <c r="B160" s="249"/>
      <c r="C160" s="249"/>
      <c r="D160" s="249"/>
      <c r="E160" s="249"/>
      <c r="G160" s="368"/>
      <c r="H160" s="369"/>
      <c r="I160" s="369"/>
      <c r="J160" s="369"/>
      <c r="K160" s="369"/>
      <c r="L160" s="369"/>
      <c r="M160" s="369"/>
      <c r="N160" s="369"/>
      <c r="O160" s="369"/>
      <c r="P160" s="369"/>
      <c r="Q160" s="369"/>
      <c r="R160" s="369"/>
      <c r="S160" s="369"/>
      <c r="T160" s="369"/>
      <c r="U160" s="369"/>
      <c r="V160" s="370"/>
    </row>
    <row r="161" spans="1:22" ht="9" customHeight="1" outlineLevel="1" x14ac:dyDescent="0.25">
      <c r="A161" s="249"/>
      <c r="B161" s="249"/>
      <c r="C161" s="249"/>
      <c r="D161" s="249"/>
      <c r="E161" s="249"/>
      <c r="G161" s="368"/>
      <c r="H161" s="369"/>
      <c r="I161" s="369"/>
      <c r="J161" s="369"/>
      <c r="K161" s="369"/>
      <c r="L161" s="369"/>
      <c r="M161" s="369"/>
      <c r="N161" s="369"/>
      <c r="O161" s="369"/>
      <c r="P161" s="369"/>
      <c r="Q161" s="369"/>
      <c r="R161" s="369"/>
      <c r="S161" s="369"/>
      <c r="T161" s="369"/>
      <c r="U161" s="369"/>
      <c r="V161" s="370"/>
    </row>
    <row r="162" spans="1:22" ht="24.6" customHeight="1" outlineLevel="1" thickBot="1" x14ac:dyDescent="0.3">
      <c r="A162" s="249"/>
      <c r="B162" s="249"/>
      <c r="C162" s="249"/>
      <c r="D162" s="249"/>
      <c r="E162" s="249"/>
      <c r="G162" s="371"/>
      <c r="H162" s="372"/>
      <c r="I162" s="372"/>
      <c r="J162" s="372"/>
      <c r="K162" s="372"/>
      <c r="L162" s="372"/>
      <c r="M162" s="372"/>
      <c r="N162" s="372"/>
      <c r="O162" s="372"/>
      <c r="P162" s="372"/>
      <c r="Q162" s="372"/>
      <c r="R162" s="372"/>
      <c r="S162" s="372"/>
      <c r="T162" s="372"/>
      <c r="U162" s="372"/>
      <c r="V162" s="373"/>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algorithmName="SHA-512" hashValue="3WU187n6gIDc7dYbGUJYebYtJmOiEyJARonX2scEJSbQAFrFrPvl6wQBIXGcngghH3jWYiyr4dhT251fxRFIxQ==" saltValue="uyhTuTkzTFkhDNS2mkAMtA==" spinCount="100000" sheet="1" selectLockedCells="1"/>
  <mergeCells count="399">
    <mergeCell ref="C109:D109"/>
    <mergeCell ref="C110:D110"/>
    <mergeCell ref="P110:U110"/>
    <mergeCell ref="C111:D111"/>
    <mergeCell ref="C112:D112"/>
    <mergeCell ref="G112:L112"/>
    <mergeCell ref="P112:U112"/>
    <mergeCell ref="G117:M117"/>
    <mergeCell ref="O117:V117"/>
    <mergeCell ref="G118:M118"/>
    <mergeCell ref="O118:V118"/>
    <mergeCell ref="G119:M119"/>
    <mergeCell ref="O119:V119"/>
    <mergeCell ref="C113:D113"/>
    <mergeCell ref="G113:L113"/>
    <mergeCell ref="G114:L114"/>
    <mergeCell ref="P114:U114"/>
    <mergeCell ref="G116:M116"/>
    <mergeCell ref="O116:V116"/>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3:M13"/>
    <mergeCell ref="O13:V13"/>
    <mergeCell ref="G15:H15"/>
    <mergeCell ref="I15:K15"/>
    <mergeCell ref="L15:N15"/>
    <mergeCell ref="O15:P15"/>
    <mergeCell ref="Q15:R15"/>
    <mergeCell ref="S15:V15"/>
    <mergeCell ref="G20:H20"/>
    <mergeCell ref="I20:P20"/>
    <mergeCell ref="R20:S20"/>
    <mergeCell ref="T20:U20"/>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G21:H21"/>
    <mergeCell ref="I21:P21"/>
    <mergeCell ref="R21:S21"/>
    <mergeCell ref="T21:U21"/>
    <mergeCell ref="G18:H18"/>
    <mergeCell ref="I18:P18"/>
    <mergeCell ref="R18:S18"/>
    <mergeCell ref="T18:U18"/>
    <mergeCell ref="G19:H19"/>
    <mergeCell ref="I19:P19"/>
    <mergeCell ref="R19:S19"/>
    <mergeCell ref="T19:U19"/>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9:H39"/>
    <mergeCell ref="I39:P39"/>
    <mergeCell ref="R39:S39"/>
    <mergeCell ref="T39:U39"/>
    <mergeCell ref="G41:M46"/>
    <mergeCell ref="N41:O41"/>
    <mergeCell ref="S41:U41"/>
    <mergeCell ref="S42:U42"/>
    <mergeCell ref="S43:U43"/>
    <mergeCell ref="N42:O42"/>
    <mergeCell ref="S44:U44"/>
    <mergeCell ref="C57:D57"/>
    <mergeCell ref="C58:D58"/>
    <mergeCell ref="G58:L58"/>
    <mergeCell ref="P58:U58"/>
    <mergeCell ref="C59:D59"/>
    <mergeCell ref="G59:L59"/>
    <mergeCell ref="S45:U45"/>
    <mergeCell ref="S46:U46"/>
    <mergeCell ref="G48:V54"/>
    <mergeCell ref="C55:D55"/>
    <mergeCell ref="C56:D56"/>
    <mergeCell ref="P56:U56"/>
    <mergeCell ref="G64:M64"/>
    <mergeCell ref="O64:V64"/>
    <mergeCell ref="G65:M65"/>
    <mergeCell ref="O65:V65"/>
    <mergeCell ref="G66:M66"/>
    <mergeCell ref="O66:V66"/>
    <mergeCell ref="G60:L60"/>
    <mergeCell ref="P60:U60"/>
    <mergeCell ref="G62:M62"/>
    <mergeCell ref="O62:V62"/>
    <mergeCell ref="G63:M63"/>
    <mergeCell ref="O63:V6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396</v>
      </c>
      <c r="B1" s="4" t="s">
        <v>439</v>
      </c>
    </row>
    <row r="2" spans="1:2" ht="105.75" customHeight="1" x14ac:dyDescent="0.25">
      <c r="A2" s="3" t="s">
        <v>397</v>
      </c>
      <c r="B2" s="4" t="s">
        <v>707</v>
      </c>
    </row>
    <row r="3" spans="1:2" ht="96" customHeight="1" x14ac:dyDescent="0.25">
      <c r="A3" s="3" t="s">
        <v>402</v>
      </c>
      <c r="B3" s="4" t="s">
        <v>437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361</v>
      </c>
      <c r="S1" s="163" t="s">
        <v>360</v>
      </c>
      <c r="T1" s="163" t="s">
        <v>115</v>
      </c>
      <c r="U1" s="163" t="s">
        <v>342</v>
      </c>
      <c r="V1" s="163" t="s">
        <v>359</v>
      </c>
      <c r="W1" s="162"/>
      <c r="X1" s="162"/>
    </row>
    <row r="2" spans="1:24" ht="30" x14ac:dyDescent="0.25">
      <c r="A2" s="132" t="s">
        <v>340</v>
      </c>
      <c r="B2" s="132" t="s">
        <v>123</v>
      </c>
      <c r="C2" s="132" t="s">
        <v>341</v>
      </c>
      <c r="D2" s="133" t="s">
        <v>369</v>
      </c>
      <c r="E2" s="134" t="s">
        <v>364</v>
      </c>
      <c r="F2" s="132" t="s">
        <v>346</v>
      </c>
      <c r="G2" s="132" t="s">
        <v>392</v>
      </c>
      <c r="H2" s="132" t="s">
        <v>986</v>
      </c>
      <c r="I2" s="135" t="s">
        <v>394</v>
      </c>
      <c r="J2" s="132" t="s">
        <v>987</v>
      </c>
      <c r="K2" s="132" t="s">
        <v>393</v>
      </c>
      <c r="L2" s="132" t="s">
        <v>988</v>
      </c>
      <c r="M2" s="145" t="s">
        <v>395</v>
      </c>
      <c r="N2" s="145" t="s">
        <v>989</v>
      </c>
      <c r="O2" s="154"/>
      <c r="P2" s="261" t="s">
        <v>363</v>
      </c>
      <c r="Q2" s="161" t="s">
        <v>0</v>
      </c>
      <c r="R2" s="161" t="s">
        <v>1</v>
      </c>
      <c r="S2" s="161" t="s">
        <v>2</v>
      </c>
      <c r="T2" s="161" t="s">
        <v>3</v>
      </c>
      <c r="U2" s="161" t="s">
        <v>367</v>
      </c>
      <c r="V2" s="161" t="s">
        <v>368</v>
      </c>
      <c r="W2" s="161" t="s">
        <v>4</v>
      </c>
      <c r="X2" s="161" t="s">
        <v>148</v>
      </c>
    </row>
    <row r="3" spans="1:24" ht="30" x14ac:dyDescent="0.25">
      <c r="A3" s="127" t="s">
        <v>858</v>
      </c>
      <c r="B3" s="78" t="s">
        <v>845</v>
      </c>
      <c r="C3" s="127" t="s">
        <v>839</v>
      </c>
      <c r="D3" s="84">
        <f t="shared" ref="D3:D8" si="0">IF(E3&lt;20, ROUNDUP(E3/0.3,0), ROUNDUP(E3/0.3,-1))</f>
        <v>1710</v>
      </c>
      <c r="E3" s="128">
        <f t="shared" ref="E3:E19" si="1">P3+Q3+T3+V3</f>
        <v>511.88235294117646</v>
      </c>
      <c r="F3" s="86" t="s">
        <v>366</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8</v>
      </c>
      <c r="V3" s="48">
        <f t="shared" ref="V3:V19" si="5">IF(U3="Bulk",0,IF(U3="Std", 10,IF(U3="Pickup",20,30)))/60*60</f>
        <v>10</v>
      </c>
      <c r="W3" s="83"/>
      <c r="X3" s="83"/>
    </row>
    <row r="4" spans="1:24" ht="30" x14ac:dyDescent="0.25">
      <c r="A4" s="127" t="s">
        <v>859</v>
      </c>
      <c r="B4" s="78" t="s">
        <v>844</v>
      </c>
      <c r="C4" s="127" t="s">
        <v>838</v>
      </c>
      <c r="D4" s="84">
        <f t="shared" si="0"/>
        <v>3040</v>
      </c>
      <c r="E4" s="128">
        <f t="shared" si="1"/>
        <v>911.88235294117646</v>
      </c>
      <c r="F4" s="86" t="s">
        <v>366</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8</v>
      </c>
      <c r="V4" s="48">
        <f t="shared" si="5"/>
        <v>10</v>
      </c>
      <c r="W4" s="83"/>
      <c r="X4" s="83"/>
    </row>
    <row r="5" spans="1:24" ht="30" x14ac:dyDescent="0.25">
      <c r="A5" s="127" t="s">
        <v>944</v>
      </c>
      <c r="B5" s="78" t="s">
        <v>846</v>
      </c>
      <c r="C5" s="127" t="s">
        <v>840</v>
      </c>
      <c r="D5" s="84">
        <f t="shared" si="0"/>
        <v>710</v>
      </c>
      <c r="E5" s="128">
        <f t="shared" si="1"/>
        <v>211.88235294117646</v>
      </c>
      <c r="F5" s="86" t="s">
        <v>366</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8</v>
      </c>
      <c r="V5" s="48">
        <f t="shared" si="5"/>
        <v>10</v>
      </c>
      <c r="W5" s="83"/>
      <c r="X5" s="83"/>
    </row>
    <row r="6" spans="1:24" ht="15" customHeight="1" x14ac:dyDescent="0.25">
      <c r="A6" s="82" t="s">
        <v>984</v>
      </c>
      <c r="B6" s="83" t="s">
        <v>423</v>
      </c>
      <c r="C6" s="82" t="s">
        <v>424</v>
      </c>
      <c r="D6" s="84">
        <f t="shared" si="0"/>
        <v>15040</v>
      </c>
      <c r="E6" s="128">
        <f t="shared" si="1"/>
        <v>4511.8823529411766</v>
      </c>
      <c r="F6" s="86" t="s">
        <v>366</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8</v>
      </c>
      <c r="V6" s="48">
        <f t="shared" si="5"/>
        <v>10</v>
      </c>
      <c r="W6" s="83"/>
      <c r="X6" s="83"/>
    </row>
    <row r="7" spans="1:24" ht="30" customHeight="1" x14ac:dyDescent="0.25">
      <c r="A7" s="127" t="s">
        <v>860</v>
      </c>
      <c r="B7" s="78" t="s">
        <v>848</v>
      </c>
      <c r="C7" s="127" t="s">
        <v>842</v>
      </c>
      <c r="D7" s="84">
        <f t="shared" si="0"/>
        <v>26710</v>
      </c>
      <c r="E7" s="128">
        <f t="shared" si="1"/>
        <v>8011.8823529411766</v>
      </c>
      <c r="F7" s="86" t="s">
        <v>366</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8</v>
      </c>
      <c r="V7" s="48">
        <f t="shared" si="5"/>
        <v>10</v>
      </c>
      <c r="W7" s="83"/>
      <c r="X7" s="83"/>
    </row>
    <row r="8" spans="1:24" ht="30" customHeight="1" x14ac:dyDescent="0.25">
      <c r="A8" s="127" t="s">
        <v>861</v>
      </c>
      <c r="B8" s="78" t="s">
        <v>849</v>
      </c>
      <c r="C8" s="127" t="s">
        <v>843</v>
      </c>
      <c r="D8" s="84">
        <f t="shared" si="0"/>
        <v>16380</v>
      </c>
      <c r="E8" s="128">
        <f t="shared" si="1"/>
        <v>4911.8823529411766</v>
      </c>
      <c r="F8" s="86" t="s">
        <v>366</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8</v>
      </c>
      <c r="V8" s="48">
        <f t="shared" si="5"/>
        <v>10</v>
      </c>
      <c r="W8" s="83"/>
      <c r="X8" s="83" t="s">
        <v>114</v>
      </c>
    </row>
    <row r="9" spans="1:24" ht="30" customHeight="1" x14ac:dyDescent="0.25">
      <c r="A9" s="87" t="s">
        <v>863</v>
      </c>
      <c r="B9" s="82" t="s">
        <v>512</v>
      </c>
      <c r="C9" s="82" t="s">
        <v>621</v>
      </c>
      <c r="D9" s="84">
        <f>IF(E9&lt;20, ROUNDUP(E9/0.575,0), ROUNDUP(E9/0.575,-1))</f>
        <v>8720</v>
      </c>
      <c r="E9" s="128">
        <f t="shared" si="1"/>
        <v>5011.8823529411766</v>
      </c>
      <c r="F9" s="86" t="s">
        <v>365</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8</v>
      </c>
      <c r="V9" s="48">
        <f t="shared" si="5"/>
        <v>10</v>
      </c>
      <c r="W9" s="83"/>
      <c r="X9" s="83" t="s">
        <v>111</v>
      </c>
    </row>
    <row r="10" spans="1:24" ht="45" x14ac:dyDescent="0.25">
      <c r="A10" s="87" t="s">
        <v>864</v>
      </c>
      <c r="B10" s="82" t="s">
        <v>267</v>
      </c>
      <c r="C10" s="82" t="s">
        <v>622</v>
      </c>
      <c r="D10" s="84">
        <f>IF(E10&lt;20, ROUNDUP(E10/0.575,0), ROUNDUP(E10/0.575,-1))</f>
        <v>26110</v>
      </c>
      <c r="E10" s="128">
        <f t="shared" si="1"/>
        <v>15011.882352941177</v>
      </c>
      <c r="F10" s="86" t="s">
        <v>365</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8</v>
      </c>
      <c r="V10" s="48">
        <f t="shared" si="5"/>
        <v>10</v>
      </c>
      <c r="W10" s="83"/>
      <c r="X10" s="83" t="s">
        <v>113</v>
      </c>
    </row>
    <row r="11" spans="1:24" ht="45" x14ac:dyDescent="0.25">
      <c r="A11" s="87" t="s">
        <v>865</v>
      </c>
      <c r="B11" s="82" t="s">
        <v>212</v>
      </c>
      <c r="C11" s="82" t="s">
        <v>623</v>
      </c>
      <c r="D11" s="84">
        <f>IF(E11&lt;20, ROUNDUP(E11/0.575,0), ROUNDUP(E11/0.575,-1))</f>
        <v>17420</v>
      </c>
      <c r="E11" s="128">
        <f t="shared" si="1"/>
        <v>10011.882352941177</v>
      </c>
      <c r="F11" s="86" t="s">
        <v>365</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8</v>
      </c>
      <c r="V11" s="48">
        <f t="shared" si="5"/>
        <v>10</v>
      </c>
      <c r="W11" s="83"/>
      <c r="X11" s="83" t="s">
        <v>112</v>
      </c>
    </row>
    <row r="12" spans="1:24" ht="45" x14ac:dyDescent="0.25">
      <c r="A12" s="87" t="s">
        <v>866</v>
      </c>
      <c r="B12" s="82" t="s">
        <v>268</v>
      </c>
      <c r="C12" s="82" t="s">
        <v>624</v>
      </c>
      <c r="D12" s="84">
        <f>IF(E12&lt;20, ROUNDUP(E12/0.575,0), ROUNDUP(E12/0.575,-1))</f>
        <v>12200</v>
      </c>
      <c r="E12" s="128">
        <f t="shared" si="1"/>
        <v>7011.8823529411766</v>
      </c>
      <c r="F12" s="86" t="s">
        <v>365</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8</v>
      </c>
      <c r="V12" s="48">
        <f t="shared" si="5"/>
        <v>10</v>
      </c>
      <c r="W12" s="83"/>
      <c r="X12" s="83"/>
    </row>
    <row r="13" spans="1:24" ht="30" customHeight="1" x14ac:dyDescent="0.25">
      <c r="A13" s="127" t="s">
        <v>862</v>
      </c>
      <c r="B13" s="78" t="s">
        <v>847</v>
      </c>
      <c r="C13" s="127" t="s">
        <v>841</v>
      </c>
      <c r="D13" s="84">
        <f>IF(E13&lt;20, ROUNDUP(E13/0.3,0), ROUNDUP(E13/0.3,-1))</f>
        <v>5040</v>
      </c>
      <c r="E13" s="128">
        <f t="shared" si="1"/>
        <v>1511.8823529411766</v>
      </c>
      <c r="F13" s="86" t="s">
        <v>366</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8</v>
      </c>
      <c r="V13" s="48">
        <f t="shared" si="5"/>
        <v>10</v>
      </c>
      <c r="W13" s="83"/>
      <c r="X13" s="83" t="s">
        <v>282</v>
      </c>
    </row>
    <row r="14" spans="1:24" ht="30" customHeight="1" x14ac:dyDescent="0.25">
      <c r="A14" s="82" t="s">
        <v>867</v>
      </c>
      <c r="B14" s="82" t="s">
        <v>854</v>
      </c>
      <c r="C14" s="82" t="s">
        <v>771</v>
      </c>
      <c r="D14" s="84">
        <f>IF(E14&lt;20, ROUNDUP(E14/0.6,0), ROUNDUP(E14/0.6,-1))</f>
        <v>12520</v>
      </c>
      <c r="E14" s="128">
        <f t="shared" si="1"/>
        <v>7511.8823529411766</v>
      </c>
      <c r="F14" s="86" t="s">
        <v>366</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8</v>
      </c>
      <c r="V14" s="48">
        <f t="shared" si="5"/>
        <v>10</v>
      </c>
      <c r="W14" s="83"/>
      <c r="X14" s="83" t="s">
        <v>114</v>
      </c>
    </row>
    <row r="15" spans="1:24" ht="30" customHeight="1" x14ac:dyDescent="0.25">
      <c r="A15" s="82" t="s">
        <v>1460</v>
      </c>
      <c r="B15" s="82" t="s">
        <v>1461</v>
      </c>
      <c r="C15" s="82" t="s">
        <v>1460</v>
      </c>
      <c r="D15" s="84">
        <f t="shared" ref="D15" si="6">IF(E15&lt;20, ROUNDUP(E15/0.6,0), ROUNDUP(E15/0.6,-1))</f>
        <v>6680</v>
      </c>
      <c r="E15" s="128">
        <f t="shared" si="1"/>
        <v>4006.8823529411766</v>
      </c>
      <c r="F15" s="86" t="s">
        <v>366</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8</v>
      </c>
      <c r="V15" s="48">
        <f t="shared" si="5"/>
        <v>10</v>
      </c>
      <c r="W15" s="83"/>
      <c r="X15" s="83" t="s">
        <v>114</v>
      </c>
    </row>
    <row r="16" spans="1:24" ht="30" customHeight="1" x14ac:dyDescent="0.25">
      <c r="A16" s="82" t="s">
        <v>868</v>
      </c>
      <c r="B16" s="82" t="s">
        <v>853</v>
      </c>
      <c r="C16" s="82" t="s">
        <v>772</v>
      </c>
      <c r="D16" s="84">
        <f>IF(E16&lt;20, ROUNDUP(E16/0.6,0), ROUNDUP(E16/0.6,-1))</f>
        <v>125020</v>
      </c>
      <c r="E16" s="128">
        <f t="shared" si="1"/>
        <v>75011.882352941175</v>
      </c>
      <c r="F16" s="86" t="s">
        <v>366</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8</v>
      </c>
      <c r="V16" s="48">
        <f t="shared" si="5"/>
        <v>10</v>
      </c>
      <c r="W16" s="83"/>
      <c r="X16" s="83" t="s">
        <v>111</v>
      </c>
    </row>
    <row r="17" spans="1:24" ht="30" customHeight="1" x14ac:dyDescent="0.25">
      <c r="A17" s="82" t="s">
        <v>871</v>
      </c>
      <c r="B17" s="82" t="s">
        <v>852</v>
      </c>
      <c r="C17" s="82" t="s">
        <v>773</v>
      </c>
      <c r="D17" s="84">
        <f>IF(E17&lt;20, ROUNDUP(E17/0.6,0), ROUNDUP(E17/0.6,-1))</f>
        <v>70860</v>
      </c>
      <c r="E17" s="128">
        <f t="shared" si="1"/>
        <v>42511.882352941175</v>
      </c>
      <c r="F17" s="86" t="s">
        <v>366</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8</v>
      </c>
      <c r="V17" s="48">
        <f t="shared" si="5"/>
        <v>10</v>
      </c>
      <c r="W17" s="83"/>
      <c r="X17" s="83" t="s">
        <v>113</v>
      </c>
    </row>
    <row r="18" spans="1:24" ht="30" customHeight="1" x14ac:dyDescent="0.25">
      <c r="A18" s="82" t="s">
        <v>870</v>
      </c>
      <c r="B18" s="82" t="s">
        <v>851</v>
      </c>
      <c r="C18" s="82" t="s">
        <v>774</v>
      </c>
      <c r="D18" s="84">
        <f>IF(E18&lt;20, ROUNDUP(E18/0.6,0), ROUNDUP(E18/0.6,-1))</f>
        <v>41690</v>
      </c>
      <c r="E18" s="128">
        <f t="shared" si="1"/>
        <v>25011.882352941175</v>
      </c>
      <c r="F18" s="86" t="s">
        <v>366</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8</v>
      </c>
      <c r="V18" s="48">
        <f t="shared" si="5"/>
        <v>10</v>
      </c>
      <c r="W18" s="83"/>
      <c r="X18" s="83" t="s">
        <v>112</v>
      </c>
    </row>
    <row r="19" spans="1:24" ht="30" customHeight="1" x14ac:dyDescent="0.25">
      <c r="A19" s="82" t="s">
        <v>869</v>
      </c>
      <c r="B19" s="82" t="s">
        <v>850</v>
      </c>
      <c r="C19" s="82" t="s">
        <v>774</v>
      </c>
      <c r="D19" s="84">
        <f>IF(E19&lt;20, ROUNDUP(E19/0.6,0), ROUNDUP(E19/0.6,-1))</f>
        <v>25020</v>
      </c>
      <c r="E19" s="128">
        <f t="shared" si="1"/>
        <v>15011.882352941177</v>
      </c>
      <c r="F19" s="86" t="s">
        <v>366</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8</v>
      </c>
      <c r="V19" s="48">
        <f t="shared" si="5"/>
        <v>10</v>
      </c>
      <c r="W19" s="83"/>
      <c r="X19" s="83" t="s">
        <v>112</v>
      </c>
    </row>
    <row r="20" spans="1:24" ht="15" customHeight="1" x14ac:dyDescent="0.25">
      <c r="A20" s="82" t="s">
        <v>1451</v>
      </c>
      <c r="B20" s="83" t="s">
        <v>1452</v>
      </c>
      <c r="C20" s="82" t="s">
        <v>1451</v>
      </c>
      <c r="D20" s="84">
        <v>500</v>
      </c>
      <c r="E20" s="128">
        <v>500</v>
      </c>
      <c r="F20" s="85" t="s">
        <v>365</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704</v>
      </c>
      <c r="B21" s="83" t="s">
        <v>705</v>
      </c>
      <c r="C21" s="82" t="s">
        <v>706</v>
      </c>
      <c r="D21" s="84">
        <f>IF(E21&lt;20, ROUNDUP(E21/0.4,0), ROUNDUP(E21/0.5,-1))</f>
        <v>-250</v>
      </c>
      <c r="E21" s="128">
        <f t="shared" ref="E21:E53" si="7">P21+Q21+T21+V21</f>
        <v>-100</v>
      </c>
      <c r="F21" s="85" t="s">
        <v>366</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701</v>
      </c>
      <c r="B22" s="83" t="s">
        <v>702</v>
      </c>
      <c r="C22" s="82" t="s">
        <v>703</v>
      </c>
      <c r="D22" s="84">
        <f>IF(E22&lt;20, ROUNDUP(E22/0.4,0), ROUNDUP(E22/0.5,-1))</f>
        <v>-250</v>
      </c>
      <c r="E22" s="128">
        <f t="shared" si="7"/>
        <v>-100</v>
      </c>
      <c r="F22" s="85" t="s">
        <v>365</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237</v>
      </c>
      <c r="B23" s="82" t="s">
        <v>186</v>
      </c>
      <c r="C23" s="82" t="s">
        <v>541</v>
      </c>
      <c r="D23" s="84">
        <f t="shared" ref="D23:D55" si="8">IF(E23&lt;20, ROUNDUP(E23/0.575,0), ROUNDUP(E23/0.575,-1))</f>
        <v>280</v>
      </c>
      <c r="E23" s="128">
        <f t="shared" si="7"/>
        <v>160.31372549019608</v>
      </c>
      <c r="F23" s="86" t="s">
        <v>365</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8</v>
      </c>
      <c r="V23" s="48">
        <f t="shared" ref="V23:V37" si="10">IF(U23="Bulk",0,IF(U23="Std", 10,IF(U23="Pickup",20,30)))/60*60</f>
        <v>10</v>
      </c>
      <c r="W23" s="83"/>
      <c r="X23" s="83" t="s">
        <v>60</v>
      </c>
    </row>
    <row r="24" spans="1:24" x14ac:dyDescent="0.25">
      <c r="A24" s="82" t="s">
        <v>238</v>
      </c>
      <c r="B24" s="82" t="s">
        <v>187</v>
      </c>
      <c r="C24" s="82" t="s">
        <v>542</v>
      </c>
      <c r="D24" s="84">
        <f t="shared" si="8"/>
        <v>540</v>
      </c>
      <c r="E24" s="128">
        <f t="shared" si="7"/>
        <v>310.31372549019608</v>
      </c>
      <c r="F24" s="86" t="s">
        <v>365</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8</v>
      </c>
      <c r="V24" s="48">
        <f t="shared" si="10"/>
        <v>10</v>
      </c>
      <c r="W24" s="83"/>
      <c r="X24" s="83" t="s">
        <v>61</v>
      </c>
    </row>
    <row r="25" spans="1:24" ht="30" x14ac:dyDescent="0.25">
      <c r="A25" s="82" t="s">
        <v>252</v>
      </c>
      <c r="B25" s="82" t="s">
        <v>201</v>
      </c>
      <c r="C25" s="82" t="s">
        <v>543</v>
      </c>
      <c r="D25" s="84">
        <f t="shared" si="8"/>
        <v>110</v>
      </c>
      <c r="E25" s="128">
        <f t="shared" si="7"/>
        <v>60.627450980392155</v>
      </c>
      <c r="F25" s="86" t="s">
        <v>365</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8</v>
      </c>
      <c r="V25" s="48">
        <f t="shared" si="10"/>
        <v>10</v>
      </c>
      <c r="W25" s="83"/>
      <c r="X25" s="83" t="s">
        <v>84</v>
      </c>
    </row>
    <row r="26" spans="1:24" ht="30" x14ac:dyDescent="0.25">
      <c r="A26" s="82" t="s">
        <v>469</v>
      </c>
      <c r="B26" s="82" t="s">
        <v>470</v>
      </c>
      <c r="C26" s="82" t="s">
        <v>544</v>
      </c>
      <c r="D26" s="84">
        <f t="shared" si="8"/>
        <v>40</v>
      </c>
      <c r="E26" s="128">
        <f t="shared" si="7"/>
        <v>20.117647058823529</v>
      </c>
      <c r="F26" s="86" t="s">
        <v>365</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8</v>
      </c>
      <c r="V26" s="48">
        <f t="shared" si="10"/>
        <v>10</v>
      </c>
      <c r="W26" s="83"/>
      <c r="X26" s="83" t="s">
        <v>93</v>
      </c>
    </row>
    <row r="27" spans="1:24" ht="30" x14ac:dyDescent="0.25">
      <c r="A27" s="82" t="s">
        <v>253</v>
      </c>
      <c r="B27" s="82" t="s">
        <v>472</v>
      </c>
      <c r="C27" s="82" t="s">
        <v>545</v>
      </c>
      <c r="D27" s="84">
        <f t="shared" si="8"/>
        <v>60</v>
      </c>
      <c r="E27" s="128">
        <f t="shared" si="7"/>
        <v>30.470588235294116</v>
      </c>
      <c r="F27" s="86" t="s">
        <v>365</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8</v>
      </c>
      <c r="V27" s="48">
        <f t="shared" si="10"/>
        <v>10</v>
      </c>
      <c r="W27" s="83"/>
      <c r="X27" s="83" t="s">
        <v>89</v>
      </c>
    </row>
    <row r="28" spans="1:24" ht="30" x14ac:dyDescent="0.25">
      <c r="A28" s="82" t="s">
        <v>254</v>
      </c>
      <c r="B28" s="82" t="s">
        <v>471</v>
      </c>
      <c r="C28" s="82" t="s">
        <v>546</v>
      </c>
      <c r="D28" s="84">
        <f t="shared" si="8"/>
        <v>80</v>
      </c>
      <c r="E28" s="128">
        <f t="shared" si="7"/>
        <v>40.313725490196077</v>
      </c>
      <c r="F28" s="86" t="s">
        <v>365</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8</v>
      </c>
      <c r="V28" s="48">
        <f t="shared" si="10"/>
        <v>10</v>
      </c>
      <c r="W28" s="83"/>
      <c r="X28" s="83" t="s">
        <v>88</v>
      </c>
    </row>
    <row r="29" spans="1:24" ht="30" x14ac:dyDescent="0.25">
      <c r="A29" s="87" t="s">
        <v>502</v>
      </c>
      <c r="B29" s="82" t="s">
        <v>501</v>
      </c>
      <c r="C29" s="82" t="s">
        <v>547</v>
      </c>
      <c r="D29" s="84">
        <f t="shared" si="8"/>
        <v>180</v>
      </c>
      <c r="E29" s="128">
        <f t="shared" si="7"/>
        <v>100</v>
      </c>
      <c r="F29" s="86" t="s">
        <v>365</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8</v>
      </c>
      <c r="V29" s="48">
        <f t="shared" si="10"/>
        <v>10</v>
      </c>
      <c r="W29" s="83"/>
      <c r="X29" s="83" t="s">
        <v>90</v>
      </c>
    </row>
    <row r="30" spans="1:24" ht="30" x14ac:dyDescent="0.25">
      <c r="A30" s="82" t="s">
        <v>216</v>
      </c>
      <c r="B30" s="82" t="s">
        <v>151</v>
      </c>
      <c r="C30" s="82" t="s">
        <v>548</v>
      </c>
      <c r="D30" s="84">
        <f t="shared" si="8"/>
        <v>5850</v>
      </c>
      <c r="E30" s="128">
        <f t="shared" si="7"/>
        <v>3362.4705882352941</v>
      </c>
      <c r="F30" s="86" t="s">
        <v>365</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8</v>
      </c>
      <c r="V30" s="48">
        <f t="shared" si="10"/>
        <v>10</v>
      </c>
      <c r="W30" s="83"/>
      <c r="X30" s="83" t="s">
        <v>12</v>
      </c>
    </row>
    <row r="31" spans="1:24" ht="30" x14ac:dyDescent="0.25">
      <c r="A31" s="82" t="s">
        <v>215</v>
      </c>
      <c r="B31" s="82" t="s">
        <v>149</v>
      </c>
      <c r="C31" s="82" t="s">
        <v>549</v>
      </c>
      <c r="D31" s="84">
        <f t="shared" si="8"/>
        <v>740</v>
      </c>
      <c r="E31" s="128">
        <f t="shared" si="7"/>
        <v>421.29411764705884</v>
      </c>
      <c r="F31" s="86" t="s">
        <v>365</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8</v>
      </c>
      <c r="V31" s="48">
        <f t="shared" si="10"/>
        <v>10</v>
      </c>
      <c r="W31" s="83"/>
      <c r="X31" s="83" t="s">
        <v>7</v>
      </c>
    </row>
    <row r="32" spans="1:24" ht="30" x14ac:dyDescent="0.25">
      <c r="A32" s="87" t="s">
        <v>213</v>
      </c>
      <c r="B32" s="83" t="s">
        <v>488</v>
      </c>
      <c r="C32" s="82" t="s">
        <v>558</v>
      </c>
      <c r="D32" s="84">
        <f t="shared" si="8"/>
        <v>340</v>
      </c>
      <c r="E32" s="128">
        <f t="shared" si="7"/>
        <v>190</v>
      </c>
      <c r="F32" s="86" t="s">
        <v>365</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8</v>
      </c>
      <c r="V32" s="48">
        <f t="shared" si="10"/>
        <v>10</v>
      </c>
      <c r="W32" s="83"/>
      <c r="X32" s="83" t="s">
        <v>5</v>
      </c>
    </row>
    <row r="33" spans="1:24" ht="30" x14ac:dyDescent="0.25">
      <c r="A33" s="87" t="s">
        <v>214</v>
      </c>
      <c r="B33" s="83" t="s">
        <v>487</v>
      </c>
      <c r="C33" s="82" t="s">
        <v>559</v>
      </c>
      <c r="D33" s="84">
        <f t="shared" si="8"/>
        <v>340</v>
      </c>
      <c r="E33" s="128">
        <f t="shared" si="7"/>
        <v>190</v>
      </c>
      <c r="F33" s="86" t="s">
        <v>365</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8</v>
      </c>
      <c r="V33" s="48">
        <f t="shared" si="10"/>
        <v>10</v>
      </c>
      <c r="W33" s="83"/>
      <c r="X33" s="83" t="s">
        <v>6</v>
      </c>
    </row>
    <row r="34" spans="1:24" ht="30" x14ac:dyDescent="0.25">
      <c r="A34" s="87" t="s">
        <v>483</v>
      </c>
      <c r="B34" s="82" t="s">
        <v>155</v>
      </c>
      <c r="C34" s="82" t="s">
        <v>561</v>
      </c>
      <c r="D34" s="84">
        <f t="shared" si="8"/>
        <v>28</v>
      </c>
      <c r="E34" s="128">
        <f t="shared" si="7"/>
        <v>15.699</v>
      </c>
      <c r="F34" s="86" t="s">
        <v>365</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116</v>
      </c>
      <c r="V34" s="48">
        <f t="shared" si="10"/>
        <v>0</v>
      </c>
      <c r="W34" s="83"/>
      <c r="X34" s="83" t="s">
        <v>18</v>
      </c>
    </row>
    <row r="35" spans="1:24" ht="30" x14ac:dyDescent="0.25">
      <c r="A35" s="87" t="s">
        <v>484</v>
      </c>
      <c r="B35" s="82" t="s">
        <v>156</v>
      </c>
      <c r="C35" s="82" t="s">
        <v>562</v>
      </c>
      <c r="D35" s="84">
        <f t="shared" si="8"/>
        <v>28</v>
      </c>
      <c r="E35" s="128">
        <f t="shared" si="7"/>
        <v>15.699</v>
      </c>
      <c r="F35" s="86" t="s">
        <v>365</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116</v>
      </c>
      <c r="V35" s="48">
        <f t="shared" si="10"/>
        <v>0</v>
      </c>
      <c r="W35" s="83"/>
      <c r="X35" s="83" t="s">
        <v>19</v>
      </c>
    </row>
    <row r="36" spans="1:24" ht="30" x14ac:dyDescent="0.25">
      <c r="A36" s="82" t="s">
        <v>258</v>
      </c>
      <c r="B36" s="82" t="s">
        <v>481</v>
      </c>
      <c r="C36" s="82" t="s">
        <v>563</v>
      </c>
      <c r="D36" s="84">
        <f t="shared" si="8"/>
        <v>18</v>
      </c>
      <c r="E36" s="128">
        <f t="shared" si="7"/>
        <v>10</v>
      </c>
      <c r="F36" s="86" t="s">
        <v>365</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116</v>
      </c>
      <c r="V36" s="48">
        <f t="shared" si="10"/>
        <v>0</v>
      </c>
      <c r="W36" s="83"/>
      <c r="X36" s="83" t="s">
        <v>99</v>
      </c>
    </row>
    <row r="37" spans="1:24" ht="30" x14ac:dyDescent="0.25">
      <c r="A37" s="82" t="s">
        <v>236</v>
      </c>
      <c r="B37" s="82" t="s">
        <v>482</v>
      </c>
      <c r="C37" s="82" t="s">
        <v>564</v>
      </c>
      <c r="D37" s="84">
        <f t="shared" si="8"/>
        <v>18</v>
      </c>
      <c r="E37" s="128">
        <f t="shared" si="7"/>
        <v>10</v>
      </c>
      <c r="F37" s="86" t="s">
        <v>365</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116</v>
      </c>
      <c r="V37" s="48">
        <f t="shared" si="10"/>
        <v>0</v>
      </c>
      <c r="W37" s="83"/>
      <c r="X37" s="83" t="s">
        <v>57</v>
      </c>
    </row>
    <row r="38" spans="1:24" ht="30" x14ac:dyDescent="0.25">
      <c r="A38" s="87" t="s">
        <v>479</v>
      </c>
      <c r="B38" s="82" t="s">
        <v>478</v>
      </c>
      <c r="C38" s="82" t="s">
        <v>565</v>
      </c>
      <c r="D38" s="84">
        <f t="shared" si="8"/>
        <v>40</v>
      </c>
      <c r="E38" s="128">
        <f t="shared" si="7"/>
        <v>20.349499999999999</v>
      </c>
      <c r="F38" s="86" t="s">
        <v>365</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116</v>
      </c>
      <c r="V38" s="48">
        <v>10</v>
      </c>
      <c r="W38" s="83"/>
      <c r="X38" s="83" t="s">
        <v>20</v>
      </c>
    </row>
    <row r="39" spans="1:24" ht="30" x14ac:dyDescent="0.25">
      <c r="A39" s="82" t="s">
        <v>480</v>
      </c>
      <c r="B39" s="82" t="s">
        <v>489</v>
      </c>
      <c r="C39" s="82" t="s">
        <v>995</v>
      </c>
      <c r="D39" s="84">
        <f t="shared" si="8"/>
        <v>40</v>
      </c>
      <c r="E39" s="128">
        <f t="shared" si="7"/>
        <v>20</v>
      </c>
      <c r="F39" s="86" t="s">
        <v>365</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8</v>
      </c>
      <c r="V39" s="48">
        <f t="shared" ref="V39:V74" si="13">IF(U39="Bulk",0,IF(U39="Std", 10,IF(U39="Pickup",20,30)))/60*60</f>
        <v>10</v>
      </c>
      <c r="W39" s="83"/>
      <c r="X39" s="83" t="s">
        <v>100</v>
      </c>
    </row>
    <row r="40" spans="1:24" ht="30" x14ac:dyDescent="0.25">
      <c r="A40" s="82" t="s">
        <v>221</v>
      </c>
      <c r="B40" s="82" t="s">
        <v>222</v>
      </c>
      <c r="C40" s="82" t="s">
        <v>567</v>
      </c>
      <c r="D40" s="84">
        <f t="shared" si="8"/>
        <v>40</v>
      </c>
      <c r="E40" s="128">
        <f t="shared" si="7"/>
        <v>20.349499999999999</v>
      </c>
      <c r="F40" s="86" t="s">
        <v>365</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8</v>
      </c>
      <c r="V40" s="48">
        <f t="shared" si="13"/>
        <v>10</v>
      </c>
      <c r="W40" s="83"/>
      <c r="X40" s="83" t="s">
        <v>117</v>
      </c>
    </row>
    <row r="41" spans="1:24" ht="30" x14ac:dyDescent="0.25">
      <c r="A41" s="82" t="s">
        <v>229</v>
      </c>
      <c r="B41" s="82" t="s">
        <v>163</v>
      </c>
      <c r="C41" s="82" t="s">
        <v>568</v>
      </c>
      <c r="D41" s="84">
        <f t="shared" si="8"/>
        <v>280</v>
      </c>
      <c r="E41" s="128">
        <f t="shared" si="7"/>
        <v>160.47058823529412</v>
      </c>
      <c r="F41" s="86" t="s">
        <v>365</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8</v>
      </c>
      <c r="V41" s="48">
        <f t="shared" si="13"/>
        <v>10</v>
      </c>
      <c r="W41" s="83"/>
      <c r="X41" s="83" t="s">
        <v>28</v>
      </c>
    </row>
    <row r="42" spans="1:24" x14ac:dyDescent="0.25">
      <c r="A42" s="82" t="s">
        <v>223</v>
      </c>
      <c r="B42" s="82" t="s">
        <v>157</v>
      </c>
      <c r="C42" s="82" t="s">
        <v>569</v>
      </c>
      <c r="D42" s="84">
        <f t="shared" si="8"/>
        <v>840</v>
      </c>
      <c r="E42" s="128">
        <f t="shared" si="7"/>
        <v>480.8235294117647</v>
      </c>
      <c r="F42" s="86" t="s">
        <v>365</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685</v>
      </c>
      <c r="V42" s="48">
        <f t="shared" si="13"/>
        <v>30</v>
      </c>
      <c r="W42" s="83"/>
      <c r="X42" s="83" t="s">
        <v>22</v>
      </c>
    </row>
    <row r="43" spans="1:24" ht="30" x14ac:dyDescent="0.25">
      <c r="A43" s="82" t="s">
        <v>220</v>
      </c>
      <c r="B43" s="82" t="s">
        <v>349</v>
      </c>
      <c r="C43" s="82" t="s">
        <v>570</v>
      </c>
      <c r="D43" s="84">
        <f t="shared" si="8"/>
        <v>100</v>
      </c>
      <c r="E43" s="128">
        <f t="shared" si="7"/>
        <v>52.823529411764703</v>
      </c>
      <c r="F43" s="86" t="s">
        <v>365</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8</v>
      </c>
      <c r="V43" s="48">
        <f t="shared" si="13"/>
        <v>10</v>
      </c>
      <c r="W43" s="83"/>
      <c r="X43" s="83" t="s">
        <v>21</v>
      </c>
    </row>
    <row r="44" spans="1:24" ht="30" x14ac:dyDescent="0.25">
      <c r="A44" s="82" t="s">
        <v>225</v>
      </c>
      <c r="B44" s="82" t="s">
        <v>159</v>
      </c>
      <c r="C44" s="82" t="s">
        <v>571</v>
      </c>
      <c r="D44" s="84">
        <f t="shared" si="8"/>
        <v>60</v>
      </c>
      <c r="E44" s="128">
        <f t="shared" si="7"/>
        <v>30.052287581699346</v>
      </c>
      <c r="F44" s="86" t="s">
        <v>365</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8</v>
      </c>
      <c r="V44" s="48">
        <f t="shared" si="13"/>
        <v>10</v>
      </c>
      <c r="W44" s="83"/>
      <c r="X44" s="83" t="s">
        <v>24</v>
      </c>
    </row>
    <row r="45" spans="1:24" ht="30" x14ac:dyDescent="0.25">
      <c r="A45" s="82" t="s">
        <v>1565</v>
      </c>
      <c r="B45" s="82" t="s">
        <v>1567</v>
      </c>
      <c r="C45" s="82" t="s">
        <v>1566</v>
      </c>
      <c r="D45" s="84">
        <f t="shared" si="8"/>
        <v>90</v>
      </c>
      <c r="E45" s="128">
        <f t="shared" si="7"/>
        <v>50.313725490196077</v>
      </c>
      <c r="F45" s="86" t="s">
        <v>365</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8</v>
      </c>
      <c r="V45" s="48">
        <f t="shared" si="13"/>
        <v>10</v>
      </c>
      <c r="W45" s="83"/>
      <c r="X45" s="83" t="s">
        <v>27</v>
      </c>
    </row>
    <row r="46" spans="1:24" ht="30" x14ac:dyDescent="0.25">
      <c r="A46" s="82" t="s">
        <v>1564</v>
      </c>
      <c r="B46" s="82" t="s">
        <v>682</v>
      </c>
      <c r="C46" s="82" t="s">
        <v>1564</v>
      </c>
      <c r="D46" s="84">
        <f t="shared" si="8"/>
        <v>1280</v>
      </c>
      <c r="E46" s="128">
        <f t="shared" si="7"/>
        <v>730.82352941176475</v>
      </c>
      <c r="F46" s="86" t="s">
        <v>365</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8</v>
      </c>
      <c r="V46" s="48">
        <f t="shared" si="13"/>
        <v>10</v>
      </c>
      <c r="W46" s="83"/>
      <c r="X46" s="83" t="s">
        <v>22</v>
      </c>
    </row>
    <row r="47" spans="1:24" ht="45" x14ac:dyDescent="0.25">
      <c r="A47" s="82" t="s">
        <v>946</v>
      </c>
      <c r="B47" s="82" t="s">
        <v>683</v>
      </c>
      <c r="C47" s="82" t="s">
        <v>857</v>
      </c>
      <c r="D47" s="84">
        <f t="shared" si="8"/>
        <v>2580</v>
      </c>
      <c r="E47" s="128">
        <f t="shared" si="7"/>
        <v>1480.8235294117646</v>
      </c>
      <c r="F47" s="86" t="s">
        <v>365</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8</v>
      </c>
      <c r="V47" s="48">
        <f t="shared" si="13"/>
        <v>10</v>
      </c>
      <c r="W47" s="83"/>
      <c r="X47" s="83" t="s">
        <v>22</v>
      </c>
    </row>
    <row r="48" spans="1:24" ht="30" x14ac:dyDescent="0.25">
      <c r="A48" s="82" t="s">
        <v>226</v>
      </c>
      <c r="B48" s="82" t="s">
        <v>160</v>
      </c>
      <c r="C48" s="82" t="s">
        <v>574</v>
      </c>
      <c r="D48" s="84">
        <f t="shared" si="8"/>
        <v>850</v>
      </c>
      <c r="E48" s="128">
        <f t="shared" si="7"/>
        <v>484.28209150326802</v>
      </c>
      <c r="F48" s="86" t="s">
        <v>365</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8</v>
      </c>
      <c r="V48" s="48">
        <f t="shared" si="13"/>
        <v>10</v>
      </c>
      <c r="W48" s="83"/>
      <c r="X48" s="83" t="s">
        <v>25</v>
      </c>
    </row>
    <row r="49" spans="1:24" ht="30" x14ac:dyDescent="0.25">
      <c r="A49" s="82" t="s">
        <v>230</v>
      </c>
      <c r="B49" s="82" t="s">
        <v>164</v>
      </c>
      <c r="C49" s="82" t="s">
        <v>575</v>
      </c>
      <c r="D49" s="84">
        <f t="shared" si="8"/>
        <v>130</v>
      </c>
      <c r="E49" s="128">
        <f t="shared" si="7"/>
        <v>72.823529411764696</v>
      </c>
      <c r="F49" s="86" t="s">
        <v>365</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8</v>
      </c>
      <c r="V49" s="48">
        <f t="shared" si="13"/>
        <v>10</v>
      </c>
      <c r="W49" s="83"/>
      <c r="X49" s="83" t="s">
        <v>29</v>
      </c>
    </row>
    <row r="50" spans="1:24" ht="30" x14ac:dyDescent="0.25">
      <c r="A50" s="82" t="s">
        <v>1939</v>
      </c>
      <c r="B50" s="82" t="s">
        <v>165</v>
      </c>
      <c r="C50" s="82" t="s">
        <v>1937</v>
      </c>
      <c r="D50" s="84">
        <f t="shared" si="8"/>
        <v>220</v>
      </c>
      <c r="E50" s="128">
        <f t="shared" si="7"/>
        <v>121.88235294117646</v>
      </c>
      <c r="F50" s="86" t="s">
        <v>365</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8</v>
      </c>
      <c r="V50" s="48">
        <f t="shared" si="13"/>
        <v>10</v>
      </c>
      <c r="W50" s="83"/>
      <c r="X50" s="83" t="s">
        <v>30</v>
      </c>
    </row>
    <row r="51" spans="1:24" ht="30" x14ac:dyDescent="0.25">
      <c r="A51" s="82" t="s">
        <v>1938</v>
      </c>
      <c r="B51" s="82" t="s">
        <v>1935</v>
      </c>
      <c r="C51" s="82" t="s">
        <v>1936</v>
      </c>
      <c r="D51" s="84">
        <f t="shared" ref="D51" si="14">IF(E51&lt;20, ROUNDUP(E51/0.575,0), ROUNDUP(E51/0.575,-1))</f>
        <v>410</v>
      </c>
      <c r="E51" s="128">
        <f t="shared" ref="E51" si="15">P51+Q51+T51+V51</f>
        <v>231.88235294117646</v>
      </c>
      <c r="F51" s="86" t="s">
        <v>365</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8</v>
      </c>
      <c r="V51" s="48">
        <f t="shared" ref="V51" si="18">IF(U51="Bulk",0,IF(U51="Std", 10,IF(U51="Pickup",20,30)))/60*60</f>
        <v>10</v>
      </c>
      <c r="W51" s="83"/>
      <c r="X51" s="83" t="s">
        <v>30</v>
      </c>
    </row>
    <row r="52" spans="1:24" ht="30" x14ac:dyDescent="0.25">
      <c r="A52" s="82" t="s">
        <v>224</v>
      </c>
      <c r="B52" s="82" t="s">
        <v>158</v>
      </c>
      <c r="C52" s="82" t="s">
        <v>577</v>
      </c>
      <c r="D52" s="84">
        <f t="shared" si="8"/>
        <v>370</v>
      </c>
      <c r="E52" s="128">
        <f t="shared" si="7"/>
        <v>210</v>
      </c>
      <c r="F52" s="86" t="s">
        <v>365</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8</v>
      </c>
      <c r="V52" s="48">
        <f t="shared" si="13"/>
        <v>10</v>
      </c>
      <c r="W52" s="83"/>
      <c r="X52" s="83" t="s">
        <v>23</v>
      </c>
    </row>
    <row r="53" spans="1:24" ht="30" x14ac:dyDescent="0.25">
      <c r="A53" s="82" t="s">
        <v>235</v>
      </c>
      <c r="B53" s="82" t="s">
        <v>493</v>
      </c>
      <c r="C53" s="82" t="s">
        <v>578</v>
      </c>
      <c r="D53" s="84">
        <f t="shared" si="8"/>
        <v>240</v>
      </c>
      <c r="E53" s="128">
        <f t="shared" si="7"/>
        <v>134.11764705882354</v>
      </c>
      <c r="F53" s="86" t="s">
        <v>365</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8</v>
      </c>
      <c r="V53" s="48">
        <f t="shared" si="13"/>
        <v>10</v>
      </c>
      <c r="W53" s="83"/>
      <c r="X53" s="83" t="s">
        <v>31</v>
      </c>
    </row>
    <row r="54" spans="1:24" ht="45" x14ac:dyDescent="0.25">
      <c r="A54" s="82" t="s">
        <v>232</v>
      </c>
      <c r="B54" s="82" t="s">
        <v>492</v>
      </c>
      <c r="C54" s="82" t="s">
        <v>579</v>
      </c>
      <c r="D54" s="84">
        <f t="shared" si="8"/>
        <v>1780</v>
      </c>
      <c r="E54" s="128">
        <f t="shared" ref="E54:E86" si="19">P54+Q54+T54+V54</f>
        <v>1019.1176470588235</v>
      </c>
      <c r="F54" s="86" t="s">
        <v>365</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8</v>
      </c>
      <c r="V54" s="48">
        <f t="shared" si="13"/>
        <v>10</v>
      </c>
      <c r="W54" s="83" t="s">
        <v>35</v>
      </c>
      <c r="X54" s="83" t="s">
        <v>34</v>
      </c>
    </row>
    <row r="55" spans="1:24" ht="30" x14ac:dyDescent="0.25">
      <c r="A55" s="82" t="s">
        <v>234</v>
      </c>
      <c r="B55" s="82" t="s">
        <v>495</v>
      </c>
      <c r="C55" s="82" t="s">
        <v>580</v>
      </c>
      <c r="D55" s="84">
        <f t="shared" si="8"/>
        <v>730</v>
      </c>
      <c r="E55" s="128">
        <f t="shared" si="19"/>
        <v>414.41176470588238</v>
      </c>
      <c r="F55" s="86" t="s">
        <v>365</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8</v>
      </c>
      <c r="V55" s="48">
        <f t="shared" si="13"/>
        <v>10</v>
      </c>
      <c r="W55" s="83" t="s">
        <v>38</v>
      </c>
      <c r="X55" s="83" t="s">
        <v>37</v>
      </c>
    </row>
    <row r="56" spans="1:24" ht="30" x14ac:dyDescent="0.25">
      <c r="A56" s="82" t="s">
        <v>233</v>
      </c>
      <c r="B56" s="82" t="s">
        <v>496</v>
      </c>
      <c r="C56" s="82" t="s">
        <v>581</v>
      </c>
      <c r="D56" s="84">
        <f t="shared" ref="D56:D88" si="20">IF(E56&lt;20, ROUNDUP(E56/0.575,0), ROUNDUP(E56/0.575,-1))</f>
        <v>910</v>
      </c>
      <c r="E56" s="128">
        <f t="shared" si="19"/>
        <v>519.11764705882354</v>
      </c>
      <c r="F56" s="86" t="s">
        <v>365</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8</v>
      </c>
      <c r="V56" s="48">
        <f t="shared" si="13"/>
        <v>10</v>
      </c>
      <c r="W56" s="83" t="s">
        <v>966</v>
      </c>
      <c r="X56" s="83" t="s">
        <v>36</v>
      </c>
    </row>
    <row r="57" spans="1:24" ht="30" x14ac:dyDescent="0.25">
      <c r="A57" s="82" t="s">
        <v>491</v>
      </c>
      <c r="B57" s="82" t="s">
        <v>494</v>
      </c>
      <c r="C57" s="82" t="s">
        <v>582</v>
      </c>
      <c r="D57" s="84">
        <f t="shared" si="20"/>
        <v>290</v>
      </c>
      <c r="E57" s="128">
        <f t="shared" si="19"/>
        <v>164.41176470588235</v>
      </c>
      <c r="F57" s="86" t="s">
        <v>365</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8</v>
      </c>
      <c r="V57" s="48">
        <f t="shared" si="13"/>
        <v>10</v>
      </c>
      <c r="W57" s="83" t="s">
        <v>33</v>
      </c>
      <c r="X57" s="83" t="s">
        <v>32</v>
      </c>
    </row>
    <row r="58" spans="1:24" ht="30" x14ac:dyDescent="0.25">
      <c r="A58" s="87" t="s">
        <v>503</v>
      </c>
      <c r="B58" s="87" t="s">
        <v>504</v>
      </c>
      <c r="C58" s="82" t="s">
        <v>583</v>
      </c>
      <c r="D58" s="84">
        <f t="shared" si="20"/>
        <v>100</v>
      </c>
      <c r="E58" s="128">
        <f t="shared" si="19"/>
        <v>55</v>
      </c>
      <c r="F58" s="86" t="s">
        <v>365</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685</v>
      </c>
      <c r="V58" s="48">
        <f t="shared" si="13"/>
        <v>30</v>
      </c>
      <c r="W58" s="83"/>
      <c r="X58" s="83" t="s">
        <v>78</v>
      </c>
    </row>
    <row r="59" spans="1:24" ht="30" x14ac:dyDescent="0.25">
      <c r="A59" s="87" t="s">
        <v>505</v>
      </c>
      <c r="B59" s="87" t="s">
        <v>506</v>
      </c>
      <c r="C59" s="82" t="s">
        <v>584</v>
      </c>
      <c r="D59" s="84">
        <f t="shared" si="20"/>
        <v>110</v>
      </c>
      <c r="E59" s="128">
        <f t="shared" si="19"/>
        <v>59</v>
      </c>
      <c r="F59" s="86" t="s">
        <v>365</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685</v>
      </c>
      <c r="V59" s="48">
        <f t="shared" si="13"/>
        <v>30</v>
      </c>
      <c r="W59" s="83"/>
      <c r="X59" s="83" t="s">
        <v>78</v>
      </c>
    </row>
    <row r="60" spans="1:24" ht="30" x14ac:dyDescent="0.25">
      <c r="A60" s="82" t="s">
        <v>1502</v>
      </c>
      <c r="B60" s="82" t="s">
        <v>1481</v>
      </c>
      <c r="C60" s="82" t="s">
        <v>1503</v>
      </c>
      <c r="D60" s="84">
        <f t="shared" ref="D60" si="21">IF(E60&lt;20, ROUNDUP(E60/0.575,0), ROUNDUP(E60/0.575,-1))</f>
        <v>280</v>
      </c>
      <c r="E60" s="128">
        <f t="shared" ref="E60" si="22">P60+Q60+T60+V60</f>
        <v>160.47058823529412</v>
      </c>
      <c r="F60" s="86" t="s">
        <v>365</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8</v>
      </c>
      <c r="V60" s="48">
        <f t="shared" ref="V60" si="25">IF(U60="Bulk",0,IF(U60="Std", 10,IF(U60="Pickup",20,30)))/60*60</f>
        <v>10</v>
      </c>
      <c r="W60" s="83"/>
      <c r="X60" s="83" t="s">
        <v>998</v>
      </c>
    </row>
    <row r="61" spans="1:24" ht="30" x14ac:dyDescent="0.25">
      <c r="A61" s="82" t="s">
        <v>1484</v>
      </c>
      <c r="B61" s="82" t="s">
        <v>1487</v>
      </c>
      <c r="C61" s="82" t="s">
        <v>1488</v>
      </c>
      <c r="D61" s="84">
        <f>IF(E61&lt;20, ROUNDUP(E61/0.575,0), ROUNDUP(E61/0.575,-1))</f>
        <v>460</v>
      </c>
      <c r="E61" s="128">
        <f>P61+Q61+T61+V61</f>
        <v>260.47058823529414</v>
      </c>
      <c r="F61" s="86" t="s">
        <v>365</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8</v>
      </c>
      <c r="V61" s="48">
        <f>IF(U61="Bulk",0,IF(U61="Std", 10,IF(U61="Pickup",20,30)))/60*60</f>
        <v>10</v>
      </c>
      <c r="W61" s="83"/>
      <c r="X61" s="83" t="s">
        <v>998</v>
      </c>
    </row>
    <row r="62" spans="1:24" ht="30" x14ac:dyDescent="0.25">
      <c r="A62" s="82" t="s">
        <v>1482</v>
      </c>
      <c r="B62" s="82" t="s">
        <v>189</v>
      </c>
      <c r="C62" s="82" t="s">
        <v>1483</v>
      </c>
      <c r="D62" s="84">
        <f>IF(E62&lt;20, ROUNDUP(E62/0.575,0), ROUNDUP(E62/0.575,-1))</f>
        <v>280</v>
      </c>
      <c r="E62" s="128">
        <f>P62+Q62+T62+V62</f>
        <v>160.47058823529412</v>
      </c>
      <c r="F62" s="86" t="s">
        <v>365</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8</v>
      </c>
      <c r="V62" s="48">
        <f>IF(U62="Bulk",0,IF(U62="Std", 10,IF(U62="Pickup",20,30)))/60*60</f>
        <v>10</v>
      </c>
      <c r="W62" s="83"/>
      <c r="X62" s="83" t="s">
        <v>998</v>
      </c>
    </row>
    <row r="63" spans="1:24" ht="30" x14ac:dyDescent="0.25">
      <c r="A63" s="82" t="s">
        <v>1486</v>
      </c>
      <c r="B63" s="82" t="s">
        <v>1475</v>
      </c>
      <c r="C63" s="82" t="s">
        <v>1485</v>
      </c>
      <c r="D63" s="84">
        <f t="shared" ref="D63" si="26">IF(E63&lt;20, ROUNDUP(E63/0.575,0), ROUNDUP(E63/0.575,-1))</f>
        <v>910</v>
      </c>
      <c r="E63" s="128">
        <f t="shared" ref="E63" si="27">P63+Q63+T63+V63</f>
        <v>520.47058823529414</v>
      </c>
      <c r="F63" s="86" t="s">
        <v>365</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8</v>
      </c>
      <c r="V63" s="48">
        <f t="shared" ref="V63" si="30">IF(U63="Bulk",0,IF(U63="Std", 10,IF(U63="Pickup",20,30)))/60*60</f>
        <v>10</v>
      </c>
      <c r="W63" s="83"/>
      <c r="X63" s="83" t="s">
        <v>998</v>
      </c>
    </row>
    <row r="64" spans="1:24" ht="30" x14ac:dyDescent="0.25">
      <c r="A64" s="82" t="s">
        <v>1489</v>
      </c>
      <c r="B64" s="82" t="s">
        <v>1491</v>
      </c>
      <c r="C64" s="82" t="s">
        <v>1490</v>
      </c>
      <c r="D64" s="84">
        <f>IF(E64&lt;20, ROUNDUP(E64/0.575,0), ROUNDUP(E64/0.575,-1))</f>
        <v>1170</v>
      </c>
      <c r="E64" s="128">
        <f>P64+Q64+T64+V64</f>
        <v>670.47058823529414</v>
      </c>
      <c r="F64" s="86" t="s">
        <v>365</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8</v>
      </c>
      <c r="V64" s="48">
        <f>IF(U64="Bulk",0,IF(U64="Std", 10,IF(U64="Pickup",20,30)))/60*60</f>
        <v>10</v>
      </c>
      <c r="W64" s="83"/>
      <c r="X64" s="83" t="s">
        <v>998</v>
      </c>
    </row>
    <row r="65" spans="1:24" ht="30" x14ac:dyDescent="0.25">
      <c r="A65" s="82" t="s">
        <v>736</v>
      </c>
      <c r="B65" s="82" t="s">
        <v>166</v>
      </c>
      <c r="C65" s="82" t="s">
        <v>759</v>
      </c>
      <c r="D65" s="84">
        <f t="shared" si="20"/>
        <v>1680</v>
      </c>
      <c r="E65" s="128">
        <f t="shared" si="19"/>
        <v>963.24411764705883</v>
      </c>
      <c r="F65" s="86" t="s">
        <v>365</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685</v>
      </c>
      <c r="V65" s="48">
        <f t="shared" si="13"/>
        <v>30</v>
      </c>
      <c r="W65" s="83"/>
      <c r="X65" s="83" t="s">
        <v>39</v>
      </c>
    </row>
    <row r="66" spans="1:24" ht="30" x14ac:dyDescent="0.25">
      <c r="A66" s="82" t="s">
        <v>779</v>
      </c>
      <c r="B66" s="82" t="s">
        <v>781</v>
      </c>
      <c r="C66" s="82" t="s">
        <v>784</v>
      </c>
      <c r="D66" s="84">
        <f t="shared" si="20"/>
        <v>1850</v>
      </c>
      <c r="E66" s="128">
        <f t="shared" si="19"/>
        <v>1063.2441176470588</v>
      </c>
      <c r="F66" s="86" t="s">
        <v>365</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685</v>
      </c>
      <c r="V66" s="48">
        <f t="shared" si="13"/>
        <v>30</v>
      </c>
      <c r="W66" s="83"/>
      <c r="X66" s="83" t="s">
        <v>39</v>
      </c>
    </row>
    <row r="67" spans="1:24" ht="30" x14ac:dyDescent="0.25">
      <c r="A67" s="82" t="s">
        <v>737</v>
      </c>
      <c r="B67" s="82" t="s">
        <v>167</v>
      </c>
      <c r="C67" s="82" t="s">
        <v>760</v>
      </c>
      <c r="D67" s="84">
        <f t="shared" si="20"/>
        <v>1770</v>
      </c>
      <c r="E67" s="128">
        <f t="shared" si="19"/>
        <v>1013.2441176470588</v>
      </c>
      <c r="F67" s="86" t="s">
        <v>365</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685</v>
      </c>
      <c r="V67" s="48">
        <f t="shared" si="13"/>
        <v>30</v>
      </c>
      <c r="W67" s="83"/>
      <c r="X67" s="83" t="s">
        <v>40</v>
      </c>
    </row>
    <row r="68" spans="1:24" ht="30" x14ac:dyDescent="0.25">
      <c r="A68" s="82" t="s">
        <v>780</v>
      </c>
      <c r="B68" s="82" t="s">
        <v>782</v>
      </c>
      <c r="C68" s="82" t="s">
        <v>783</v>
      </c>
      <c r="D68" s="84">
        <f t="shared" si="20"/>
        <v>1940</v>
      </c>
      <c r="E68" s="128">
        <f t="shared" si="19"/>
        <v>1113.2441176470588</v>
      </c>
      <c r="F68" s="86" t="s">
        <v>365</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685</v>
      </c>
      <c r="V68" s="48">
        <f t="shared" si="13"/>
        <v>30</v>
      </c>
      <c r="W68" s="83"/>
      <c r="X68" s="83" t="s">
        <v>40</v>
      </c>
    </row>
    <row r="69" spans="1:24" ht="30" x14ac:dyDescent="0.25">
      <c r="A69" s="82" t="s">
        <v>738</v>
      </c>
      <c r="B69" s="82" t="s">
        <v>168</v>
      </c>
      <c r="C69" s="82" t="s">
        <v>761</v>
      </c>
      <c r="D69" s="84">
        <f t="shared" si="20"/>
        <v>1250</v>
      </c>
      <c r="E69" s="128">
        <f t="shared" si="19"/>
        <v>713.24411764705883</v>
      </c>
      <c r="F69" s="86" t="s">
        <v>365</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685</v>
      </c>
      <c r="V69" s="48">
        <f t="shared" si="13"/>
        <v>30</v>
      </c>
      <c r="W69" s="83"/>
      <c r="X69" s="83" t="s">
        <v>41</v>
      </c>
    </row>
    <row r="70" spans="1:24" ht="30" x14ac:dyDescent="0.25">
      <c r="A70" s="82" t="s">
        <v>775</v>
      </c>
      <c r="B70" s="82" t="s">
        <v>777</v>
      </c>
      <c r="C70" s="82" t="s">
        <v>786</v>
      </c>
      <c r="D70" s="84">
        <f t="shared" si="20"/>
        <v>1420</v>
      </c>
      <c r="E70" s="128">
        <f t="shared" si="19"/>
        <v>813.24411764705883</v>
      </c>
      <c r="F70" s="86" t="s">
        <v>365</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685</v>
      </c>
      <c r="V70" s="48">
        <f t="shared" si="13"/>
        <v>30</v>
      </c>
      <c r="W70" s="83"/>
      <c r="X70" s="83" t="s">
        <v>41</v>
      </c>
    </row>
    <row r="71" spans="1:24" ht="30" x14ac:dyDescent="0.25">
      <c r="A71" s="82" t="s">
        <v>762</v>
      </c>
      <c r="B71" s="82" t="s">
        <v>169</v>
      </c>
      <c r="C71" s="82" t="s">
        <v>760</v>
      </c>
      <c r="D71" s="84">
        <f t="shared" si="20"/>
        <v>1330</v>
      </c>
      <c r="E71" s="128">
        <f t="shared" si="19"/>
        <v>763.24411764705883</v>
      </c>
      <c r="F71" s="86" t="s">
        <v>365</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685</v>
      </c>
      <c r="V71" s="48">
        <f t="shared" si="13"/>
        <v>30</v>
      </c>
      <c r="W71" s="83"/>
      <c r="X71" s="83" t="s">
        <v>40</v>
      </c>
    </row>
    <row r="72" spans="1:24" ht="30" x14ac:dyDescent="0.25">
      <c r="A72" s="82" t="s">
        <v>776</v>
      </c>
      <c r="B72" s="82" t="s">
        <v>778</v>
      </c>
      <c r="C72" s="82" t="s">
        <v>785</v>
      </c>
      <c r="D72" s="84">
        <f t="shared" si="20"/>
        <v>1510</v>
      </c>
      <c r="E72" s="128">
        <f t="shared" si="19"/>
        <v>863.24411764705883</v>
      </c>
      <c r="F72" s="86" t="s">
        <v>365</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1928</v>
      </c>
      <c r="M72" s="146"/>
      <c r="N72" s="146"/>
      <c r="O72" s="155"/>
      <c r="P72" s="150">
        <v>800</v>
      </c>
      <c r="Q72" s="48">
        <v>29.95</v>
      </c>
      <c r="R72" s="88">
        <v>2</v>
      </c>
      <c r="S72" s="88">
        <f t="shared" si="31"/>
        <v>252</v>
      </c>
      <c r="T72" s="48">
        <f t="shared" si="32"/>
        <v>3.2941176470588238</v>
      </c>
      <c r="U72" s="48" t="s">
        <v>685</v>
      </c>
      <c r="V72" s="48">
        <f t="shared" si="13"/>
        <v>30</v>
      </c>
      <c r="W72" s="83"/>
      <c r="X72" s="83" t="s">
        <v>42</v>
      </c>
    </row>
    <row r="73" spans="1:24" ht="30" x14ac:dyDescent="0.25">
      <c r="A73" s="82" t="s">
        <v>763</v>
      </c>
      <c r="B73" s="82" t="s">
        <v>170</v>
      </c>
      <c r="C73" s="82" t="s">
        <v>764</v>
      </c>
      <c r="D73" s="84">
        <f t="shared" si="20"/>
        <v>1070</v>
      </c>
      <c r="E73" s="128">
        <f t="shared" si="19"/>
        <v>613.24411764705883</v>
      </c>
      <c r="F73" s="86" t="s">
        <v>365</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685</v>
      </c>
      <c r="V73" s="48">
        <f t="shared" si="13"/>
        <v>30</v>
      </c>
      <c r="W73" s="83"/>
      <c r="X73" s="83" t="s">
        <v>43</v>
      </c>
    </row>
    <row r="74" spans="1:24" ht="30" x14ac:dyDescent="0.25">
      <c r="A74" s="82" t="s">
        <v>765</v>
      </c>
      <c r="B74" s="82" t="s">
        <v>699</v>
      </c>
      <c r="C74" s="82" t="s">
        <v>766</v>
      </c>
      <c r="D74" s="84">
        <f t="shared" si="20"/>
        <v>1250</v>
      </c>
      <c r="E74" s="128">
        <f t="shared" si="19"/>
        <v>713.24411764705883</v>
      </c>
      <c r="F74" s="86" t="s">
        <v>365</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685</v>
      </c>
      <c r="V74" s="48">
        <f t="shared" si="13"/>
        <v>30</v>
      </c>
      <c r="W74" s="83"/>
      <c r="X74" s="83" t="s">
        <v>43</v>
      </c>
    </row>
    <row r="75" spans="1:24" ht="30" x14ac:dyDescent="0.25">
      <c r="A75" s="82" t="s">
        <v>767</v>
      </c>
      <c r="B75" s="82" t="s">
        <v>171</v>
      </c>
      <c r="C75" s="82" t="s">
        <v>768</v>
      </c>
      <c r="D75" s="84">
        <f t="shared" si="20"/>
        <v>1160</v>
      </c>
      <c r="E75" s="128">
        <f t="shared" si="19"/>
        <v>663.24411764705883</v>
      </c>
      <c r="F75" s="86" t="s">
        <v>365</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685</v>
      </c>
      <c r="V75" s="48">
        <f t="shared" ref="V75:V104" si="33">IF(U75="Bulk",0,IF(U75="Std", 10,IF(U75="Pickup",20,30)))/60*60</f>
        <v>30</v>
      </c>
      <c r="W75" s="83"/>
      <c r="X75" s="83" t="s">
        <v>44</v>
      </c>
    </row>
    <row r="76" spans="1:24" ht="30" x14ac:dyDescent="0.25">
      <c r="A76" s="82" t="s">
        <v>769</v>
      </c>
      <c r="B76" s="82" t="s">
        <v>700</v>
      </c>
      <c r="C76" s="82" t="s">
        <v>770</v>
      </c>
      <c r="D76" s="84">
        <f t="shared" si="20"/>
        <v>1330</v>
      </c>
      <c r="E76" s="128">
        <f t="shared" si="19"/>
        <v>763.24411764705883</v>
      </c>
      <c r="F76" s="86" t="s">
        <v>365</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685</v>
      </c>
      <c r="V76" s="48">
        <f t="shared" si="33"/>
        <v>30</v>
      </c>
      <c r="W76" s="83"/>
      <c r="X76" s="83" t="s">
        <v>44</v>
      </c>
    </row>
    <row r="77" spans="1:24" ht="30" x14ac:dyDescent="0.25">
      <c r="A77" s="82" t="s">
        <v>242</v>
      </c>
      <c r="B77" s="82" t="s">
        <v>191</v>
      </c>
      <c r="C77" s="82" t="s">
        <v>588</v>
      </c>
      <c r="D77" s="84">
        <f t="shared" si="20"/>
        <v>610</v>
      </c>
      <c r="E77" s="128">
        <f t="shared" si="19"/>
        <v>350.39215686274508</v>
      </c>
      <c r="F77" s="86" t="s">
        <v>365</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685</v>
      </c>
      <c r="V77" s="48">
        <f t="shared" si="33"/>
        <v>30</v>
      </c>
      <c r="W77" s="83"/>
      <c r="X77" s="83" t="s">
        <v>67</v>
      </c>
    </row>
    <row r="78" spans="1:24" ht="30" x14ac:dyDescent="0.25">
      <c r="A78" s="82" t="s">
        <v>1471</v>
      </c>
      <c r="B78" s="82" t="s">
        <v>1469</v>
      </c>
      <c r="C78" s="82" t="s">
        <v>1467</v>
      </c>
      <c r="D78" s="84">
        <f t="shared" si="20"/>
        <v>510</v>
      </c>
      <c r="E78" s="128">
        <f t="shared" si="19"/>
        <v>292.10457516339869</v>
      </c>
      <c r="F78" s="86" t="s">
        <v>365</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685</v>
      </c>
      <c r="V78" s="48">
        <f t="shared" si="33"/>
        <v>30</v>
      </c>
      <c r="W78" s="83"/>
      <c r="X78" s="83" t="s">
        <v>68</v>
      </c>
    </row>
    <row r="79" spans="1:24" ht="30" x14ac:dyDescent="0.25">
      <c r="A79" s="82" t="s">
        <v>1472</v>
      </c>
      <c r="B79" s="82" t="s">
        <v>1470</v>
      </c>
      <c r="C79" s="82" t="s">
        <v>1468</v>
      </c>
      <c r="D79" s="84">
        <f t="shared" ref="D79" si="35">IF(E79&lt;20, ROUNDUP(E79/0.575,0), ROUNDUP(E79/0.575,-1))</f>
        <v>1410</v>
      </c>
      <c r="E79" s="128">
        <f t="shared" ref="E79" si="36">P79+Q79+T79+V79</f>
        <v>807.10457516339875</v>
      </c>
      <c r="F79" s="86" t="s">
        <v>365</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685</v>
      </c>
      <c r="V79" s="48">
        <f t="shared" ref="V79" si="39">IF(U79="Bulk",0,IF(U79="Std", 10,IF(U79="Pickup",20,30)))/60*60</f>
        <v>30</v>
      </c>
      <c r="W79" s="83"/>
      <c r="X79" s="83" t="s">
        <v>68</v>
      </c>
    </row>
    <row r="80" spans="1:24" ht="30" x14ac:dyDescent="0.25">
      <c r="A80" s="82" t="s">
        <v>967</v>
      </c>
      <c r="B80" s="82" t="s">
        <v>194</v>
      </c>
      <c r="C80" s="82" t="s">
        <v>590</v>
      </c>
      <c r="D80" s="84">
        <f t="shared" si="20"/>
        <v>100</v>
      </c>
      <c r="E80" s="128">
        <f t="shared" si="19"/>
        <v>55.627450980392155</v>
      </c>
      <c r="F80" s="86" t="s">
        <v>365</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8</v>
      </c>
      <c r="V80" s="48">
        <f t="shared" si="33"/>
        <v>10</v>
      </c>
      <c r="W80" s="83"/>
      <c r="X80" s="83" t="s">
        <v>69</v>
      </c>
    </row>
    <row r="81" spans="1:24" ht="30" x14ac:dyDescent="0.25">
      <c r="A81" s="82" t="s">
        <v>246</v>
      </c>
      <c r="B81" s="82" t="s">
        <v>193</v>
      </c>
      <c r="C81" s="82" t="s">
        <v>591</v>
      </c>
      <c r="D81" s="84">
        <f t="shared" si="20"/>
        <v>150</v>
      </c>
      <c r="E81" s="128">
        <f t="shared" si="19"/>
        <v>85.627450980392155</v>
      </c>
      <c r="F81" s="86" t="s">
        <v>365</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8</v>
      </c>
      <c r="V81" s="48">
        <f t="shared" si="33"/>
        <v>10</v>
      </c>
      <c r="W81" s="83"/>
      <c r="X81" s="83" t="s">
        <v>70</v>
      </c>
    </row>
    <row r="82" spans="1:24" x14ac:dyDescent="0.25">
      <c r="A82" s="82" t="s">
        <v>1492</v>
      </c>
      <c r="B82" s="82" t="s">
        <v>196</v>
      </c>
      <c r="C82" s="82" t="s">
        <v>593</v>
      </c>
      <c r="D82" s="84">
        <f t="shared" si="20"/>
        <v>170</v>
      </c>
      <c r="E82" s="128">
        <f t="shared" si="19"/>
        <v>92.627450980392155</v>
      </c>
      <c r="F82" s="86" t="s">
        <v>365</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8</v>
      </c>
      <c r="V82" s="48">
        <f t="shared" si="33"/>
        <v>10</v>
      </c>
      <c r="W82" s="83"/>
      <c r="X82" s="83" t="s">
        <v>72</v>
      </c>
    </row>
    <row r="83" spans="1:24" ht="30" x14ac:dyDescent="0.25">
      <c r="A83" s="87" t="s">
        <v>436</v>
      </c>
      <c r="B83" s="82" t="s">
        <v>197</v>
      </c>
      <c r="C83" s="82" t="s">
        <v>596</v>
      </c>
      <c r="D83" s="84">
        <f t="shared" si="20"/>
        <v>180</v>
      </c>
      <c r="E83" s="128">
        <f t="shared" si="19"/>
        <v>102.03342857142857</v>
      </c>
      <c r="F83" s="86" t="s">
        <v>365</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8</v>
      </c>
      <c r="V83" s="48">
        <f t="shared" si="33"/>
        <v>10</v>
      </c>
      <c r="W83" s="83"/>
      <c r="X83" s="83" t="s">
        <v>74</v>
      </c>
    </row>
    <row r="84" spans="1:24" x14ac:dyDescent="0.25">
      <c r="A84" s="87" t="s">
        <v>499</v>
      </c>
      <c r="B84" s="82" t="s">
        <v>710</v>
      </c>
      <c r="C84" s="82" t="s">
        <v>597</v>
      </c>
      <c r="D84" s="84">
        <f t="shared" si="20"/>
        <v>160</v>
      </c>
      <c r="E84" s="128">
        <f t="shared" si="19"/>
        <v>92</v>
      </c>
      <c r="F84" s="86" t="s">
        <v>365</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8</v>
      </c>
      <c r="V84" s="48">
        <f t="shared" si="33"/>
        <v>10</v>
      </c>
      <c r="W84" s="83"/>
      <c r="X84" s="83" t="s">
        <v>75</v>
      </c>
    </row>
    <row r="85" spans="1:24" x14ac:dyDescent="0.25">
      <c r="A85" s="87" t="s">
        <v>500</v>
      </c>
      <c r="B85" s="82" t="s">
        <v>711</v>
      </c>
      <c r="C85" s="82" t="s">
        <v>598</v>
      </c>
      <c r="D85" s="84">
        <f t="shared" si="20"/>
        <v>160</v>
      </c>
      <c r="E85" s="128">
        <f t="shared" si="19"/>
        <v>92</v>
      </c>
      <c r="F85" s="86" t="s">
        <v>365</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8</v>
      </c>
      <c r="V85" s="48">
        <f t="shared" si="33"/>
        <v>10</v>
      </c>
      <c r="W85" s="83"/>
      <c r="X85" s="83" t="s">
        <v>75</v>
      </c>
    </row>
    <row r="86" spans="1:24" ht="20.25" customHeight="1" x14ac:dyDescent="0.25">
      <c r="A86" s="87" t="s">
        <v>1446</v>
      </c>
      <c r="B86" s="82" t="s">
        <v>1445</v>
      </c>
      <c r="C86" s="87" t="s">
        <v>1446</v>
      </c>
      <c r="D86" s="84">
        <f t="shared" si="20"/>
        <v>220</v>
      </c>
      <c r="E86" s="128">
        <f t="shared" si="19"/>
        <v>122</v>
      </c>
      <c r="F86" s="86" t="s">
        <v>365</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8</v>
      </c>
      <c r="V86" s="48">
        <f t="shared" si="33"/>
        <v>10</v>
      </c>
      <c r="W86" s="83"/>
      <c r="X86" s="83" t="s">
        <v>75</v>
      </c>
    </row>
    <row r="87" spans="1:24" ht="30" x14ac:dyDescent="0.25">
      <c r="A87" s="82" t="s">
        <v>820</v>
      </c>
      <c r="B87" s="82" t="s">
        <v>819</v>
      </c>
      <c r="C87" s="82" t="s">
        <v>758</v>
      </c>
      <c r="D87" s="84">
        <f t="shared" si="20"/>
        <v>1620</v>
      </c>
      <c r="E87" s="128">
        <f t="shared" ref="E87:E115" si="41">P87+Q87+T87+V87</f>
        <v>930.62745098039215</v>
      </c>
      <c r="F87" s="86" t="s">
        <v>365</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685</v>
      </c>
      <c r="V87" s="48">
        <f t="shared" si="33"/>
        <v>30</v>
      </c>
      <c r="W87" s="83"/>
      <c r="X87" s="83" t="s">
        <v>54</v>
      </c>
    </row>
    <row r="88" spans="1:24" ht="30" x14ac:dyDescent="0.25">
      <c r="A88" s="82" t="s">
        <v>739</v>
      </c>
      <c r="B88" s="82" t="s">
        <v>172</v>
      </c>
      <c r="C88" s="82" t="s">
        <v>740</v>
      </c>
      <c r="D88" s="84">
        <f t="shared" si="20"/>
        <v>1620</v>
      </c>
      <c r="E88" s="128">
        <f t="shared" si="41"/>
        <v>930.62745098039215</v>
      </c>
      <c r="F88" s="86" t="s">
        <v>365</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685</v>
      </c>
      <c r="V88" s="48">
        <f t="shared" si="33"/>
        <v>30</v>
      </c>
      <c r="W88" s="83"/>
      <c r="X88" s="83" t="s">
        <v>45</v>
      </c>
    </row>
    <row r="89" spans="1:24" ht="30" x14ac:dyDescent="0.25">
      <c r="A89" s="82" t="s">
        <v>741</v>
      </c>
      <c r="B89" s="82" t="s">
        <v>173</v>
      </c>
      <c r="C89" s="82" t="s">
        <v>742</v>
      </c>
      <c r="D89" s="84">
        <f t="shared" ref="D89:D107" si="42">IF(E89&lt;20, ROUNDUP(E89/0.575,0), ROUNDUP(E89/0.575,-1))</f>
        <v>1800</v>
      </c>
      <c r="E89" s="128">
        <f t="shared" si="41"/>
        <v>1030.627450980392</v>
      </c>
      <c r="F89" s="86" t="s">
        <v>365</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685</v>
      </c>
      <c r="V89" s="48">
        <f t="shared" si="33"/>
        <v>30</v>
      </c>
      <c r="W89" s="83"/>
      <c r="X89" s="83" t="s">
        <v>46</v>
      </c>
    </row>
    <row r="90" spans="1:24" ht="30" x14ac:dyDescent="0.25">
      <c r="A90" s="82" t="s">
        <v>743</v>
      </c>
      <c r="B90" s="82" t="s">
        <v>180</v>
      </c>
      <c r="C90" s="82" t="s">
        <v>744</v>
      </c>
      <c r="D90" s="84">
        <f t="shared" si="42"/>
        <v>160</v>
      </c>
      <c r="E90" s="128">
        <f t="shared" si="41"/>
        <v>90</v>
      </c>
      <c r="F90" s="86" t="s">
        <v>365</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685</v>
      </c>
      <c r="V90" s="48">
        <f t="shared" si="33"/>
        <v>30</v>
      </c>
      <c r="W90" s="83"/>
      <c r="X90" s="83" t="s">
        <v>49</v>
      </c>
    </row>
    <row r="91" spans="1:24" ht="30" x14ac:dyDescent="0.25">
      <c r="A91" s="82" t="s">
        <v>745</v>
      </c>
      <c r="B91" s="82" t="s">
        <v>181</v>
      </c>
      <c r="C91" s="82" t="s">
        <v>746</v>
      </c>
      <c r="D91" s="84">
        <f t="shared" si="42"/>
        <v>90</v>
      </c>
      <c r="E91" s="128">
        <f t="shared" si="41"/>
        <v>50</v>
      </c>
      <c r="F91" s="86" t="s">
        <v>365</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685</v>
      </c>
      <c r="V91" s="48">
        <f t="shared" si="33"/>
        <v>30</v>
      </c>
      <c r="W91" s="83"/>
      <c r="X91" s="83" t="s">
        <v>52</v>
      </c>
    </row>
    <row r="92" spans="1:24" ht="30" x14ac:dyDescent="0.25">
      <c r="A92" s="82" t="s">
        <v>747</v>
      </c>
      <c r="B92" s="82" t="s">
        <v>174</v>
      </c>
      <c r="C92" s="82" t="s">
        <v>748</v>
      </c>
      <c r="D92" s="84">
        <f t="shared" si="42"/>
        <v>1100</v>
      </c>
      <c r="E92" s="128">
        <f t="shared" si="41"/>
        <v>629.62745098039215</v>
      </c>
      <c r="F92" s="86" t="s">
        <v>365</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685</v>
      </c>
      <c r="V92" s="48">
        <f t="shared" si="33"/>
        <v>30</v>
      </c>
      <c r="W92" s="83"/>
      <c r="X92" s="83" t="s">
        <v>47</v>
      </c>
    </row>
    <row r="93" spans="1:24" ht="30" x14ac:dyDescent="0.25">
      <c r="A93" s="82" t="s">
        <v>749</v>
      </c>
      <c r="B93" s="82" t="s">
        <v>175</v>
      </c>
      <c r="C93" s="82" t="s">
        <v>750</v>
      </c>
      <c r="D93" s="84">
        <f t="shared" si="42"/>
        <v>1270</v>
      </c>
      <c r="E93" s="128">
        <f t="shared" si="41"/>
        <v>729.62745098039215</v>
      </c>
      <c r="F93" s="86" t="s">
        <v>365</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1929</v>
      </c>
      <c r="M93" s="146"/>
      <c r="N93" s="146"/>
      <c r="O93" s="155"/>
      <c r="P93" s="150">
        <v>699</v>
      </c>
      <c r="Q93" s="48"/>
      <c r="R93" s="88">
        <v>2</v>
      </c>
      <c r="S93" s="88">
        <f t="shared" si="43"/>
        <v>48</v>
      </c>
      <c r="T93" s="48">
        <f t="shared" si="32"/>
        <v>0.62745098039215685</v>
      </c>
      <c r="U93" s="48" t="s">
        <v>685</v>
      </c>
      <c r="V93" s="48">
        <f t="shared" si="33"/>
        <v>30</v>
      </c>
      <c r="W93" s="83"/>
      <c r="X93" s="83" t="s">
        <v>48</v>
      </c>
    </row>
    <row r="94" spans="1:24" ht="30" x14ac:dyDescent="0.25">
      <c r="A94" s="82" t="s">
        <v>751</v>
      </c>
      <c r="B94" s="82" t="s">
        <v>178</v>
      </c>
      <c r="C94" s="82" t="s">
        <v>752</v>
      </c>
      <c r="D94" s="84">
        <f t="shared" si="42"/>
        <v>3530</v>
      </c>
      <c r="E94" s="128">
        <f t="shared" si="41"/>
        <v>2025.6274509803923</v>
      </c>
      <c r="F94" s="86" t="s">
        <v>365</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685</v>
      </c>
      <c r="V94" s="48">
        <f t="shared" si="33"/>
        <v>30</v>
      </c>
      <c r="W94" s="83"/>
      <c r="X94" s="83" t="s">
        <v>50</v>
      </c>
    </row>
    <row r="95" spans="1:24" ht="30" x14ac:dyDescent="0.25">
      <c r="A95" s="82" t="s">
        <v>753</v>
      </c>
      <c r="B95" s="82" t="s">
        <v>179</v>
      </c>
      <c r="C95" s="82" t="s">
        <v>754</v>
      </c>
      <c r="D95" s="84">
        <f t="shared" si="42"/>
        <v>2310</v>
      </c>
      <c r="E95" s="128">
        <f t="shared" si="41"/>
        <v>1325.6274509803923</v>
      </c>
      <c r="F95" s="86" t="s">
        <v>365</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685</v>
      </c>
      <c r="V95" s="48">
        <f t="shared" si="33"/>
        <v>30</v>
      </c>
      <c r="W95" s="83"/>
      <c r="X95" s="83" t="s">
        <v>51</v>
      </c>
    </row>
    <row r="96" spans="1:24" ht="30" x14ac:dyDescent="0.25">
      <c r="A96" s="82" t="s">
        <v>755</v>
      </c>
      <c r="B96" s="82" t="s">
        <v>176</v>
      </c>
      <c r="C96" s="82" t="s">
        <v>756</v>
      </c>
      <c r="D96" s="84">
        <f t="shared" si="42"/>
        <v>750</v>
      </c>
      <c r="E96" s="128">
        <f t="shared" si="41"/>
        <v>430.62745098039215</v>
      </c>
      <c r="F96" s="86" t="s">
        <v>365</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685</v>
      </c>
      <c r="V96" s="48">
        <f t="shared" si="33"/>
        <v>30</v>
      </c>
      <c r="W96" s="83"/>
      <c r="X96" s="83" t="s">
        <v>53</v>
      </c>
    </row>
    <row r="97" spans="1:24" ht="30" x14ac:dyDescent="0.25">
      <c r="A97" s="82" t="s">
        <v>757</v>
      </c>
      <c r="B97" s="82" t="s">
        <v>177</v>
      </c>
      <c r="C97" s="82" t="s">
        <v>758</v>
      </c>
      <c r="D97" s="84">
        <f t="shared" si="42"/>
        <v>1010</v>
      </c>
      <c r="E97" s="128">
        <f t="shared" si="41"/>
        <v>575.62745098039215</v>
      </c>
      <c r="F97" s="86" t="s">
        <v>365</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685</v>
      </c>
      <c r="V97" s="48">
        <f t="shared" si="33"/>
        <v>30</v>
      </c>
      <c r="W97" s="83"/>
      <c r="X97" s="83" t="s">
        <v>54</v>
      </c>
    </row>
    <row r="98" spans="1:24" x14ac:dyDescent="0.25">
      <c r="A98" s="82" t="s">
        <v>244</v>
      </c>
      <c r="B98" s="82" t="s">
        <v>198</v>
      </c>
      <c r="C98" s="82" t="s">
        <v>599</v>
      </c>
      <c r="D98" s="84">
        <f t="shared" si="42"/>
        <v>130</v>
      </c>
      <c r="E98" s="128">
        <f t="shared" si="41"/>
        <v>72.156862745098039</v>
      </c>
      <c r="F98" s="86" t="s">
        <v>365</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1171</v>
      </c>
      <c r="M98" s="146"/>
      <c r="N98" s="146"/>
      <c r="O98" s="155"/>
      <c r="P98" s="150">
        <v>60</v>
      </c>
      <c r="Q98" s="48">
        <v>2</v>
      </c>
      <c r="R98" s="88">
        <v>2</v>
      </c>
      <c r="S98" s="88">
        <f>4*3</f>
        <v>12</v>
      </c>
      <c r="T98" s="48">
        <f t="shared" si="44"/>
        <v>0.15686274509803921</v>
      </c>
      <c r="U98" s="48" t="s">
        <v>8</v>
      </c>
      <c r="V98" s="48">
        <f t="shared" si="33"/>
        <v>10</v>
      </c>
      <c r="W98" s="83"/>
      <c r="X98" s="83" t="s">
        <v>77</v>
      </c>
    </row>
    <row r="99" spans="1:24" s="89" customFormat="1" ht="30" x14ac:dyDescent="0.25">
      <c r="A99" s="82" t="s">
        <v>508</v>
      </c>
      <c r="B99" s="82" t="s">
        <v>183</v>
      </c>
      <c r="C99" s="82" t="s">
        <v>601</v>
      </c>
      <c r="D99" s="84">
        <f t="shared" si="42"/>
        <v>320</v>
      </c>
      <c r="E99" s="128">
        <f t="shared" si="41"/>
        <v>180.88235294117646</v>
      </c>
      <c r="F99" s="86" t="s">
        <v>365</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8</v>
      </c>
      <c r="V99" s="48">
        <f t="shared" si="33"/>
        <v>10</v>
      </c>
      <c r="W99" s="83"/>
      <c r="X99" s="83" t="s">
        <v>56</v>
      </c>
    </row>
    <row r="100" spans="1:24" s="89" customFormat="1" ht="30" x14ac:dyDescent="0.25">
      <c r="A100" s="82" t="s">
        <v>507</v>
      </c>
      <c r="B100" s="82" t="s">
        <v>182</v>
      </c>
      <c r="C100" s="82" t="s">
        <v>602</v>
      </c>
      <c r="D100" s="84">
        <f t="shared" si="42"/>
        <v>240</v>
      </c>
      <c r="E100" s="128">
        <f t="shared" si="41"/>
        <v>133.13725490196077</v>
      </c>
      <c r="F100" s="86" t="s">
        <v>365</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8</v>
      </c>
      <c r="V100" s="48">
        <f t="shared" si="33"/>
        <v>10</v>
      </c>
      <c r="W100" s="83"/>
      <c r="X100" s="83" t="s">
        <v>55</v>
      </c>
    </row>
    <row r="101" spans="1:24" ht="30" x14ac:dyDescent="0.25">
      <c r="A101" s="82" t="s">
        <v>510</v>
      </c>
      <c r="B101" s="82" t="s">
        <v>184</v>
      </c>
      <c r="C101" s="82" t="s">
        <v>603</v>
      </c>
      <c r="D101" s="84">
        <f t="shared" si="42"/>
        <v>640</v>
      </c>
      <c r="E101" s="128">
        <f t="shared" si="41"/>
        <v>365.66666666666669</v>
      </c>
      <c r="F101" s="86" t="s">
        <v>365</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8</v>
      </c>
      <c r="V101" s="48">
        <f t="shared" si="33"/>
        <v>10</v>
      </c>
      <c r="W101" s="83"/>
      <c r="X101" s="83" t="s">
        <v>59</v>
      </c>
    </row>
    <row r="102" spans="1:24" ht="45" x14ac:dyDescent="0.25">
      <c r="A102" s="82" t="s">
        <v>509</v>
      </c>
      <c r="B102" s="82" t="s">
        <v>185</v>
      </c>
      <c r="C102" s="82" t="s">
        <v>604</v>
      </c>
      <c r="D102" s="84">
        <f t="shared" si="42"/>
        <v>540</v>
      </c>
      <c r="E102" s="128">
        <f t="shared" si="41"/>
        <v>304.88111111111107</v>
      </c>
      <c r="F102" s="86" t="s">
        <v>365</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8</v>
      </c>
      <c r="V102" s="48">
        <f t="shared" si="33"/>
        <v>10</v>
      </c>
      <c r="W102" s="83"/>
      <c r="X102" s="83" t="s">
        <v>58</v>
      </c>
    </row>
    <row r="103" spans="1:24" ht="30" x14ac:dyDescent="0.25">
      <c r="A103" s="82" t="s">
        <v>497</v>
      </c>
      <c r="B103" s="82" t="s">
        <v>498</v>
      </c>
      <c r="C103" s="82" t="s">
        <v>605</v>
      </c>
      <c r="D103" s="84">
        <f t="shared" si="42"/>
        <v>160</v>
      </c>
      <c r="E103" s="128">
        <f t="shared" si="41"/>
        <v>90</v>
      </c>
      <c r="F103" s="86" t="s">
        <v>365</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8</v>
      </c>
      <c r="V103" s="48">
        <f t="shared" si="33"/>
        <v>10</v>
      </c>
      <c r="W103" s="83"/>
      <c r="X103" s="83" t="s">
        <v>91</v>
      </c>
    </row>
    <row r="104" spans="1:24" ht="30" x14ac:dyDescent="0.25">
      <c r="A104" s="82" t="s">
        <v>1493</v>
      </c>
      <c r="B104" s="82" t="s">
        <v>520</v>
      </c>
      <c r="C104" s="82" t="s">
        <v>1497</v>
      </c>
      <c r="D104" s="84">
        <f t="shared" si="42"/>
        <v>1200</v>
      </c>
      <c r="E104" s="128">
        <f t="shared" si="41"/>
        <v>686.03921568627447</v>
      </c>
      <c r="F104" s="86" t="s">
        <v>365</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8</v>
      </c>
      <c r="V104" s="48">
        <f t="shared" si="33"/>
        <v>10</v>
      </c>
      <c r="W104" s="83"/>
      <c r="X104" s="83" t="s">
        <v>95</v>
      </c>
    </row>
    <row r="105" spans="1:24" ht="30" x14ac:dyDescent="0.25">
      <c r="A105" s="82" t="s">
        <v>1494</v>
      </c>
      <c r="B105" s="82" t="s">
        <v>813</v>
      </c>
      <c r="C105" s="82" t="s">
        <v>1498</v>
      </c>
      <c r="D105" s="84">
        <f t="shared" si="42"/>
        <v>4660</v>
      </c>
      <c r="E105" s="128">
        <f t="shared" si="41"/>
        <v>2676.0392156862745</v>
      </c>
      <c r="F105" s="86" t="s">
        <v>365</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8</v>
      </c>
      <c r="V105" s="48">
        <f t="shared" ref="V105:V126" si="46">IF(U105="Bulk",0,IF(U105="Std", 10,IF(U105="Pickup",20,30)))/60*60</f>
        <v>10</v>
      </c>
      <c r="W105" s="83"/>
      <c r="X105" s="83" t="s">
        <v>95</v>
      </c>
    </row>
    <row r="106" spans="1:24" ht="30" x14ac:dyDescent="0.25">
      <c r="A106" s="82" t="s">
        <v>1495</v>
      </c>
      <c r="B106" s="82" t="s">
        <v>519</v>
      </c>
      <c r="C106" s="82" t="s">
        <v>1499</v>
      </c>
      <c r="D106" s="84">
        <f t="shared" si="42"/>
        <v>900</v>
      </c>
      <c r="E106" s="128">
        <f t="shared" si="41"/>
        <v>515.03921568627447</v>
      </c>
      <c r="F106" s="86" t="s">
        <v>365</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8</v>
      </c>
      <c r="V106" s="48">
        <f t="shared" si="46"/>
        <v>10</v>
      </c>
      <c r="W106" s="83"/>
      <c r="X106" s="83" t="s">
        <v>97</v>
      </c>
    </row>
    <row r="107" spans="1:24" ht="45" x14ac:dyDescent="0.25">
      <c r="A107" s="82" t="s">
        <v>1496</v>
      </c>
      <c r="B107" s="82" t="s">
        <v>521</v>
      </c>
      <c r="C107" s="82" t="s">
        <v>607</v>
      </c>
      <c r="D107" s="84">
        <f t="shared" si="42"/>
        <v>1200</v>
      </c>
      <c r="E107" s="128">
        <f t="shared" si="41"/>
        <v>686.03921568627447</v>
      </c>
      <c r="F107" s="86" t="s">
        <v>365</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8</v>
      </c>
      <c r="V107" s="48">
        <f t="shared" si="46"/>
        <v>10</v>
      </c>
      <c r="W107" s="83"/>
      <c r="X107" s="83" t="s">
        <v>96</v>
      </c>
    </row>
    <row r="108" spans="1:24" ht="30" x14ac:dyDescent="0.25">
      <c r="A108" s="82" t="s">
        <v>377</v>
      </c>
      <c r="B108" s="82" t="s">
        <v>375</v>
      </c>
      <c r="C108" s="82" t="s">
        <v>1500</v>
      </c>
      <c r="D108" s="84">
        <f t="shared" ref="D108:D120" si="47">IF(E108&lt;20, ROUNDUP(E108/0.625,0), ROUNDUP(E108/0.625,-1))</f>
        <v>13910</v>
      </c>
      <c r="E108" s="128">
        <f t="shared" si="41"/>
        <v>8691.8888888888887</v>
      </c>
      <c r="F108" s="86" t="s">
        <v>365</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8</v>
      </c>
      <c r="V108" s="48">
        <f t="shared" si="46"/>
        <v>10</v>
      </c>
      <c r="W108" s="83"/>
      <c r="X108" s="83"/>
    </row>
    <row r="109" spans="1:24" ht="30" x14ac:dyDescent="0.25">
      <c r="A109" s="82" t="s">
        <v>378</v>
      </c>
      <c r="B109" s="82" t="s">
        <v>376</v>
      </c>
      <c r="C109" s="82" t="s">
        <v>1501</v>
      </c>
      <c r="D109" s="84">
        <f t="shared" si="47"/>
        <v>10470</v>
      </c>
      <c r="E109" s="128">
        <f t="shared" si="41"/>
        <v>6541.8888888888887</v>
      </c>
      <c r="F109" s="86" t="s">
        <v>365</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8</v>
      </c>
      <c r="V109" s="48">
        <f t="shared" si="46"/>
        <v>10</v>
      </c>
      <c r="W109" s="83"/>
      <c r="X109" s="83"/>
    </row>
    <row r="110" spans="1:24" ht="45" x14ac:dyDescent="0.25">
      <c r="A110" s="82" t="s">
        <v>265</v>
      </c>
      <c r="B110" s="82" t="s">
        <v>208</v>
      </c>
      <c r="C110" s="82" t="s">
        <v>1476</v>
      </c>
      <c r="D110" s="84">
        <f t="shared" si="47"/>
        <v>3750</v>
      </c>
      <c r="E110" s="128">
        <f t="shared" si="41"/>
        <v>2340.5294117647059</v>
      </c>
      <c r="F110" s="86" t="s">
        <v>365</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1932</v>
      </c>
      <c r="M110" s="146"/>
      <c r="N110" s="146"/>
      <c r="O110" s="155"/>
      <c r="P110" s="150">
        <v>2310</v>
      </c>
      <c r="Q110" s="48">
        <v>20</v>
      </c>
      <c r="R110" s="88">
        <v>1</v>
      </c>
      <c r="S110" s="88">
        <f t="shared" ref="S110:S114" si="48">9*9</f>
        <v>81</v>
      </c>
      <c r="T110" s="48">
        <f t="shared" si="44"/>
        <v>0.52941176470588236</v>
      </c>
      <c r="U110" s="48" t="s">
        <v>8</v>
      </c>
      <c r="V110" s="48">
        <f t="shared" si="46"/>
        <v>10</v>
      </c>
      <c r="W110" s="83"/>
      <c r="X110" s="83" t="s">
        <v>999</v>
      </c>
    </row>
    <row r="111" spans="1:24" ht="30" x14ac:dyDescent="0.25">
      <c r="A111" s="82" t="s">
        <v>1473</v>
      </c>
      <c r="B111" s="82" t="s">
        <v>1474</v>
      </c>
      <c r="C111" s="82" t="s">
        <v>1477</v>
      </c>
      <c r="D111" s="84">
        <f t="shared" ref="D111" si="49">IF(E111&lt;20, ROUNDUP(E111/0.625,0), ROUNDUP(E111/0.625,-1))</f>
        <v>3800</v>
      </c>
      <c r="E111" s="128">
        <f t="shared" ref="E111" si="50">P111+Q111+T111+V111</f>
        <v>2370.5294117647059</v>
      </c>
      <c r="F111" s="86" t="s">
        <v>365</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8</v>
      </c>
      <c r="V111" s="48">
        <f t="shared" ref="V111" si="53">IF(U111="Bulk",0,IF(U111="Std", 10,IF(U111="Pickup",20,30)))/60*60</f>
        <v>10</v>
      </c>
      <c r="W111" s="83"/>
      <c r="X111" s="83" t="s">
        <v>999</v>
      </c>
    </row>
    <row r="112" spans="1:24" ht="30" x14ac:dyDescent="0.25">
      <c r="A112" s="82" t="s">
        <v>262</v>
      </c>
      <c r="B112" s="82" t="s">
        <v>209</v>
      </c>
      <c r="C112" s="82" t="s">
        <v>1478</v>
      </c>
      <c r="D112" s="84">
        <f t="shared" si="47"/>
        <v>3830</v>
      </c>
      <c r="E112" s="128">
        <f t="shared" si="41"/>
        <v>2388.5294117647059</v>
      </c>
      <c r="F112" s="86" t="s">
        <v>365</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8</v>
      </c>
      <c r="V112" s="48">
        <f t="shared" si="46"/>
        <v>10</v>
      </c>
      <c r="W112" s="83"/>
      <c r="X112" s="83" t="s">
        <v>1000</v>
      </c>
    </row>
    <row r="113" spans="1:24" ht="30" x14ac:dyDescent="0.25">
      <c r="A113" s="82" t="s">
        <v>264</v>
      </c>
      <c r="B113" s="82" t="s">
        <v>205</v>
      </c>
      <c r="C113" s="82" t="s">
        <v>1479</v>
      </c>
      <c r="D113" s="84">
        <f t="shared" si="47"/>
        <v>1850</v>
      </c>
      <c r="E113" s="128">
        <f t="shared" si="41"/>
        <v>1150.5294117647059</v>
      </c>
      <c r="F113" s="86" t="s">
        <v>365</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8</v>
      </c>
      <c r="V113" s="48">
        <f t="shared" si="46"/>
        <v>10</v>
      </c>
      <c r="W113" s="83"/>
      <c r="X113" s="83" t="s">
        <v>1001</v>
      </c>
    </row>
    <row r="114" spans="1:24" ht="30" x14ac:dyDescent="0.25">
      <c r="A114" s="82" t="s">
        <v>1563</v>
      </c>
      <c r="B114" s="82" t="s">
        <v>1466</v>
      </c>
      <c r="C114" s="82" t="s">
        <v>1480</v>
      </c>
      <c r="D114" s="84">
        <f t="shared" ref="D114" si="55">IF(E114&lt;20, ROUNDUP(E114/0.625,0), ROUNDUP(E114/0.625,-1))</f>
        <v>1970</v>
      </c>
      <c r="E114" s="128">
        <f t="shared" ref="E114" si="56">P114+Q114+T114+V114</f>
        <v>1230.5294117647059</v>
      </c>
      <c r="F114" s="86" t="s">
        <v>365</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8</v>
      </c>
      <c r="V114" s="48">
        <f t="shared" ref="V114" si="59">IF(U114="Bulk",0,IF(U114="Std", 10,IF(U114="Pickup",20,30)))/60*60</f>
        <v>10</v>
      </c>
      <c r="W114" s="83"/>
      <c r="X114" s="83" t="s">
        <v>1001</v>
      </c>
    </row>
    <row r="115" spans="1:24" ht="30" x14ac:dyDescent="0.25">
      <c r="A115" s="82" t="s">
        <v>526</v>
      </c>
      <c r="B115" s="82" t="s">
        <v>207</v>
      </c>
      <c r="C115" s="82" t="s">
        <v>618</v>
      </c>
      <c r="D115" s="84">
        <f t="shared" si="47"/>
        <v>130</v>
      </c>
      <c r="E115" s="128">
        <f t="shared" si="41"/>
        <v>80.235294117647058</v>
      </c>
      <c r="F115" s="86" t="s">
        <v>365</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8</v>
      </c>
      <c r="V115" s="48">
        <f t="shared" si="46"/>
        <v>10</v>
      </c>
      <c r="W115" s="83"/>
      <c r="X115" s="83" t="s">
        <v>108</v>
      </c>
    </row>
    <row r="116" spans="1:24" ht="30" x14ac:dyDescent="0.25">
      <c r="A116" s="82" t="s">
        <v>1027</v>
      </c>
      <c r="B116" s="82" t="s">
        <v>1028</v>
      </c>
      <c r="C116" s="82" t="s">
        <v>1029</v>
      </c>
      <c r="D116" s="84">
        <f t="shared" si="47"/>
        <v>1220</v>
      </c>
      <c r="E116" s="128">
        <f t="shared" ref="E116:E147" si="60">P116+Q116+T116+V116</f>
        <v>760.52941176470586</v>
      </c>
      <c r="F116" s="86" t="s">
        <v>365</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1931</v>
      </c>
      <c r="M116" s="146"/>
      <c r="N116" s="146"/>
      <c r="O116" s="155"/>
      <c r="P116" s="150">
        <v>730</v>
      </c>
      <c r="Q116" s="48">
        <v>20</v>
      </c>
      <c r="R116" s="88">
        <v>1</v>
      </c>
      <c r="S116" s="88">
        <f>9*9</f>
        <v>81</v>
      </c>
      <c r="T116" s="48">
        <f t="shared" si="44"/>
        <v>0.52941176470588236</v>
      </c>
      <c r="U116" s="48" t="s">
        <v>8</v>
      </c>
      <c r="V116" s="48">
        <f t="shared" si="46"/>
        <v>10</v>
      </c>
      <c r="W116" s="83"/>
      <c r="X116" s="82" t="s">
        <v>1027</v>
      </c>
    </row>
    <row r="117" spans="1:24" ht="30" x14ac:dyDescent="0.25">
      <c r="A117" s="82" t="s">
        <v>816</v>
      </c>
      <c r="B117" s="82" t="s">
        <v>818</v>
      </c>
      <c r="C117" s="82" t="s">
        <v>817</v>
      </c>
      <c r="D117" s="84">
        <f t="shared" si="47"/>
        <v>690</v>
      </c>
      <c r="E117" s="128">
        <f t="shared" si="60"/>
        <v>430.52941176470586</v>
      </c>
      <c r="F117" s="86" t="s">
        <v>365</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8</v>
      </c>
      <c r="V117" s="48">
        <f t="shared" si="46"/>
        <v>10</v>
      </c>
      <c r="W117" s="83"/>
      <c r="X117" s="82" t="s">
        <v>816</v>
      </c>
    </row>
    <row r="118" spans="1:24" ht="30" x14ac:dyDescent="0.25">
      <c r="A118" s="82" t="s">
        <v>821</v>
      </c>
      <c r="B118" s="82" t="s">
        <v>822</v>
      </c>
      <c r="C118" s="82" t="s">
        <v>823</v>
      </c>
      <c r="D118" s="84">
        <f t="shared" si="47"/>
        <v>4790</v>
      </c>
      <c r="E118" s="128">
        <f t="shared" si="60"/>
        <v>2993.0294117647059</v>
      </c>
      <c r="F118" s="86" t="s">
        <v>365</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8</v>
      </c>
      <c r="V118" s="48">
        <f t="shared" si="46"/>
        <v>10</v>
      </c>
      <c r="W118" s="83"/>
      <c r="X118" s="83"/>
    </row>
    <row r="119" spans="1:24" x14ac:dyDescent="0.25">
      <c r="A119" s="82" t="s">
        <v>802</v>
      </c>
      <c r="B119" s="82" t="s">
        <v>801</v>
      </c>
      <c r="C119" s="82" t="s">
        <v>800</v>
      </c>
      <c r="D119" s="84">
        <f t="shared" si="47"/>
        <v>1060</v>
      </c>
      <c r="E119" s="128">
        <f t="shared" si="60"/>
        <v>661.58823529411768</v>
      </c>
      <c r="F119" s="86" t="s">
        <v>365</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8</v>
      </c>
      <c r="V119" s="48">
        <f t="shared" si="46"/>
        <v>10</v>
      </c>
      <c r="W119" s="83"/>
      <c r="X119" s="83" t="s">
        <v>110</v>
      </c>
    </row>
    <row r="120" spans="1:24" ht="30" x14ac:dyDescent="0.25">
      <c r="A120" s="87" t="s">
        <v>266</v>
      </c>
      <c r="B120" s="82" t="s">
        <v>211</v>
      </c>
      <c r="C120" s="82" t="s">
        <v>620</v>
      </c>
      <c r="D120" s="84">
        <f t="shared" si="47"/>
        <v>4990</v>
      </c>
      <c r="E120" s="128">
        <f t="shared" si="60"/>
        <v>3115.6666666666665</v>
      </c>
      <c r="F120" s="86" t="s">
        <v>365</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8</v>
      </c>
      <c r="V120" s="48">
        <f t="shared" si="46"/>
        <v>10</v>
      </c>
      <c r="W120" s="83"/>
      <c r="X120" s="83" t="s">
        <v>109</v>
      </c>
    </row>
    <row r="121" spans="1:24" ht="30" x14ac:dyDescent="0.25">
      <c r="A121" s="82" t="s">
        <v>714</v>
      </c>
      <c r="B121" s="82" t="s">
        <v>713</v>
      </c>
      <c r="C121" s="82" t="s">
        <v>625</v>
      </c>
      <c r="D121" s="84">
        <f>IF(E121&lt;20, ROUNDUP(E121/0.575,0), ROUNDUP(E121/0.575,-1))</f>
        <v>50</v>
      </c>
      <c r="E121" s="128">
        <f t="shared" si="60"/>
        <v>25.176470588235293</v>
      </c>
      <c r="F121" s="86" t="s">
        <v>365</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8</v>
      </c>
      <c r="V121" s="48">
        <f t="shared" si="46"/>
        <v>10</v>
      </c>
      <c r="W121" s="83"/>
      <c r="X121" s="83" t="s">
        <v>63</v>
      </c>
    </row>
    <row r="122" spans="1:24" ht="30" x14ac:dyDescent="0.25">
      <c r="A122" s="82" t="s">
        <v>257</v>
      </c>
      <c r="B122" s="82" t="s">
        <v>517</v>
      </c>
      <c r="C122" s="82" t="s">
        <v>626</v>
      </c>
      <c r="D122" s="84">
        <f>IF(E122&lt;20, ROUNDUP(E122/0.575,0), ROUNDUP(E122/0.575,-1))</f>
        <v>1080</v>
      </c>
      <c r="E122" s="128">
        <f t="shared" si="60"/>
        <v>619.52941176470586</v>
      </c>
      <c r="F122" s="86" t="s">
        <v>365</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8</v>
      </c>
      <c r="V122" s="48">
        <f t="shared" si="46"/>
        <v>10</v>
      </c>
      <c r="W122" s="83"/>
      <c r="X122" s="83" t="s">
        <v>98</v>
      </c>
    </row>
    <row r="123" spans="1:24" ht="30" x14ac:dyDescent="0.25">
      <c r="A123" s="82" t="s">
        <v>255</v>
      </c>
      <c r="B123" s="82" t="s">
        <v>518</v>
      </c>
      <c r="C123" s="82" t="s">
        <v>629</v>
      </c>
      <c r="D123" s="84">
        <f>IF(E123&lt;20, ROUNDUP(E123/0.575,0), ROUNDUP(E123/0.575,-1))</f>
        <v>250</v>
      </c>
      <c r="E123" s="128">
        <f t="shared" si="60"/>
        <v>143.11111111111111</v>
      </c>
      <c r="F123" s="86" t="s">
        <v>365</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8</v>
      </c>
      <c r="V123" s="48">
        <f t="shared" si="46"/>
        <v>10</v>
      </c>
      <c r="W123" s="83"/>
      <c r="X123" s="83" t="s">
        <v>94</v>
      </c>
    </row>
    <row r="124" spans="1:24" ht="15" customHeight="1" x14ac:dyDescent="0.25">
      <c r="A124" s="82" t="s">
        <v>455</v>
      </c>
      <c r="B124" s="82" t="s">
        <v>456</v>
      </c>
      <c r="C124" s="82" t="s">
        <v>631</v>
      </c>
      <c r="D124" s="84">
        <f>IF(E124&lt;20, ROUNDUP(E124/0.6,0), ROUNDUP(E124/0.6,-1))</f>
        <v>90</v>
      </c>
      <c r="E124" s="128">
        <f t="shared" si="60"/>
        <v>50</v>
      </c>
      <c r="F124" s="86" t="s">
        <v>365</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8</v>
      </c>
      <c r="V124" s="48">
        <f t="shared" si="46"/>
        <v>10</v>
      </c>
      <c r="W124" s="83"/>
      <c r="X124" s="83" t="s">
        <v>83</v>
      </c>
    </row>
    <row r="125" spans="1:24" ht="15" customHeight="1" x14ac:dyDescent="0.25">
      <c r="A125" s="82" t="s">
        <v>459</v>
      </c>
      <c r="B125" s="82" t="s">
        <v>460</v>
      </c>
      <c r="C125" s="82" t="s">
        <v>633</v>
      </c>
      <c r="D125" s="84">
        <f>IF(E125&lt;20, ROUNDUP(E125/0.6,0), ROUNDUP(E125/0.6,-1))</f>
        <v>50</v>
      </c>
      <c r="E125" s="128">
        <f t="shared" si="60"/>
        <v>25</v>
      </c>
      <c r="F125" s="86" t="s">
        <v>365</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8</v>
      </c>
      <c r="V125" s="48">
        <f t="shared" si="46"/>
        <v>10</v>
      </c>
      <c r="W125" s="83"/>
      <c r="X125" s="83" t="s">
        <v>80</v>
      </c>
    </row>
    <row r="126" spans="1:24" ht="15" customHeight="1" x14ac:dyDescent="0.25">
      <c r="A126" s="82" t="s">
        <v>465</v>
      </c>
      <c r="B126" s="82" t="s">
        <v>466</v>
      </c>
      <c r="C126" s="82" t="s">
        <v>636</v>
      </c>
      <c r="D126" s="84">
        <f>IF(E126&lt;20, ROUNDUP(E126/0.6,0), ROUNDUP(E126/0.6,-1))</f>
        <v>220</v>
      </c>
      <c r="E126" s="128">
        <f t="shared" si="60"/>
        <v>130</v>
      </c>
      <c r="F126" s="86" t="s">
        <v>365</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8</v>
      </c>
      <c r="V126" s="48">
        <f t="shared" si="46"/>
        <v>10</v>
      </c>
      <c r="W126" s="83"/>
      <c r="X126" s="83" t="s">
        <v>85</v>
      </c>
    </row>
    <row r="127" spans="1:24" ht="30" customHeight="1" x14ac:dyDescent="0.25">
      <c r="A127" s="82" t="s">
        <v>653</v>
      </c>
      <c r="B127" s="83" t="s">
        <v>654</v>
      </c>
      <c r="C127" s="82" t="s">
        <v>652</v>
      </c>
      <c r="D127" s="84">
        <f t="shared" ref="D127:D158" si="62">IF(E127&lt;20, ROUNDUP(E127/0.3,0), ROUNDUP(E127/0.3,-1))</f>
        <v>1340</v>
      </c>
      <c r="E127" s="128">
        <f t="shared" si="60"/>
        <v>400</v>
      </c>
      <c r="F127" s="86" t="s">
        <v>366</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296</v>
      </c>
    </row>
    <row r="128" spans="1:24" ht="30" customHeight="1" x14ac:dyDescent="0.25">
      <c r="A128" s="94" t="s">
        <v>674</v>
      </c>
      <c r="B128" s="95" t="s">
        <v>709</v>
      </c>
      <c r="C128" s="94" t="s">
        <v>674</v>
      </c>
      <c r="D128" s="84">
        <f t="shared" si="62"/>
        <v>1340</v>
      </c>
      <c r="E128" s="128">
        <f t="shared" si="60"/>
        <v>400</v>
      </c>
      <c r="F128" s="86" t="s">
        <v>366</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294</v>
      </c>
    </row>
    <row r="129" spans="1:24" ht="30" customHeight="1" x14ac:dyDescent="0.25">
      <c r="A129" s="94" t="s">
        <v>680</v>
      </c>
      <c r="B129" s="95" t="s">
        <v>650</v>
      </c>
      <c r="C129" s="94" t="s">
        <v>735</v>
      </c>
      <c r="D129" s="84">
        <f t="shared" si="62"/>
        <v>2670</v>
      </c>
      <c r="E129" s="128">
        <f t="shared" si="60"/>
        <v>800</v>
      </c>
      <c r="F129" s="86" t="s">
        <v>366</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294</v>
      </c>
    </row>
    <row r="130" spans="1:24" ht="30" customHeight="1" x14ac:dyDescent="0.25">
      <c r="A130" s="82" t="s">
        <v>824</v>
      </c>
      <c r="B130" s="82" t="s">
        <v>825</v>
      </c>
      <c r="C130" s="82" t="s">
        <v>826</v>
      </c>
      <c r="D130" s="84">
        <f t="shared" si="62"/>
        <v>500</v>
      </c>
      <c r="E130" s="128">
        <f t="shared" si="60"/>
        <v>150</v>
      </c>
      <c r="F130" s="86" t="s">
        <v>366</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288</v>
      </c>
    </row>
    <row r="131" spans="1:24" ht="15" customHeight="1" x14ac:dyDescent="0.25">
      <c r="A131" s="82" t="s">
        <v>350</v>
      </c>
      <c r="B131" s="82" t="s">
        <v>320</v>
      </c>
      <c r="C131" s="82" t="s">
        <v>638</v>
      </c>
      <c r="D131" s="84">
        <f t="shared" si="62"/>
        <v>1340</v>
      </c>
      <c r="E131" s="128">
        <f t="shared" si="60"/>
        <v>400</v>
      </c>
      <c r="F131" s="86" t="s">
        <v>366</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288</v>
      </c>
    </row>
    <row r="132" spans="1:24" ht="15" customHeight="1" x14ac:dyDescent="0.25">
      <c r="A132" s="82" t="s">
        <v>351</v>
      </c>
      <c r="B132" s="83" t="s">
        <v>321</v>
      </c>
      <c r="C132" s="82" t="s">
        <v>639</v>
      </c>
      <c r="D132" s="84">
        <f t="shared" si="62"/>
        <v>0</v>
      </c>
      <c r="E132" s="128">
        <f t="shared" si="60"/>
        <v>0</v>
      </c>
      <c r="F132" s="86" t="s">
        <v>366</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289</v>
      </c>
    </row>
    <row r="133" spans="1:24" ht="15" customHeight="1" x14ac:dyDescent="0.25">
      <c r="A133" s="82" t="s">
        <v>733</v>
      </c>
      <c r="B133" s="83" t="s">
        <v>651</v>
      </c>
      <c r="C133" s="82" t="s">
        <v>734</v>
      </c>
      <c r="D133" s="84">
        <f t="shared" si="62"/>
        <v>4000</v>
      </c>
      <c r="E133" s="128">
        <f t="shared" si="60"/>
        <v>1200</v>
      </c>
      <c r="F133" s="86" t="s">
        <v>366</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295</v>
      </c>
    </row>
    <row r="134" spans="1:24" ht="15" customHeight="1" x14ac:dyDescent="0.25">
      <c r="A134" s="94" t="s">
        <v>827</v>
      </c>
      <c r="B134" s="95" t="s">
        <v>830</v>
      </c>
      <c r="C134" s="94" t="s">
        <v>831</v>
      </c>
      <c r="D134" s="84">
        <f t="shared" si="62"/>
        <v>6670</v>
      </c>
      <c r="E134" s="128">
        <f t="shared" si="60"/>
        <v>2000</v>
      </c>
      <c r="F134" s="86" t="s">
        <v>366</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303</v>
      </c>
    </row>
    <row r="135" spans="1:24" ht="15" customHeight="1" x14ac:dyDescent="0.25">
      <c r="A135" s="94" t="s">
        <v>835</v>
      </c>
      <c r="B135" s="95" t="s">
        <v>990</v>
      </c>
      <c r="C135" s="94" t="s">
        <v>833</v>
      </c>
      <c r="D135" s="84">
        <f t="shared" si="62"/>
        <v>2500</v>
      </c>
      <c r="E135" s="128">
        <f t="shared" si="60"/>
        <v>750</v>
      </c>
      <c r="F135" s="86" t="s">
        <v>366</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304</v>
      </c>
    </row>
    <row r="136" spans="1:24" ht="15" customHeight="1" x14ac:dyDescent="0.25">
      <c r="A136" s="94" t="s">
        <v>828</v>
      </c>
      <c r="B136" s="95" t="s">
        <v>829</v>
      </c>
      <c r="C136" s="94" t="s">
        <v>832</v>
      </c>
      <c r="D136" s="84">
        <f t="shared" si="62"/>
        <v>10000</v>
      </c>
      <c r="E136" s="128">
        <f t="shared" si="60"/>
        <v>3000</v>
      </c>
      <c r="F136" s="86" t="s">
        <v>366</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304</v>
      </c>
    </row>
    <row r="137" spans="1:24" ht="30" customHeight="1" x14ac:dyDescent="0.25">
      <c r="A137" s="82" t="s">
        <v>655</v>
      </c>
      <c r="B137" s="82" t="s">
        <v>656</v>
      </c>
      <c r="C137" s="82" t="s">
        <v>638</v>
      </c>
      <c r="D137" s="84">
        <f t="shared" si="62"/>
        <v>340</v>
      </c>
      <c r="E137" s="128">
        <f t="shared" si="60"/>
        <v>100</v>
      </c>
      <c r="F137" s="86" t="s">
        <v>366</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1171</v>
      </c>
      <c r="M137" s="146"/>
      <c r="N137" s="146"/>
      <c r="O137" s="155"/>
      <c r="P137" s="150">
        <v>100</v>
      </c>
      <c r="Q137" s="83"/>
      <c r="R137" s="83"/>
      <c r="S137" s="83"/>
      <c r="T137" s="83"/>
      <c r="U137" s="83"/>
      <c r="V137" s="83"/>
      <c r="W137" s="83"/>
      <c r="X137" s="83" t="s">
        <v>288</v>
      </c>
    </row>
    <row r="138" spans="1:24" ht="30" customHeight="1" x14ac:dyDescent="0.25">
      <c r="A138" s="82" t="s">
        <v>352</v>
      </c>
      <c r="B138" s="83" t="s">
        <v>325</v>
      </c>
      <c r="C138" s="82" t="s">
        <v>640</v>
      </c>
      <c r="D138" s="84">
        <f t="shared" si="62"/>
        <v>1000</v>
      </c>
      <c r="E138" s="128">
        <f t="shared" si="60"/>
        <v>300</v>
      </c>
      <c r="F138" s="86" t="s">
        <v>366</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297</v>
      </c>
    </row>
    <row r="139" spans="1:24" ht="30" customHeight="1" x14ac:dyDescent="0.25">
      <c r="A139" s="82" t="s">
        <v>353</v>
      </c>
      <c r="B139" s="83" t="s">
        <v>322</v>
      </c>
      <c r="C139" s="82" t="s">
        <v>641</v>
      </c>
      <c r="D139" s="84">
        <f t="shared" si="62"/>
        <v>840</v>
      </c>
      <c r="E139" s="128">
        <f t="shared" si="60"/>
        <v>250</v>
      </c>
      <c r="F139" s="86" t="s">
        <v>366</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290</v>
      </c>
    </row>
    <row r="140" spans="1:24" ht="15" customHeight="1" x14ac:dyDescent="0.25">
      <c r="A140" s="82" t="s">
        <v>354</v>
      </c>
      <c r="B140" s="83" t="s">
        <v>323</v>
      </c>
      <c r="C140" s="82" t="s">
        <v>642</v>
      </c>
      <c r="D140" s="84">
        <f t="shared" si="62"/>
        <v>1000</v>
      </c>
      <c r="E140" s="128">
        <f t="shared" si="60"/>
        <v>300</v>
      </c>
      <c r="F140" s="86" t="s">
        <v>366</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298</v>
      </c>
    </row>
    <row r="141" spans="1:24" ht="15" customHeight="1" x14ac:dyDescent="0.25">
      <c r="A141" s="82" t="s">
        <v>355</v>
      </c>
      <c r="B141" s="83" t="s">
        <v>326</v>
      </c>
      <c r="C141" s="82" t="s">
        <v>643</v>
      </c>
      <c r="D141" s="84">
        <f t="shared" si="62"/>
        <v>0</v>
      </c>
      <c r="E141" s="128">
        <f t="shared" si="60"/>
        <v>0</v>
      </c>
      <c r="F141" s="86" t="s">
        <v>366</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299</v>
      </c>
    </row>
    <row r="142" spans="1:24" ht="15" customHeight="1" x14ac:dyDescent="0.25">
      <c r="A142" s="82" t="s">
        <v>356</v>
      </c>
      <c r="B142" s="82" t="s">
        <v>324</v>
      </c>
      <c r="C142" s="82" t="s">
        <v>644</v>
      </c>
      <c r="D142" s="84">
        <f t="shared" si="62"/>
        <v>1000</v>
      </c>
      <c r="E142" s="128">
        <f t="shared" si="60"/>
        <v>300</v>
      </c>
      <c r="F142" s="86" t="s">
        <v>366</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300</v>
      </c>
    </row>
    <row r="143" spans="1:24" ht="30" customHeight="1" x14ac:dyDescent="0.25">
      <c r="A143" s="82" t="s">
        <v>357</v>
      </c>
      <c r="B143" s="83" t="s">
        <v>328</v>
      </c>
      <c r="C143" s="82" t="s">
        <v>645</v>
      </c>
      <c r="D143" s="84">
        <f t="shared" si="62"/>
        <v>0</v>
      </c>
      <c r="E143" s="128">
        <f t="shared" si="60"/>
        <v>0</v>
      </c>
      <c r="F143" s="86" t="s">
        <v>366</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348</v>
      </c>
    </row>
    <row r="144" spans="1:24" ht="45" customHeight="1" x14ac:dyDescent="0.25">
      <c r="A144" s="129" t="s">
        <v>836</v>
      </c>
      <c r="B144" s="78" t="s">
        <v>837</v>
      </c>
      <c r="C144" s="129" t="s">
        <v>836</v>
      </c>
      <c r="D144" s="84">
        <f t="shared" si="62"/>
        <v>3300</v>
      </c>
      <c r="E144" s="128">
        <f t="shared" si="60"/>
        <v>990</v>
      </c>
      <c r="F144" s="86" t="s">
        <v>366</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657</v>
      </c>
      <c r="B145" s="83" t="s">
        <v>662</v>
      </c>
      <c r="C145" s="82" t="s">
        <v>657</v>
      </c>
      <c r="D145" s="84">
        <f t="shared" si="62"/>
        <v>4170</v>
      </c>
      <c r="E145" s="128">
        <f t="shared" si="60"/>
        <v>1250</v>
      </c>
      <c r="F145" s="86" t="s">
        <v>366</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994</v>
      </c>
      <c r="B146" s="83" t="s">
        <v>662</v>
      </c>
      <c r="C146" s="82" t="s">
        <v>657</v>
      </c>
      <c r="D146" s="84">
        <f t="shared" si="62"/>
        <v>6170</v>
      </c>
      <c r="E146" s="128">
        <f t="shared" si="60"/>
        <v>1850</v>
      </c>
      <c r="F146" s="86" t="s">
        <v>366</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658</v>
      </c>
      <c r="B147" s="83" t="s">
        <v>663</v>
      </c>
      <c r="C147" s="82" t="s">
        <v>658</v>
      </c>
      <c r="D147" s="84">
        <f t="shared" si="62"/>
        <v>3170</v>
      </c>
      <c r="E147" s="128">
        <f t="shared" si="60"/>
        <v>950</v>
      </c>
      <c r="F147" s="86" t="s">
        <v>366</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993</v>
      </c>
      <c r="B148" s="83" t="s">
        <v>1054</v>
      </c>
      <c r="C148" s="82" t="s">
        <v>1055</v>
      </c>
      <c r="D148" s="84">
        <f t="shared" si="62"/>
        <v>4840</v>
      </c>
      <c r="E148" s="128">
        <f t="shared" ref="E148:E180" si="64">P148+Q148+T148+V148</f>
        <v>1450</v>
      </c>
      <c r="F148" s="86" t="s">
        <v>366</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659</v>
      </c>
      <c r="B149" s="83" t="s">
        <v>668</v>
      </c>
      <c r="C149" s="82" t="s">
        <v>659</v>
      </c>
      <c r="D149" s="84">
        <f t="shared" si="62"/>
        <v>2840</v>
      </c>
      <c r="E149" s="128">
        <f t="shared" si="64"/>
        <v>850</v>
      </c>
      <c r="F149" s="86" t="s">
        <v>366</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661</v>
      </c>
      <c r="B150" s="83" t="s">
        <v>670</v>
      </c>
      <c r="C150" s="82" t="s">
        <v>661</v>
      </c>
      <c r="D150" s="84">
        <f t="shared" si="62"/>
        <v>2840</v>
      </c>
      <c r="E150" s="128">
        <f t="shared" si="64"/>
        <v>850</v>
      </c>
      <c r="F150" s="86" t="s">
        <v>366</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660</v>
      </c>
      <c r="B151" s="83" t="s">
        <v>669</v>
      </c>
      <c r="C151" s="82" t="s">
        <v>660</v>
      </c>
      <c r="D151" s="84">
        <f t="shared" si="62"/>
        <v>1500</v>
      </c>
      <c r="E151" s="128">
        <f t="shared" si="64"/>
        <v>450</v>
      </c>
      <c r="F151" s="86" t="s">
        <v>366</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1930</v>
      </c>
      <c r="M151" s="146"/>
      <c r="N151" s="146"/>
      <c r="O151" s="155"/>
      <c r="P151" s="150">
        <v>450</v>
      </c>
      <c r="Q151" s="83"/>
      <c r="R151" s="83"/>
      <c r="S151" s="83"/>
      <c r="T151" s="83"/>
      <c r="U151" s="83"/>
      <c r="V151" s="83"/>
      <c r="W151" s="83"/>
      <c r="X151" s="83"/>
    </row>
    <row r="152" spans="1:24" ht="30" customHeight="1" x14ac:dyDescent="0.25">
      <c r="A152" s="82" t="s">
        <v>664</v>
      </c>
      <c r="B152" s="83" t="s">
        <v>665</v>
      </c>
      <c r="C152" s="82" t="s">
        <v>664</v>
      </c>
      <c r="D152" s="84">
        <f t="shared" si="62"/>
        <v>650</v>
      </c>
      <c r="E152" s="128">
        <f t="shared" si="64"/>
        <v>195</v>
      </c>
      <c r="F152" s="86" t="s">
        <v>366</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666</v>
      </c>
      <c r="B153" s="83" t="s">
        <v>667</v>
      </c>
      <c r="C153" s="82" t="s">
        <v>666</v>
      </c>
      <c r="D153" s="84">
        <f t="shared" si="62"/>
        <v>1320</v>
      </c>
      <c r="E153" s="128">
        <f t="shared" si="64"/>
        <v>395</v>
      </c>
      <c r="F153" s="86" t="s">
        <v>366</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373</v>
      </c>
      <c r="B154" s="83" t="s">
        <v>374</v>
      </c>
      <c r="C154" s="82" t="s">
        <v>373</v>
      </c>
      <c r="D154" s="84">
        <f t="shared" si="62"/>
        <v>0</v>
      </c>
      <c r="E154" s="128">
        <f t="shared" si="64"/>
        <v>0</v>
      </c>
      <c r="F154" s="86" t="s">
        <v>366</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271</v>
      </c>
    </row>
    <row r="155" spans="1:24" ht="15" customHeight="1" x14ac:dyDescent="0.25">
      <c r="A155" s="82" t="s">
        <v>373</v>
      </c>
      <c r="B155" s="83" t="s">
        <v>791</v>
      </c>
      <c r="C155" s="82" t="s">
        <v>792</v>
      </c>
      <c r="D155" s="84">
        <f t="shared" si="62"/>
        <v>0</v>
      </c>
      <c r="E155" s="128">
        <f t="shared" si="64"/>
        <v>0</v>
      </c>
      <c r="F155" s="86" t="s">
        <v>366</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271</v>
      </c>
    </row>
    <row r="156" spans="1:24" ht="30" x14ac:dyDescent="0.25">
      <c r="A156" s="82" t="s">
        <v>698</v>
      </c>
      <c r="B156" s="83" t="s">
        <v>358</v>
      </c>
      <c r="C156" s="82" t="s">
        <v>422</v>
      </c>
      <c r="D156" s="84">
        <f t="shared" si="62"/>
        <v>1970</v>
      </c>
      <c r="E156" s="128">
        <f t="shared" si="64"/>
        <v>590</v>
      </c>
      <c r="F156" s="86" t="s">
        <v>366</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283</v>
      </c>
    </row>
    <row r="157" spans="1:24" ht="45" customHeight="1" x14ac:dyDescent="0.25">
      <c r="A157" s="82" t="s">
        <v>795</v>
      </c>
      <c r="B157" s="83" t="s">
        <v>793</v>
      </c>
      <c r="C157" s="82" t="s">
        <v>794</v>
      </c>
      <c r="D157" s="84">
        <f t="shared" si="62"/>
        <v>0</v>
      </c>
      <c r="E157" s="128">
        <f t="shared" si="64"/>
        <v>0</v>
      </c>
      <c r="F157" s="86" t="s">
        <v>366</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697</v>
      </c>
      <c r="B158" s="83" t="s">
        <v>345</v>
      </c>
      <c r="C158" s="82" t="s">
        <v>421</v>
      </c>
      <c r="D158" s="84">
        <f t="shared" si="62"/>
        <v>1970</v>
      </c>
      <c r="E158" s="128">
        <f t="shared" si="64"/>
        <v>590</v>
      </c>
      <c r="F158" s="86" t="s">
        <v>366</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696</v>
      </c>
      <c r="B159" s="83" t="s">
        <v>344</v>
      </c>
      <c r="C159" s="82" t="s">
        <v>420</v>
      </c>
      <c r="D159" s="84">
        <f t="shared" ref="D159:D181" si="66">IF(E159&lt;20, ROUNDUP(E159/0.3,0), ROUNDUP(E159/0.3,-1))</f>
        <v>3670</v>
      </c>
      <c r="E159" s="128">
        <f t="shared" si="64"/>
        <v>1100</v>
      </c>
      <c r="F159" s="86" t="s">
        <v>366</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1463</v>
      </c>
      <c r="B160" s="83" t="s">
        <v>1464</v>
      </c>
      <c r="C160" s="82" t="s">
        <v>1465</v>
      </c>
      <c r="D160" s="84">
        <f t="shared" ref="D160" si="67">IF(E160&lt;20, ROUNDUP(E160/0.3,0), ROUNDUP(E160/0.3,-1))</f>
        <v>7600</v>
      </c>
      <c r="E160" s="128">
        <f>(P160+Q160+T160+V160)+E156*2</f>
        <v>2280</v>
      </c>
      <c r="F160" s="86" t="s">
        <v>366</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695</v>
      </c>
      <c r="B161" s="83" t="s">
        <v>343</v>
      </c>
      <c r="C161" s="82" t="s">
        <v>419</v>
      </c>
      <c r="D161" s="84">
        <f t="shared" si="66"/>
        <v>2000</v>
      </c>
      <c r="E161" s="128">
        <f t="shared" si="64"/>
        <v>600</v>
      </c>
      <c r="F161" s="86" t="s">
        <v>366</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1456</v>
      </c>
      <c r="M161" s="146"/>
      <c r="N161" s="146"/>
      <c r="O161" s="155"/>
      <c r="P161" s="150">
        <v>600</v>
      </c>
      <c r="Q161" s="83"/>
      <c r="R161" s="83"/>
      <c r="S161" s="83"/>
      <c r="T161" s="83"/>
      <c r="U161" s="83"/>
      <c r="V161" s="83"/>
      <c r="W161" s="83"/>
      <c r="X161" s="83" t="s">
        <v>278</v>
      </c>
    </row>
    <row r="162" spans="1:24" ht="15" customHeight="1" x14ac:dyDescent="0.25">
      <c r="A162" s="94" t="s">
        <v>694</v>
      </c>
      <c r="B162" s="95" t="s">
        <v>316</v>
      </c>
      <c r="C162" s="94" t="s">
        <v>417</v>
      </c>
      <c r="D162" s="84">
        <f t="shared" si="66"/>
        <v>750</v>
      </c>
      <c r="E162" s="128">
        <f t="shared" si="64"/>
        <v>225</v>
      </c>
      <c r="F162" s="86" t="s">
        <v>366</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285</v>
      </c>
    </row>
    <row r="163" spans="1:24" ht="15" customHeight="1" x14ac:dyDescent="0.25">
      <c r="A163" s="82" t="s">
        <v>327</v>
      </c>
      <c r="B163" s="82" t="s">
        <v>317</v>
      </c>
      <c r="C163" s="82" t="s">
        <v>646</v>
      </c>
      <c r="D163" s="84">
        <f t="shared" si="66"/>
        <v>500</v>
      </c>
      <c r="E163" s="128">
        <f t="shared" si="64"/>
        <v>150</v>
      </c>
      <c r="F163" s="86" t="s">
        <v>366</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287</v>
      </c>
    </row>
    <row r="164" spans="1:24" ht="15" customHeight="1" x14ac:dyDescent="0.25">
      <c r="A164" s="82" t="s">
        <v>305</v>
      </c>
      <c r="B164" s="83" t="s">
        <v>310</v>
      </c>
      <c r="C164" s="82" t="s">
        <v>434</v>
      </c>
      <c r="D164" s="84">
        <f t="shared" si="66"/>
        <v>1170</v>
      </c>
      <c r="E164" s="128">
        <f t="shared" si="64"/>
        <v>350</v>
      </c>
      <c r="F164" s="86" t="s">
        <v>366</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275</v>
      </c>
    </row>
    <row r="165" spans="1:24" ht="15" customHeight="1" x14ac:dyDescent="0.25">
      <c r="A165" s="82" t="s">
        <v>536</v>
      </c>
      <c r="B165" s="83" t="s">
        <v>539</v>
      </c>
      <c r="C165" s="82" t="s">
        <v>434</v>
      </c>
      <c r="D165" s="84">
        <f t="shared" si="66"/>
        <v>840</v>
      </c>
      <c r="E165" s="128">
        <f t="shared" si="64"/>
        <v>250</v>
      </c>
      <c r="F165" s="86" t="s">
        <v>366</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275</v>
      </c>
    </row>
    <row r="166" spans="1:24" ht="15" customHeight="1" x14ac:dyDescent="0.25">
      <c r="A166" s="82" t="s">
        <v>537</v>
      </c>
      <c r="B166" s="83" t="s">
        <v>308</v>
      </c>
      <c r="C166" s="82" t="s">
        <v>647</v>
      </c>
      <c r="D166" s="84">
        <f t="shared" si="66"/>
        <v>500</v>
      </c>
      <c r="E166" s="128">
        <f t="shared" si="64"/>
        <v>150</v>
      </c>
      <c r="F166" s="86" t="s">
        <v>366</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1171</v>
      </c>
      <c r="M166" s="146"/>
      <c r="N166" s="146"/>
      <c r="O166" s="155"/>
      <c r="P166" s="150">
        <v>150</v>
      </c>
      <c r="Q166" s="83"/>
      <c r="R166" s="83"/>
      <c r="S166" s="83"/>
      <c r="T166" s="83"/>
      <c r="U166" s="83"/>
      <c r="V166" s="83"/>
      <c r="W166" s="83"/>
      <c r="X166" s="83" t="s">
        <v>273</v>
      </c>
    </row>
    <row r="167" spans="1:24" ht="15" customHeight="1" x14ac:dyDescent="0.25">
      <c r="A167" s="82" t="s">
        <v>538</v>
      </c>
      <c r="B167" s="82" t="s">
        <v>309</v>
      </c>
      <c r="C167" s="82" t="s">
        <v>435</v>
      </c>
      <c r="D167" s="84">
        <f t="shared" si="66"/>
        <v>500</v>
      </c>
      <c r="E167" s="128">
        <f t="shared" si="64"/>
        <v>150</v>
      </c>
      <c r="F167" s="86" t="s">
        <v>366</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1171</v>
      </c>
      <c r="M167" s="146"/>
      <c r="N167" s="146"/>
      <c r="O167" s="155"/>
      <c r="P167" s="150">
        <v>150</v>
      </c>
      <c r="Q167" s="83"/>
      <c r="R167" s="83"/>
      <c r="S167" s="83"/>
      <c r="T167" s="83"/>
      <c r="U167" s="83"/>
      <c r="V167" s="83"/>
      <c r="W167" s="83"/>
      <c r="X167" s="83" t="s">
        <v>274</v>
      </c>
    </row>
    <row r="168" spans="1:24" ht="30" customHeight="1" x14ac:dyDescent="0.25">
      <c r="A168" s="82" t="s">
        <v>983</v>
      </c>
      <c r="B168" s="83" t="s">
        <v>318</v>
      </c>
      <c r="C168" s="82" t="s">
        <v>430</v>
      </c>
      <c r="D168" s="84">
        <f t="shared" si="66"/>
        <v>170</v>
      </c>
      <c r="E168" s="128">
        <f t="shared" si="64"/>
        <v>50</v>
      </c>
      <c r="F168" s="86" t="s">
        <v>366</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272</v>
      </c>
    </row>
    <row r="169" spans="1:24" ht="30" customHeight="1" x14ac:dyDescent="0.25">
      <c r="A169" s="82" t="s">
        <v>982</v>
      </c>
      <c r="B169" s="83" t="s">
        <v>319</v>
      </c>
      <c r="C169" s="82" t="s">
        <v>428</v>
      </c>
      <c r="D169" s="84">
        <f t="shared" si="66"/>
        <v>250</v>
      </c>
      <c r="E169" s="128">
        <f t="shared" si="64"/>
        <v>75</v>
      </c>
      <c r="F169" s="86" t="s">
        <v>366</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291</v>
      </c>
    </row>
    <row r="170" spans="1:24" ht="15" customHeight="1" x14ac:dyDescent="0.25">
      <c r="A170" s="82" t="s">
        <v>981</v>
      </c>
      <c r="B170" s="83" t="s">
        <v>312</v>
      </c>
      <c r="C170" s="82" t="s">
        <v>427</v>
      </c>
      <c r="D170" s="84">
        <f t="shared" si="66"/>
        <v>500</v>
      </c>
      <c r="E170" s="128">
        <f t="shared" si="64"/>
        <v>150</v>
      </c>
      <c r="F170" s="86" t="s">
        <v>366</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276</v>
      </c>
    </row>
    <row r="171" spans="1:24" ht="15" customHeight="1" x14ac:dyDescent="0.25">
      <c r="A171" s="82" t="s">
        <v>980</v>
      </c>
      <c r="B171" s="82" t="s">
        <v>313</v>
      </c>
      <c r="C171" s="82" t="s">
        <v>426</v>
      </c>
      <c r="D171" s="84">
        <f t="shared" si="66"/>
        <v>750</v>
      </c>
      <c r="E171" s="128">
        <f t="shared" si="64"/>
        <v>225</v>
      </c>
      <c r="F171" s="86" t="s">
        <v>366</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277</v>
      </c>
    </row>
    <row r="172" spans="1:24" ht="15" customHeight="1" x14ac:dyDescent="0.25">
      <c r="A172" s="82" t="s">
        <v>979</v>
      </c>
      <c r="B172" s="83" t="s">
        <v>314</v>
      </c>
      <c r="C172" s="82" t="s">
        <v>425</v>
      </c>
      <c r="D172" s="84">
        <f t="shared" si="66"/>
        <v>500</v>
      </c>
      <c r="E172" s="128">
        <f t="shared" si="64"/>
        <v>150</v>
      </c>
      <c r="F172" s="86" t="s">
        <v>366</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977</v>
      </c>
      <c r="B173" s="82" t="s">
        <v>315</v>
      </c>
      <c r="C173" s="82" t="s">
        <v>418</v>
      </c>
      <c r="D173" s="84">
        <f t="shared" si="66"/>
        <v>840</v>
      </c>
      <c r="E173" s="128">
        <f t="shared" si="64"/>
        <v>250</v>
      </c>
      <c r="F173" s="86" t="s">
        <v>366</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292</v>
      </c>
    </row>
    <row r="174" spans="1:24" ht="15" customHeight="1" x14ac:dyDescent="0.25">
      <c r="A174" s="82" t="s">
        <v>978</v>
      </c>
      <c r="B174" s="82" t="s">
        <v>717</v>
      </c>
      <c r="C174" s="82" t="s">
        <v>716</v>
      </c>
      <c r="D174" s="84">
        <f t="shared" si="66"/>
        <v>500</v>
      </c>
      <c r="E174" s="128">
        <f t="shared" si="64"/>
        <v>150</v>
      </c>
      <c r="F174" s="86" t="s">
        <v>366</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276</v>
      </c>
    </row>
    <row r="175" spans="1:24" ht="30" customHeight="1" x14ac:dyDescent="0.25">
      <c r="A175" s="82" t="s">
        <v>432</v>
      </c>
      <c r="B175" s="83" t="s">
        <v>431</v>
      </c>
      <c r="C175" s="82" t="s">
        <v>433</v>
      </c>
      <c r="D175" s="84">
        <f t="shared" si="66"/>
        <v>500</v>
      </c>
      <c r="E175" s="128">
        <f t="shared" si="64"/>
        <v>150</v>
      </c>
      <c r="F175" s="86" t="s">
        <v>366</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279</v>
      </c>
    </row>
    <row r="176" spans="1:24" ht="15" customHeight="1" x14ac:dyDescent="0.25">
      <c r="A176" s="82" t="s">
        <v>975</v>
      </c>
      <c r="B176" s="82" t="s">
        <v>974</v>
      </c>
      <c r="C176" s="82" t="s">
        <v>976</v>
      </c>
      <c r="D176" s="84">
        <f t="shared" si="66"/>
        <v>500</v>
      </c>
      <c r="E176" s="128">
        <f t="shared" si="64"/>
        <v>150</v>
      </c>
      <c r="F176" s="86" t="s">
        <v>366</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280</v>
      </c>
    </row>
    <row r="177" spans="1:24" ht="15" customHeight="1" x14ac:dyDescent="0.25">
      <c r="A177" s="82" t="s">
        <v>306</v>
      </c>
      <c r="B177" s="83" t="s">
        <v>311</v>
      </c>
      <c r="C177" s="82" t="s">
        <v>429</v>
      </c>
      <c r="D177" s="84">
        <f t="shared" si="66"/>
        <v>500</v>
      </c>
      <c r="E177" s="128">
        <f t="shared" si="64"/>
        <v>150</v>
      </c>
      <c r="F177" s="86" t="s">
        <v>366</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281</v>
      </c>
    </row>
    <row r="178" spans="1:24" ht="45" customHeight="1" x14ac:dyDescent="0.25">
      <c r="A178" s="82" t="s">
        <v>691</v>
      </c>
      <c r="B178" s="83" t="s">
        <v>671</v>
      </c>
      <c r="C178" s="82" t="s">
        <v>672</v>
      </c>
      <c r="D178" s="84">
        <f t="shared" si="66"/>
        <v>0</v>
      </c>
      <c r="E178" s="128">
        <f t="shared" si="64"/>
        <v>0</v>
      </c>
      <c r="F178" s="86" t="s">
        <v>366</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1457</v>
      </c>
      <c r="M178" s="146"/>
      <c r="N178" s="146"/>
      <c r="O178" s="155"/>
      <c r="P178" s="150"/>
      <c r="Q178" s="83"/>
      <c r="R178" s="83"/>
      <c r="S178" s="83"/>
      <c r="T178" s="83"/>
      <c r="U178" s="83"/>
      <c r="V178" s="83"/>
      <c r="W178" s="83"/>
      <c r="X178" s="83" t="s">
        <v>284</v>
      </c>
    </row>
    <row r="179" spans="1:24" ht="30" customHeight="1" x14ac:dyDescent="0.25">
      <c r="A179" s="82" t="s">
        <v>1455</v>
      </c>
      <c r="B179" s="83" t="s">
        <v>527</v>
      </c>
      <c r="C179" s="82" t="s">
        <v>673</v>
      </c>
      <c r="D179" s="84">
        <f t="shared" si="66"/>
        <v>0</v>
      </c>
      <c r="E179" s="128">
        <f t="shared" si="64"/>
        <v>0</v>
      </c>
      <c r="F179" s="86" t="s">
        <v>366</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1927</v>
      </c>
      <c r="M179" s="146"/>
      <c r="N179" s="146"/>
      <c r="O179" s="155"/>
      <c r="P179" s="150"/>
      <c r="Q179" s="83"/>
      <c r="R179" s="83"/>
      <c r="S179" s="83"/>
      <c r="T179" s="83"/>
      <c r="U179" s="83"/>
      <c r="V179" s="83"/>
      <c r="W179" s="83"/>
      <c r="X179" s="83" t="s">
        <v>286</v>
      </c>
    </row>
    <row r="180" spans="1:24" ht="30" x14ac:dyDescent="0.25">
      <c r="A180" s="82" t="s">
        <v>331</v>
      </c>
      <c r="B180" s="82" t="s">
        <v>330</v>
      </c>
      <c r="C180" s="82" t="s">
        <v>416</v>
      </c>
      <c r="D180" s="84">
        <f t="shared" si="66"/>
        <v>0</v>
      </c>
      <c r="E180" s="128">
        <f t="shared" si="64"/>
        <v>0</v>
      </c>
      <c r="F180" s="86" t="s">
        <v>366</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293</v>
      </c>
    </row>
    <row r="181" spans="1:24" ht="30" x14ac:dyDescent="0.25">
      <c r="A181" s="82" t="s">
        <v>1454</v>
      </c>
      <c r="B181" s="83" t="s">
        <v>307</v>
      </c>
      <c r="C181" s="82"/>
      <c r="D181" s="84">
        <f t="shared" si="66"/>
        <v>0</v>
      </c>
      <c r="E181" s="128">
        <f t="shared" ref="E181:E188" si="69">P181+Q181+T181+V181</f>
        <v>0</v>
      </c>
      <c r="F181" s="86" t="s">
        <v>366</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1926</v>
      </c>
      <c r="M181" s="146"/>
      <c r="N181" s="146"/>
      <c r="O181" s="155"/>
      <c r="P181" s="150">
        <v>0</v>
      </c>
      <c r="Q181" s="83"/>
      <c r="R181" s="83"/>
      <c r="S181" s="83"/>
      <c r="T181" s="83"/>
      <c r="U181" s="83"/>
      <c r="V181" s="83"/>
      <c r="W181" s="83"/>
      <c r="X181" s="83" t="s">
        <v>302</v>
      </c>
    </row>
    <row r="182" spans="1:24" x14ac:dyDescent="0.25">
      <c r="A182" s="82" t="s">
        <v>380</v>
      </c>
      <c r="B182" s="83" t="s">
        <v>382</v>
      </c>
      <c r="C182" s="82" t="s">
        <v>415</v>
      </c>
      <c r="D182" s="84">
        <f t="shared" ref="D182:D187" si="70">E182</f>
        <v>800</v>
      </c>
      <c r="E182" s="128">
        <f t="shared" si="69"/>
        <v>800</v>
      </c>
      <c r="F182" s="86" t="s">
        <v>366</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388</v>
      </c>
      <c r="B183" s="83" t="s">
        <v>387</v>
      </c>
      <c r="C183" s="82" t="s">
        <v>414</v>
      </c>
      <c r="D183" s="84">
        <f t="shared" si="70"/>
        <v>90</v>
      </c>
      <c r="E183" s="128">
        <f t="shared" si="69"/>
        <v>90</v>
      </c>
      <c r="F183" s="86" t="s">
        <v>366</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532</v>
      </c>
      <c r="B184" s="83" t="s">
        <v>384</v>
      </c>
      <c r="C184" s="82" t="s">
        <v>413</v>
      </c>
      <c r="D184" s="84">
        <f t="shared" si="70"/>
        <v>60</v>
      </c>
      <c r="E184" s="128">
        <f t="shared" si="69"/>
        <v>60</v>
      </c>
      <c r="F184" s="86" t="s">
        <v>366</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533</v>
      </c>
      <c r="B185" s="83" t="s">
        <v>386</v>
      </c>
      <c r="C185" s="82" t="s">
        <v>412</v>
      </c>
      <c r="D185" s="84">
        <f t="shared" si="70"/>
        <v>40</v>
      </c>
      <c r="E185" s="128">
        <f t="shared" si="69"/>
        <v>40</v>
      </c>
      <c r="F185" s="86" t="s">
        <v>366</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270</v>
      </c>
    </row>
    <row r="186" spans="1:24" x14ac:dyDescent="0.25">
      <c r="A186" s="82" t="s">
        <v>534</v>
      </c>
      <c r="B186" s="83" t="s">
        <v>385</v>
      </c>
      <c r="C186" s="82" t="s">
        <v>411</v>
      </c>
      <c r="D186" s="84">
        <f t="shared" si="70"/>
        <v>20</v>
      </c>
      <c r="E186" s="128">
        <f t="shared" si="69"/>
        <v>20</v>
      </c>
      <c r="F186" s="86" t="s">
        <v>366</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381</v>
      </c>
      <c r="B187" s="83" t="s">
        <v>383</v>
      </c>
      <c r="C187" s="82" t="s">
        <v>410</v>
      </c>
      <c r="D187" s="84">
        <f t="shared" si="70"/>
        <v>140</v>
      </c>
      <c r="E187" s="128">
        <f t="shared" si="69"/>
        <v>140</v>
      </c>
      <c r="F187" s="86" t="s">
        <v>366</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269</v>
      </c>
    </row>
    <row r="188" spans="1:24" x14ac:dyDescent="0.25">
      <c r="A188" s="94" t="s">
        <v>329</v>
      </c>
      <c r="B188" s="95" t="s">
        <v>362</v>
      </c>
      <c r="C188" s="94" t="s">
        <v>409</v>
      </c>
      <c r="D188" s="84">
        <f>IF(E188&lt;20, ROUNDUP(E188/0.3,0), ROUNDUP(E188/0.3,-1))</f>
        <v>270</v>
      </c>
      <c r="E188" s="128">
        <f t="shared" si="69"/>
        <v>80</v>
      </c>
      <c r="F188" s="86" t="s">
        <v>366</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301</v>
      </c>
    </row>
    <row r="189" spans="1:24" ht="30" x14ac:dyDescent="0.25">
      <c r="A189" s="82" t="s">
        <v>947</v>
      </c>
      <c r="B189" s="83" t="s">
        <v>806</v>
      </c>
      <c r="C189" s="82" t="s">
        <v>808</v>
      </c>
      <c r="D189" s="84">
        <f>D$127+D$116+D$75+D$164</f>
        <v>4890</v>
      </c>
      <c r="E189" s="128">
        <f>E$127+E$116+E$75+E$164</f>
        <v>2173.7735294117647</v>
      </c>
      <c r="F189" s="86" t="s">
        <v>365</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948</v>
      </c>
      <c r="B190" s="83" t="s">
        <v>805</v>
      </c>
      <c r="C190" s="82" t="s">
        <v>807</v>
      </c>
      <c r="D190" s="84">
        <f>D$127+D$116+D$97+D$164</f>
        <v>4740</v>
      </c>
      <c r="E190" s="128">
        <f>E$127+E$116+E$97+E$164</f>
        <v>2086.1568627450979</v>
      </c>
      <c r="F190" s="86" t="s">
        <v>365</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1011</v>
      </c>
      <c r="B191" s="129" t="s">
        <v>1005</v>
      </c>
      <c r="C191" s="129" t="s">
        <v>1007</v>
      </c>
      <c r="D191" s="84">
        <f>D$108+D$133+D$129+D$67+D$102+D$140+D$42+D$138+D$41+D$44+D$49+D$137+D$98+D$164+D$147*2+D$159+D$184*4+D$30+D$182+D$31</f>
        <v>45480</v>
      </c>
      <c r="E191" s="128">
        <f>E$108+E$133+E$129+E$67+E$102+E$140+E$42+E$138+E$41+E$44+E$49+E$98+E$164+E$147*2+E$159+E$184*4+E$30+E$182+E28</f>
        <v>21219.125228758166</v>
      </c>
      <c r="F191" s="86" t="s">
        <v>365</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1013</v>
      </c>
      <c r="B192" s="129" t="s">
        <v>789</v>
      </c>
      <c r="C192" s="129" t="s">
        <v>1003</v>
      </c>
      <c r="D192" s="128">
        <f>D$108+D$133+D$129+D$67+D$102+D$140+D$42+D$138+D$41+D$44+D$49+D$98+D$164+D$147*2+D$159+D$184*4</f>
        <v>37750</v>
      </c>
      <c r="E192" s="128">
        <f>E$108+E$133+E$129+E$67+E$102+E$140+E$42+E$138+E$41+E$44+E$49+E$98+E$164+E$147*2+E$159+E$184*4</f>
        <v>17016.340915032677</v>
      </c>
      <c r="F192" s="86" t="s">
        <v>365</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1010</v>
      </c>
      <c r="B193" s="129" t="s">
        <v>1004</v>
      </c>
      <c r="C193" s="129" t="s">
        <v>1006</v>
      </c>
      <c r="D193" s="84">
        <f>D$109+D$133+D$129+D$67+D$102+D$140+D$42+D$138+D$41+D$44+D$49+D$137+D$98+D$164+D$147*2+D$159+D$184*4+D$30+D$182+D29</f>
        <v>41480</v>
      </c>
      <c r="E193" s="84">
        <f>E$109+E$133+E$129+E$67+E$102+E$140+E$42+E$138+E$41+E$44+E$49+E$137+E$98+E$164+E$147*2+E$159+E$184*4+E$30+E$182+E29</f>
        <v>19228.811503267971</v>
      </c>
      <c r="F193" s="86" t="s">
        <v>365</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1012</v>
      </c>
      <c r="B194" s="129" t="s">
        <v>788</v>
      </c>
      <c r="C194" s="129" t="s">
        <v>1002</v>
      </c>
      <c r="D194" s="84">
        <f>D$109+D$133+D$129+D$67+D$102+D$140+D$42+D$138+D$41+D$44+D$49+D$137+D$98+D$164+D$147*2+D$159+D$184*4</f>
        <v>34650</v>
      </c>
      <c r="E194" s="128">
        <f>E$109+E$133+E$129+E$67+E$102+E$140+E$42+E$138+E$41+E$44+E$49+E$98+E$164+E$147*2+E$159+E$184*4</f>
        <v>14866.340915032677</v>
      </c>
      <c r="F194" s="86" t="s">
        <v>365</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996</v>
      </c>
      <c r="B195" s="129" t="s">
        <v>787</v>
      </c>
      <c r="C195" s="129" t="s">
        <v>997</v>
      </c>
      <c r="D195" s="84">
        <f>D$120+D$133+D$129+D$67+D$102+D$140+D$42+D$138+D$41+D$44+D$49+D$137+D$98+D$164+D$147*2+D$159+D$184*4</f>
        <v>29170</v>
      </c>
      <c r="E195" s="128">
        <f>E$120+E$133+E$129+E$67+E$102+E$140+E$42+E$138+E$41+E$44+E$49+E$98+E$164+E$147*2+E$159+E$184*4</f>
        <v>11440.118692810456</v>
      </c>
      <c r="F195" s="86" t="s">
        <v>365</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1024</v>
      </c>
      <c r="B196" s="83" t="s">
        <v>1032</v>
      </c>
      <c r="C196" s="82" t="s">
        <v>953</v>
      </c>
      <c r="D196" s="84">
        <f>D$129+D$76+D$110+D$98+D$137+D$164</f>
        <v>9390</v>
      </c>
      <c r="E196" s="128">
        <f>E$129+E$76+E$110+E$98+E$137+E$164</f>
        <v>4425.9303921568626</v>
      </c>
      <c r="F196" s="86" t="s">
        <v>365</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963</v>
      </c>
      <c r="B197" s="83" t="s">
        <v>1031</v>
      </c>
      <c r="C197" s="82" t="s">
        <v>955</v>
      </c>
      <c r="D197" s="84">
        <f>D$129+D$76+D$110+D$98+D$137+D$164+D$30</f>
        <v>15240</v>
      </c>
      <c r="E197" s="128">
        <f>E$129+E$76+E$110+E$98+E$137+E$164+E$30</f>
        <v>7788.4009803921563</v>
      </c>
      <c r="F197" s="86" t="s">
        <v>365</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959</v>
      </c>
      <c r="B198" s="83" t="s">
        <v>1033</v>
      </c>
      <c r="C198" s="82" t="s">
        <v>1462</v>
      </c>
      <c r="D198" s="84">
        <f>D$129+D$76+D$113+D$98+D$137+D$164</f>
        <v>7490</v>
      </c>
      <c r="E198" s="128">
        <f>E$129+E$76+E$113+E$98+E$137+E$164</f>
        <v>3235.9303921568626</v>
      </c>
      <c r="F198" s="86" t="s">
        <v>365</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1025</v>
      </c>
      <c r="B199" s="83" t="s">
        <v>1034</v>
      </c>
      <c r="C199" s="82" t="s">
        <v>1026</v>
      </c>
      <c r="D199" s="84">
        <f>D$129+D$76+D$117+D$98+D$137+D$164</f>
        <v>6330</v>
      </c>
      <c r="E199" s="128">
        <f>E$129+E$76+E$117+E$98+E$137+E$164</f>
        <v>2515.9303921568626</v>
      </c>
      <c r="F199" s="86" t="s">
        <v>365</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1504</v>
      </c>
      <c r="B200" s="83" t="s">
        <v>1506</v>
      </c>
      <c r="C200" s="82" t="s">
        <v>1505</v>
      </c>
      <c r="D200" s="84">
        <f>D$129+D$76+D$117+D$98+D$137+D$164</f>
        <v>6330</v>
      </c>
      <c r="E200" s="128">
        <f>E$129+E$76+E$117+E$98+E$137+E$164</f>
        <v>2515.9303921568626</v>
      </c>
      <c r="F200" s="86" t="s">
        <v>365</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1925</v>
      </c>
      <c r="M200" s="146"/>
      <c r="N200" s="146"/>
      <c r="O200" s="155"/>
      <c r="P200" s="150">
        <f>800+700+50+400</f>
        <v>1950</v>
      </c>
      <c r="Q200" s="48"/>
      <c r="R200" s="88"/>
      <c r="S200" s="88"/>
      <c r="T200" s="48"/>
      <c r="U200" s="48"/>
      <c r="V200" s="48"/>
      <c r="W200" s="83"/>
      <c r="X200" s="83"/>
    </row>
    <row r="201" spans="1:24" ht="30" x14ac:dyDescent="0.25">
      <c r="A201" s="82" t="s">
        <v>961</v>
      </c>
      <c r="B201" s="83" t="s">
        <v>1035</v>
      </c>
      <c r="C201" s="82" t="s">
        <v>954</v>
      </c>
      <c r="D201" s="84">
        <f>D$129+D$76+D$119+D$98+D$137+D$164</f>
        <v>6700</v>
      </c>
      <c r="E201" s="128">
        <f>E$129+E$76+E$119+E$98+E$137+E$164</f>
        <v>2746.9892156862743</v>
      </c>
      <c r="F201" s="86" t="s">
        <v>365</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964</v>
      </c>
      <c r="B202" s="83" t="s">
        <v>720</v>
      </c>
      <c r="C202" s="82" t="s">
        <v>1030</v>
      </c>
      <c r="D202" s="84">
        <f>D$129+D$96+D$110+D$98+D$137+D$164</f>
        <v>8810</v>
      </c>
      <c r="E202" s="128">
        <f>E$129+E$96+E$110+E$98+E$137+E$164</f>
        <v>4093.3137254901958</v>
      </c>
      <c r="F202" s="86" t="s">
        <v>365</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1036</v>
      </c>
      <c r="B203" s="83" t="s">
        <v>1037</v>
      </c>
      <c r="C203" s="82" t="s">
        <v>1038</v>
      </c>
      <c r="D203" s="84">
        <f>D$129+D$96+D$113+D$98+D$137+D$164</f>
        <v>6910</v>
      </c>
      <c r="E203" s="128">
        <f>E$129+E$96+E$113+E$98+E$137+E$164</f>
        <v>2903.3137254901958</v>
      </c>
      <c r="F203" s="86" t="s">
        <v>365</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1039</v>
      </c>
      <c r="B204" s="83" t="s">
        <v>1040</v>
      </c>
      <c r="C204" s="82" t="s">
        <v>1041</v>
      </c>
      <c r="D204" s="84">
        <f>D$129+D$96+D$117+D$98+D$137+D$164</f>
        <v>5750</v>
      </c>
      <c r="E204" s="128">
        <f>E$129+E$96+E$117+E$98+E$137+E$164</f>
        <v>2183.3137254901958</v>
      </c>
      <c r="F204" s="86" t="s">
        <v>365</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1507</v>
      </c>
      <c r="B205" s="83" t="s">
        <v>1508</v>
      </c>
      <c r="C205" s="82" t="s">
        <v>1509</v>
      </c>
      <c r="D205" s="84">
        <f>D$129+D$76+D$117+D$98+D$137+D$164</f>
        <v>6330</v>
      </c>
      <c r="E205" s="128">
        <f>E$129+E$76+E$117+E$98+E$137+E$164</f>
        <v>2515.9303921568626</v>
      </c>
      <c r="F205" s="86" t="s">
        <v>365</v>
      </c>
      <c r="G205" s="102">
        <f>_xlfn.IFNA(VLOOKUP(B205,'NY Sole Source'!A:B,2,FALSE), D205*0.9)</f>
        <v>5697</v>
      </c>
      <c r="H205" s="102"/>
      <c r="I205" s="106"/>
      <c r="J205" s="106"/>
      <c r="K205" s="102">
        <v>3490</v>
      </c>
      <c r="L205" s="146" t="s">
        <v>1923</v>
      </c>
      <c r="M205" s="146"/>
      <c r="N205" s="146"/>
      <c r="O205" s="155"/>
      <c r="P205" s="150">
        <f>900+700+50+400+150</f>
        <v>2200</v>
      </c>
      <c r="Q205" s="48"/>
      <c r="R205" s="88"/>
      <c r="S205" s="88"/>
      <c r="T205" s="48"/>
      <c r="U205" s="48"/>
      <c r="V205" s="48"/>
      <c r="W205" s="83"/>
      <c r="X205" s="83"/>
    </row>
    <row r="206" spans="1:24" ht="120" x14ac:dyDescent="0.25">
      <c r="A206" s="82" t="s">
        <v>1014</v>
      </c>
      <c r="B206" s="129" t="s">
        <v>1017</v>
      </c>
      <c r="C206" s="129" t="s">
        <v>1015</v>
      </c>
      <c r="D206" s="84">
        <f>D$108+D$133+D$67+D$102+D$140+D$42+D$41+D$44+D$164+D$30+D$182</f>
        <v>30220</v>
      </c>
      <c r="E206" s="128">
        <f>E$108+E$133+E$129+E$67+E$102+E$140+E$42+E$41+E$44+E$164+E$30+E$182</f>
        <v>17493.831111111111</v>
      </c>
      <c r="F206" s="86" t="s">
        <v>365</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1021</v>
      </c>
      <c r="B207" s="129" t="s">
        <v>1022</v>
      </c>
      <c r="C207" s="129" t="s">
        <v>1023</v>
      </c>
      <c r="D207" s="84">
        <f>D$108+D$133+D$67+D$102+D$140+D$42+D59+D$41+D$44+D$164</f>
        <v>23680</v>
      </c>
      <c r="E207" s="128">
        <f>E$108+E$133+E$67+E$102+E$140+E$42+E59+E$41+E$44+E$164</f>
        <v>12590.360522875815</v>
      </c>
      <c r="F207" s="86" t="s">
        <v>365</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1008</v>
      </c>
      <c r="B208" s="129" t="s">
        <v>1016</v>
      </c>
      <c r="C208" s="129" t="s">
        <v>1009</v>
      </c>
      <c r="D208" s="84">
        <f>D$109+D$133+D$67+D$102+D$140+D$42+D$41+D$44+D$164+D$30+D$182</f>
        <v>26780</v>
      </c>
      <c r="E208" s="128">
        <f>E$109+E$133+E$129+E$67+E$102+E$140+E$42+E$41+E$44+E$164+E$30+E$182</f>
        <v>15343.831111111109</v>
      </c>
      <c r="F208" s="86" t="s">
        <v>365</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1018</v>
      </c>
      <c r="B209" s="129" t="s">
        <v>1019</v>
      </c>
      <c r="C209" s="129" t="s">
        <v>1020</v>
      </c>
      <c r="D209" s="84">
        <f>D$109+D$133+D$67+D$102+D$140+D$42+D61+D$41+D$44+D$164</f>
        <v>20590</v>
      </c>
      <c r="E209" s="128">
        <f>E$109+E$133+E$67+E$102+E$140+E$42+E61+E$41+E$44+E$164</f>
        <v>10641.831111111109</v>
      </c>
      <c r="F209" s="86" t="s">
        <v>365</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945</v>
      </c>
      <c r="B210" s="83" t="s">
        <v>855</v>
      </c>
      <c r="C210" s="129" t="s">
        <v>809</v>
      </c>
      <c r="D210" s="84">
        <f>D$133+D$118+D$139</f>
        <v>9630</v>
      </c>
      <c r="E210" s="128">
        <f>E$133+E$118+E$139</f>
        <v>4443.0294117647063</v>
      </c>
      <c r="F210" s="86" t="s">
        <v>366</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949</v>
      </c>
      <c r="B211" s="83" t="s">
        <v>722</v>
      </c>
      <c r="C211" s="82" t="s">
        <v>407</v>
      </c>
      <c r="D211" s="84">
        <f>D$127+D$76+D$110+D$98+D$137+D$164</f>
        <v>8060</v>
      </c>
      <c r="E211" s="128">
        <f>E$127+E$76+E$110+E$98+E$137+E$164</f>
        <v>4025.9303921568626</v>
      </c>
      <c r="F211" s="86" t="s">
        <v>365</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950</v>
      </c>
      <c r="B212" s="83" t="s">
        <v>724</v>
      </c>
      <c r="C212" s="82" t="s">
        <v>407</v>
      </c>
      <c r="D212" s="84">
        <f>D$127+D$97+D$110+D$98+D$137+D$164</f>
        <v>7740</v>
      </c>
      <c r="E212" s="128">
        <f>E$127+E$97+E$110+E$98+E$137+E$164</f>
        <v>3838.3137254901958</v>
      </c>
      <c r="F212" s="86" t="s">
        <v>365</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729</v>
      </c>
      <c r="B213" s="108" t="s">
        <v>727</v>
      </c>
      <c r="C213" s="107" t="s">
        <v>728</v>
      </c>
      <c r="D213" s="84">
        <f>IF(E213&lt;20, ROUNDUP(E213/0.3,0), ROUNDUP(E213/0.3,-1))</f>
        <v>2</v>
      </c>
      <c r="E213" s="128">
        <f>P213+Q213+T213+V213</f>
        <v>0.5</v>
      </c>
      <c r="F213" s="86" t="s">
        <v>366</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1924</v>
      </c>
      <c r="M213" s="146"/>
      <c r="N213" s="146"/>
      <c r="O213" s="155"/>
      <c r="P213" s="150">
        <v>0.5</v>
      </c>
      <c r="Q213" s="83"/>
      <c r="R213" s="83"/>
      <c r="S213" s="83"/>
      <c r="T213" s="83"/>
      <c r="U213" s="83"/>
      <c r="V213" s="83"/>
      <c r="W213" s="83"/>
      <c r="X213" s="83" t="s">
        <v>277</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sheetProtection algorithmName="SHA-512" hashValue="6OPRpFRqH4Gkyga6OyWpmrcl4KScgzDXLFIDw+6eqx8jXvOvxEK24YSmYHeEj+J9c5NXuM8Lz0nKOfn+mUptFg==" saltValue="BrKnqyEn9PWeAb20HMRciA==" spinCount="100000" sheet="1" objects="1" scenarios="1"/>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123</v>
      </c>
      <c r="B1" t="s">
        <v>1921</v>
      </c>
    </row>
    <row r="2" spans="1:2" x14ac:dyDescent="0.25">
      <c r="A2" t="s">
        <v>845</v>
      </c>
      <c r="B2">
        <v>957.60000000000014</v>
      </c>
    </row>
    <row r="3" spans="1:2" x14ac:dyDescent="0.25">
      <c r="A3" t="s">
        <v>844</v>
      </c>
      <c r="B3">
        <v>1702.4</v>
      </c>
    </row>
    <row r="4" spans="1:2" x14ac:dyDescent="0.25">
      <c r="A4" t="s">
        <v>846</v>
      </c>
      <c r="B4">
        <v>397.6</v>
      </c>
    </row>
    <row r="5" spans="1:2" x14ac:dyDescent="0.25">
      <c r="A5" t="s">
        <v>854</v>
      </c>
      <c r="B5">
        <v>7011.2000000000007</v>
      </c>
    </row>
    <row r="6" spans="1:2" x14ac:dyDescent="0.25">
      <c r="A6" t="s">
        <v>1461</v>
      </c>
      <c r="B6">
        <v>3740.8</v>
      </c>
    </row>
    <row r="7" spans="1:2" x14ac:dyDescent="0.25">
      <c r="A7" t="s">
        <v>853</v>
      </c>
      <c r="B7">
        <v>70011.200000000012</v>
      </c>
    </row>
    <row r="8" spans="1:2" x14ac:dyDescent="0.25">
      <c r="A8" t="s">
        <v>852</v>
      </c>
      <c r="B8">
        <v>39681.600000000006</v>
      </c>
    </row>
    <row r="9" spans="1:2" x14ac:dyDescent="0.25">
      <c r="A9" t="s">
        <v>848</v>
      </c>
      <c r="B9">
        <v>9172.7999999999993</v>
      </c>
    </row>
    <row r="10" spans="1:2" x14ac:dyDescent="0.25">
      <c r="A10" t="s">
        <v>849</v>
      </c>
      <c r="B10">
        <v>14957.600000000002</v>
      </c>
    </row>
    <row r="11" spans="1:2" x14ac:dyDescent="0.25">
      <c r="A11" t="s">
        <v>851</v>
      </c>
      <c r="B11">
        <v>23346.400000000001</v>
      </c>
    </row>
    <row r="12" spans="1:2" x14ac:dyDescent="0.25">
      <c r="A12" t="s">
        <v>847</v>
      </c>
      <c r="B12">
        <v>2822.4</v>
      </c>
    </row>
    <row r="13" spans="1:2" x14ac:dyDescent="0.25">
      <c r="A13" t="s">
        <v>850</v>
      </c>
      <c r="B13">
        <v>14011.2</v>
      </c>
    </row>
    <row r="14" spans="1:2" x14ac:dyDescent="0.25">
      <c r="A14" t="s">
        <v>349</v>
      </c>
      <c r="B14">
        <v>79</v>
      </c>
    </row>
    <row r="15" spans="1:2" x14ac:dyDescent="0.25">
      <c r="A15" t="s">
        <v>186</v>
      </c>
      <c r="B15">
        <v>221.2</v>
      </c>
    </row>
    <row r="16" spans="1:2" x14ac:dyDescent="0.25">
      <c r="A16" t="s">
        <v>187</v>
      </c>
      <c r="B16">
        <v>426.6</v>
      </c>
    </row>
    <row r="17" spans="1:2" x14ac:dyDescent="0.25">
      <c r="A17" t="s">
        <v>518</v>
      </c>
      <c r="B17">
        <v>197.5</v>
      </c>
    </row>
    <row r="18" spans="1:2" x14ac:dyDescent="0.25">
      <c r="A18" t="s">
        <v>151</v>
      </c>
      <c r="B18">
        <v>3276.0000000000005</v>
      </c>
    </row>
    <row r="19" spans="1:2" x14ac:dyDescent="0.25">
      <c r="A19" t="s">
        <v>149</v>
      </c>
      <c r="B19">
        <v>414.4</v>
      </c>
    </row>
    <row r="20" spans="1:2" x14ac:dyDescent="0.25">
      <c r="A20" t="s">
        <v>157</v>
      </c>
      <c r="B20">
        <v>663.6</v>
      </c>
    </row>
    <row r="21" spans="1:2" x14ac:dyDescent="0.25">
      <c r="A21" t="s">
        <v>1567</v>
      </c>
      <c r="B21">
        <v>71.099999999999994</v>
      </c>
    </row>
    <row r="22" spans="1:2" x14ac:dyDescent="0.25">
      <c r="A22" t="s">
        <v>160</v>
      </c>
      <c r="B22">
        <v>671.5</v>
      </c>
    </row>
    <row r="23" spans="1:2" x14ac:dyDescent="0.25">
      <c r="A23" t="s">
        <v>158</v>
      </c>
      <c r="B23">
        <v>292.3</v>
      </c>
    </row>
    <row r="24" spans="1:2" x14ac:dyDescent="0.25">
      <c r="A24" t="s">
        <v>682</v>
      </c>
      <c r="B24">
        <v>1011.2</v>
      </c>
    </row>
    <row r="25" spans="1:2" x14ac:dyDescent="0.25">
      <c r="A25" t="s">
        <v>683</v>
      </c>
      <c r="B25">
        <v>2038.2</v>
      </c>
    </row>
    <row r="26" spans="1:2" x14ac:dyDescent="0.25">
      <c r="A26" t="s">
        <v>493</v>
      </c>
      <c r="B26">
        <v>189.60000000000002</v>
      </c>
    </row>
    <row r="27" spans="1:2" x14ac:dyDescent="0.25">
      <c r="A27" t="s">
        <v>492</v>
      </c>
      <c r="B27">
        <v>1406.2</v>
      </c>
    </row>
    <row r="28" spans="1:2" x14ac:dyDescent="0.25">
      <c r="A28" t="s">
        <v>496</v>
      </c>
      <c r="B28">
        <v>718.9</v>
      </c>
    </row>
    <row r="29" spans="1:2" x14ac:dyDescent="0.25">
      <c r="A29" t="s">
        <v>494</v>
      </c>
      <c r="B29">
        <v>229.10000000000002</v>
      </c>
    </row>
    <row r="30" spans="1:2" x14ac:dyDescent="0.25">
      <c r="A30" t="s">
        <v>495</v>
      </c>
      <c r="B30">
        <v>576.70000000000005</v>
      </c>
    </row>
    <row r="31" spans="1:2" x14ac:dyDescent="0.25">
      <c r="A31" t="s">
        <v>1475</v>
      </c>
      <c r="B31">
        <v>718.9</v>
      </c>
    </row>
    <row r="32" spans="1:2" x14ac:dyDescent="0.25">
      <c r="A32" t="s">
        <v>1481</v>
      </c>
      <c r="B32">
        <v>221.2</v>
      </c>
    </row>
    <row r="33" spans="1:2" x14ac:dyDescent="0.25">
      <c r="A33" t="s">
        <v>1487</v>
      </c>
      <c r="B33">
        <v>363.4</v>
      </c>
    </row>
    <row r="34" spans="1:2" x14ac:dyDescent="0.25">
      <c r="A34" t="s">
        <v>1491</v>
      </c>
      <c r="B34">
        <v>924.3</v>
      </c>
    </row>
    <row r="35" spans="1:2" x14ac:dyDescent="0.25">
      <c r="A35" t="s">
        <v>782</v>
      </c>
      <c r="B35">
        <v>1532.6</v>
      </c>
    </row>
    <row r="36" spans="1:2" x14ac:dyDescent="0.25">
      <c r="A36" t="s">
        <v>167</v>
      </c>
      <c r="B36">
        <v>1398.3</v>
      </c>
    </row>
    <row r="37" spans="1:2" x14ac:dyDescent="0.25">
      <c r="A37" t="s">
        <v>778</v>
      </c>
      <c r="B37">
        <v>1192.9000000000001</v>
      </c>
    </row>
    <row r="38" spans="1:2" x14ac:dyDescent="0.25">
      <c r="A38" t="s">
        <v>169</v>
      </c>
      <c r="B38">
        <v>1050.7</v>
      </c>
    </row>
    <row r="39" spans="1:2" x14ac:dyDescent="0.25">
      <c r="A39" t="s">
        <v>700</v>
      </c>
      <c r="B39">
        <v>1050.7</v>
      </c>
    </row>
    <row r="40" spans="1:2" x14ac:dyDescent="0.25">
      <c r="A40" t="s">
        <v>171</v>
      </c>
      <c r="B40">
        <v>916.40000000000009</v>
      </c>
    </row>
    <row r="41" spans="1:2" x14ac:dyDescent="0.25">
      <c r="A41" t="s">
        <v>1469</v>
      </c>
      <c r="B41">
        <v>402.9</v>
      </c>
    </row>
    <row r="42" spans="1:2" x14ac:dyDescent="0.25">
      <c r="A42" t="s">
        <v>1470</v>
      </c>
      <c r="B42">
        <v>1113.9000000000001</v>
      </c>
    </row>
    <row r="43" spans="1:2" x14ac:dyDescent="0.25">
      <c r="A43" t="s">
        <v>197</v>
      </c>
      <c r="B43">
        <v>142.19999999999999</v>
      </c>
    </row>
    <row r="44" spans="1:2" x14ac:dyDescent="0.25">
      <c r="A44" t="s">
        <v>710</v>
      </c>
      <c r="B44">
        <v>126.4</v>
      </c>
    </row>
    <row r="45" spans="1:2" x14ac:dyDescent="0.25">
      <c r="A45" t="s">
        <v>711</v>
      </c>
      <c r="B45">
        <v>126.4</v>
      </c>
    </row>
    <row r="46" spans="1:2" x14ac:dyDescent="0.25">
      <c r="A46" t="s">
        <v>1445</v>
      </c>
      <c r="B46">
        <v>173.8</v>
      </c>
    </row>
    <row r="47" spans="1:2" x14ac:dyDescent="0.25">
      <c r="A47" t="s">
        <v>173</v>
      </c>
      <c r="B47">
        <v>1422</v>
      </c>
    </row>
    <row r="48" spans="1:2" x14ac:dyDescent="0.25">
      <c r="A48" t="s">
        <v>175</v>
      </c>
      <c r="B48">
        <v>1003.3</v>
      </c>
    </row>
    <row r="49" spans="1:2" x14ac:dyDescent="0.25">
      <c r="A49" t="s">
        <v>178</v>
      </c>
      <c r="B49">
        <v>2788.7</v>
      </c>
    </row>
    <row r="50" spans="1:2" x14ac:dyDescent="0.25">
      <c r="A50" t="s">
        <v>179</v>
      </c>
      <c r="B50">
        <v>1824.9</v>
      </c>
    </row>
    <row r="51" spans="1:2" x14ac:dyDescent="0.25">
      <c r="A51" t="s">
        <v>177</v>
      </c>
      <c r="B51">
        <v>797.90000000000009</v>
      </c>
    </row>
    <row r="52" spans="1:2" x14ac:dyDescent="0.25">
      <c r="A52" t="s">
        <v>198</v>
      </c>
      <c r="B52">
        <v>102.7</v>
      </c>
    </row>
    <row r="53" spans="1:2" x14ac:dyDescent="0.25">
      <c r="A53" t="s">
        <v>182</v>
      </c>
      <c r="B53">
        <v>189.60000000000002</v>
      </c>
    </row>
    <row r="54" spans="1:2" x14ac:dyDescent="0.25">
      <c r="A54" t="s">
        <v>185</v>
      </c>
      <c r="B54">
        <v>426.6</v>
      </c>
    </row>
    <row r="55" spans="1:2" x14ac:dyDescent="0.25">
      <c r="A55" t="s">
        <v>183</v>
      </c>
      <c r="B55">
        <v>252.8</v>
      </c>
    </row>
    <row r="56" spans="1:2" x14ac:dyDescent="0.25">
      <c r="A56" t="s">
        <v>184</v>
      </c>
      <c r="B56">
        <v>505.6</v>
      </c>
    </row>
    <row r="57" spans="1:2" x14ac:dyDescent="0.25">
      <c r="A57" t="s">
        <v>520</v>
      </c>
      <c r="B57">
        <v>948</v>
      </c>
    </row>
    <row r="58" spans="1:2" x14ac:dyDescent="0.25">
      <c r="A58" t="s">
        <v>813</v>
      </c>
      <c r="B58">
        <v>3681.4</v>
      </c>
    </row>
    <row r="59" spans="1:2" x14ac:dyDescent="0.25">
      <c r="A59" t="s">
        <v>519</v>
      </c>
      <c r="B59">
        <v>711</v>
      </c>
    </row>
    <row r="60" spans="1:2" x14ac:dyDescent="0.25">
      <c r="A60" t="s">
        <v>521</v>
      </c>
      <c r="B60">
        <v>948</v>
      </c>
    </row>
    <row r="61" spans="1:2" x14ac:dyDescent="0.25">
      <c r="A61" t="s">
        <v>375</v>
      </c>
      <c r="B61">
        <v>10988.9</v>
      </c>
    </row>
    <row r="62" spans="1:2" x14ac:dyDescent="0.25">
      <c r="A62" t="s">
        <v>208</v>
      </c>
      <c r="B62">
        <v>3278.5</v>
      </c>
    </row>
    <row r="63" spans="1:2" x14ac:dyDescent="0.25">
      <c r="A63" t="s">
        <v>1474</v>
      </c>
      <c r="B63">
        <v>3551.05</v>
      </c>
    </row>
    <row r="64" spans="1:2" x14ac:dyDescent="0.25">
      <c r="A64" t="s">
        <v>376</v>
      </c>
      <c r="B64">
        <v>8271.2999999999993</v>
      </c>
    </row>
    <row r="65" spans="1:2" x14ac:dyDescent="0.25">
      <c r="A65" t="s">
        <v>207</v>
      </c>
      <c r="B65">
        <v>102.7</v>
      </c>
    </row>
    <row r="66" spans="1:2" x14ac:dyDescent="0.25">
      <c r="A66" t="s">
        <v>801</v>
      </c>
      <c r="B66">
        <v>837.40000000000009</v>
      </c>
    </row>
    <row r="67" spans="1:2" x14ac:dyDescent="0.25">
      <c r="A67" t="s">
        <v>1028</v>
      </c>
      <c r="B67">
        <v>1023.0500000000001</v>
      </c>
    </row>
    <row r="68" spans="1:2" x14ac:dyDescent="0.25">
      <c r="A68" t="s">
        <v>205</v>
      </c>
      <c r="B68">
        <v>1576.0500000000002</v>
      </c>
    </row>
    <row r="69" spans="1:2" x14ac:dyDescent="0.25">
      <c r="A69" t="s">
        <v>1466</v>
      </c>
      <c r="B69">
        <v>1738</v>
      </c>
    </row>
    <row r="70" spans="1:2" x14ac:dyDescent="0.25">
      <c r="A70" t="s">
        <v>211</v>
      </c>
      <c r="B70">
        <v>3942.1000000000004</v>
      </c>
    </row>
    <row r="71" spans="1:2" x14ac:dyDescent="0.25">
      <c r="A71" t="s">
        <v>818</v>
      </c>
      <c r="B71">
        <v>545.1</v>
      </c>
    </row>
    <row r="72" spans="1:2" x14ac:dyDescent="0.25">
      <c r="A72" t="s">
        <v>512</v>
      </c>
      <c r="B72">
        <v>6888.8</v>
      </c>
    </row>
    <row r="73" spans="1:2" x14ac:dyDescent="0.25">
      <c r="A73" t="s">
        <v>267</v>
      </c>
      <c r="B73">
        <v>20626.900000000001</v>
      </c>
    </row>
    <row r="74" spans="1:2" x14ac:dyDescent="0.25">
      <c r="A74" t="s">
        <v>212</v>
      </c>
      <c r="B74">
        <v>13761.8</v>
      </c>
    </row>
    <row r="75" spans="1:2" x14ac:dyDescent="0.25">
      <c r="A75" t="s">
        <v>268</v>
      </c>
      <c r="B75">
        <v>9638</v>
      </c>
    </row>
    <row r="76" spans="1:2" x14ac:dyDescent="0.25">
      <c r="A76" t="s">
        <v>191</v>
      </c>
      <c r="B76">
        <v>481.9</v>
      </c>
    </row>
    <row r="77" spans="1:2" x14ac:dyDescent="0.25">
      <c r="A77" t="s">
        <v>654</v>
      </c>
      <c r="B77">
        <v>750.40000000000009</v>
      </c>
    </row>
    <row r="78" spans="1:2" x14ac:dyDescent="0.25">
      <c r="A78" t="s">
        <v>650</v>
      </c>
      <c r="B78">
        <v>1495.2</v>
      </c>
    </row>
    <row r="79" spans="1:2" x14ac:dyDescent="0.25">
      <c r="A79" t="s">
        <v>825</v>
      </c>
      <c r="B79">
        <v>280</v>
      </c>
    </row>
    <row r="80" spans="1:2" x14ac:dyDescent="0.25">
      <c r="A80" t="s">
        <v>320</v>
      </c>
      <c r="B80">
        <v>750.40000000000009</v>
      </c>
    </row>
    <row r="81" spans="1:2" x14ac:dyDescent="0.25">
      <c r="A81" t="s">
        <v>651</v>
      </c>
      <c r="B81">
        <v>2240</v>
      </c>
    </row>
    <row r="82" spans="1:2" x14ac:dyDescent="0.25">
      <c r="A82" t="s">
        <v>830</v>
      </c>
      <c r="B82">
        <v>3735.2000000000003</v>
      </c>
    </row>
    <row r="83" spans="1:2" x14ac:dyDescent="0.25">
      <c r="A83" t="s">
        <v>990</v>
      </c>
      <c r="B83">
        <v>1400.0000000000002</v>
      </c>
    </row>
    <row r="84" spans="1:2" x14ac:dyDescent="0.25">
      <c r="A84" t="s">
        <v>829</v>
      </c>
      <c r="B84">
        <v>5600.0000000000009</v>
      </c>
    </row>
    <row r="85" spans="1:2" x14ac:dyDescent="0.25">
      <c r="A85" t="s">
        <v>1920</v>
      </c>
      <c r="B85">
        <v>1960.0000000000002</v>
      </c>
    </row>
    <row r="86" spans="1:2" x14ac:dyDescent="0.25">
      <c r="A86" t="s">
        <v>656</v>
      </c>
      <c r="B86">
        <v>190.4</v>
      </c>
    </row>
    <row r="87" spans="1:2" x14ac:dyDescent="0.25">
      <c r="A87" t="s">
        <v>322</v>
      </c>
      <c r="B87">
        <v>470.40000000000003</v>
      </c>
    </row>
    <row r="88" spans="1:2" x14ac:dyDescent="0.25">
      <c r="A88" t="s">
        <v>837</v>
      </c>
      <c r="B88">
        <v>1848.0000000000002</v>
      </c>
    </row>
    <row r="89" spans="1:2" x14ac:dyDescent="0.25">
      <c r="A89" t="s">
        <v>323</v>
      </c>
      <c r="B89">
        <v>560</v>
      </c>
    </row>
    <row r="90" spans="1:2" x14ac:dyDescent="0.25">
      <c r="A90" t="s">
        <v>324</v>
      </c>
      <c r="B90">
        <v>560</v>
      </c>
    </row>
    <row r="91" spans="1:2" x14ac:dyDescent="0.25">
      <c r="A91" t="s">
        <v>325</v>
      </c>
      <c r="B91">
        <v>560</v>
      </c>
    </row>
    <row r="92" spans="1:2" x14ac:dyDescent="0.25">
      <c r="A92" t="s">
        <v>310</v>
      </c>
      <c r="B92">
        <v>655.20000000000005</v>
      </c>
    </row>
    <row r="93" spans="1:2" x14ac:dyDescent="0.25">
      <c r="A93" t="s">
        <v>317</v>
      </c>
      <c r="B93">
        <v>280</v>
      </c>
    </row>
    <row r="94" spans="1:2" x14ac:dyDescent="0.25">
      <c r="A94" t="s">
        <v>539</v>
      </c>
      <c r="B94">
        <v>470.40000000000003</v>
      </c>
    </row>
    <row r="95" spans="1:2" x14ac:dyDescent="0.25">
      <c r="A95" t="s">
        <v>423</v>
      </c>
      <c r="B95">
        <v>8422.4000000000015</v>
      </c>
    </row>
    <row r="96" spans="1:2" x14ac:dyDescent="0.25">
      <c r="A96" t="s">
        <v>315</v>
      </c>
      <c r="B96">
        <v>470.40000000000003</v>
      </c>
    </row>
    <row r="97" spans="1:2" x14ac:dyDescent="0.25">
      <c r="A97" t="s">
        <v>717</v>
      </c>
      <c r="B97">
        <v>280</v>
      </c>
    </row>
    <row r="98" spans="1:2" x14ac:dyDescent="0.25">
      <c r="A98" t="s">
        <v>358</v>
      </c>
      <c r="B98">
        <v>1103.2</v>
      </c>
    </row>
    <row r="99" spans="1:2" x14ac:dyDescent="0.25">
      <c r="A99" t="s">
        <v>344</v>
      </c>
      <c r="B99">
        <v>2055.1999999999998</v>
      </c>
    </row>
    <row r="100" spans="1:2" x14ac:dyDescent="0.25">
      <c r="A100" t="s">
        <v>806</v>
      </c>
      <c r="B100">
        <v>3863.1000000000004</v>
      </c>
    </row>
    <row r="101" spans="1:2" x14ac:dyDescent="0.25">
      <c r="A101" t="s">
        <v>805</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139</v>
      </c>
      <c r="B1" s="68" t="s">
        <v>124</v>
      </c>
      <c r="C1" s="68" t="s">
        <v>389</v>
      </c>
      <c r="D1" s="68" t="s">
        <v>449</v>
      </c>
      <c r="E1" s="68" t="s">
        <v>450</v>
      </c>
      <c r="F1" s="68" t="s">
        <v>451</v>
      </c>
      <c r="G1" s="68" t="s">
        <v>452</v>
      </c>
      <c r="H1" s="68" t="s">
        <v>400</v>
      </c>
      <c r="I1" s="69" t="s">
        <v>128</v>
      </c>
      <c r="J1" s="70" t="s">
        <v>398</v>
      </c>
    </row>
    <row r="2" spans="1:10" x14ac:dyDescent="0.25">
      <c r="A2" s="71" t="s">
        <v>675</v>
      </c>
      <c r="B2" s="72" t="s">
        <v>401</v>
      </c>
      <c r="C2" s="73" t="s">
        <v>143</v>
      </c>
      <c r="D2" s="74">
        <v>0.18</v>
      </c>
      <c r="E2" s="74">
        <v>0.4</v>
      </c>
      <c r="F2" s="75"/>
      <c r="G2" s="75"/>
      <c r="H2" s="75"/>
      <c r="I2" s="76" t="s">
        <v>406</v>
      </c>
      <c r="J2" s="75" t="s">
        <v>397</v>
      </c>
    </row>
    <row r="3" spans="1:10" x14ac:dyDescent="0.25">
      <c r="A3" s="77" t="s">
        <v>676</v>
      </c>
      <c r="B3" s="78" t="s">
        <v>399</v>
      </c>
      <c r="C3" s="73" t="s">
        <v>143</v>
      </c>
      <c r="D3" s="74">
        <v>0.2</v>
      </c>
      <c r="E3" s="74">
        <v>0.44</v>
      </c>
      <c r="F3" s="79"/>
      <c r="G3" s="79"/>
      <c r="H3" s="79"/>
      <c r="I3" s="80" t="s">
        <v>133</v>
      </c>
      <c r="J3" s="79" t="s">
        <v>397</v>
      </c>
    </row>
    <row r="4" spans="1:10" x14ac:dyDescent="0.25">
      <c r="A4" s="77" t="s">
        <v>677</v>
      </c>
      <c r="B4" s="78" t="s">
        <v>678</v>
      </c>
      <c r="C4" s="73" t="s">
        <v>143</v>
      </c>
      <c r="D4" s="74">
        <v>0.18</v>
      </c>
      <c r="E4" s="74">
        <v>0.4</v>
      </c>
      <c r="F4" s="79"/>
      <c r="G4" s="79"/>
      <c r="H4" s="79"/>
      <c r="I4" s="80" t="s">
        <v>405</v>
      </c>
      <c r="J4" s="79" t="s">
        <v>402</v>
      </c>
    </row>
    <row r="5" spans="1:10" x14ac:dyDescent="0.25">
      <c r="A5" s="77" t="s">
        <v>1043</v>
      </c>
      <c r="B5" s="78" t="s">
        <v>140</v>
      </c>
      <c r="C5" s="73" t="s">
        <v>143</v>
      </c>
      <c r="D5" s="74">
        <v>0.18</v>
      </c>
      <c r="E5" s="74">
        <v>0.37</v>
      </c>
      <c r="F5" s="79"/>
      <c r="G5" s="79"/>
      <c r="H5" s="79"/>
      <c r="I5" s="80" t="s">
        <v>405</v>
      </c>
      <c r="J5" s="79" t="s">
        <v>402</v>
      </c>
    </row>
    <row r="6" spans="1:10" x14ac:dyDescent="0.25">
      <c r="A6" s="77" t="s">
        <v>1042</v>
      </c>
      <c r="B6" s="78" t="s">
        <v>141</v>
      </c>
      <c r="C6" s="73" t="s">
        <v>143</v>
      </c>
      <c r="D6" s="74">
        <v>0.16</v>
      </c>
      <c r="E6" s="74">
        <v>0.35</v>
      </c>
      <c r="F6" s="79"/>
      <c r="G6" s="79"/>
      <c r="H6" s="79"/>
      <c r="I6" s="80" t="s">
        <v>133</v>
      </c>
      <c r="J6" s="79" t="s">
        <v>397</v>
      </c>
    </row>
    <row r="7" spans="1:10" x14ac:dyDescent="0.25">
      <c r="A7" s="77" t="s">
        <v>1044</v>
      </c>
      <c r="B7" s="78" t="s">
        <v>730</v>
      </c>
      <c r="C7" s="73" t="s">
        <v>143</v>
      </c>
      <c r="D7" s="74">
        <v>0.12</v>
      </c>
      <c r="E7" s="74">
        <v>0.3</v>
      </c>
      <c r="F7" s="79"/>
      <c r="G7" s="79"/>
      <c r="H7" s="79"/>
      <c r="I7" s="80" t="s">
        <v>405</v>
      </c>
      <c r="J7" s="79" t="s">
        <v>402</v>
      </c>
    </row>
    <row r="8" spans="1:10" x14ac:dyDescent="0.25">
      <c r="A8" s="77" t="s">
        <v>1045</v>
      </c>
      <c r="B8" s="78" t="s">
        <v>731</v>
      </c>
      <c r="C8" s="73" t="s">
        <v>143</v>
      </c>
      <c r="D8" s="74">
        <v>0.1</v>
      </c>
      <c r="E8" s="74">
        <v>0.25</v>
      </c>
      <c r="F8" s="79"/>
      <c r="G8" s="79"/>
      <c r="H8" s="79"/>
      <c r="I8" s="80" t="s">
        <v>405</v>
      </c>
      <c r="J8" s="79" t="s">
        <v>402</v>
      </c>
    </row>
    <row r="9" spans="1:10" x14ac:dyDescent="0.25">
      <c r="A9" s="77" t="s">
        <v>679</v>
      </c>
      <c r="B9" s="78" t="s">
        <v>679</v>
      </c>
      <c r="C9" s="73" t="s">
        <v>143</v>
      </c>
      <c r="D9" s="74">
        <v>0.22</v>
      </c>
      <c r="E9" s="74">
        <v>0.46</v>
      </c>
      <c r="F9" s="79"/>
      <c r="G9" s="79"/>
      <c r="H9" s="79"/>
      <c r="I9" s="80" t="s">
        <v>405</v>
      </c>
      <c r="J9" s="79" t="s">
        <v>402</v>
      </c>
    </row>
    <row r="10" spans="1:10" x14ac:dyDescent="0.25">
      <c r="A10" s="77" t="s">
        <v>394</v>
      </c>
      <c r="B10" s="78" t="s">
        <v>394</v>
      </c>
      <c r="C10" s="73" t="s">
        <v>394</v>
      </c>
      <c r="D10" s="74"/>
      <c r="E10" s="74"/>
      <c r="F10" s="79"/>
      <c r="G10" s="79"/>
      <c r="H10" s="79" t="s">
        <v>1046</v>
      </c>
      <c r="I10" s="80" t="s">
        <v>405</v>
      </c>
      <c r="J10" s="79" t="s">
        <v>402</v>
      </c>
    </row>
    <row r="11" spans="1:10" x14ac:dyDescent="0.25">
      <c r="A11" s="77" t="s">
        <v>393</v>
      </c>
      <c r="B11" s="78" t="s">
        <v>391</v>
      </c>
      <c r="C11" s="73" t="s">
        <v>393</v>
      </c>
      <c r="D11" s="73"/>
      <c r="E11" s="73"/>
      <c r="F11" s="73"/>
      <c r="G11" s="73"/>
      <c r="H11" s="79" t="s">
        <v>1934</v>
      </c>
      <c r="I11" s="80" t="s">
        <v>405</v>
      </c>
      <c r="J11" s="79" t="s">
        <v>402</v>
      </c>
    </row>
    <row r="12" spans="1:10" x14ac:dyDescent="0.25">
      <c r="A12" s="77" t="s">
        <v>392</v>
      </c>
      <c r="B12" s="78" t="s">
        <v>392</v>
      </c>
      <c r="C12" s="73" t="s">
        <v>392</v>
      </c>
      <c r="D12" s="74"/>
      <c r="E12" s="74"/>
      <c r="F12" s="79"/>
      <c r="G12" s="79"/>
      <c r="H12" s="79" t="s">
        <v>404</v>
      </c>
      <c r="I12" s="80" t="s">
        <v>405</v>
      </c>
      <c r="J12" s="79" t="s">
        <v>402</v>
      </c>
    </row>
    <row r="13" spans="1:10" x14ac:dyDescent="0.25">
      <c r="A13" s="77" t="s">
        <v>395</v>
      </c>
      <c r="B13" s="78" t="s">
        <v>395</v>
      </c>
      <c r="C13" s="73" t="s">
        <v>395</v>
      </c>
      <c r="D13" s="74"/>
      <c r="E13" s="74"/>
      <c r="F13" s="79"/>
      <c r="G13" s="79"/>
      <c r="H13" s="79" t="s">
        <v>684</v>
      </c>
      <c r="I13" s="80" t="s">
        <v>405</v>
      </c>
      <c r="J13" s="79" t="s">
        <v>402</v>
      </c>
    </row>
    <row r="14" spans="1:10" x14ac:dyDescent="0.25">
      <c r="A14" s="77" t="s">
        <v>686</v>
      </c>
      <c r="B14" s="78" t="s">
        <v>687</v>
      </c>
      <c r="C14" s="73" t="s">
        <v>144</v>
      </c>
      <c r="D14" s="74"/>
      <c r="E14" s="74"/>
      <c r="F14" s="79">
        <v>0.2</v>
      </c>
      <c r="G14" s="79">
        <v>0.3</v>
      </c>
      <c r="H14" s="79"/>
      <c r="I14" s="80" t="s">
        <v>405</v>
      </c>
      <c r="J14" s="79" t="s">
        <v>402</v>
      </c>
    </row>
    <row r="15" spans="1:10" x14ac:dyDescent="0.25">
      <c r="A15" s="77" t="s">
        <v>972</v>
      </c>
      <c r="B15" s="78" t="s">
        <v>1447</v>
      </c>
      <c r="C15" s="73" t="s">
        <v>143</v>
      </c>
      <c r="D15" s="74">
        <v>0.21</v>
      </c>
      <c r="E15" s="74">
        <v>0.44</v>
      </c>
      <c r="F15" s="79"/>
      <c r="G15" s="79"/>
      <c r="H15" s="79"/>
      <c r="I15" s="80" t="s">
        <v>405</v>
      </c>
      <c r="J15" s="79" t="s">
        <v>402</v>
      </c>
    </row>
    <row r="16" spans="1:10" x14ac:dyDescent="0.25">
      <c r="A16" s="77" t="s">
        <v>971</v>
      </c>
      <c r="B16" s="78" t="s">
        <v>1448</v>
      </c>
      <c r="C16" s="73" t="s">
        <v>143</v>
      </c>
      <c r="D16" s="74">
        <v>0.18</v>
      </c>
      <c r="E16" s="74">
        <v>0.37</v>
      </c>
      <c r="F16" s="79"/>
      <c r="G16" s="79"/>
      <c r="H16" s="79"/>
      <c r="I16" s="80" t="s">
        <v>405</v>
      </c>
      <c r="J16" s="79" t="s">
        <v>402</v>
      </c>
    </row>
    <row r="17" spans="1:10" x14ac:dyDescent="0.25">
      <c r="A17" s="77" t="s">
        <v>973</v>
      </c>
      <c r="B17" s="78" t="s">
        <v>1449</v>
      </c>
      <c r="C17" s="73" t="s">
        <v>143</v>
      </c>
      <c r="D17" s="74">
        <v>0.15</v>
      </c>
      <c r="E17" s="74">
        <v>0.3</v>
      </c>
      <c r="F17" s="79"/>
      <c r="G17" s="79"/>
      <c r="H17" s="79"/>
      <c r="I17" s="80" t="s">
        <v>405</v>
      </c>
      <c r="J17" s="79" t="s">
        <v>402</v>
      </c>
    </row>
    <row r="18" spans="1:10" x14ac:dyDescent="0.25">
      <c r="A18" s="77" t="s">
        <v>1458</v>
      </c>
      <c r="B18" s="78" t="s">
        <v>1459</v>
      </c>
      <c r="C18" s="73" t="s">
        <v>143</v>
      </c>
      <c r="D18" s="74">
        <v>0.24</v>
      </c>
      <c r="E18" s="74">
        <v>0.51</v>
      </c>
      <c r="F18" s="79"/>
      <c r="G18" s="79"/>
      <c r="H18" s="79"/>
      <c r="I18" s="80" t="s">
        <v>405</v>
      </c>
      <c r="J18" s="79" t="s">
        <v>402</v>
      </c>
    </row>
    <row r="19" spans="1:10" x14ac:dyDescent="0.25">
      <c r="A19" s="77" t="s">
        <v>688</v>
      </c>
      <c r="B19" s="78" t="s">
        <v>689</v>
      </c>
      <c r="C19" s="73" t="s">
        <v>143</v>
      </c>
      <c r="D19" s="74">
        <v>0.08</v>
      </c>
      <c r="E19" s="74">
        <v>0.1</v>
      </c>
      <c r="F19" s="79"/>
      <c r="G19" s="79"/>
      <c r="H19" s="79"/>
      <c r="I19" s="80" t="s">
        <v>403</v>
      </c>
      <c r="J19" s="73" t="s">
        <v>396</v>
      </c>
    </row>
    <row r="20" spans="1:10" x14ac:dyDescent="0.25">
      <c r="A20" s="77" t="s">
        <v>134</v>
      </c>
      <c r="B20" s="78" t="s">
        <v>732</v>
      </c>
      <c r="C20" s="73" t="s">
        <v>143</v>
      </c>
      <c r="D20" s="74">
        <v>0.02</v>
      </c>
      <c r="E20" s="74">
        <v>0.02</v>
      </c>
      <c r="F20" s="79"/>
      <c r="G20" s="79"/>
      <c r="H20" s="79"/>
      <c r="I20" s="80" t="s">
        <v>403</v>
      </c>
      <c r="J20" s="73" t="s">
        <v>396</v>
      </c>
    </row>
    <row r="21" spans="1:10" x14ac:dyDescent="0.25">
      <c r="A21" s="77" t="s">
        <v>372</v>
      </c>
      <c r="B21" s="78" t="s">
        <v>690</v>
      </c>
      <c r="C21" s="73" t="s">
        <v>143</v>
      </c>
      <c r="D21" s="74">
        <v>0.05</v>
      </c>
      <c r="E21" s="74">
        <v>0.06</v>
      </c>
      <c r="F21" s="79"/>
      <c r="G21" s="79"/>
      <c r="H21" s="79"/>
      <c r="I21" s="80" t="s">
        <v>403</v>
      </c>
      <c r="J21" s="73" t="s">
        <v>396</v>
      </c>
    </row>
    <row r="22" spans="1:10" x14ac:dyDescent="0.25">
      <c r="A22" s="77" t="s">
        <v>438</v>
      </c>
      <c r="B22" s="78" t="s">
        <v>1450</v>
      </c>
      <c r="C22" s="73" t="s">
        <v>143</v>
      </c>
      <c r="D22" s="74">
        <v>0.12</v>
      </c>
      <c r="E22" s="74">
        <v>0.22</v>
      </c>
      <c r="F22" s="79"/>
      <c r="G22" s="79"/>
      <c r="H22" s="79"/>
      <c r="I22" s="80" t="s">
        <v>133</v>
      </c>
      <c r="J22" s="79" t="s">
        <v>397</v>
      </c>
    </row>
  </sheetData>
  <sheetProtection algorithmName="SHA-512" hashValue="T9OhGmSLuF8m10TqfWOvtyW8mew1T185OmhDUXQTxORjbuDyyUo5rx83zsbs9Up7AYYqZ/o+N1NdwTWWhNjRPQ==" saltValue="2bu8Z/42/V6iaZ0V6W0XfA==" spinCount="100000" sheet="1"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Company>Biometrics4ALL,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creator>Edward Chen</dc:creator>
  <cp:keywords>Sales Price Quote</cp:keywords>
  <dc:description>Biometrics4ALL company confidential and proprietary.  Document Class:  Company Trade Secret</dc:description>
  <cp:lastModifiedBy>Mekaeel Ahmad</cp:lastModifiedBy>
  <cp:lastPrinted>2023-06-23T17:40:58Z</cp:lastPrinted>
  <dcterms:created xsi:type="dcterms:W3CDTF">2015-11-06T23:24:43Z</dcterms:created>
  <dcterms:modified xsi:type="dcterms:W3CDTF">2023-07-03T17:31:48Z</dcterms:modified>
  <cp:category>Sales</cp:category>
</cp:coreProperties>
</file>