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Github\Project\autoiac-bench\EffectivenessExperiment\Results\"/>
    </mc:Choice>
  </mc:AlternateContent>
  <xr:revisionPtr revIDLastSave="0" documentId="13_ncr:1_{ADE911F7-6356-4E72-9C27-4B2242F47DAF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CloudGoat threat result" sheetId="16" r:id="rId1"/>
    <sheet name="KaiMonkey threat result" sheetId="17" r:id="rId2"/>
    <sheet name="AWSGoat module-1 threat result" sheetId="18" r:id="rId3"/>
    <sheet name="AWSGoat module-2 threat result" sheetId="1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19" l="1"/>
  <c r="O59" i="19"/>
  <c r="N59" i="19"/>
  <c r="M59" i="19"/>
  <c r="L59" i="19"/>
  <c r="K59" i="19"/>
  <c r="J59" i="19"/>
  <c r="I59" i="19"/>
  <c r="O58" i="19"/>
  <c r="N58" i="19"/>
  <c r="M58" i="19"/>
  <c r="L58" i="19"/>
  <c r="K58" i="19"/>
  <c r="J58" i="19"/>
  <c r="I58" i="19"/>
  <c r="O57" i="19"/>
  <c r="N57" i="19"/>
  <c r="M57" i="19"/>
  <c r="L57" i="19"/>
  <c r="K57" i="19"/>
  <c r="J57" i="19"/>
  <c r="I57" i="19"/>
  <c r="O56" i="19"/>
  <c r="N56" i="19"/>
  <c r="M56" i="19"/>
  <c r="L56" i="19"/>
  <c r="K56" i="19"/>
  <c r="J56" i="19"/>
  <c r="I56" i="19"/>
  <c r="O55" i="19"/>
  <c r="N55" i="19"/>
  <c r="M55" i="19"/>
  <c r="L55" i="19"/>
  <c r="K55" i="19"/>
  <c r="J55" i="19"/>
  <c r="I55" i="19"/>
  <c r="O54" i="19"/>
  <c r="N54" i="19"/>
  <c r="M54" i="19"/>
  <c r="L54" i="19"/>
  <c r="K54" i="19"/>
  <c r="J54" i="19"/>
  <c r="I54" i="19"/>
  <c r="O53" i="19"/>
  <c r="N53" i="19"/>
  <c r="M53" i="19"/>
  <c r="L53" i="19"/>
  <c r="K53" i="19"/>
  <c r="J53" i="19"/>
  <c r="I53" i="19"/>
  <c r="O52" i="19"/>
  <c r="N52" i="19"/>
  <c r="M52" i="19"/>
  <c r="L52" i="19"/>
  <c r="K52" i="19"/>
  <c r="J52" i="19"/>
  <c r="I52" i="19"/>
  <c r="O51" i="19"/>
  <c r="N51" i="19"/>
  <c r="M51" i="19"/>
  <c r="L51" i="19"/>
  <c r="K51" i="19"/>
  <c r="J51" i="19"/>
  <c r="I51" i="19"/>
  <c r="O50" i="19"/>
  <c r="N50" i="19"/>
  <c r="M50" i="19"/>
  <c r="L50" i="19"/>
  <c r="K50" i="19"/>
  <c r="J50" i="19"/>
  <c r="I50" i="19"/>
  <c r="O49" i="19"/>
  <c r="N49" i="19"/>
  <c r="M49" i="19"/>
  <c r="L49" i="19"/>
  <c r="K49" i="19"/>
  <c r="J49" i="19"/>
  <c r="I49" i="19"/>
  <c r="O48" i="19"/>
  <c r="N48" i="19"/>
  <c r="M48" i="19"/>
  <c r="L48" i="19"/>
  <c r="K48" i="19"/>
  <c r="J48" i="19"/>
  <c r="I48" i="19"/>
  <c r="O47" i="19"/>
  <c r="N47" i="19"/>
  <c r="M47" i="19"/>
  <c r="L47" i="19"/>
  <c r="K47" i="19"/>
  <c r="J47" i="19"/>
  <c r="I47" i="19"/>
  <c r="O46" i="19"/>
  <c r="N46" i="19"/>
  <c r="M46" i="19"/>
  <c r="L46" i="19"/>
  <c r="K46" i="19"/>
  <c r="J46" i="19"/>
  <c r="I46" i="19"/>
  <c r="O45" i="19"/>
  <c r="N45" i="19"/>
  <c r="M45" i="19"/>
  <c r="L45" i="19"/>
  <c r="K45" i="19"/>
  <c r="J45" i="19"/>
  <c r="I45" i="19"/>
  <c r="O44" i="19"/>
  <c r="N44" i="19"/>
  <c r="M44" i="19"/>
  <c r="L44" i="19"/>
  <c r="K44" i="19"/>
  <c r="J44" i="19"/>
  <c r="I44" i="19"/>
  <c r="O43" i="19"/>
  <c r="N43" i="19"/>
  <c r="M43" i="19"/>
  <c r="L43" i="19"/>
  <c r="K43" i="19"/>
  <c r="J43" i="19"/>
  <c r="I43" i="19"/>
  <c r="O42" i="19"/>
  <c r="N42" i="19"/>
  <c r="M42" i="19"/>
  <c r="L42" i="19"/>
  <c r="K42" i="19"/>
  <c r="J42" i="19"/>
  <c r="I42" i="19"/>
  <c r="O41" i="19"/>
  <c r="N41" i="19"/>
  <c r="M41" i="19"/>
  <c r="L41" i="19"/>
  <c r="K41" i="19"/>
  <c r="J41" i="19"/>
  <c r="I41" i="19"/>
  <c r="O40" i="19"/>
  <c r="N40" i="19"/>
  <c r="M40" i="19"/>
  <c r="L40" i="19"/>
  <c r="K40" i="19"/>
  <c r="J40" i="19"/>
  <c r="I40" i="19"/>
  <c r="O39" i="19"/>
  <c r="N39" i="19"/>
  <c r="M39" i="19"/>
  <c r="L39" i="19"/>
  <c r="K39" i="19"/>
  <c r="J39" i="19"/>
  <c r="I39" i="19"/>
  <c r="O38" i="19"/>
  <c r="N38" i="19"/>
  <c r="M38" i="19"/>
  <c r="L38" i="19"/>
  <c r="K38" i="19"/>
  <c r="J38" i="19"/>
  <c r="I38" i="19"/>
  <c r="O37" i="19"/>
  <c r="N37" i="19"/>
  <c r="M37" i="19"/>
  <c r="L37" i="19"/>
  <c r="K37" i="19"/>
  <c r="J37" i="19"/>
  <c r="I37" i="19"/>
  <c r="O36" i="19"/>
  <c r="N36" i="19"/>
  <c r="M36" i="19"/>
  <c r="L36" i="19"/>
  <c r="K36" i="19"/>
  <c r="J36" i="19"/>
  <c r="I36" i="19"/>
  <c r="O35" i="19"/>
  <c r="N35" i="19"/>
  <c r="M35" i="19"/>
  <c r="L35" i="19"/>
  <c r="K35" i="19"/>
  <c r="J35" i="19"/>
  <c r="I35" i="19"/>
  <c r="O34" i="19"/>
  <c r="N34" i="19"/>
  <c r="M34" i="19"/>
  <c r="L34" i="19"/>
  <c r="K34" i="19"/>
  <c r="J34" i="19"/>
  <c r="I34" i="19"/>
  <c r="O33" i="19"/>
  <c r="N33" i="19"/>
  <c r="M33" i="19"/>
  <c r="L33" i="19"/>
  <c r="K33" i="19"/>
  <c r="J33" i="19"/>
  <c r="I33" i="19"/>
  <c r="O32" i="19"/>
  <c r="N32" i="19"/>
  <c r="M32" i="19"/>
  <c r="L32" i="19"/>
  <c r="K32" i="19"/>
  <c r="J32" i="19"/>
  <c r="I32" i="19"/>
  <c r="O31" i="19"/>
  <c r="N31" i="19"/>
  <c r="M31" i="19"/>
  <c r="L31" i="19"/>
  <c r="K31" i="19"/>
  <c r="J31" i="19"/>
  <c r="I31" i="19"/>
  <c r="O30" i="19"/>
  <c r="N30" i="19"/>
  <c r="M30" i="19"/>
  <c r="L30" i="19"/>
  <c r="K30" i="19"/>
  <c r="J30" i="19"/>
  <c r="I30" i="19"/>
  <c r="O29" i="19"/>
  <c r="N29" i="19"/>
  <c r="M29" i="19"/>
  <c r="L29" i="19"/>
  <c r="K29" i="19"/>
  <c r="J29" i="19"/>
  <c r="I29" i="19"/>
  <c r="O28" i="19"/>
  <c r="N28" i="19"/>
  <c r="M28" i="19"/>
  <c r="L28" i="19"/>
  <c r="K28" i="19"/>
  <c r="J28" i="19"/>
  <c r="I28" i="19"/>
  <c r="R27" i="19"/>
  <c r="Q27" i="19"/>
  <c r="O27" i="19"/>
  <c r="N27" i="19"/>
  <c r="M27" i="19"/>
  <c r="L27" i="19"/>
  <c r="K27" i="19"/>
  <c r="J27" i="19"/>
  <c r="I27" i="19"/>
  <c r="R26" i="19"/>
  <c r="Q26" i="19"/>
  <c r="O26" i="19"/>
  <c r="N26" i="19"/>
  <c r="M26" i="19"/>
  <c r="L26" i="19"/>
  <c r="K26" i="19"/>
  <c r="J26" i="19"/>
  <c r="I26" i="19"/>
  <c r="R25" i="19"/>
  <c r="Q25" i="19"/>
  <c r="O25" i="19"/>
  <c r="N25" i="19"/>
  <c r="M25" i="19"/>
  <c r="L25" i="19"/>
  <c r="K25" i="19"/>
  <c r="J25" i="19"/>
  <c r="I25" i="19"/>
  <c r="R24" i="19"/>
  <c r="Q24" i="19"/>
  <c r="O24" i="19"/>
  <c r="N24" i="19"/>
  <c r="M24" i="19"/>
  <c r="L24" i="19"/>
  <c r="K24" i="19"/>
  <c r="J24" i="19"/>
  <c r="I24" i="19"/>
  <c r="R23" i="19"/>
  <c r="Q23" i="19"/>
  <c r="O23" i="19"/>
  <c r="N23" i="19"/>
  <c r="M23" i="19"/>
  <c r="L23" i="19"/>
  <c r="K23" i="19"/>
  <c r="J23" i="19"/>
  <c r="I23" i="19"/>
  <c r="R22" i="19"/>
  <c r="Q22" i="19"/>
  <c r="O22" i="19"/>
  <c r="N22" i="19"/>
  <c r="M22" i="19"/>
  <c r="L22" i="19"/>
  <c r="K22" i="19"/>
  <c r="J22" i="19"/>
  <c r="I22" i="19"/>
  <c r="R21" i="19"/>
  <c r="Q21" i="19"/>
  <c r="O21" i="19"/>
  <c r="N21" i="19"/>
  <c r="M21" i="19"/>
  <c r="L21" i="19"/>
  <c r="K21" i="19"/>
  <c r="J21" i="19"/>
  <c r="I21" i="19"/>
  <c r="R20" i="19"/>
  <c r="Q20" i="19"/>
  <c r="O20" i="19"/>
  <c r="N20" i="19"/>
  <c r="M20" i="19"/>
  <c r="L20" i="19"/>
  <c r="K20" i="19"/>
  <c r="J20" i="19"/>
  <c r="I20" i="19"/>
  <c r="R19" i="19"/>
  <c r="Q19" i="19"/>
  <c r="O19" i="19"/>
  <c r="N19" i="19"/>
  <c r="M19" i="19"/>
  <c r="L19" i="19"/>
  <c r="K19" i="19"/>
  <c r="J19" i="19"/>
  <c r="I19" i="19"/>
  <c r="R18" i="19"/>
  <c r="Q18" i="19"/>
  <c r="O18" i="19"/>
  <c r="N18" i="19"/>
  <c r="M18" i="19"/>
  <c r="L18" i="19"/>
  <c r="K18" i="19"/>
  <c r="J18" i="19"/>
  <c r="I18" i="19"/>
  <c r="R17" i="19"/>
  <c r="Q17" i="19"/>
  <c r="O17" i="19"/>
  <c r="N17" i="19"/>
  <c r="M17" i="19"/>
  <c r="L17" i="19"/>
  <c r="K17" i="19"/>
  <c r="J17" i="19"/>
  <c r="I17" i="19"/>
  <c r="R16" i="19"/>
  <c r="Q16" i="19"/>
  <c r="O16" i="19"/>
  <c r="N16" i="19"/>
  <c r="M16" i="19"/>
  <c r="L16" i="19"/>
  <c r="K16" i="19"/>
  <c r="J16" i="19"/>
  <c r="I16" i="19"/>
  <c r="R15" i="19"/>
  <c r="Q15" i="19"/>
  <c r="O15" i="19"/>
  <c r="N15" i="19"/>
  <c r="M15" i="19"/>
  <c r="L15" i="19"/>
  <c r="K15" i="19"/>
  <c r="J15" i="19"/>
  <c r="I15" i="19"/>
  <c r="R14" i="19"/>
  <c r="Q14" i="19"/>
  <c r="O14" i="19"/>
  <c r="N14" i="19"/>
  <c r="M14" i="19"/>
  <c r="L14" i="19"/>
  <c r="K14" i="19"/>
  <c r="J14" i="19"/>
  <c r="I14" i="19"/>
  <c r="R13" i="19"/>
  <c r="Q13" i="19"/>
  <c r="O13" i="19"/>
  <c r="N13" i="19"/>
  <c r="M13" i="19"/>
  <c r="L13" i="19"/>
  <c r="K13" i="19"/>
  <c r="J13" i="19"/>
  <c r="I13" i="19"/>
  <c r="R12" i="19"/>
  <c r="Q12" i="19"/>
  <c r="O12" i="19"/>
  <c r="N12" i="19"/>
  <c r="M12" i="19"/>
  <c r="L12" i="19"/>
  <c r="K12" i="19"/>
  <c r="J12" i="19"/>
  <c r="I12" i="19"/>
  <c r="R11" i="19"/>
  <c r="Q11" i="19"/>
  <c r="O11" i="19"/>
  <c r="N11" i="19"/>
  <c r="M11" i="19"/>
  <c r="L11" i="19"/>
  <c r="K11" i="19"/>
  <c r="J11" i="19"/>
  <c r="I11" i="19"/>
  <c r="R10" i="19"/>
  <c r="Q10" i="19"/>
  <c r="O10" i="19"/>
  <c r="N10" i="19"/>
  <c r="M10" i="19"/>
  <c r="L10" i="19"/>
  <c r="K10" i="19"/>
  <c r="J10" i="19"/>
  <c r="I10" i="19"/>
  <c r="R9" i="19"/>
  <c r="Q9" i="19"/>
  <c r="O9" i="19"/>
  <c r="N9" i="19"/>
  <c r="M9" i="19"/>
  <c r="L9" i="19"/>
  <c r="K9" i="19"/>
  <c r="J9" i="19"/>
  <c r="I9" i="19"/>
  <c r="R8" i="19"/>
  <c r="Q8" i="19"/>
  <c r="O8" i="19"/>
  <c r="N8" i="19"/>
  <c r="M8" i="19"/>
  <c r="L8" i="19"/>
  <c r="K8" i="19"/>
  <c r="J8" i="19"/>
  <c r="I8" i="19"/>
  <c r="R7" i="19"/>
  <c r="Q7" i="19"/>
  <c r="O7" i="19"/>
  <c r="N7" i="19"/>
  <c r="M7" i="19"/>
  <c r="L7" i="19"/>
  <c r="K7" i="19"/>
  <c r="J7" i="19"/>
  <c r="I7" i="19"/>
  <c r="R6" i="19"/>
  <c r="Q6" i="19"/>
  <c r="O6" i="19"/>
  <c r="N6" i="19"/>
  <c r="M6" i="19"/>
  <c r="L6" i="19"/>
  <c r="K6" i="19"/>
  <c r="J6" i="19"/>
  <c r="I6" i="19"/>
  <c r="R5" i="19"/>
  <c r="Q5" i="19"/>
  <c r="O5" i="19"/>
  <c r="N5" i="19"/>
  <c r="M5" i="19"/>
  <c r="L5" i="19"/>
  <c r="K5" i="19"/>
  <c r="J5" i="19"/>
  <c r="I5" i="19"/>
  <c r="R4" i="19"/>
  <c r="Q4" i="19"/>
  <c r="O4" i="19"/>
  <c r="N4" i="19"/>
  <c r="M4" i="19"/>
  <c r="L4" i="19"/>
  <c r="K4" i="19"/>
  <c r="J4" i="19"/>
  <c r="I4" i="19"/>
  <c r="R3" i="19"/>
  <c r="Q3" i="19"/>
  <c r="O3" i="19"/>
  <c r="N3" i="19"/>
  <c r="M3" i="19"/>
  <c r="L3" i="19"/>
  <c r="K3" i="19"/>
  <c r="J3" i="19"/>
  <c r="I3" i="19"/>
  <c r="R2" i="19"/>
  <c r="Q2" i="19"/>
  <c r="O2" i="19"/>
  <c r="N2" i="19"/>
  <c r="M2" i="19"/>
  <c r="L2" i="19"/>
  <c r="K2" i="19"/>
  <c r="J2" i="19"/>
  <c r="I2" i="19"/>
  <c r="R1" i="19"/>
  <c r="Q1" i="19"/>
  <c r="O1" i="19"/>
  <c r="N1" i="19"/>
  <c r="M1" i="19"/>
  <c r="L1" i="19"/>
  <c r="K1" i="19"/>
  <c r="J1" i="19"/>
  <c r="I1" i="19"/>
  <c r="A187" i="18"/>
  <c r="O125" i="18"/>
  <c r="N125" i="18"/>
  <c r="M125" i="18"/>
  <c r="L125" i="18"/>
  <c r="K125" i="18"/>
  <c r="J125" i="18"/>
  <c r="I125" i="18"/>
  <c r="O124" i="18"/>
  <c r="N124" i="18"/>
  <c r="M124" i="18"/>
  <c r="L124" i="18"/>
  <c r="K124" i="18"/>
  <c r="J124" i="18"/>
  <c r="I124" i="18"/>
  <c r="O123" i="18"/>
  <c r="N123" i="18"/>
  <c r="M123" i="18"/>
  <c r="L123" i="18"/>
  <c r="K123" i="18"/>
  <c r="J123" i="18"/>
  <c r="I123" i="18"/>
  <c r="O122" i="18"/>
  <c r="N122" i="18"/>
  <c r="M122" i="18"/>
  <c r="L122" i="18"/>
  <c r="K122" i="18"/>
  <c r="J122" i="18"/>
  <c r="I122" i="18"/>
  <c r="O121" i="18"/>
  <c r="N121" i="18"/>
  <c r="M121" i="18"/>
  <c r="L121" i="18"/>
  <c r="K121" i="18"/>
  <c r="J121" i="18"/>
  <c r="I121" i="18"/>
  <c r="O120" i="18"/>
  <c r="N120" i="18"/>
  <c r="M120" i="18"/>
  <c r="L120" i="18"/>
  <c r="K120" i="18"/>
  <c r="J120" i="18"/>
  <c r="I120" i="18"/>
  <c r="O119" i="18"/>
  <c r="N119" i="18"/>
  <c r="M119" i="18"/>
  <c r="L119" i="18"/>
  <c r="K119" i="18"/>
  <c r="J119" i="18"/>
  <c r="I119" i="18"/>
  <c r="O118" i="18"/>
  <c r="N118" i="18"/>
  <c r="M118" i="18"/>
  <c r="L118" i="18"/>
  <c r="K118" i="18"/>
  <c r="J118" i="18"/>
  <c r="I118" i="18"/>
  <c r="O117" i="18"/>
  <c r="N117" i="18"/>
  <c r="M117" i="18"/>
  <c r="L117" i="18"/>
  <c r="K117" i="18"/>
  <c r="J117" i="18"/>
  <c r="I117" i="18"/>
  <c r="O116" i="18"/>
  <c r="N116" i="18"/>
  <c r="M116" i="18"/>
  <c r="L116" i="18"/>
  <c r="K116" i="18"/>
  <c r="J116" i="18"/>
  <c r="I116" i="18"/>
  <c r="O115" i="18"/>
  <c r="N115" i="18"/>
  <c r="M115" i="18"/>
  <c r="L115" i="18"/>
  <c r="K115" i="18"/>
  <c r="J115" i="18"/>
  <c r="I115" i="18"/>
  <c r="O114" i="18"/>
  <c r="N114" i="18"/>
  <c r="M114" i="18"/>
  <c r="L114" i="18"/>
  <c r="K114" i="18"/>
  <c r="J114" i="18"/>
  <c r="I114" i="18"/>
  <c r="O113" i="18"/>
  <c r="N113" i="18"/>
  <c r="M113" i="18"/>
  <c r="L113" i="18"/>
  <c r="K113" i="18"/>
  <c r="J113" i="18"/>
  <c r="I113" i="18"/>
  <c r="O112" i="18"/>
  <c r="N112" i="18"/>
  <c r="M112" i="18"/>
  <c r="L112" i="18"/>
  <c r="K112" i="18"/>
  <c r="J112" i="18"/>
  <c r="I112" i="18"/>
  <c r="O111" i="18"/>
  <c r="N111" i="18"/>
  <c r="M111" i="18"/>
  <c r="L111" i="18"/>
  <c r="K111" i="18"/>
  <c r="J111" i="18"/>
  <c r="I111" i="18"/>
  <c r="O110" i="18"/>
  <c r="N110" i="18"/>
  <c r="M110" i="18"/>
  <c r="L110" i="18"/>
  <c r="K110" i="18"/>
  <c r="J110" i="18"/>
  <c r="I110" i="18"/>
  <c r="O109" i="18"/>
  <c r="N109" i="18"/>
  <c r="M109" i="18"/>
  <c r="L109" i="18"/>
  <c r="K109" i="18"/>
  <c r="J109" i="18"/>
  <c r="I109" i="18"/>
  <c r="O108" i="18"/>
  <c r="N108" i="18"/>
  <c r="M108" i="18"/>
  <c r="L108" i="18"/>
  <c r="K108" i="18"/>
  <c r="J108" i="18"/>
  <c r="I108" i="18"/>
  <c r="O107" i="18"/>
  <c r="N107" i="18"/>
  <c r="M107" i="18"/>
  <c r="L107" i="18"/>
  <c r="K107" i="18"/>
  <c r="J107" i="18"/>
  <c r="I107" i="18"/>
  <c r="O106" i="18"/>
  <c r="N106" i="18"/>
  <c r="M106" i="18"/>
  <c r="L106" i="18"/>
  <c r="K106" i="18"/>
  <c r="J106" i="18"/>
  <c r="I106" i="18"/>
  <c r="O105" i="18"/>
  <c r="N105" i="18"/>
  <c r="M105" i="18"/>
  <c r="L105" i="18"/>
  <c r="K105" i="18"/>
  <c r="J105" i="18"/>
  <c r="I105" i="18"/>
  <c r="O104" i="18"/>
  <c r="N104" i="18"/>
  <c r="M104" i="18"/>
  <c r="L104" i="18"/>
  <c r="K104" i="18"/>
  <c r="J104" i="18"/>
  <c r="I104" i="18"/>
  <c r="O103" i="18"/>
  <c r="N103" i="18"/>
  <c r="M103" i="18"/>
  <c r="L103" i="18"/>
  <c r="K103" i="18"/>
  <c r="J103" i="18"/>
  <c r="I103" i="18"/>
  <c r="O102" i="18"/>
  <c r="N102" i="18"/>
  <c r="M102" i="18"/>
  <c r="L102" i="18"/>
  <c r="K102" i="18"/>
  <c r="J102" i="18"/>
  <c r="I102" i="18"/>
  <c r="O101" i="18"/>
  <c r="N101" i="18"/>
  <c r="M101" i="18"/>
  <c r="L101" i="18"/>
  <c r="K101" i="18"/>
  <c r="J101" i="18"/>
  <c r="I101" i="18"/>
  <c r="O100" i="18"/>
  <c r="N100" i="18"/>
  <c r="M100" i="18"/>
  <c r="L100" i="18"/>
  <c r="K100" i="18"/>
  <c r="J100" i="18"/>
  <c r="I100" i="18"/>
  <c r="O99" i="18"/>
  <c r="N99" i="18"/>
  <c r="M99" i="18"/>
  <c r="L99" i="18"/>
  <c r="K99" i="18"/>
  <c r="J99" i="18"/>
  <c r="I99" i="18"/>
  <c r="O98" i="18"/>
  <c r="N98" i="18"/>
  <c r="M98" i="18"/>
  <c r="L98" i="18"/>
  <c r="K98" i="18"/>
  <c r="J98" i="18"/>
  <c r="I98" i="18"/>
  <c r="O97" i="18"/>
  <c r="N97" i="18"/>
  <c r="M97" i="18"/>
  <c r="L97" i="18"/>
  <c r="K97" i="18"/>
  <c r="J97" i="18"/>
  <c r="I97" i="18"/>
  <c r="O96" i="18"/>
  <c r="N96" i="18"/>
  <c r="M96" i="18"/>
  <c r="L96" i="18"/>
  <c r="K96" i="18"/>
  <c r="J96" i="18"/>
  <c r="I96" i="18"/>
  <c r="O95" i="18"/>
  <c r="N95" i="18"/>
  <c r="M95" i="18"/>
  <c r="L95" i="18"/>
  <c r="K95" i="18"/>
  <c r="J95" i="18"/>
  <c r="I95" i="18"/>
  <c r="O94" i="18"/>
  <c r="N94" i="18"/>
  <c r="M94" i="18"/>
  <c r="L94" i="18"/>
  <c r="K94" i="18"/>
  <c r="J94" i="18"/>
  <c r="I94" i="18"/>
  <c r="O93" i="18"/>
  <c r="N93" i="18"/>
  <c r="M93" i="18"/>
  <c r="L93" i="18"/>
  <c r="K93" i="18"/>
  <c r="J93" i="18"/>
  <c r="I93" i="18"/>
  <c r="O92" i="18"/>
  <c r="N92" i="18"/>
  <c r="M92" i="18"/>
  <c r="L92" i="18"/>
  <c r="K92" i="18"/>
  <c r="J92" i="18"/>
  <c r="I92" i="18"/>
  <c r="O91" i="18"/>
  <c r="N91" i="18"/>
  <c r="M91" i="18"/>
  <c r="L91" i="18"/>
  <c r="K91" i="18"/>
  <c r="J91" i="18"/>
  <c r="I91" i="18"/>
  <c r="O90" i="18"/>
  <c r="N90" i="18"/>
  <c r="M90" i="18"/>
  <c r="L90" i="18"/>
  <c r="K90" i="18"/>
  <c r="J90" i="18"/>
  <c r="I90" i="18"/>
  <c r="O89" i="18"/>
  <c r="N89" i="18"/>
  <c r="M89" i="18"/>
  <c r="L89" i="18"/>
  <c r="K89" i="18"/>
  <c r="J89" i="18"/>
  <c r="I89" i="18"/>
  <c r="O88" i="18"/>
  <c r="N88" i="18"/>
  <c r="M88" i="18"/>
  <c r="L88" i="18"/>
  <c r="K88" i="18"/>
  <c r="J88" i="18"/>
  <c r="I88" i="18"/>
  <c r="O87" i="18"/>
  <c r="N87" i="18"/>
  <c r="M87" i="18"/>
  <c r="L87" i="18"/>
  <c r="K87" i="18"/>
  <c r="J87" i="18"/>
  <c r="I87" i="18"/>
  <c r="O86" i="18"/>
  <c r="N86" i="18"/>
  <c r="M86" i="18"/>
  <c r="L86" i="18"/>
  <c r="K86" i="18"/>
  <c r="J86" i="18"/>
  <c r="I86" i="18"/>
  <c r="O85" i="18"/>
  <c r="N85" i="18"/>
  <c r="M85" i="18"/>
  <c r="L85" i="18"/>
  <c r="K85" i="18"/>
  <c r="J85" i="18"/>
  <c r="I85" i="18"/>
  <c r="O84" i="18"/>
  <c r="N84" i="18"/>
  <c r="M84" i="18"/>
  <c r="L84" i="18"/>
  <c r="K84" i="18"/>
  <c r="J84" i="18"/>
  <c r="I84" i="18"/>
  <c r="O83" i="18"/>
  <c r="N83" i="18"/>
  <c r="M83" i="18"/>
  <c r="L83" i="18"/>
  <c r="K83" i="18"/>
  <c r="J83" i="18"/>
  <c r="I83" i="18"/>
  <c r="O82" i="18"/>
  <c r="N82" i="18"/>
  <c r="M82" i="18"/>
  <c r="L82" i="18"/>
  <c r="K82" i="18"/>
  <c r="J82" i="18"/>
  <c r="I82" i="18"/>
  <c r="O81" i="18"/>
  <c r="N81" i="18"/>
  <c r="M81" i="18"/>
  <c r="L81" i="18"/>
  <c r="K81" i="18"/>
  <c r="J81" i="18"/>
  <c r="I81" i="18"/>
  <c r="O80" i="18"/>
  <c r="N80" i="18"/>
  <c r="M80" i="18"/>
  <c r="L80" i="18"/>
  <c r="K80" i="18"/>
  <c r="J80" i="18"/>
  <c r="I80" i="18"/>
  <c r="O79" i="18"/>
  <c r="N79" i="18"/>
  <c r="M79" i="18"/>
  <c r="L79" i="18"/>
  <c r="K79" i="18"/>
  <c r="J79" i="18"/>
  <c r="I79" i="18"/>
  <c r="O78" i="18"/>
  <c r="N78" i="18"/>
  <c r="M78" i="18"/>
  <c r="L78" i="18"/>
  <c r="K78" i="18"/>
  <c r="J78" i="18"/>
  <c r="I78" i="18"/>
  <c r="O77" i="18"/>
  <c r="N77" i="18"/>
  <c r="M77" i="18"/>
  <c r="L77" i="18"/>
  <c r="K77" i="18"/>
  <c r="J77" i="18"/>
  <c r="I77" i="18"/>
  <c r="O76" i="18"/>
  <c r="N76" i="18"/>
  <c r="M76" i="18"/>
  <c r="L76" i="18"/>
  <c r="K76" i="18"/>
  <c r="J76" i="18"/>
  <c r="I76" i="18"/>
  <c r="O75" i="18"/>
  <c r="N75" i="18"/>
  <c r="M75" i="18"/>
  <c r="L75" i="18"/>
  <c r="K75" i="18"/>
  <c r="J75" i="18"/>
  <c r="I75" i="18"/>
  <c r="O74" i="18"/>
  <c r="N74" i="18"/>
  <c r="M74" i="18"/>
  <c r="L74" i="18"/>
  <c r="K74" i="18"/>
  <c r="J74" i="18"/>
  <c r="I74" i="18"/>
  <c r="O73" i="18"/>
  <c r="N73" i="18"/>
  <c r="M73" i="18"/>
  <c r="L73" i="18"/>
  <c r="K73" i="18"/>
  <c r="J73" i="18"/>
  <c r="I73" i="18"/>
  <c r="O72" i="18"/>
  <c r="N72" i="18"/>
  <c r="M72" i="18"/>
  <c r="L72" i="18"/>
  <c r="K72" i="18"/>
  <c r="J72" i="18"/>
  <c r="I72" i="18"/>
  <c r="O71" i="18"/>
  <c r="N71" i="18"/>
  <c r="M71" i="18"/>
  <c r="L71" i="18"/>
  <c r="K71" i="18"/>
  <c r="J71" i="18"/>
  <c r="I71" i="18"/>
  <c r="O70" i="18"/>
  <c r="N70" i="18"/>
  <c r="M70" i="18"/>
  <c r="L70" i="18"/>
  <c r="K70" i="18"/>
  <c r="J70" i="18"/>
  <c r="I70" i="18"/>
  <c r="O69" i="18"/>
  <c r="N69" i="18"/>
  <c r="M69" i="18"/>
  <c r="L69" i="18"/>
  <c r="K69" i="18"/>
  <c r="J69" i="18"/>
  <c r="I69" i="18"/>
  <c r="O68" i="18"/>
  <c r="N68" i="18"/>
  <c r="M68" i="18"/>
  <c r="L68" i="18"/>
  <c r="K68" i="18"/>
  <c r="J68" i="18"/>
  <c r="I68" i="18"/>
  <c r="O67" i="18"/>
  <c r="N67" i="18"/>
  <c r="M67" i="18"/>
  <c r="L67" i="18"/>
  <c r="K67" i="18"/>
  <c r="J67" i="18"/>
  <c r="I67" i="18"/>
  <c r="O66" i="18"/>
  <c r="N66" i="18"/>
  <c r="M66" i="18"/>
  <c r="L66" i="18"/>
  <c r="K66" i="18"/>
  <c r="J66" i="18"/>
  <c r="I66" i="18"/>
  <c r="O65" i="18"/>
  <c r="N65" i="18"/>
  <c r="M65" i="18"/>
  <c r="L65" i="18"/>
  <c r="K65" i="18"/>
  <c r="J65" i="18"/>
  <c r="I65" i="18"/>
  <c r="O64" i="18"/>
  <c r="N64" i="18"/>
  <c r="M64" i="18"/>
  <c r="L64" i="18"/>
  <c r="K64" i="18"/>
  <c r="J64" i="18"/>
  <c r="I64" i="18"/>
  <c r="O63" i="18"/>
  <c r="N63" i="18"/>
  <c r="M63" i="18"/>
  <c r="L63" i="18"/>
  <c r="K63" i="18"/>
  <c r="J63" i="18"/>
  <c r="I63" i="18"/>
  <c r="O62" i="18"/>
  <c r="N62" i="18"/>
  <c r="M62" i="18"/>
  <c r="L62" i="18"/>
  <c r="K62" i="18"/>
  <c r="J62" i="18"/>
  <c r="I62" i="18"/>
  <c r="O61" i="18"/>
  <c r="N61" i="18"/>
  <c r="M61" i="18"/>
  <c r="L61" i="18"/>
  <c r="K61" i="18"/>
  <c r="J61" i="18"/>
  <c r="I61" i="18"/>
  <c r="O60" i="18"/>
  <c r="N60" i="18"/>
  <c r="M60" i="18"/>
  <c r="L60" i="18"/>
  <c r="K60" i="18"/>
  <c r="J60" i="18"/>
  <c r="I60" i="18"/>
  <c r="O59" i="18"/>
  <c r="N59" i="18"/>
  <c r="M59" i="18"/>
  <c r="L59" i="18"/>
  <c r="K59" i="18"/>
  <c r="J59" i="18"/>
  <c r="I59" i="18"/>
  <c r="O58" i="18"/>
  <c r="N58" i="18"/>
  <c r="M58" i="18"/>
  <c r="L58" i="18"/>
  <c r="K58" i="18"/>
  <c r="J58" i="18"/>
  <c r="I58" i="18"/>
  <c r="O57" i="18"/>
  <c r="N57" i="18"/>
  <c r="M57" i="18"/>
  <c r="L57" i="18"/>
  <c r="K57" i="18"/>
  <c r="J57" i="18"/>
  <c r="I57" i="18"/>
  <c r="O56" i="18"/>
  <c r="N56" i="18"/>
  <c r="M56" i="18"/>
  <c r="L56" i="18"/>
  <c r="K56" i="18"/>
  <c r="J56" i="18"/>
  <c r="I56" i="18"/>
  <c r="O55" i="18"/>
  <c r="N55" i="18"/>
  <c r="M55" i="18"/>
  <c r="L55" i="18"/>
  <c r="K55" i="18"/>
  <c r="J55" i="18"/>
  <c r="I55" i="18"/>
  <c r="O54" i="18"/>
  <c r="N54" i="18"/>
  <c r="M54" i="18"/>
  <c r="L54" i="18"/>
  <c r="K54" i="18"/>
  <c r="J54" i="18"/>
  <c r="I54" i="18"/>
  <c r="O53" i="18"/>
  <c r="N53" i="18"/>
  <c r="M53" i="18"/>
  <c r="L53" i="18"/>
  <c r="K53" i="18"/>
  <c r="J53" i="18"/>
  <c r="I53" i="18"/>
  <c r="O52" i="18"/>
  <c r="N52" i="18"/>
  <c r="M52" i="18"/>
  <c r="L52" i="18"/>
  <c r="K52" i="18"/>
  <c r="J52" i="18"/>
  <c r="I52" i="18"/>
  <c r="O51" i="18"/>
  <c r="N51" i="18"/>
  <c r="M51" i="18"/>
  <c r="L51" i="18"/>
  <c r="K51" i="18"/>
  <c r="J51" i="18"/>
  <c r="I51" i="18"/>
  <c r="O50" i="18"/>
  <c r="N50" i="18"/>
  <c r="M50" i="18"/>
  <c r="L50" i="18"/>
  <c r="K50" i="18"/>
  <c r="J50" i="18"/>
  <c r="I50" i="18"/>
  <c r="O49" i="18"/>
  <c r="N49" i="18"/>
  <c r="M49" i="18"/>
  <c r="L49" i="18"/>
  <c r="K49" i="18"/>
  <c r="J49" i="18"/>
  <c r="I49" i="18"/>
  <c r="O48" i="18"/>
  <c r="N48" i="18"/>
  <c r="M48" i="18"/>
  <c r="L48" i="18"/>
  <c r="K48" i="18"/>
  <c r="J48" i="18"/>
  <c r="I48" i="18"/>
  <c r="O47" i="18"/>
  <c r="N47" i="18"/>
  <c r="M47" i="18"/>
  <c r="L47" i="18"/>
  <c r="K47" i="18"/>
  <c r="J47" i="18"/>
  <c r="I47" i="18"/>
  <c r="O46" i="18"/>
  <c r="N46" i="18"/>
  <c r="M46" i="18"/>
  <c r="L46" i="18"/>
  <c r="K46" i="18"/>
  <c r="J46" i="18"/>
  <c r="I46" i="18"/>
  <c r="O45" i="18"/>
  <c r="N45" i="18"/>
  <c r="M45" i="18"/>
  <c r="L45" i="18"/>
  <c r="K45" i="18"/>
  <c r="J45" i="18"/>
  <c r="I45" i="18"/>
  <c r="O44" i="18"/>
  <c r="N44" i="18"/>
  <c r="M44" i="18"/>
  <c r="L44" i="18"/>
  <c r="K44" i="18"/>
  <c r="J44" i="18"/>
  <c r="I44" i="18"/>
  <c r="O43" i="18"/>
  <c r="N43" i="18"/>
  <c r="M43" i="18"/>
  <c r="L43" i="18"/>
  <c r="K43" i="18"/>
  <c r="J43" i="18"/>
  <c r="I43" i="18"/>
  <c r="O42" i="18"/>
  <c r="N42" i="18"/>
  <c r="M42" i="18"/>
  <c r="L42" i="18"/>
  <c r="K42" i="18"/>
  <c r="J42" i="18"/>
  <c r="I42" i="18"/>
  <c r="O41" i="18"/>
  <c r="N41" i="18"/>
  <c r="M41" i="18"/>
  <c r="L41" i="18"/>
  <c r="K41" i="18"/>
  <c r="J41" i="18"/>
  <c r="I41" i="18"/>
  <c r="O40" i="18"/>
  <c r="N40" i="18"/>
  <c r="M40" i="18"/>
  <c r="L40" i="18"/>
  <c r="K40" i="18"/>
  <c r="J40" i="18"/>
  <c r="I40" i="18"/>
  <c r="O39" i="18"/>
  <c r="N39" i="18"/>
  <c r="M39" i="18"/>
  <c r="L39" i="18"/>
  <c r="K39" i="18"/>
  <c r="J39" i="18"/>
  <c r="I39" i="18"/>
  <c r="O38" i="18"/>
  <c r="N38" i="18"/>
  <c r="M38" i="18"/>
  <c r="L38" i="18"/>
  <c r="K38" i="18"/>
  <c r="J38" i="18"/>
  <c r="I38" i="18"/>
  <c r="O37" i="18"/>
  <c r="N37" i="18"/>
  <c r="M37" i="18"/>
  <c r="L37" i="18"/>
  <c r="K37" i="18"/>
  <c r="J37" i="18"/>
  <c r="I37" i="18"/>
  <c r="O36" i="18"/>
  <c r="N36" i="18"/>
  <c r="M36" i="18"/>
  <c r="L36" i="18"/>
  <c r="K36" i="18"/>
  <c r="J36" i="18"/>
  <c r="I36" i="18"/>
  <c r="O35" i="18"/>
  <c r="N35" i="18"/>
  <c r="M35" i="18"/>
  <c r="L35" i="18"/>
  <c r="K35" i="18"/>
  <c r="J35" i="18"/>
  <c r="I35" i="18"/>
  <c r="O34" i="18"/>
  <c r="N34" i="18"/>
  <c r="M34" i="18"/>
  <c r="L34" i="18"/>
  <c r="K34" i="18"/>
  <c r="J34" i="18"/>
  <c r="I34" i="18"/>
  <c r="O33" i="18"/>
  <c r="N33" i="18"/>
  <c r="M33" i="18"/>
  <c r="L33" i="18"/>
  <c r="K33" i="18"/>
  <c r="J33" i="18"/>
  <c r="I33" i="18"/>
  <c r="O32" i="18"/>
  <c r="N32" i="18"/>
  <c r="M32" i="18"/>
  <c r="L32" i="18"/>
  <c r="K32" i="18"/>
  <c r="J32" i="18"/>
  <c r="I32" i="18"/>
  <c r="O31" i="18"/>
  <c r="N31" i="18"/>
  <c r="M31" i="18"/>
  <c r="L31" i="18"/>
  <c r="K31" i="18"/>
  <c r="J31" i="18"/>
  <c r="I31" i="18"/>
  <c r="O30" i="18"/>
  <c r="N30" i="18"/>
  <c r="M30" i="18"/>
  <c r="L30" i="18"/>
  <c r="K30" i="18"/>
  <c r="J30" i="18"/>
  <c r="I30" i="18"/>
  <c r="O29" i="18"/>
  <c r="N29" i="18"/>
  <c r="M29" i="18"/>
  <c r="L29" i="18"/>
  <c r="K29" i="18"/>
  <c r="J29" i="18"/>
  <c r="I29" i="18"/>
  <c r="O28" i="18"/>
  <c r="N28" i="18"/>
  <c r="M28" i="18"/>
  <c r="L28" i="18"/>
  <c r="K28" i="18"/>
  <c r="J28" i="18"/>
  <c r="I28" i="18"/>
  <c r="R27" i="18"/>
  <c r="Q27" i="18"/>
  <c r="O27" i="18"/>
  <c r="N27" i="18"/>
  <c r="M27" i="18"/>
  <c r="L27" i="18"/>
  <c r="K27" i="18"/>
  <c r="J27" i="18"/>
  <c r="I27" i="18"/>
  <c r="R26" i="18"/>
  <c r="Q26" i="18"/>
  <c r="O26" i="18"/>
  <c r="N26" i="18"/>
  <c r="M26" i="18"/>
  <c r="L26" i="18"/>
  <c r="K26" i="18"/>
  <c r="J26" i="18"/>
  <c r="I26" i="18"/>
  <c r="R25" i="18"/>
  <c r="Q25" i="18"/>
  <c r="O25" i="18"/>
  <c r="N25" i="18"/>
  <c r="M25" i="18"/>
  <c r="L25" i="18"/>
  <c r="K25" i="18"/>
  <c r="J25" i="18"/>
  <c r="I25" i="18"/>
  <c r="R24" i="18"/>
  <c r="Q24" i="18"/>
  <c r="O24" i="18"/>
  <c r="N24" i="18"/>
  <c r="M24" i="18"/>
  <c r="L24" i="18"/>
  <c r="K24" i="18"/>
  <c r="J24" i="18"/>
  <c r="I24" i="18"/>
  <c r="R23" i="18"/>
  <c r="Q23" i="18"/>
  <c r="O23" i="18"/>
  <c r="N23" i="18"/>
  <c r="M23" i="18"/>
  <c r="L23" i="18"/>
  <c r="K23" i="18"/>
  <c r="J23" i="18"/>
  <c r="I23" i="18"/>
  <c r="R22" i="18"/>
  <c r="Q22" i="18"/>
  <c r="O22" i="18"/>
  <c r="N22" i="18"/>
  <c r="M22" i="18"/>
  <c r="L22" i="18"/>
  <c r="K22" i="18"/>
  <c r="J22" i="18"/>
  <c r="I22" i="18"/>
  <c r="R21" i="18"/>
  <c r="Q21" i="18"/>
  <c r="O21" i="18"/>
  <c r="N21" i="18"/>
  <c r="M21" i="18"/>
  <c r="L21" i="18"/>
  <c r="K21" i="18"/>
  <c r="J21" i="18"/>
  <c r="I21" i="18"/>
  <c r="R20" i="18"/>
  <c r="Q20" i="18"/>
  <c r="O20" i="18"/>
  <c r="N20" i="18"/>
  <c r="M20" i="18"/>
  <c r="L20" i="18"/>
  <c r="K20" i="18"/>
  <c r="J20" i="18"/>
  <c r="I20" i="18"/>
  <c r="R19" i="18"/>
  <c r="Q19" i="18"/>
  <c r="O19" i="18"/>
  <c r="N19" i="18"/>
  <c r="M19" i="18"/>
  <c r="L19" i="18"/>
  <c r="K19" i="18"/>
  <c r="J19" i="18"/>
  <c r="I19" i="18"/>
  <c r="R18" i="18"/>
  <c r="Q18" i="18"/>
  <c r="O18" i="18"/>
  <c r="N18" i="18"/>
  <c r="M18" i="18"/>
  <c r="L18" i="18"/>
  <c r="K18" i="18"/>
  <c r="J18" i="18"/>
  <c r="I18" i="18"/>
  <c r="R17" i="18"/>
  <c r="Q17" i="18"/>
  <c r="O17" i="18"/>
  <c r="N17" i="18"/>
  <c r="M17" i="18"/>
  <c r="L17" i="18"/>
  <c r="K17" i="18"/>
  <c r="J17" i="18"/>
  <c r="I17" i="18"/>
  <c r="R16" i="18"/>
  <c r="Q16" i="18"/>
  <c r="O16" i="18"/>
  <c r="N16" i="18"/>
  <c r="M16" i="18"/>
  <c r="L16" i="18"/>
  <c r="K16" i="18"/>
  <c r="J16" i="18"/>
  <c r="I16" i="18"/>
  <c r="R15" i="18"/>
  <c r="Q15" i="18"/>
  <c r="O15" i="18"/>
  <c r="N15" i="18"/>
  <c r="M15" i="18"/>
  <c r="L15" i="18"/>
  <c r="K15" i="18"/>
  <c r="J15" i="18"/>
  <c r="I15" i="18"/>
  <c r="R14" i="18"/>
  <c r="Q14" i="18"/>
  <c r="O14" i="18"/>
  <c r="N14" i="18"/>
  <c r="M14" i="18"/>
  <c r="L14" i="18"/>
  <c r="K14" i="18"/>
  <c r="J14" i="18"/>
  <c r="I14" i="18"/>
  <c r="R13" i="18"/>
  <c r="Q13" i="18"/>
  <c r="O13" i="18"/>
  <c r="N13" i="18"/>
  <c r="M13" i="18"/>
  <c r="L13" i="18"/>
  <c r="K13" i="18"/>
  <c r="J13" i="18"/>
  <c r="I13" i="18"/>
  <c r="R12" i="18"/>
  <c r="Q12" i="18"/>
  <c r="O12" i="18"/>
  <c r="N12" i="18"/>
  <c r="M12" i="18"/>
  <c r="L12" i="18"/>
  <c r="K12" i="18"/>
  <c r="J12" i="18"/>
  <c r="I12" i="18"/>
  <c r="R11" i="18"/>
  <c r="Q11" i="18"/>
  <c r="O11" i="18"/>
  <c r="N11" i="18"/>
  <c r="M11" i="18"/>
  <c r="L11" i="18"/>
  <c r="K11" i="18"/>
  <c r="J11" i="18"/>
  <c r="I11" i="18"/>
  <c r="R10" i="18"/>
  <c r="Q10" i="18"/>
  <c r="O10" i="18"/>
  <c r="N10" i="18"/>
  <c r="M10" i="18"/>
  <c r="L10" i="18"/>
  <c r="K10" i="18"/>
  <c r="J10" i="18"/>
  <c r="I10" i="18"/>
  <c r="R9" i="18"/>
  <c r="Q9" i="18"/>
  <c r="O9" i="18"/>
  <c r="N9" i="18"/>
  <c r="M9" i="18"/>
  <c r="L9" i="18"/>
  <c r="K9" i="18"/>
  <c r="J9" i="18"/>
  <c r="I9" i="18"/>
  <c r="R8" i="18"/>
  <c r="Q8" i="18"/>
  <c r="O8" i="18"/>
  <c r="N8" i="18"/>
  <c r="M8" i="18"/>
  <c r="L8" i="18"/>
  <c r="K8" i="18"/>
  <c r="J8" i="18"/>
  <c r="I8" i="18"/>
  <c r="R7" i="18"/>
  <c r="Q7" i="18"/>
  <c r="O7" i="18"/>
  <c r="N7" i="18"/>
  <c r="M7" i="18"/>
  <c r="L7" i="18"/>
  <c r="K7" i="18"/>
  <c r="J7" i="18"/>
  <c r="I7" i="18"/>
  <c r="R6" i="18"/>
  <c r="Q6" i="18"/>
  <c r="O6" i="18"/>
  <c r="N6" i="18"/>
  <c r="M6" i="18"/>
  <c r="L6" i="18"/>
  <c r="K6" i="18"/>
  <c r="J6" i="18"/>
  <c r="I6" i="18"/>
  <c r="R5" i="18"/>
  <c r="Q5" i="18"/>
  <c r="O5" i="18"/>
  <c r="N5" i="18"/>
  <c r="M5" i="18"/>
  <c r="L5" i="18"/>
  <c r="K5" i="18"/>
  <c r="J5" i="18"/>
  <c r="I5" i="18"/>
  <c r="R4" i="18"/>
  <c r="Q4" i="18"/>
  <c r="O4" i="18"/>
  <c r="N4" i="18"/>
  <c r="M4" i="18"/>
  <c r="L4" i="18"/>
  <c r="K4" i="18"/>
  <c r="J4" i="18"/>
  <c r="I4" i="18"/>
  <c r="R3" i="18"/>
  <c r="Q3" i="18"/>
  <c r="O3" i="18"/>
  <c r="N3" i="18"/>
  <c r="M3" i="18"/>
  <c r="L3" i="18"/>
  <c r="K3" i="18"/>
  <c r="J3" i="18"/>
  <c r="I3" i="18"/>
  <c r="R2" i="18"/>
  <c r="Q2" i="18"/>
  <c r="O2" i="18"/>
  <c r="N2" i="18"/>
  <c r="M2" i="18"/>
  <c r="L2" i="18"/>
  <c r="K2" i="18"/>
  <c r="J2" i="18"/>
  <c r="I2" i="18"/>
  <c r="R1" i="18"/>
  <c r="Q1" i="18"/>
  <c r="O1" i="18"/>
  <c r="N1" i="18"/>
  <c r="M1" i="18"/>
  <c r="L1" i="18"/>
  <c r="K1" i="18"/>
  <c r="J1" i="18"/>
  <c r="I1" i="18"/>
  <c r="A71" i="17"/>
  <c r="O57" i="17"/>
  <c r="N57" i="17"/>
  <c r="M57" i="17"/>
  <c r="L57" i="17"/>
  <c r="K57" i="17"/>
  <c r="J57" i="17"/>
  <c r="I57" i="17"/>
  <c r="O56" i="17"/>
  <c r="N56" i="17"/>
  <c r="M56" i="17"/>
  <c r="L56" i="17"/>
  <c r="K56" i="17"/>
  <c r="J56" i="17"/>
  <c r="I56" i="17"/>
  <c r="O55" i="17"/>
  <c r="N55" i="17"/>
  <c r="M55" i="17"/>
  <c r="L55" i="17"/>
  <c r="K55" i="17"/>
  <c r="J55" i="17"/>
  <c r="I55" i="17"/>
  <c r="O54" i="17"/>
  <c r="N54" i="17"/>
  <c r="M54" i="17"/>
  <c r="L54" i="17"/>
  <c r="K54" i="17"/>
  <c r="J54" i="17"/>
  <c r="I54" i="17"/>
  <c r="O53" i="17"/>
  <c r="N53" i="17"/>
  <c r="M53" i="17"/>
  <c r="L53" i="17"/>
  <c r="K53" i="17"/>
  <c r="J53" i="17"/>
  <c r="I53" i="17"/>
  <c r="O52" i="17"/>
  <c r="N52" i="17"/>
  <c r="M52" i="17"/>
  <c r="L52" i="17"/>
  <c r="K52" i="17"/>
  <c r="J52" i="17"/>
  <c r="I52" i="17"/>
  <c r="O51" i="17"/>
  <c r="N51" i="17"/>
  <c r="M51" i="17"/>
  <c r="L51" i="17"/>
  <c r="K51" i="17"/>
  <c r="J51" i="17"/>
  <c r="I51" i="17"/>
  <c r="O50" i="17"/>
  <c r="N50" i="17"/>
  <c r="M50" i="17"/>
  <c r="L50" i="17"/>
  <c r="K50" i="17"/>
  <c r="J50" i="17"/>
  <c r="I50" i="17"/>
  <c r="O49" i="17"/>
  <c r="N49" i="17"/>
  <c r="M49" i="17"/>
  <c r="L49" i="17"/>
  <c r="K49" i="17"/>
  <c r="J49" i="17"/>
  <c r="I49" i="17"/>
  <c r="O48" i="17"/>
  <c r="N48" i="17"/>
  <c r="M48" i="17"/>
  <c r="L48" i="17"/>
  <c r="K48" i="17"/>
  <c r="J48" i="17"/>
  <c r="I48" i="17"/>
  <c r="O47" i="17"/>
  <c r="N47" i="17"/>
  <c r="M47" i="17"/>
  <c r="L47" i="17"/>
  <c r="K47" i="17"/>
  <c r="J47" i="17"/>
  <c r="I47" i="17"/>
  <c r="O46" i="17"/>
  <c r="N46" i="17"/>
  <c r="M46" i="17"/>
  <c r="L46" i="17"/>
  <c r="K46" i="17"/>
  <c r="J46" i="17"/>
  <c r="I46" i="17"/>
  <c r="O45" i="17"/>
  <c r="N45" i="17"/>
  <c r="M45" i="17"/>
  <c r="L45" i="17"/>
  <c r="K45" i="17"/>
  <c r="J45" i="17"/>
  <c r="I45" i="17"/>
  <c r="O44" i="17"/>
  <c r="N44" i="17"/>
  <c r="M44" i="17"/>
  <c r="L44" i="17"/>
  <c r="K44" i="17"/>
  <c r="J44" i="17"/>
  <c r="I44" i="17"/>
  <c r="O43" i="17"/>
  <c r="N43" i="17"/>
  <c r="M43" i="17"/>
  <c r="L43" i="17"/>
  <c r="K43" i="17"/>
  <c r="J43" i="17"/>
  <c r="I43" i="17"/>
  <c r="O42" i="17"/>
  <c r="N42" i="17"/>
  <c r="M42" i="17"/>
  <c r="L42" i="17"/>
  <c r="K42" i="17"/>
  <c r="J42" i="17"/>
  <c r="I42" i="17"/>
  <c r="O41" i="17"/>
  <c r="N41" i="17"/>
  <c r="M41" i="17"/>
  <c r="L41" i="17"/>
  <c r="K41" i="17"/>
  <c r="J41" i="17"/>
  <c r="I41" i="17"/>
  <c r="O40" i="17"/>
  <c r="N40" i="17"/>
  <c r="M40" i="17"/>
  <c r="L40" i="17"/>
  <c r="K40" i="17"/>
  <c r="J40" i="17"/>
  <c r="I40" i="17"/>
  <c r="O39" i="17"/>
  <c r="N39" i="17"/>
  <c r="M39" i="17"/>
  <c r="L39" i="17"/>
  <c r="K39" i="17"/>
  <c r="J39" i="17"/>
  <c r="I39" i="17"/>
  <c r="O38" i="17"/>
  <c r="N38" i="17"/>
  <c r="M38" i="17"/>
  <c r="L38" i="17"/>
  <c r="K38" i="17"/>
  <c r="J38" i="17"/>
  <c r="I38" i="17"/>
  <c r="O37" i="17"/>
  <c r="N37" i="17"/>
  <c r="M37" i="17"/>
  <c r="L37" i="17"/>
  <c r="K37" i="17"/>
  <c r="J37" i="17"/>
  <c r="I37" i="17"/>
  <c r="O36" i="17"/>
  <c r="N36" i="17"/>
  <c r="M36" i="17"/>
  <c r="L36" i="17"/>
  <c r="K36" i="17"/>
  <c r="J36" i="17"/>
  <c r="I36" i="17"/>
  <c r="O35" i="17"/>
  <c r="N35" i="17"/>
  <c r="M35" i="17"/>
  <c r="L35" i="17"/>
  <c r="K35" i="17"/>
  <c r="J35" i="17"/>
  <c r="I35" i="17"/>
  <c r="O34" i="17"/>
  <c r="N34" i="17"/>
  <c r="M34" i="17"/>
  <c r="L34" i="17"/>
  <c r="K34" i="17"/>
  <c r="J34" i="17"/>
  <c r="I34" i="17"/>
  <c r="O33" i="17"/>
  <c r="N33" i="17"/>
  <c r="M33" i="17"/>
  <c r="L33" i="17"/>
  <c r="K33" i="17"/>
  <c r="J33" i="17"/>
  <c r="I33" i="17"/>
  <c r="O32" i="17"/>
  <c r="N32" i="17"/>
  <c r="M32" i="17"/>
  <c r="L32" i="17"/>
  <c r="K32" i="17"/>
  <c r="J32" i="17"/>
  <c r="I32" i="17"/>
  <c r="O31" i="17"/>
  <c r="N31" i="17"/>
  <c r="M31" i="17"/>
  <c r="L31" i="17"/>
  <c r="K31" i="17"/>
  <c r="J31" i="17"/>
  <c r="I31" i="17"/>
  <c r="O30" i="17"/>
  <c r="N30" i="17"/>
  <c r="M30" i="17"/>
  <c r="L30" i="17"/>
  <c r="K30" i="17"/>
  <c r="J30" i="17"/>
  <c r="I30" i="17"/>
  <c r="O29" i="17"/>
  <c r="N29" i="17"/>
  <c r="M29" i="17"/>
  <c r="L29" i="17"/>
  <c r="K29" i="17"/>
  <c r="J29" i="17"/>
  <c r="I29" i="17"/>
  <c r="O28" i="17"/>
  <c r="N28" i="17"/>
  <c r="M28" i="17"/>
  <c r="L28" i="17"/>
  <c r="K28" i="17"/>
  <c r="J28" i="17"/>
  <c r="I28" i="17"/>
  <c r="R27" i="17"/>
  <c r="Q27" i="17"/>
  <c r="O27" i="17"/>
  <c r="N27" i="17"/>
  <c r="M27" i="17"/>
  <c r="L27" i="17"/>
  <c r="K27" i="17"/>
  <c r="J27" i="17"/>
  <c r="I27" i="17"/>
  <c r="R26" i="17"/>
  <c r="Q26" i="17"/>
  <c r="O26" i="17"/>
  <c r="N26" i="17"/>
  <c r="M26" i="17"/>
  <c r="L26" i="17"/>
  <c r="K26" i="17"/>
  <c r="J26" i="17"/>
  <c r="I26" i="17"/>
  <c r="R25" i="17"/>
  <c r="Q25" i="17"/>
  <c r="O25" i="17"/>
  <c r="N25" i="17"/>
  <c r="M25" i="17"/>
  <c r="L25" i="17"/>
  <c r="K25" i="17"/>
  <c r="J25" i="17"/>
  <c r="I25" i="17"/>
  <c r="R24" i="17"/>
  <c r="Q24" i="17"/>
  <c r="O24" i="17"/>
  <c r="N24" i="17"/>
  <c r="M24" i="17"/>
  <c r="L24" i="17"/>
  <c r="K24" i="17"/>
  <c r="J24" i="17"/>
  <c r="I24" i="17"/>
  <c r="R23" i="17"/>
  <c r="Q23" i="17"/>
  <c r="O23" i="17"/>
  <c r="N23" i="17"/>
  <c r="M23" i="17"/>
  <c r="L23" i="17"/>
  <c r="K23" i="17"/>
  <c r="J23" i="17"/>
  <c r="I23" i="17"/>
  <c r="R22" i="17"/>
  <c r="Q22" i="17"/>
  <c r="O22" i="17"/>
  <c r="N22" i="17"/>
  <c r="M22" i="17"/>
  <c r="L22" i="17"/>
  <c r="K22" i="17"/>
  <c r="J22" i="17"/>
  <c r="I22" i="17"/>
  <c r="R21" i="17"/>
  <c r="Q21" i="17"/>
  <c r="O21" i="17"/>
  <c r="N21" i="17"/>
  <c r="M21" i="17"/>
  <c r="L21" i="17"/>
  <c r="K21" i="17"/>
  <c r="J21" i="17"/>
  <c r="I21" i="17"/>
  <c r="R20" i="17"/>
  <c r="Q20" i="17"/>
  <c r="O20" i="17"/>
  <c r="N20" i="17"/>
  <c r="M20" i="17"/>
  <c r="L20" i="17"/>
  <c r="K20" i="17"/>
  <c r="J20" i="17"/>
  <c r="I20" i="17"/>
  <c r="R19" i="17"/>
  <c r="Q19" i="17"/>
  <c r="O19" i="17"/>
  <c r="N19" i="17"/>
  <c r="M19" i="17"/>
  <c r="L19" i="17"/>
  <c r="K19" i="17"/>
  <c r="J19" i="17"/>
  <c r="I19" i="17"/>
  <c r="R18" i="17"/>
  <c r="Q18" i="17"/>
  <c r="O18" i="17"/>
  <c r="N18" i="17"/>
  <c r="M18" i="17"/>
  <c r="L18" i="17"/>
  <c r="K18" i="17"/>
  <c r="J18" i="17"/>
  <c r="I18" i="17"/>
  <c r="R17" i="17"/>
  <c r="Q17" i="17"/>
  <c r="O17" i="17"/>
  <c r="N17" i="17"/>
  <c r="M17" i="17"/>
  <c r="L17" i="17"/>
  <c r="K17" i="17"/>
  <c r="J17" i="17"/>
  <c r="I17" i="17"/>
  <c r="R16" i="17"/>
  <c r="Q16" i="17"/>
  <c r="O16" i="17"/>
  <c r="N16" i="17"/>
  <c r="M16" i="17"/>
  <c r="L16" i="17"/>
  <c r="K16" i="17"/>
  <c r="J16" i="17"/>
  <c r="I16" i="17"/>
  <c r="R15" i="17"/>
  <c r="Q15" i="17"/>
  <c r="O15" i="17"/>
  <c r="N15" i="17"/>
  <c r="M15" i="17"/>
  <c r="L15" i="17"/>
  <c r="K15" i="17"/>
  <c r="J15" i="17"/>
  <c r="I15" i="17"/>
  <c r="R14" i="17"/>
  <c r="Q14" i="17"/>
  <c r="O14" i="17"/>
  <c r="N14" i="17"/>
  <c r="M14" i="17"/>
  <c r="L14" i="17"/>
  <c r="K14" i="17"/>
  <c r="J14" i="17"/>
  <c r="I14" i="17"/>
  <c r="R13" i="17"/>
  <c r="Q13" i="17"/>
  <c r="O13" i="17"/>
  <c r="N13" i="17"/>
  <c r="M13" i="17"/>
  <c r="L13" i="17"/>
  <c r="K13" i="17"/>
  <c r="J13" i="17"/>
  <c r="I13" i="17"/>
  <c r="R12" i="17"/>
  <c r="Q12" i="17"/>
  <c r="O12" i="17"/>
  <c r="N12" i="17"/>
  <c r="M12" i="17"/>
  <c r="L12" i="17"/>
  <c r="K12" i="17"/>
  <c r="J12" i="17"/>
  <c r="I12" i="17"/>
  <c r="R11" i="17"/>
  <c r="Q11" i="17"/>
  <c r="O11" i="17"/>
  <c r="N11" i="17"/>
  <c r="M11" i="17"/>
  <c r="L11" i="17"/>
  <c r="K11" i="17"/>
  <c r="J11" i="17"/>
  <c r="I11" i="17"/>
  <c r="R10" i="17"/>
  <c r="Q10" i="17"/>
  <c r="O10" i="17"/>
  <c r="N10" i="17"/>
  <c r="M10" i="17"/>
  <c r="L10" i="17"/>
  <c r="K10" i="17"/>
  <c r="J10" i="17"/>
  <c r="I10" i="17"/>
  <c r="R9" i="17"/>
  <c r="Q9" i="17"/>
  <c r="O9" i="17"/>
  <c r="N9" i="17"/>
  <c r="M9" i="17"/>
  <c r="L9" i="17"/>
  <c r="K9" i="17"/>
  <c r="J9" i="17"/>
  <c r="I9" i="17"/>
  <c r="R8" i="17"/>
  <c r="Q8" i="17"/>
  <c r="O8" i="17"/>
  <c r="N8" i="17"/>
  <c r="M8" i="17"/>
  <c r="L8" i="17"/>
  <c r="K8" i="17"/>
  <c r="J8" i="17"/>
  <c r="I8" i="17"/>
  <c r="R7" i="17"/>
  <c r="Q7" i="17"/>
  <c r="O7" i="17"/>
  <c r="N7" i="17"/>
  <c r="M7" i="17"/>
  <c r="L7" i="17"/>
  <c r="K7" i="17"/>
  <c r="J7" i="17"/>
  <c r="I7" i="17"/>
  <c r="R6" i="17"/>
  <c r="Q6" i="17"/>
  <c r="O6" i="17"/>
  <c r="N6" i="17"/>
  <c r="M6" i="17"/>
  <c r="L6" i="17"/>
  <c r="K6" i="17"/>
  <c r="J6" i="17"/>
  <c r="I6" i="17"/>
  <c r="R5" i="17"/>
  <c r="Q5" i="17"/>
  <c r="O5" i="17"/>
  <c r="N5" i="17"/>
  <c r="M5" i="17"/>
  <c r="L5" i="17"/>
  <c r="K5" i="17"/>
  <c r="J5" i="17"/>
  <c r="I5" i="17"/>
  <c r="R4" i="17"/>
  <c r="Q4" i="17"/>
  <c r="O4" i="17"/>
  <c r="N4" i="17"/>
  <c r="M4" i="17"/>
  <c r="L4" i="17"/>
  <c r="K4" i="17"/>
  <c r="J4" i="17"/>
  <c r="I4" i="17"/>
  <c r="R3" i="17"/>
  <c r="Q3" i="17"/>
  <c r="O3" i="17"/>
  <c r="N3" i="17"/>
  <c r="M3" i="17"/>
  <c r="L3" i="17"/>
  <c r="K3" i="17"/>
  <c r="J3" i="17"/>
  <c r="I3" i="17"/>
  <c r="R2" i="17"/>
  <c r="Q2" i="17"/>
  <c r="O2" i="17"/>
  <c r="N2" i="17"/>
  <c r="M2" i="17"/>
  <c r="L2" i="17"/>
  <c r="K2" i="17"/>
  <c r="J2" i="17"/>
  <c r="I2" i="17"/>
  <c r="R1" i="17"/>
  <c r="Q1" i="17"/>
  <c r="O1" i="17"/>
  <c r="N1" i="17"/>
  <c r="M1" i="17"/>
  <c r="L1" i="17"/>
  <c r="K1" i="17"/>
  <c r="J1" i="17"/>
  <c r="I1" i="17"/>
  <c r="A231" i="16"/>
  <c r="O125" i="16"/>
  <c r="N125" i="16"/>
  <c r="M125" i="16"/>
  <c r="L125" i="16"/>
  <c r="K125" i="16"/>
  <c r="J125" i="16"/>
  <c r="I125" i="16"/>
  <c r="O124" i="16"/>
  <c r="N124" i="16"/>
  <c r="M124" i="16"/>
  <c r="L124" i="16"/>
  <c r="K124" i="16"/>
  <c r="J124" i="16"/>
  <c r="I124" i="16"/>
  <c r="O123" i="16"/>
  <c r="N123" i="16"/>
  <c r="M123" i="16"/>
  <c r="L123" i="16"/>
  <c r="K123" i="16"/>
  <c r="J123" i="16"/>
  <c r="I123" i="16"/>
  <c r="O122" i="16"/>
  <c r="N122" i="16"/>
  <c r="M122" i="16"/>
  <c r="L122" i="16"/>
  <c r="K122" i="16"/>
  <c r="J122" i="16"/>
  <c r="I122" i="16"/>
  <c r="O121" i="16"/>
  <c r="N121" i="16"/>
  <c r="M121" i="16"/>
  <c r="L121" i="16"/>
  <c r="K121" i="16"/>
  <c r="J121" i="16"/>
  <c r="I121" i="16"/>
  <c r="O120" i="16"/>
  <c r="N120" i="16"/>
  <c r="M120" i="16"/>
  <c r="L120" i="16"/>
  <c r="K120" i="16"/>
  <c r="J120" i="16"/>
  <c r="I120" i="16"/>
  <c r="O119" i="16"/>
  <c r="N119" i="16"/>
  <c r="M119" i="16"/>
  <c r="L119" i="16"/>
  <c r="K119" i="16"/>
  <c r="J119" i="16"/>
  <c r="I119" i="16"/>
  <c r="O118" i="16"/>
  <c r="N118" i="16"/>
  <c r="M118" i="16"/>
  <c r="L118" i="16"/>
  <c r="K118" i="16"/>
  <c r="J118" i="16"/>
  <c r="I118" i="16"/>
  <c r="O117" i="16"/>
  <c r="N117" i="16"/>
  <c r="M117" i="16"/>
  <c r="L117" i="16"/>
  <c r="K117" i="16"/>
  <c r="J117" i="16"/>
  <c r="I117" i="16"/>
  <c r="O116" i="16"/>
  <c r="N116" i="16"/>
  <c r="M116" i="16"/>
  <c r="L116" i="16"/>
  <c r="K116" i="16"/>
  <c r="J116" i="16"/>
  <c r="I116" i="16"/>
  <c r="O115" i="16"/>
  <c r="N115" i="16"/>
  <c r="M115" i="16"/>
  <c r="L115" i="16"/>
  <c r="K115" i="16"/>
  <c r="J115" i="16"/>
  <c r="I115" i="16"/>
  <c r="O114" i="16"/>
  <c r="N114" i="16"/>
  <c r="M114" i="16"/>
  <c r="L114" i="16"/>
  <c r="K114" i="16"/>
  <c r="J114" i="16"/>
  <c r="I114" i="16"/>
  <c r="O113" i="16"/>
  <c r="N113" i="16"/>
  <c r="M113" i="16"/>
  <c r="L113" i="16"/>
  <c r="K113" i="16"/>
  <c r="J113" i="16"/>
  <c r="I113" i="16"/>
  <c r="O112" i="16"/>
  <c r="N112" i="16"/>
  <c r="M112" i="16"/>
  <c r="L112" i="16"/>
  <c r="K112" i="16"/>
  <c r="J112" i="16"/>
  <c r="I112" i="16"/>
  <c r="O111" i="16"/>
  <c r="N111" i="16"/>
  <c r="M111" i="16"/>
  <c r="L111" i="16"/>
  <c r="K111" i="16"/>
  <c r="J111" i="16"/>
  <c r="I111" i="16"/>
  <c r="O110" i="16"/>
  <c r="N110" i="16"/>
  <c r="M110" i="16"/>
  <c r="L110" i="16"/>
  <c r="K110" i="16"/>
  <c r="J110" i="16"/>
  <c r="I110" i="16"/>
  <c r="O109" i="16"/>
  <c r="N109" i="16"/>
  <c r="M109" i="16"/>
  <c r="L109" i="16"/>
  <c r="K109" i="16"/>
  <c r="J109" i="16"/>
  <c r="I109" i="16"/>
  <c r="O108" i="16"/>
  <c r="N108" i="16"/>
  <c r="M108" i="16"/>
  <c r="L108" i="16"/>
  <c r="K108" i="16"/>
  <c r="J108" i="16"/>
  <c r="I108" i="16"/>
  <c r="O107" i="16"/>
  <c r="N107" i="16"/>
  <c r="M107" i="16"/>
  <c r="L107" i="16"/>
  <c r="K107" i="16"/>
  <c r="J107" i="16"/>
  <c r="I107" i="16"/>
  <c r="O106" i="16"/>
  <c r="N106" i="16"/>
  <c r="M106" i="16"/>
  <c r="L106" i="16"/>
  <c r="K106" i="16"/>
  <c r="J106" i="16"/>
  <c r="I106" i="16"/>
  <c r="O105" i="16"/>
  <c r="N105" i="16"/>
  <c r="M105" i="16"/>
  <c r="L105" i="16"/>
  <c r="K105" i="16"/>
  <c r="J105" i="16"/>
  <c r="I105" i="16"/>
  <c r="O104" i="16"/>
  <c r="N104" i="16"/>
  <c r="M104" i="16"/>
  <c r="L104" i="16"/>
  <c r="K104" i="16"/>
  <c r="J104" i="16"/>
  <c r="I104" i="16"/>
  <c r="O103" i="16"/>
  <c r="N103" i="16"/>
  <c r="M103" i="16"/>
  <c r="L103" i="16"/>
  <c r="K103" i="16"/>
  <c r="J103" i="16"/>
  <c r="I103" i="16"/>
  <c r="O102" i="16"/>
  <c r="N102" i="16"/>
  <c r="M102" i="16"/>
  <c r="L102" i="16"/>
  <c r="K102" i="16"/>
  <c r="J102" i="16"/>
  <c r="I102" i="16"/>
  <c r="O101" i="16"/>
  <c r="N101" i="16"/>
  <c r="M101" i="16"/>
  <c r="L101" i="16"/>
  <c r="K101" i="16"/>
  <c r="J101" i="16"/>
  <c r="I101" i="16"/>
  <c r="O100" i="16"/>
  <c r="N100" i="16"/>
  <c r="M100" i="16"/>
  <c r="L100" i="16"/>
  <c r="K100" i="16"/>
  <c r="J100" i="16"/>
  <c r="I100" i="16"/>
  <c r="O99" i="16"/>
  <c r="N99" i="16"/>
  <c r="M99" i="16"/>
  <c r="L99" i="16"/>
  <c r="K99" i="16"/>
  <c r="J99" i="16"/>
  <c r="I99" i="16"/>
  <c r="O98" i="16"/>
  <c r="N98" i="16"/>
  <c r="M98" i="16"/>
  <c r="L98" i="16"/>
  <c r="K98" i="16"/>
  <c r="J98" i="16"/>
  <c r="I98" i="16"/>
  <c r="O97" i="16"/>
  <c r="N97" i="16"/>
  <c r="M97" i="16"/>
  <c r="L97" i="16"/>
  <c r="K97" i="16"/>
  <c r="J97" i="16"/>
  <c r="I97" i="16"/>
  <c r="O96" i="16"/>
  <c r="N96" i="16"/>
  <c r="M96" i="16"/>
  <c r="L96" i="16"/>
  <c r="K96" i="16"/>
  <c r="J96" i="16"/>
  <c r="I96" i="16"/>
  <c r="O95" i="16"/>
  <c r="N95" i="16"/>
  <c r="M95" i="16"/>
  <c r="L95" i="16"/>
  <c r="K95" i="16"/>
  <c r="J95" i="16"/>
  <c r="I95" i="16"/>
  <c r="O94" i="16"/>
  <c r="N94" i="16"/>
  <c r="M94" i="16"/>
  <c r="L94" i="16"/>
  <c r="K94" i="16"/>
  <c r="J94" i="16"/>
  <c r="I94" i="16"/>
  <c r="O93" i="16"/>
  <c r="N93" i="16"/>
  <c r="M93" i="16"/>
  <c r="L93" i="16"/>
  <c r="K93" i="16"/>
  <c r="J93" i="16"/>
  <c r="I93" i="16"/>
  <c r="O92" i="16"/>
  <c r="N92" i="16"/>
  <c r="M92" i="16"/>
  <c r="L92" i="16"/>
  <c r="K92" i="16"/>
  <c r="J92" i="16"/>
  <c r="I92" i="16"/>
  <c r="O91" i="16"/>
  <c r="N91" i="16"/>
  <c r="M91" i="16"/>
  <c r="L91" i="16"/>
  <c r="K91" i="16"/>
  <c r="J91" i="16"/>
  <c r="I91" i="16"/>
  <c r="O90" i="16"/>
  <c r="N90" i="16"/>
  <c r="M90" i="16"/>
  <c r="L90" i="16"/>
  <c r="K90" i="16"/>
  <c r="J90" i="16"/>
  <c r="I90" i="16"/>
  <c r="O89" i="16"/>
  <c r="N89" i="16"/>
  <c r="M89" i="16"/>
  <c r="L89" i="16"/>
  <c r="K89" i="16"/>
  <c r="J89" i="16"/>
  <c r="I89" i="16"/>
  <c r="O88" i="16"/>
  <c r="N88" i="16"/>
  <c r="M88" i="16"/>
  <c r="L88" i="16"/>
  <c r="K88" i="16"/>
  <c r="J88" i="16"/>
  <c r="I88" i="16"/>
  <c r="O87" i="16"/>
  <c r="N87" i="16"/>
  <c r="M87" i="16"/>
  <c r="L87" i="16"/>
  <c r="K87" i="16"/>
  <c r="J87" i="16"/>
  <c r="I87" i="16"/>
  <c r="O86" i="16"/>
  <c r="N86" i="16"/>
  <c r="M86" i="16"/>
  <c r="L86" i="16"/>
  <c r="K86" i="16"/>
  <c r="J86" i="16"/>
  <c r="I86" i="16"/>
  <c r="O85" i="16"/>
  <c r="N85" i="16"/>
  <c r="M85" i="16"/>
  <c r="L85" i="16"/>
  <c r="K85" i="16"/>
  <c r="J85" i="16"/>
  <c r="I85" i="16"/>
  <c r="O84" i="16"/>
  <c r="N84" i="16"/>
  <c r="M84" i="16"/>
  <c r="L84" i="16"/>
  <c r="K84" i="16"/>
  <c r="J84" i="16"/>
  <c r="I84" i="16"/>
  <c r="O83" i="16"/>
  <c r="N83" i="16"/>
  <c r="M83" i="16"/>
  <c r="L83" i="16"/>
  <c r="K83" i="16"/>
  <c r="J83" i="16"/>
  <c r="I83" i="16"/>
  <c r="O82" i="16"/>
  <c r="N82" i="16"/>
  <c r="M82" i="16"/>
  <c r="L82" i="16"/>
  <c r="K82" i="16"/>
  <c r="J82" i="16"/>
  <c r="I82" i="16"/>
  <c r="O81" i="16"/>
  <c r="N81" i="16"/>
  <c r="M81" i="16"/>
  <c r="L81" i="16"/>
  <c r="K81" i="16"/>
  <c r="J81" i="16"/>
  <c r="I81" i="16"/>
  <c r="O80" i="16"/>
  <c r="N80" i="16"/>
  <c r="M80" i="16"/>
  <c r="L80" i="16"/>
  <c r="K80" i="16"/>
  <c r="J80" i="16"/>
  <c r="I80" i="16"/>
  <c r="O79" i="16"/>
  <c r="N79" i="16"/>
  <c r="M79" i="16"/>
  <c r="L79" i="16"/>
  <c r="K79" i="16"/>
  <c r="J79" i="16"/>
  <c r="I79" i="16"/>
  <c r="O78" i="16"/>
  <c r="N78" i="16"/>
  <c r="M78" i="16"/>
  <c r="L78" i="16"/>
  <c r="K78" i="16"/>
  <c r="J78" i="16"/>
  <c r="I78" i="16"/>
  <c r="O77" i="16"/>
  <c r="N77" i="16"/>
  <c r="M77" i="16"/>
  <c r="L77" i="16"/>
  <c r="K77" i="16"/>
  <c r="J77" i="16"/>
  <c r="I77" i="16"/>
  <c r="O76" i="16"/>
  <c r="N76" i="16"/>
  <c r="M76" i="16"/>
  <c r="L76" i="16"/>
  <c r="K76" i="16"/>
  <c r="J76" i="16"/>
  <c r="I76" i="16"/>
  <c r="O75" i="16"/>
  <c r="N75" i="16"/>
  <c r="M75" i="16"/>
  <c r="L75" i="16"/>
  <c r="K75" i="16"/>
  <c r="J75" i="16"/>
  <c r="I75" i="16"/>
  <c r="O74" i="16"/>
  <c r="N74" i="16"/>
  <c r="M74" i="16"/>
  <c r="L74" i="16"/>
  <c r="K74" i="16"/>
  <c r="J74" i="16"/>
  <c r="I74" i="16"/>
  <c r="O73" i="16"/>
  <c r="N73" i="16"/>
  <c r="M73" i="16"/>
  <c r="L73" i="16"/>
  <c r="K73" i="16"/>
  <c r="J73" i="16"/>
  <c r="I73" i="16"/>
  <c r="O72" i="16"/>
  <c r="N72" i="16"/>
  <c r="M72" i="16"/>
  <c r="L72" i="16"/>
  <c r="K72" i="16"/>
  <c r="J72" i="16"/>
  <c r="I72" i="16"/>
  <c r="O71" i="16"/>
  <c r="N71" i="16"/>
  <c r="M71" i="16"/>
  <c r="L71" i="16"/>
  <c r="K71" i="16"/>
  <c r="J71" i="16"/>
  <c r="I71" i="16"/>
  <c r="O70" i="16"/>
  <c r="N70" i="16"/>
  <c r="M70" i="16"/>
  <c r="L70" i="16"/>
  <c r="K70" i="16"/>
  <c r="J70" i="16"/>
  <c r="I70" i="16"/>
  <c r="O69" i="16"/>
  <c r="N69" i="16"/>
  <c r="M69" i="16"/>
  <c r="L69" i="16"/>
  <c r="K69" i="16"/>
  <c r="J69" i="16"/>
  <c r="I69" i="16"/>
  <c r="O68" i="16"/>
  <c r="N68" i="16"/>
  <c r="M68" i="16"/>
  <c r="L68" i="16"/>
  <c r="K68" i="16"/>
  <c r="J68" i="16"/>
  <c r="I68" i="16"/>
  <c r="O67" i="16"/>
  <c r="N67" i="16"/>
  <c r="M67" i="16"/>
  <c r="L67" i="16"/>
  <c r="K67" i="16"/>
  <c r="J67" i="16"/>
  <c r="I67" i="16"/>
  <c r="O66" i="16"/>
  <c r="N66" i="16"/>
  <c r="M66" i="16"/>
  <c r="L66" i="16"/>
  <c r="K66" i="16"/>
  <c r="J66" i="16"/>
  <c r="I66" i="16"/>
  <c r="O65" i="16"/>
  <c r="N65" i="16"/>
  <c r="M65" i="16"/>
  <c r="L65" i="16"/>
  <c r="K65" i="16"/>
  <c r="J65" i="16"/>
  <c r="I65" i="16"/>
  <c r="O64" i="16"/>
  <c r="N64" i="16"/>
  <c r="M64" i="16"/>
  <c r="L64" i="16"/>
  <c r="K64" i="16"/>
  <c r="J64" i="16"/>
  <c r="I64" i="16"/>
  <c r="O63" i="16"/>
  <c r="N63" i="16"/>
  <c r="M63" i="16"/>
  <c r="L63" i="16"/>
  <c r="K63" i="16"/>
  <c r="J63" i="16"/>
  <c r="I63" i="16"/>
  <c r="O62" i="16"/>
  <c r="N62" i="16"/>
  <c r="M62" i="16"/>
  <c r="L62" i="16"/>
  <c r="K62" i="16"/>
  <c r="J62" i="16"/>
  <c r="I62" i="16"/>
  <c r="O61" i="16"/>
  <c r="N61" i="16"/>
  <c r="M61" i="16"/>
  <c r="L61" i="16"/>
  <c r="K61" i="16"/>
  <c r="J61" i="16"/>
  <c r="I61" i="16"/>
  <c r="O60" i="16"/>
  <c r="N60" i="16"/>
  <c r="M60" i="16"/>
  <c r="L60" i="16"/>
  <c r="K60" i="16"/>
  <c r="J60" i="16"/>
  <c r="I60" i="16"/>
  <c r="O59" i="16"/>
  <c r="N59" i="16"/>
  <c r="M59" i="16"/>
  <c r="L59" i="16"/>
  <c r="K59" i="16"/>
  <c r="J59" i="16"/>
  <c r="I59" i="16"/>
  <c r="O58" i="16"/>
  <c r="N58" i="16"/>
  <c r="M58" i="16"/>
  <c r="L58" i="16"/>
  <c r="K58" i="16"/>
  <c r="J58" i="16"/>
  <c r="I58" i="16"/>
  <c r="O57" i="16"/>
  <c r="N57" i="16"/>
  <c r="M57" i="16"/>
  <c r="L57" i="16"/>
  <c r="K57" i="16"/>
  <c r="J57" i="16"/>
  <c r="I57" i="16"/>
  <c r="O56" i="16"/>
  <c r="N56" i="16"/>
  <c r="M56" i="16"/>
  <c r="L56" i="16"/>
  <c r="K56" i="16"/>
  <c r="J56" i="16"/>
  <c r="I56" i="16"/>
  <c r="O55" i="16"/>
  <c r="N55" i="16"/>
  <c r="M55" i="16"/>
  <c r="L55" i="16"/>
  <c r="K55" i="16"/>
  <c r="J55" i="16"/>
  <c r="I55" i="16"/>
  <c r="O54" i="16"/>
  <c r="N54" i="16"/>
  <c r="M54" i="16"/>
  <c r="L54" i="16"/>
  <c r="K54" i="16"/>
  <c r="J54" i="16"/>
  <c r="I54" i="16"/>
  <c r="O53" i="16"/>
  <c r="N53" i="16"/>
  <c r="M53" i="16"/>
  <c r="L53" i="16"/>
  <c r="K53" i="16"/>
  <c r="J53" i="16"/>
  <c r="I53" i="16"/>
  <c r="O52" i="16"/>
  <c r="N52" i="16"/>
  <c r="M52" i="16"/>
  <c r="L52" i="16"/>
  <c r="K52" i="16"/>
  <c r="J52" i="16"/>
  <c r="I52" i="16"/>
  <c r="O51" i="16"/>
  <c r="N51" i="16"/>
  <c r="M51" i="16"/>
  <c r="L51" i="16"/>
  <c r="K51" i="16"/>
  <c r="J51" i="16"/>
  <c r="I51" i="16"/>
  <c r="O50" i="16"/>
  <c r="N50" i="16"/>
  <c r="M50" i="16"/>
  <c r="L50" i="16"/>
  <c r="K50" i="16"/>
  <c r="J50" i="16"/>
  <c r="I50" i="16"/>
  <c r="O49" i="16"/>
  <c r="N49" i="16"/>
  <c r="M49" i="16"/>
  <c r="L49" i="16"/>
  <c r="K49" i="16"/>
  <c r="J49" i="16"/>
  <c r="I49" i="16"/>
  <c r="O48" i="16"/>
  <c r="N48" i="16"/>
  <c r="M48" i="16"/>
  <c r="L48" i="16"/>
  <c r="K48" i="16"/>
  <c r="J48" i="16"/>
  <c r="I48" i="16"/>
  <c r="O47" i="16"/>
  <c r="N47" i="16"/>
  <c r="M47" i="16"/>
  <c r="L47" i="16"/>
  <c r="K47" i="16"/>
  <c r="J47" i="16"/>
  <c r="I47" i="16"/>
  <c r="O46" i="16"/>
  <c r="N46" i="16"/>
  <c r="M46" i="16"/>
  <c r="L46" i="16"/>
  <c r="K46" i="16"/>
  <c r="J46" i="16"/>
  <c r="I46" i="16"/>
  <c r="O45" i="16"/>
  <c r="N45" i="16"/>
  <c r="M45" i="16"/>
  <c r="L45" i="16"/>
  <c r="K45" i="16"/>
  <c r="J45" i="16"/>
  <c r="I45" i="16"/>
  <c r="O44" i="16"/>
  <c r="N44" i="16"/>
  <c r="M44" i="16"/>
  <c r="L44" i="16"/>
  <c r="K44" i="16"/>
  <c r="J44" i="16"/>
  <c r="I44" i="16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O38" i="16"/>
  <c r="N38" i="16"/>
  <c r="M38" i="16"/>
  <c r="L38" i="16"/>
  <c r="K38" i="16"/>
  <c r="J38" i="16"/>
  <c r="I38" i="16"/>
  <c r="O37" i="16"/>
  <c r="N37" i="16"/>
  <c r="M37" i="16"/>
  <c r="L37" i="16"/>
  <c r="K37" i="16"/>
  <c r="J37" i="16"/>
  <c r="I37" i="16"/>
  <c r="O36" i="16"/>
  <c r="N36" i="16"/>
  <c r="M36" i="16"/>
  <c r="L36" i="16"/>
  <c r="K36" i="16"/>
  <c r="J36" i="16"/>
  <c r="I36" i="16"/>
  <c r="O35" i="16"/>
  <c r="N35" i="16"/>
  <c r="M35" i="16"/>
  <c r="L35" i="16"/>
  <c r="K35" i="16"/>
  <c r="J35" i="16"/>
  <c r="I35" i="16"/>
  <c r="O34" i="16"/>
  <c r="N34" i="16"/>
  <c r="M34" i="16"/>
  <c r="L34" i="16"/>
  <c r="K34" i="16"/>
  <c r="J34" i="16"/>
  <c r="I34" i="16"/>
  <c r="O33" i="16"/>
  <c r="N33" i="16"/>
  <c r="M33" i="16"/>
  <c r="L33" i="16"/>
  <c r="K33" i="16"/>
  <c r="J33" i="16"/>
  <c r="I33" i="16"/>
  <c r="O32" i="16"/>
  <c r="N32" i="16"/>
  <c r="M32" i="16"/>
  <c r="L32" i="16"/>
  <c r="K32" i="16"/>
  <c r="J32" i="16"/>
  <c r="I32" i="16"/>
  <c r="O31" i="16"/>
  <c r="N31" i="16"/>
  <c r="M31" i="16"/>
  <c r="L31" i="16"/>
  <c r="K31" i="16"/>
  <c r="J31" i="16"/>
  <c r="I31" i="16"/>
  <c r="O30" i="16"/>
  <c r="N30" i="16"/>
  <c r="M30" i="16"/>
  <c r="L30" i="16"/>
  <c r="K30" i="16"/>
  <c r="J30" i="16"/>
  <c r="I30" i="16"/>
  <c r="O29" i="16"/>
  <c r="N29" i="16"/>
  <c r="M29" i="16"/>
  <c r="L29" i="16"/>
  <c r="K29" i="16"/>
  <c r="J29" i="16"/>
  <c r="I29" i="16"/>
  <c r="O28" i="16"/>
  <c r="N28" i="16"/>
  <c r="M28" i="16"/>
  <c r="L28" i="16"/>
  <c r="K28" i="16"/>
  <c r="J28" i="16"/>
  <c r="I28" i="16"/>
  <c r="R27" i="16"/>
  <c r="Q27" i="16"/>
  <c r="O27" i="16"/>
  <c r="N27" i="16"/>
  <c r="M27" i="16"/>
  <c r="L27" i="16"/>
  <c r="K27" i="16"/>
  <c r="J27" i="16"/>
  <c r="I27" i="16"/>
  <c r="R26" i="16"/>
  <c r="Q26" i="16"/>
  <c r="O26" i="16"/>
  <c r="N26" i="16"/>
  <c r="M26" i="16"/>
  <c r="L26" i="16"/>
  <c r="K26" i="16"/>
  <c r="J26" i="16"/>
  <c r="I26" i="16"/>
  <c r="R25" i="16"/>
  <c r="Q25" i="16"/>
  <c r="O25" i="16"/>
  <c r="N25" i="16"/>
  <c r="M25" i="16"/>
  <c r="L25" i="16"/>
  <c r="K25" i="16"/>
  <c r="J25" i="16"/>
  <c r="I25" i="16"/>
  <c r="R24" i="16"/>
  <c r="Q24" i="16"/>
  <c r="O24" i="16"/>
  <c r="N24" i="16"/>
  <c r="M24" i="16"/>
  <c r="L24" i="16"/>
  <c r="K24" i="16"/>
  <c r="J24" i="16"/>
  <c r="I24" i="16"/>
  <c r="R23" i="16"/>
  <c r="Q23" i="16"/>
  <c r="O23" i="16"/>
  <c r="N23" i="16"/>
  <c r="M23" i="16"/>
  <c r="L23" i="16"/>
  <c r="K23" i="16"/>
  <c r="J23" i="16"/>
  <c r="I23" i="16"/>
  <c r="R22" i="16"/>
  <c r="Q22" i="16"/>
  <c r="O22" i="16"/>
  <c r="N22" i="16"/>
  <c r="M22" i="16"/>
  <c r="L22" i="16"/>
  <c r="K22" i="16"/>
  <c r="J22" i="16"/>
  <c r="I22" i="16"/>
  <c r="R21" i="16"/>
  <c r="Q21" i="16"/>
  <c r="O21" i="16"/>
  <c r="N21" i="16"/>
  <c r="M21" i="16"/>
  <c r="L21" i="16"/>
  <c r="K21" i="16"/>
  <c r="J21" i="16"/>
  <c r="I21" i="16"/>
  <c r="R20" i="16"/>
  <c r="Q20" i="16"/>
  <c r="O20" i="16"/>
  <c r="N20" i="16"/>
  <c r="M20" i="16"/>
  <c r="L20" i="16"/>
  <c r="K20" i="16"/>
  <c r="J20" i="16"/>
  <c r="I20" i="16"/>
  <c r="R19" i="16"/>
  <c r="Q19" i="16"/>
  <c r="O19" i="16"/>
  <c r="N19" i="16"/>
  <c r="M19" i="16"/>
  <c r="L19" i="16"/>
  <c r="K19" i="16"/>
  <c r="J19" i="16"/>
  <c r="I19" i="16"/>
  <c r="R18" i="16"/>
  <c r="Q18" i="16"/>
  <c r="O18" i="16"/>
  <c r="N18" i="16"/>
  <c r="M18" i="16"/>
  <c r="L18" i="16"/>
  <c r="K18" i="16"/>
  <c r="J18" i="16"/>
  <c r="I18" i="16"/>
  <c r="R17" i="16"/>
  <c r="Q17" i="16"/>
  <c r="O17" i="16"/>
  <c r="N17" i="16"/>
  <c r="M17" i="16"/>
  <c r="L17" i="16"/>
  <c r="K17" i="16"/>
  <c r="J17" i="16"/>
  <c r="I17" i="16"/>
  <c r="R16" i="16"/>
  <c r="Q16" i="16"/>
  <c r="O16" i="16"/>
  <c r="N16" i="16"/>
  <c r="M16" i="16"/>
  <c r="L16" i="16"/>
  <c r="K16" i="16"/>
  <c r="J16" i="16"/>
  <c r="I16" i="16"/>
  <c r="R15" i="16"/>
  <c r="Q15" i="16"/>
  <c r="O15" i="16"/>
  <c r="N15" i="16"/>
  <c r="M15" i="16"/>
  <c r="L15" i="16"/>
  <c r="K15" i="16"/>
  <c r="J15" i="16"/>
  <c r="I15" i="16"/>
  <c r="R14" i="16"/>
  <c r="Q14" i="16"/>
  <c r="O14" i="16"/>
  <c r="N14" i="16"/>
  <c r="M14" i="16"/>
  <c r="L14" i="16"/>
  <c r="K14" i="16"/>
  <c r="J14" i="16"/>
  <c r="I14" i="16"/>
  <c r="R13" i="16"/>
  <c r="Q13" i="16"/>
  <c r="O13" i="16"/>
  <c r="N13" i="16"/>
  <c r="M13" i="16"/>
  <c r="L13" i="16"/>
  <c r="K13" i="16"/>
  <c r="J13" i="16"/>
  <c r="I13" i="16"/>
  <c r="R12" i="16"/>
  <c r="Q12" i="16"/>
  <c r="O12" i="16"/>
  <c r="N12" i="16"/>
  <c r="M12" i="16"/>
  <c r="L12" i="16"/>
  <c r="K12" i="16"/>
  <c r="J12" i="16"/>
  <c r="I12" i="16"/>
  <c r="R11" i="16"/>
  <c r="Q11" i="16"/>
  <c r="O11" i="16"/>
  <c r="N11" i="16"/>
  <c r="M11" i="16"/>
  <c r="L11" i="16"/>
  <c r="K11" i="16"/>
  <c r="J11" i="16"/>
  <c r="I11" i="16"/>
  <c r="R10" i="16"/>
  <c r="Q10" i="16"/>
  <c r="O10" i="16"/>
  <c r="N10" i="16"/>
  <c r="M10" i="16"/>
  <c r="L10" i="16"/>
  <c r="K10" i="16"/>
  <c r="J10" i="16"/>
  <c r="I10" i="16"/>
  <c r="R9" i="16"/>
  <c r="Q9" i="16"/>
  <c r="O9" i="16"/>
  <c r="N9" i="16"/>
  <c r="M9" i="16"/>
  <c r="L9" i="16"/>
  <c r="K9" i="16"/>
  <c r="J9" i="16"/>
  <c r="I9" i="16"/>
  <c r="R8" i="16"/>
  <c r="Q8" i="16"/>
  <c r="O8" i="16"/>
  <c r="N8" i="16"/>
  <c r="M8" i="16"/>
  <c r="L8" i="16"/>
  <c r="K8" i="16"/>
  <c r="J8" i="16"/>
  <c r="I8" i="16"/>
  <c r="R7" i="16"/>
  <c r="Q7" i="16"/>
  <c r="O7" i="16"/>
  <c r="N7" i="16"/>
  <c r="M7" i="16"/>
  <c r="L7" i="16"/>
  <c r="K7" i="16"/>
  <c r="J7" i="16"/>
  <c r="I7" i="16"/>
  <c r="R6" i="16"/>
  <c r="Q6" i="16"/>
  <c r="O6" i="16"/>
  <c r="N6" i="16"/>
  <c r="M6" i="16"/>
  <c r="L6" i="16"/>
  <c r="K6" i="16"/>
  <c r="J6" i="16"/>
  <c r="I6" i="16"/>
  <c r="R5" i="16"/>
  <c r="Q5" i="16"/>
  <c r="O5" i="16"/>
  <c r="N5" i="16"/>
  <c r="M5" i="16"/>
  <c r="L5" i="16"/>
  <c r="K5" i="16"/>
  <c r="J5" i="16"/>
  <c r="I5" i="16"/>
  <c r="R4" i="16"/>
  <c r="Q4" i="16"/>
  <c r="O4" i="16"/>
  <c r="N4" i="16"/>
  <c r="M4" i="16"/>
  <c r="L4" i="16"/>
  <c r="K4" i="16"/>
  <c r="J4" i="16"/>
  <c r="I4" i="16"/>
  <c r="R3" i="16"/>
  <c r="Q3" i="16"/>
  <c r="O3" i="16"/>
  <c r="N3" i="16"/>
  <c r="M3" i="16"/>
  <c r="L3" i="16"/>
  <c r="K3" i="16"/>
  <c r="J3" i="16"/>
  <c r="I3" i="16"/>
  <c r="R2" i="16"/>
  <c r="Q2" i="16"/>
  <c r="O2" i="16"/>
  <c r="N2" i="16"/>
  <c r="M2" i="16"/>
  <c r="L2" i="16"/>
  <c r="K2" i="16"/>
  <c r="J2" i="16"/>
  <c r="I2" i="16"/>
  <c r="R1" i="16"/>
  <c r="Q1" i="16"/>
  <c r="O1" i="16"/>
  <c r="N1" i="16"/>
  <c r="M1" i="16"/>
  <c r="L1" i="16"/>
  <c r="K1" i="16"/>
  <c r="J1" i="16"/>
  <c r="I1" i="16"/>
  <c r="Q28" i="16" l="1"/>
  <c r="I127" i="18"/>
  <c r="Q29" i="17"/>
  <c r="I61" i="19"/>
  <c r="Q29" i="18"/>
  <c r="I127" i="16"/>
  <c r="I59" i="17"/>
  <c r="Q29" i="19"/>
</calcChain>
</file>

<file path=xl/sharedStrings.xml><?xml version="1.0" encoding="utf-8"?>
<sst xmlns="http://schemas.openxmlformats.org/spreadsheetml/2006/main" count="1238" uniqueCount="106">
  <si>
    <t>x</t>
  </si>
  <si>
    <t>Vulnerability</t>
  </si>
  <si>
    <t>User</t>
  </si>
  <si>
    <t>Threat Type</t>
  </si>
  <si>
    <t>Threatened</t>
  </si>
  <si>
    <t>Risk</t>
  </si>
  <si>
    <t>Risk (lower)</t>
  </si>
  <si>
    <t>Risk (upper)</t>
  </si>
  <si>
    <t>Risk (potential)</t>
  </si>
  <si>
    <t>Type A</t>
  </si>
  <si>
    <t>Type B</t>
  </si>
  <si>
    <t>Scenario</t>
  </si>
  <si>
    <t>Type</t>
  </si>
  <si>
    <t>Denial of Service: Backup Of Cloud Application Lost</t>
  </si>
  <si>
    <t>IAM (IAM) - s3_to_gluecatalog_lambda_role</t>
  </si>
  <si>
    <t>A</t>
  </si>
  <si>
    <t>- EC2: SQL Injection</t>
  </si>
  <si>
    <t>ServerlessFunction (AwsLambda) - s3_to_gluecatalog</t>
  </si>
  <si>
    <t>B</t>
  </si>
  <si>
    <t>- RDS: Sensitive Data Exposure (leak access key s3 -&gt; rds)</t>
  </si>
  <si>
    <t>IAM (IAM) - glue_ETL_role</t>
  </si>
  <si>
    <t>VirtualFirewall (SecurityGroup) - cg-rds-glue-security-group</t>
  </si>
  <si>
    <t>ServerlessOrchestration (GlueJob) - cg-glue-connection</t>
  </si>
  <si>
    <t>Denial of Service: Failure Of Cloud Application</t>
  </si>
  <si>
    <t>Spoofing: Social Engineering Against Remote User</t>
  </si>
  <si>
    <t>Information Disclosure: Sensitive Data Leakage</t>
  </si>
  <si>
    <t>Database (RDS) - cg-rds</t>
  </si>
  <si>
    <t>FileStorage (S3) - cg-data-from-web</t>
  </si>
  <si>
    <t>Information Disclosure: Data Breach By Cloud Application</t>
  </si>
  <si>
    <t>Denial of Service: EDoS Attack To Cloud Application</t>
  </si>
  <si>
    <t>IAM (IAM) - cg-run-app</t>
  </si>
  <si>
    <t>IAM (IAM) - cg-glue-admin</t>
  </si>
  <si>
    <t>VirtualFirewall (SecurityGroup) - cg-rds-security-group</t>
  </si>
  <si>
    <t>IAM (IAM) - cg-ec2-instance-profile</t>
  </si>
  <si>
    <t>IAM (IAM) - ssm_parameter_role_policies</t>
  </si>
  <si>
    <t>VirtualFirewall (SecurityGroup) - cg-ec2-security-group</t>
  </si>
  <si>
    <t>Information Disclosure: Public Network Access To Cloud Application</t>
  </si>
  <si>
    <t>Information Disclosure: Social Engineering Against Remote User</t>
  </si>
  <si>
    <t>Denial of Service: Block Shared Resources Of Cloud Application</t>
  </si>
  <si>
    <t>Denial of Service: Connection Lost To Cloud Application</t>
  </si>
  <si>
    <t>Repudiation: Attacking the Logs</t>
  </si>
  <si>
    <t>Other: Cloud Application Abuse</t>
  </si>
  <si>
    <t>Tampering: Data Loss By Cloud Application</t>
  </si>
  <si>
    <t>Information Disclosure: Backup Of Cloud Application Stolen</t>
  </si>
  <si>
    <t>Denial of Service: Denial of Service against a Data Store</t>
  </si>
  <si>
    <t>Spoofing: Broken Authentication</t>
  </si>
  <si>
    <t>Other: Network Attacks To Cloud Application</t>
  </si>
  <si>
    <t>Tampering: Malware From Cloud Application</t>
  </si>
  <si>
    <t>Repudiation: Logs Of Cloud Application Lost</t>
  </si>
  <si>
    <t>Information Disclosure: Logs Of Cloud Application Stolen</t>
  </si>
  <si>
    <t>Information Disclosure: Disclosure Of Credentials Of Cloud Management Interface</t>
  </si>
  <si>
    <t>Tampering: Unauthorized Modification of the Data Stores</t>
  </si>
  <si>
    <t>Denial of Service: DDoS Attack To Cloud Application</t>
  </si>
  <si>
    <t>Tampering: Public Network Access To Cloud Application</t>
  </si>
  <si>
    <t>Information Disclosure: Malware From Cloud Application</t>
  </si>
  <si>
    <t>Elevation of Privilege: Broken Access Control</t>
  </si>
  <si>
    <t>Type C</t>
  </si>
  <si>
    <t>Type D</t>
  </si>
  <si>
    <t>Type E</t>
  </si>
  <si>
    <t>Type F</t>
  </si>
  <si>
    <t>Type G</t>
  </si>
  <si>
    <t>VirtualFirewall (SecurityGroup) - km_alb_sg</t>
  </si>
  <si>
    <t>AWS CloudWatch log group is not encrypted with a KMS CMK</t>
  </si>
  <si>
    <t>LoadBalancer (ALB) - km_lb_target</t>
  </si>
  <si>
    <t>Enabling S3 versioning will enable easy recovery from both unintended user actions, like deletes and overwrites</t>
  </si>
  <si>
    <t>C</t>
  </si>
  <si>
    <t xml:space="preserve">S3 bucket Access is allowed to all AWS Account Users.  </t>
  </si>
  <si>
    <t>D</t>
  </si>
  <si>
    <t>EC2 instances should disable IMDS or require IMDSv2</t>
  </si>
  <si>
    <t>E</t>
  </si>
  <si>
    <t>Ensure VPC flow logging is enabled in all VPCs</t>
  </si>
  <si>
    <t>F</t>
  </si>
  <si>
    <t>Ensure that your RDS database has IAM Authentication enabled</t>
  </si>
  <si>
    <t>G</t>
  </si>
  <si>
    <t>Http port open to internet</t>
  </si>
  <si>
    <t>FileStorage (S3) - km_public_blob</t>
  </si>
  <si>
    <t>FileStorage (S3) - km_blob_storage</t>
  </si>
  <si>
    <t>Database (RDS) - km_db</t>
  </si>
  <si>
    <t>IAM (IAM) - km_ecs_task_execution_role</t>
  </si>
  <si>
    <t>VirtualFirewall (SecurityGroup) - km_rds_sg</t>
  </si>
  <si>
    <t>LoadBalancer (APIGateway) - apiLambda_ba</t>
  </si>
  <si>
    <t>XSS (Blog)</t>
  </si>
  <si>
    <t>ServerlessFunction (AwsLambda) - react_lambda_app</t>
  </si>
  <si>
    <t>SQL Injection (Blog)</t>
  </si>
  <si>
    <t>IAM (IAM) - goat_role</t>
  </si>
  <si>
    <t>IDOR (Blog)</t>
  </si>
  <si>
    <t>ServerlessFunction (AwsLambda) - lambda_ba_data</t>
  </si>
  <si>
    <t>Sensitive Data Exposure (Lambda API)</t>
  </si>
  <si>
    <t>SSRF (Blog)</t>
  </si>
  <si>
    <t>IAM (IAM) - blog_app_lambda</t>
  </si>
  <si>
    <t>IAM Privilege Escalation (S3)</t>
  </si>
  <si>
    <t>LoadBalancer (APIGateway) - api</t>
  </si>
  <si>
    <t>VirtualFirewall (SecurityGroup) - goat_sg</t>
  </si>
  <si>
    <t>FileStorage (S3) - bucket_temp</t>
  </si>
  <si>
    <t>FileStorage (S3) - bucket_tf_files</t>
  </si>
  <si>
    <t>FileStorage (S3) - dev</t>
  </si>
  <si>
    <t>FileStorage (S3) - bucket_upload</t>
  </si>
  <si>
    <t>VirtualFirewall (SecurityGroup) - load_balancer_security_group</t>
  </si>
  <si>
    <t xml:space="preserve">SQL Injection (Blog)  </t>
  </si>
  <si>
    <t>IAM (IAM) - ecs-task-role</t>
  </si>
  <si>
    <t>File Upload and Task Metadata</t>
  </si>
  <si>
    <t>IAM (IAM) - ec2-deployer-role-attachment</t>
  </si>
  <si>
    <t>ECS Breakout and Instance Metadata</t>
  </si>
  <si>
    <t>IAM (IAM) - ecs-instance-role</t>
  </si>
  <si>
    <t>Database (RDS) - database-instance</t>
  </si>
  <si>
    <t>LoadBalancer (ALB) - target_group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</si>
</sst>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0" xfId="0" applyFont="1"/>
    <xf numFmtId="0" fontId="1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0" xfId="0" applyFont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outlinePr summaryBelow="0" summaryRight="0"/>
  </sheetPr>
  <dimension ref="A1:X1000"/>
  <sheetViews>
    <sheetView tabSelected="1" topLeftCell="O16" workbookViewId="0">
      <selection activeCell="U18" sqref="U18"/>
    </sheetView>
  </sheetViews>
  <sheetFormatPr defaultColWidth="12.6328125" defaultRowHeight="15.75" customHeight="1"/>
  <cols>
    <col min="1" max="1" width="61.90625" customWidth="1"/>
    <col min="2" max="2" width="44.7265625" customWidth="1"/>
    <col min="3" max="3" width="11" customWidth="1"/>
    <col min="4" max="4" width="6.08984375" customWidth="1"/>
    <col min="5" max="5" width="10.453125" customWidth="1"/>
    <col min="6" max="6" width="10.7265625" customWidth="1"/>
    <col min="7" max="7" width="13.08984375" customWidth="1"/>
    <col min="9" max="9" width="61.90625" customWidth="1"/>
    <col min="10" max="10" width="44.7265625" customWidth="1"/>
    <col min="11" max="11" width="4.36328125" customWidth="1"/>
    <col min="12" max="12" width="11.7265625" customWidth="1"/>
    <col min="13" max="13" width="15.36328125" customWidth="1"/>
    <col min="14" max="14" width="10.7265625" customWidth="1"/>
    <col min="15" max="15" width="11.7265625" customWidth="1"/>
    <col min="17" max="17" width="61.90625" customWidth="1"/>
    <col min="21" max="21" width="25.7265625" customWidth="1"/>
    <col min="24" max="24" width="45.26953125" customWidth="1"/>
  </cols>
  <sheetData>
    <row r="1" spans="1:24" ht="13">
      <c r="A1" s="3" t="s">
        <v>3</v>
      </c>
      <c r="B1" s="4" t="s">
        <v>4</v>
      </c>
      <c r="C1" s="4" t="s">
        <v>1</v>
      </c>
      <c r="D1" s="4" t="s">
        <v>5</v>
      </c>
      <c r="E1" s="4" t="s">
        <v>6</v>
      </c>
      <c r="F1" s="4" t="s">
        <v>7</v>
      </c>
      <c r="G1" s="5" t="s">
        <v>8</v>
      </c>
      <c r="H1" s="6"/>
      <c r="I1" s="7" t="str">
        <f ca="1">IFERROR(__xludf.DUMMYFUNCTION("QUERY($A$2:$G$229, ""select A, B, avg(C), avg(D), avg(E), avg(F), avg(G) group by A,B"")"),"")</f>
        <v/>
      </c>
      <c r="J1" s="8" t="str">
        <f ca="1">IFERROR(__xludf.DUMMYFUNCTION("""COMPUTED_VALUE"""),"")</f>
        <v/>
      </c>
      <c r="K1" s="8" t="str">
        <f ca="1">IFERROR(__xludf.DUMMYFUNCTION("""COMPUTED_VALUE"""),"avg ")</f>
        <v xml:space="preserve">avg </v>
      </c>
      <c r="L1" s="8" t="str">
        <f ca="1">IFERROR(__xludf.DUMMYFUNCTION("""COMPUTED_VALUE"""),"avg ")</f>
        <v xml:space="preserve">avg </v>
      </c>
      <c r="M1" s="8" t="str">
        <f ca="1">IFERROR(__xludf.DUMMYFUNCTION("""COMPUTED_VALUE"""),"avg ")</f>
        <v xml:space="preserve">avg </v>
      </c>
      <c r="N1" s="8" t="str">
        <f ca="1">IFERROR(__xludf.DUMMYFUNCTION("""COMPUTED_VALUE"""),"avg ")</f>
        <v xml:space="preserve">avg </v>
      </c>
      <c r="O1" s="9" t="str">
        <f ca="1">IFERROR(__xludf.DUMMYFUNCTION("""COMPUTED_VALUE"""),"avg ")</f>
        <v xml:space="preserve">avg </v>
      </c>
      <c r="P1" s="6"/>
      <c r="Q1" s="7" t="str">
        <f ca="1">IFERROR(__xludf.DUMMYFUNCTION("QUERY($I$2:$I$125, ""select I, count(I) group by I order by count(I)"")"),"")</f>
        <v/>
      </c>
      <c r="R1" s="8" t="str">
        <f ca="1">IFERROR(__xludf.DUMMYFUNCTION("""COMPUTED_VALUE"""),"count ")</f>
        <v xml:space="preserve">count </v>
      </c>
      <c r="S1" s="8" t="s">
        <v>9</v>
      </c>
      <c r="T1" s="8" t="s">
        <v>10</v>
      </c>
      <c r="U1" s="9" t="s">
        <v>11</v>
      </c>
      <c r="V1" s="6"/>
      <c r="W1" s="6" t="s">
        <v>12</v>
      </c>
      <c r="X1" s="6" t="s">
        <v>1</v>
      </c>
    </row>
    <row r="2" spans="1:24" ht="15.75" customHeight="1">
      <c r="A2" s="10" t="s">
        <v>13</v>
      </c>
      <c r="B2" s="11" t="s">
        <v>14</v>
      </c>
      <c r="C2" s="12">
        <v>1</v>
      </c>
      <c r="D2" s="12">
        <v>0.7238</v>
      </c>
      <c r="E2" s="12">
        <v>1E-4</v>
      </c>
      <c r="F2" s="12">
        <v>5.0773999999999999</v>
      </c>
      <c r="G2" s="13">
        <v>0.7238</v>
      </c>
      <c r="H2" s="14"/>
      <c r="I2" s="15" t="str">
        <f ca="1">IFERROR(__xludf.DUMMYFUNCTION("""COMPUTED_VALUE"""),"Denial of Service: Backup Of Cloud Application Lost")</f>
        <v>Denial of Service: Backup Of Cloud Application Lost</v>
      </c>
      <c r="J2" s="14" t="str">
        <f ca="1">IFERROR(__xludf.DUMMYFUNCTION("""COMPUTED_VALUE"""),"IAM (IAM) - glue_ETL_role")</f>
        <v>IAM (IAM) - glue_ETL_role</v>
      </c>
      <c r="K2" s="14">
        <f ca="1">IFERROR(__xludf.DUMMYFUNCTION("""COMPUTED_VALUE"""),1)</f>
        <v>1</v>
      </c>
      <c r="L2" s="14">
        <f ca="1">IFERROR(__xludf.DUMMYFUNCTION("""COMPUTED_VALUE"""),0.7503)</f>
        <v>0.75029999999999997</v>
      </c>
      <c r="M2" s="14">
        <f ca="1">IFERROR(__xludf.DUMMYFUNCTION("""COMPUTED_VALUE"""),0)</f>
        <v>0</v>
      </c>
      <c r="N2" s="14">
        <f ca="1">IFERROR(__xludf.DUMMYFUNCTION("""COMPUTED_VALUE"""),5.2109)</f>
        <v>5.2108999999999996</v>
      </c>
      <c r="O2" s="16">
        <f ca="1">IFERROR(__xludf.DUMMYFUNCTION("""COMPUTED_VALUE"""),0.7503)</f>
        <v>0.75029999999999997</v>
      </c>
      <c r="P2" s="14"/>
      <c r="Q2" s="17" t="str">
        <f ca="1">IFERROR(__xludf.DUMMYFUNCTION("""COMPUTED_VALUE"""),"Information Disclosure: Malware From Cloud Application")</f>
        <v>Information Disclosure: Malware From Cloud Application</v>
      </c>
      <c r="R2" s="14">
        <f ca="1">IFERROR(__xludf.DUMMYFUNCTION("""COMPUTED_VALUE"""),1)</f>
        <v>1</v>
      </c>
      <c r="S2" s="14"/>
      <c r="T2" s="14" t="s">
        <v>0</v>
      </c>
      <c r="U2" s="18"/>
      <c r="W2" s="14" t="s">
        <v>15</v>
      </c>
      <c r="X2" s="1" t="s">
        <v>16</v>
      </c>
    </row>
    <row r="3" spans="1:24" ht="15.75" customHeight="1">
      <c r="A3" s="10" t="s">
        <v>13</v>
      </c>
      <c r="B3" s="11" t="s">
        <v>17</v>
      </c>
      <c r="C3" s="12">
        <v>1</v>
      </c>
      <c r="D3" s="12">
        <v>0.74750000000000005</v>
      </c>
      <c r="E3" s="12">
        <v>1E-4</v>
      </c>
      <c r="F3" s="12">
        <v>5.5228999999999999</v>
      </c>
      <c r="G3" s="13">
        <v>0.74750000000000005</v>
      </c>
      <c r="H3" s="14"/>
      <c r="I3" s="17" t="str">
        <f ca="1">IFERROR(__xludf.DUMMYFUNCTION("""COMPUTED_VALUE"""),"Denial of Service: Backup Of Cloud Application Lost")</f>
        <v>Denial of Service: Backup Of Cloud Application Lost</v>
      </c>
      <c r="J3" s="14" t="str">
        <f ca="1">IFERROR(__xludf.DUMMYFUNCTION("""COMPUTED_VALUE"""),"IAM (IAM) - s3_to_gluecatalog_lambda_role")</f>
        <v>IAM (IAM) - s3_to_gluecatalog_lambda_role</v>
      </c>
      <c r="K3" s="14">
        <f ca="1">IFERROR(__xludf.DUMMYFUNCTION("""COMPUTED_VALUE"""),1)</f>
        <v>1</v>
      </c>
      <c r="L3" s="14">
        <f ca="1">IFERROR(__xludf.DUMMYFUNCTION("""COMPUTED_VALUE"""),0.7238)</f>
        <v>0.7238</v>
      </c>
      <c r="M3" s="14">
        <f ca="1">IFERROR(__xludf.DUMMYFUNCTION("""COMPUTED_VALUE"""),0.0001)</f>
        <v>1E-4</v>
      </c>
      <c r="N3" s="14">
        <f ca="1">IFERROR(__xludf.DUMMYFUNCTION("""COMPUTED_VALUE"""),5.0774)</f>
        <v>5.0773999999999999</v>
      </c>
      <c r="O3" s="16">
        <f ca="1">IFERROR(__xludf.DUMMYFUNCTION("""COMPUTED_VALUE"""),0.7238)</f>
        <v>0.7238</v>
      </c>
      <c r="P3" s="14"/>
      <c r="Q3" s="17" t="str">
        <f ca="1">IFERROR(__xludf.DUMMYFUNCTION("""COMPUTED_VALUE"""),"Information Disclosure: Public Network Access To Cloud Application")</f>
        <v>Information Disclosure: Public Network Access To Cloud Application</v>
      </c>
      <c r="R3" s="14">
        <f ca="1">IFERROR(__xludf.DUMMYFUNCTION("""COMPUTED_VALUE"""),1)</f>
        <v>1</v>
      </c>
      <c r="S3" s="14"/>
      <c r="T3" s="14" t="s">
        <v>0</v>
      </c>
      <c r="U3" s="18"/>
      <c r="W3" s="14" t="s">
        <v>18</v>
      </c>
      <c r="X3" s="2" t="s">
        <v>19</v>
      </c>
    </row>
    <row r="4" spans="1:24" ht="15.75" customHeight="1">
      <c r="A4" s="10" t="s">
        <v>13</v>
      </c>
      <c r="B4" s="11" t="s">
        <v>20</v>
      </c>
      <c r="C4" s="12">
        <v>1</v>
      </c>
      <c r="D4" s="12">
        <v>0.75029999999999997</v>
      </c>
      <c r="E4" s="12">
        <v>0</v>
      </c>
      <c r="F4" s="12">
        <v>5.2108999999999996</v>
      </c>
      <c r="G4" s="13">
        <v>0.75029999999999997</v>
      </c>
      <c r="H4" s="14"/>
      <c r="I4" s="17" t="str">
        <f ca="1">IFERROR(__xludf.DUMMYFUNCTION("""COMPUTED_VALUE"""),"Denial of Service: Backup Of Cloud Application Lost")</f>
        <v>Denial of Service: Backup Of Cloud Application Lost</v>
      </c>
      <c r="J4" s="14" t="str">
        <f ca="1">IFERROR(__xludf.DUMMYFUNCTION("""COMPUTED_VALUE"""),"ServerlessFunction (AwsLambda) - s3_to_gluecatalog")</f>
        <v>ServerlessFunction (AwsLambda) - s3_to_gluecatalog</v>
      </c>
      <c r="K4" s="14">
        <f ca="1">IFERROR(__xludf.DUMMYFUNCTION("""COMPUTED_VALUE"""),1)</f>
        <v>1</v>
      </c>
      <c r="L4" s="14">
        <f ca="1">IFERROR(__xludf.DUMMYFUNCTION("""COMPUTED_VALUE"""),0.7638)</f>
        <v>0.76380000000000003</v>
      </c>
      <c r="M4" s="14">
        <f ca="1">IFERROR(__xludf.DUMMYFUNCTION("""COMPUTED_VALUE"""),0.00005)</f>
        <v>5.0000000000000002E-5</v>
      </c>
      <c r="N4" s="14">
        <f ca="1">IFERROR(__xludf.DUMMYFUNCTION("""COMPUTED_VALUE"""),5.576)</f>
        <v>5.5759999999999996</v>
      </c>
      <c r="O4" s="16">
        <f ca="1">IFERROR(__xludf.DUMMYFUNCTION("""COMPUTED_VALUE"""),0.7638)</f>
        <v>0.76380000000000003</v>
      </c>
      <c r="P4" s="14"/>
      <c r="Q4" s="17" t="str">
        <f ca="1">IFERROR(__xludf.DUMMYFUNCTION("""COMPUTED_VALUE"""),"Information Disclosure: Social Engineering Against Remote User")</f>
        <v>Information Disclosure: Social Engineering Against Remote User</v>
      </c>
      <c r="R4" s="14">
        <f ca="1">IFERROR(__xludf.DUMMYFUNCTION("""COMPUTED_VALUE"""),1)</f>
        <v>1</v>
      </c>
      <c r="S4" s="14"/>
      <c r="T4" s="14" t="s">
        <v>0</v>
      </c>
      <c r="U4" s="18"/>
      <c r="W4" s="14"/>
      <c r="X4" s="14"/>
    </row>
    <row r="5" spans="1:24" ht="15.75" customHeight="1">
      <c r="A5" s="10" t="s">
        <v>13</v>
      </c>
      <c r="B5" s="11" t="s">
        <v>21</v>
      </c>
      <c r="C5" s="12">
        <v>1</v>
      </c>
      <c r="D5" s="12">
        <v>0.73650000000000004</v>
      </c>
      <c r="E5" s="12">
        <v>0</v>
      </c>
      <c r="F5" s="12">
        <v>6.0909000000000004</v>
      </c>
      <c r="G5" s="13">
        <v>0.73650000000000004</v>
      </c>
      <c r="H5" s="14"/>
      <c r="I5" s="17" t="str">
        <f ca="1">IFERROR(__xludf.DUMMYFUNCTION("""COMPUTED_VALUE"""),"Denial of Service: Backup Of Cloud Application Lost")</f>
        <v>Denial of Service: Backup Of Cloud Application Lost</v>
      </c>
      <c r="J5" s="14" t="str">
        <f ca="1">IFERROR(__xludf.DUMMYFUNCTION("""COMPUTED_VALUE"""),"ServerlessOrchestration (GlueJob) - cg-glue-connection")</f>
        <v>ServerlessOrchestration (GlueJob) - cg-glue-connection</v>
      </c>
      <c r="K5" s="14">
        <f ca="1">IFERROR(__xludf.DUMMYFUNCTION("""COMPUTED_VALUE"""),1)</f>
        <v>1</v>
      </c>
      <c r="L5" s="14">
        <f ca="1">IFERROR(__xludf.DUMMYFUNCTION("""COMPUTED_VALUE"""),0.7489)</f>
        <v>0.74890000000000001</v>
      </c>
      <c r="M5" s="14">
        <f ca="1">IFERROR(__xludf.DUMMYFUNCTION("""COMPUTED_VALUE"""),0.0001)</f>
        <v>1E-4</v>
      </c>
      <c r="N5" s="14">
        <f ca="1">IFERROR(__xludf.DUMMYFUNCTION("""COMPUTED_VALUE"""),5.00163333333333)</f>
        <v>5.0016333333333298</v>
      </c>
      <c r="O5" s="16">
        <f ca="1">IFERROR(__xludf.DUMMYFUNCTION("""COMPUTED_VALUE"""),0.7489)</f>
        <v>0.74890000000000001</v>
      </c>
      <c r="P5" s="14"/>
      <c r="Q5" s="17" t="str">
        <f ca="1">IFERROR(__xludf.DUMMYFUNCTION("""COMPUTED_VALUE"""),"Spoofing: Social Engineering Against Remote User")</f>
        <v>Spoofing: Social Engineering Against Remote User</v>
      </c>
      <c r="R5" s="14">
        <f ca="1">IFERROR(__xludf.DUMMYFUNCTION("""COMPUTED_VALUE"""),1)</f>
        <v>1</v>
      </c>
      <c r="S5" s="14"/>
      <c r="T5" s="14" t="s">
        <v>0</v>
      </c>
      <c r="U5" s="16"/>
      <c r="W5" s="14"/>
      <c r="X5" s="14"/>
    </row>
    <row r="6" spans="1:24" ht="15.75" customHeight="1">
      <c r="A6" s="10" t="s">
        <v>13</v>
      </c>
      <c r="B6" s="11" t="s">
        <v>22</v>
      </c>
      <c r="C6" s="12">
        <v>1</v>
      </c>
      <c r="D6" s="12">
        <v>0.74419999999999997</v>
      </c>
      <c r="E6" s="12">
        <v>1E-4</v>
      </c>
      <c r="F6" s="12">
        <v>5.2577999999999996</v>
      </c>
      <c r="G6" s="13">
        <v>0.74419999999999997</v>
      </c>
      <c r="H6" s="14"/>
      <c r="I6" s="17" t="str">
        <f ca="1">IFERROR(__xludf.DUMMYFUNCTION("""COMPUTED_VALUE"""),"Denial of Service: Backup Of Cloud Application Lost")</f>
        <v>Denial of Service: Backup Of Cloud Application Lost</v>
      </c>
      <c r="J6" s="14" t="str">
        <f ca="1">IFERROR(__xludf.DUMMYFUNCTION("""COMPUTED_VALUE"""),"VirtualFirewall (SecurityGroup) - cg-rds-glue-security-group")</f>
        <v>VirtualFirewall (SecurityGroup) - cg-rds-glue-security-group</v>
      </c>
      <c r="K6" s="14">
        <f ca="1">IFERROR(__xludf.DUMMYFUNCTION("""COMPUTED_VALUE"""),1)</f>
        <v>1</v>
      </c>
      <c r="L6" s="14">
        <f ca="1">IFERROR(__xludf.DUMMYFUNCTION("""COMPUTED_VALUE"""),0.7365)</f>
        <v>0.73650000000000004</v>
      </c>
      <c r="M6" s="14">
        <f ca="1">IFERROR(__xludf.DUMMYFUNCTION("""COMPUTED_VALUE"""),0)</f>
        <v>0</v>
      </c>
      <c r="N6" s="14">
        <f ca="1">IFERROR(__xludf.DUMMYFUNCTION("""COMPUTED_VALUE"""),6.0909)</f>
        <v>6.0909000000000004</v>
      </c>
      <c r="O6" s="16">
        <f ca="1">IFERROR(__xludf.DUMMYFUNCTION("""COMPUTED_VALUE"""),0.7365)</f>
        <v>0.73650000000000004</v>
      </c>
      <c r="P6" s="14"/>
      <c r="Q6" s="17" t="str">
        <f ca="1">IFERROR(__xludf.DUMMYFUNCTION("""COMPUTED_VALUE"""),"Tampering: Malware From Cloud Application")</f>
        <v>Tampering: Malware From Cloud Application</v>
      </c>
      <c r="R6" s="14">
        <f ca="1">IFERROR(__xludf.DUMMYFUNCTION("""COMPUTED_VALUE"""),1)</f>
        <v>1</v>
      </c>
      <c r="S6" s="14"/>
      <c r="T6" s="14" t="s">
        <v>0</v>
      </c>
      <c r="U6" s="16"/>
      <c r="W6" s="14"/>
      <c r="X6" s="14"/>
    </row>
    <row r="7" spans="1:24" ht="15.75" customHeight="1">
      <c r="A7" s="10" t="s">
        <v>13</v>
      </c>
      <c r="B7" s="11" t="s">
        <v>22</v>
      </c>
      <c r="C7" s="12">
        <v>1</v>
      </c>
      <c r="D7" s="12">
        <v>0.75690000000000002</v>
      </c>
      <c r="E7" s="12">
        <v>0</v>
      </c>
      <c r="F7" s="12">
        <v>4.7542999999999997</v>
      </c>
      <c r="G7" s="13">
        <v>0.75690000000000002</v>
      </c>
      <c r="H7" s="14"/>
      <c r="I7" s="17" t="str">
        <f ca="1">IFERROR(__xludf.DUMMYFUNCTION("""COMPUTED_VALUE"""),"Denial of Service: Block Shared Resources Of Cloud Application")</f>
        <v>Denial of Service: Block Shared Resources Of Cloud Application</v>
      </c>
      <c r="J7" s="14" t="str">
        <f ca="1">IFERROR(__xludf.DUMMYFUNCTION("""COMPUTED_VALUE"""),"IAM (IAM) - cg-ec2-instance-profile")</f>
        <v>IAM (IAM) - cg-ec2-instance-profile</v>
      </c>
      <c r="K7" s="14">
        <f ca="1">IFERROR(__xludf.DUMMYFUNCTION("""COMPUTED_VALUE"""),1)</f>
        <v>1</v>
      </c>
      <c r="L7" s="14">
        <f ca="1">IFERROR(__xludf.DUMMYFUNCTION("""COMPUTED_VALUE"""),0.7446)</f>
        <v>0.74460000000000004</v>
      </c>
      <c r="M7" s="14">
        <f ca="1">IFERROR(__xludf.DUMMYFUNCTION("""COMPUTED_VALUE"""),0)</f>
        <v>0</v>
      </c>
      <c r="N7" s="14">
        <f ca="1">IFERROR(__xludf.DUMMYFUNCTION("""COMPUTED_VALUE"""),4.5148)</f>
        <v>4.5148000000000001</v>
      </c>
      <c r="O7" s="16">
        <f ca="1">IFERROR(__xludf.DUMMYFUNCTION("""COMPUTED_VALUE"""),0.7446)</f>
        <v>0.74460000000000004</v>
      </c>
      <c r="P7" s="14"/>
      <c r="Q7" s="17" t="str">
        <f ca="1">IFERROR(__xludf.DUMMYFUNCTION("""COMPUTED_VALUE"""),"Tampering: Public Network Access To Cloud Application")</f>
        <v>Tampering: Public Network Access To Cloud Application</v>
      </c>
      <c r="R7" s="14">
        <f ca="1">IFERROR(__xludf.DUMMYFUNCTION("""COMPUTED_VALUE"""),1)</f>
        <v>1</v>
      </c>
      <c r="S7" s="14" t="s">
        <v>0</v>
      </c>
      <c r="T7" s="14"/>
      <c r="U7" s="16"/>
      <c r="W7" s="14"/>
      <c r="X7" s="14"/>
    </row>
    <row r="8" spans="1:24" ht="15.75" customHeight="1">
      <c r="A8" s="10" t="s">
        <v>13</v>
      </c>
      <c r="B8" s="11" t="s">
        <v>17</v>
      </c>
      <c r="C8" s="12">
        <v>1</v>
      </c>
      <c r="D8" s="12">
        <v>0.78010000000000002</v>
      </c>
      <c r="E8" s="12">
        <v>0</v>
      </c>
      <c r="F8" s="12">
        <v>5.6291000000000002</v>
      </c>
      <c r="G8" s="13">
        <v>0.78010000000000002</v>
      </c>
      <c r="H8" s="14"/>
      <c r="I8" s="17" t="str">
        <f ca="1">IFERROR(__xludf.DUMMYFUNCTION("""COMPUTED_VALUE"""),"Denial of Service: Block Shared Resources Of Cloud Application")</f>
        <v>Denial of Service: Block Shared Resources Of Cloud Application</v>
      </c>
      <c r="J8" s="14" t="str">
        <f ca="1">IFERROR(__xludf.DUMMYFUNCTION("""COMPUTED_VALUE"""),"IAM (IAM) - cg-glue-admin")</f>
        <v>IAM (IAM) - cg-glue-admin</v>
      </c>
      <c r="K8" s="14">
        <f ca="1">IFERROR(__xludf.DUMMYFUNCTION("""COMPUTED_VALUE"""),1)</f>
        <v>1</v>
      </c>
      <c r="L8" s="14">
        <f ca="1">IFERROR(__xludf.DUMMYFUNCTION("""COMPUTED_VALUE"""),0.7437)</f>
        <v>0.74370000000000003</v>
      </c>
      <c r="M8" s="14">
        <f ca="1">IFERROR(__xludf.DUMMYFUNCTION("""COMPUTED_VALUE"""),0)</f>
        <v>0</v>
      </c>
      <c r="N8" s="14">
        <f ca="1">IFERROR(__xludf.DUMMYFUNCTION("""COMPUTED_VALUE"""),4.9476)</f>
        <v>4.9476000000000004</v>
      </c>
      <c r="O8" s="16">
        <f ca="1">IFERROR(__xludf.DUMMYFUNCTION("""COMPUTED_VALUE"""),0.7437)</f>
        <v>0.74370000000000003</v>
      </c>
      <c r="P8" s="14"/>
      <c r="Q8" s="17" t="str">
        <f ca="1">IFERROR(__xludf.DUMMYFUNCTION("""COMPUTED_VALUE"""),"Denial of Service: Denial of Service against a Data Store")</f>
        <v>Denial of Service: Denial of Service against a Data Store</v>
      </c>
      <c r="R8" s="14">
        <f ca="1">IFERROR(__xludf.DUMMYFUNCTION("""COMPUTED_VALUE"""),2)</f>
        <v>2</v>
      </c>
      <c r="S8" s="14" t="s">
        <v>0</v>
      </c>
      <c r="T8" s="14"/>
      <c r="U8" s="16"/>
      <c r="W8" s="14"/>
      <c r="X8" s="14"/>
    </row>
    <row r="9" spans="1:24" ht="15.75" customHeight="1">
      <c r="A9" s="10" t="s">
        <v>13</v>
      </c>
      <c r="B9" s="11" t="s">
        <v>22</v>
      </c>
      <c r="C9" s="12">
        <v>1</v>
      </c>
      <c r="D9" s="12">
        <v>0.74560000000000004</v>
      </c>
      <c r="E9" s="12">
        <v>2.0000000000000001E-4</v>
      </c>
      <c r="F9" s="12">
        <v>4.9927999999999999</v>
      </c>
      <c r="G9" s="13">
        <v>0.74560000000000004</v>
      </c>
      <c r="H9" s="14"/>
      <c r="I9" s="17" t="str">
        <f ca="1">IFERROR(__xludf.DUMMYFUNCTION("""COMPUTED_VALUE"""),"Denial of Service: Block Shared Resources Of Cloud Application")</f>
        <v>Denial of Service: Block Shared Resources Of Cloud Application</v>
      </c>
      <c r="J9" s="14" t="str">
        <f ca="1">IFERROR(__xludf.DUMMYFUNCTION("""COMPUTED_VALUE"""),"IAM (IAM) - cg-run-app")</f>
        <v>IAM (IAM) - cg-run-app</v>
      </c>
      <c r="K9" s="14">
        <f ca="1">IFERROR(__xludf.DUMMYFUNCTION("""COMPUTED_VALUE"""),1)</f>
        <v>1</v>
      </c>
      <c r="L9" s="14">
        <f ca="1">IFERROR(__xludf.DUMMYFUNCTION("""COMPUTED_VALUE"""),0.7552)</f>
        <v>0.75519999999999998</v>
      </c>
      <c r="M9" s="14">
        <f ca="1">IFERROR(__xludf.DUMMYFUNCTION("""COMPUTED_VALUE"""),0.0001)</f>
        <v>1E-4</v>
      </c>
      <c r="N9" s="14">
        <f ca="1">IFERROR(__xludf.DUMMYFUNCTION("""COMPUTED_VALUE"""),4.9121)</f>
        <v>4.9120999999999997</v>
      </c>
      <c r="O9" s="16">
        <f ca="1">IFERROR(__xludf.DUMMYFUNCTION("""COMPUTED_VALUE"""),0.7552)</f>
        <v>0.75519999999999998</v>
      </c>
      <c r="P9" s="14"/>
      <c r="Q9" s="17" t="str">
        <f ca="1">IFERROR(__xludf.DUMMYFUNCTION("""COMPUTED_VALUE"""),"Information Disclosure: Sensitive Data Leakage")</f>
        <v>Information Disclosure: Sensitive Data Leakage</v>
      </c>
      <c r="R9" s="14">
        <f ca="1">IFERROR(__xludf.DUMMYFUNCTION("""COMPUTED_VALUE"""),2)</f>
        <v>2</v>
      </c>
      <c r="S9" s="14" t="s">
        <v>0</v>
      </c>
      <c r="T9" s="14"/>
      <c r="U9" s="16"/>
      <c r="W9" s="14"/>
      <c r="X9" s="14"/>
    </row>
    <row r="10" spans="1:24" ht="15.75" customHeight="1">
      <c r="A10" s="10" t="s">
        <v>23</v>
      </c>
      <c r="B10" s="11" t="s">
        <v>14</v>
      </c>
      <c r="C10" s="12">
        <v>1</v>
      </c>
      <c r="D10" s="12">
        <v>0.71389999999999998</v>
      </c>
      <c r="E10" s="12">
        <v>1E-4</v>
      </c>
      <c r="F10" s="12">
        <v>4.8560999999999996</v>
      </c>
      <c r="G10" s="13">
        <v>0.71389999999999998</v>
      </c>
      <c r="H10" s="14"/>
      <c r="I10" s="17" t="str">
        <f ca="1">IFERROR(__xludf.DUMMYFUNCTION("""COMPUTED_VALUE"""),"Denial of Service: Block Shared Resources Of Cloud Application")</f>
        <v>Denial of Service: Block Shared Resources Of Cloud Application</v>
      </c>
      <c r="J10" s="14" t="str">
        <f ca="1">IFERROR(__xludf.DUMMYFUNCTION("""COMPUTED_VALUE"""),"IAM (IAM) - glue_ETL_role")</f>
        <v>IAM (IAM) - glue_ETL_role</v>
      </c>
      <c r="K10" s="14">
        <f ca="1">IFERROR(__xludf.DUMMYFUNCTION("""COMPUTED_VALUE"""),1)</f>
        <v>1</v>
      </c>
      <c r="L10" s="14">
        <f ca="1">IFERROR(__xludf.DUMMYFUNCTION("""COMPUTED_VALUE"""),0.7678)</f>
        <v>0.76780000000000004</v>
      </c>
      <c r="M10" s="14">
        <f ca="1">IFERROR(__xludf.DUMMYFUNCTION("""COMPUTED_VALUE"""),0)</f>
        <v>0</v>
      </c>
      <c r="N10" s="14">
        <f ca="1">IFERROR(__xludf.DUMMYFUNCTION("""COMPUTED_VALUE"""),5.3518)</f>
        <v>5.3517999999999999</v>
      </c>
      <c r="O10" s="16">
        <f ca="1">IFERROR(__xludf.DUMMYFUNCTION("""COMPUTED_VALUE"""),0.7678)</f>
        <v>0.76780000000000004</v>
      </c>
      <c r="P10" s="14"/>
      <c r="Q10" s="17" t="str">
        <f ca="1">IFERROR(__xludf.DUMMYFUNCTION("""COMPUTED_VALUE"""),"Repudiation: Attacking the Logs")</f>
        <v>Repudiation: Attacking the Logs</v>
      </c>
      <c r="R10" s="14">
        <f ca="1">IFERROR(__xludf.DUMMYFUNCTION("""COMPUTED_VALUE"""),2)</f>
        <v>2</v>
      </c>
      <c r="S10" s="14" t="s">
        <v>0</v>
      </c>
      <c r="T10" s="14" t="s">
        <v>0</v>
      </c>
      <c r="U10" s="16"/>
      <c r="W10" s="14"/>
      <c r="X10" s="14"/>
    </row>
    <row r="11" spans="1:24" ht="15.75" customHeight="1">
      <c r="A11" s="10" t="s">
        <v>23</v>
      </c>
      <c r="B11" s="11" t="s">
        <v>17</v>
      </c>
      <c r="C11" s="12">
        <v>1</v>
      </c>
      <c r="D11" s="12">
        <v>0.73509999999999998</v>
      </c>
      <c r="E11" s="12">
        <v>0</v>
      </c>
      <c r="F11" s="12">
        <v>5.3903999999999996</v>
      </c>
      <c r="G11" s="13">
        <v>0.73509999999999998</v>
      </c>
      <c r="H11" s="14"/>
      <c r="I11" s="17" t="str">
        <f ca="1">IFERROR(__xludf.DUMMYFUNCTION("""COMPUTED_VALUE"""),"Denial of Service: Block Shared Resources Of Cloud Application")</f>
        <v>Denial of Service: Block Shared Resources Of Cloud Application</v>
      </c>
      <c r="J11" s="14" t="str">
        <f ca="1">IFERROR(__xludf.DUMMYFUNCTION("""COMPUTED_VALUE"""),"IAM (IAM) - s3_to_gluecatalog_lambda_role")</f>
        <v>IAM (IAM) - s3_to_gluecatalog_lambda_role</v>
      </c>
      <c r="K11" s="14">
        <f ca="1">IFERROR(__xludf.DUMMYFUNCTION("""COMPUTED_VALUE"""),1)</f>
        <v>1</v>
      </c>
      <c r="L11" s="14">
        <f ca="1">IFERROR(__xludf.DUMMYFUNCTION("""COMPUTED_VALUE"""),0.71)</f>
        <v>0.71</v>
      </c>
      <c r="M11" s="14">
        <f ca="1">IFERROR(__xludf.DUMMYFUNCTION("""COMPUTED_VALUE"""),0.0004)</f>
        <v>4.0000000000000002E-4</v>
      </c>
      <c r="N11" s="14">
        <f ca="1">IFERROR(__xludf.DUMMYFUNCTION("""COMPUTED_VALUE"""),4.9136)</f>
        <v>4.9135999999999997</v>
      </c>
      <c r="O11" s="16">
        <f ca="1">IFERROR(__xludf.DUMMYFUNCTION("""COMPUTED_VALUE"""),0.71)</f>
        <v>0.71</v>
      </c>
      <c r="P11" s="14"/>
      <c r="Q11" s="17" t="str">
        <f ca="1">IFERROR(__xludf.DUMMYFUNCTION("""COMPUTED_VALUE"""),"Tampering: Unauthorized Modification of the Data Stores")</f>
        <v>Tampering: Unauthorized Modification of the Data Stores</v>
      </c>
      <c r="R11" s="14">
        <f ca="1">IFERROR(__xludf.DUMMYFUNCTION("""COMPUTED_VALUE"""),2)</f>
        <v>2</v>
      </c>
      <c r="S11" s="14"/>
      <c r="T11" s="14" t="s">
        <v>0</v>
      </c>
      <c r="U11" s="16"/>
      <c r="W11" s="14"/>
      <c r="X11" s="14"/>
    </row>
    <row r="12" spans="1:24" ht="15.75" customHeight="1">
      <c r="A12" s="10" t="s">
        <v>23</v>
      </c>
      <c r="B12" s="11" t="s">
        <v>20</v>
      </c>
      <c r="C12" s="12">
        <v>1</v>
      </c>
      <c r="D12" s="12">
        <v>0.77649999999999997</v>
      </c>
      <c r="E12" s="12">
        <v>2.0000000000000001E-4</v>
      </c>
      <c r="F12" s="12">
        <v>4.9230999999999998</v>
      </c>
      <c r="G12" s="13">
        <v>0.77649999999999997</v>
      </c>
      <c r="H12" s="14"/>
      <c r="I12" s="17" t="str">
        <f ca="1">IFERROR(__xludf.DUMMYFUNCTION("""COMPUTED_VALUE"""),"Denial of Service: Block Shared Resources Of Cloud Application")</f>
        <v>Denial of Service: Block Shared Resources Of Cloud Application</v>
      </c>
      <c r="J12" s="14" t="str">
        <f ca="1">IFERROR(__xludf.DUMMYFUNCTION("""COMPUTED_VALUE"""),"IAM (IAM) - ssm_parameter_role_policies")</f>
        <v>IAM (IAM) - ssm_parameter_role_policies</v>
      </c>
      <c r="K12" s="14">
        <f ca="1">IFERROR(__xludf.DUMMYFUNCTION("""COMPUTED_VALUE"""),1)</f>
        <v>1</v>
      </c>
      <c r="L12" s="14">
        <f ca="1">IFERROR(__xludf.DUMMYFUNCTION("""COMPUTED_VALUE"""),0.7623)</f>
        <v>0.76229999999999998</v>
      </c>
      <c r="M12" s="14">
        <f ca="1">IFERROR(__xludf.DUMMYFUNCTION("""COMPUTED_VALUE"""),0)</f>
        <v>0</v>
      </c>
      <c r="N12" s="14">
        <f ca="1">IFERROR(__xludf.DUMMYFUNCTION("""COMPUTED_VALUE"""),5.3586)</f>
        <v>5.3586</v>
      </c>
      <c r="O12" s="16">
        <f ca="1">IFERROR(__xludf.DUMMYFUNCTION("""COMPUTED_VALUE"""),0.7623)</f>
        <v>0.76229999999999998</v>
      </c>
      <c r="P12" s="14"/>
      <c r="Q12" s="17" t="str">
        <f ca="1">IFERROR(__xludf.DUMMYFUNCTION("""COMPUTED_VALUE"""),"Denial of Service: Backup Of Cloud Application Lost")</f>
        <v>Denial of Service: Backup Of Cloud Application Lost</v>
      </c>
      <c r="R12" s="14">
        <f ca="1">IFERROR(__xludf.DUMMYFUNCTION("""COMPUTED_VALUE"""),5)</f>
        <v>5</v>
      </c>
      <c r="S12" s="14" t="s">
        <v>0</v>
      </c>
      <c r="T12" s="14"/>
      <c r="U12" s="16"/>
      <c r="W12" s="14"/>
      <c r="X12" s="14"/>
    </row>
    <row r="13" spans="1:24" ht="15.75" customHeight="1">
      <c r="A13" s="10" t="s">
        <v>23</v>
      </c>
      <c r="B13" s="11" t="s">
        <v>21</v>
      </c>
      <c r="C13" s="12">
        <v>1</v>
      </c>
      <c r="D13" s="12">
        <v>0.81189999999999996</v>
      </c>
      <c r="E13" s="12">
        <v>0</v>
      </c>
      <c r="F13" s="12">
        <v>5.4657</v>
      </c>
      <c r="G13" s="13">
        <v>0.81189999999999996</v>
      </c>
      <c r="H13" s="14"/>
      <c r="I13" s="17" t="str">
        <f ca="1">IFERROR(__xludf.DUMMYFUNCTION("""COMPUTED_VALUE"""),"Denial of Service: Block Shared Resources Of Cloud Application")</f>
        <v>Denial of Service: Block Shared Resources Of Cloud Application</v>
      </c>
      <c r="J13" s="14" t="str">
        <f ca="1">IFERROR(__xludf.DUMMYFUNCTION("""COMPUTED_VALUE"""),"ServerlessFunction (AwsLambda) - s3_to_gluecatalog")</f>
        <v>ServerlessFunction (AwsLambda) - s3_to_gluecatalog</v>
      </c>
      <c r="K13" s="14">
        <f ca="1">IFERROR(__xludf.DUMMYFUNCTION("""COMPUTED_VALUE"""),1)</f>
        <v>1</v>
      </c>
      <c r="L13" s="14">
        <f ca="1">IFERROR(__xludf.DUMMYFUNCTION("""COMPUTED_VALUE"""),0.7262)</f>
        <v>0.72619999999999996</v>
      </c>
      <c r="M13" s="14">
        <f ca="1">IFERROR(__xludf.DUMMYFUNCTION("""COMPUTED_VALUE"""),0.0002)</f>
        <v>2.0000000000000001E-4</v>
      </c>
      <c r="N13" s="14">
        <f ca="1">IFERROR(__xludf.DUMMYFUNCTION("""COMPUTED_VALUE"""),5.4159)</f>
        <v>5.4158999999999997</v>
      </c>
      <c r="O13" s="16">
        <f ca="1">IFERROR(__xludf.DUMMYFUNCTION("""COMPUTED_VALUE"""),0.7262)</f>
        <v>0.72619999999999996</v>
      </c>
      <c r="P13" s="14"/>
      <c r="Q13" s="17" t="str">
        <f ca="1">IFERROR(__xludf.DUMMYFUNCTION("""COMPUTED_VALUE"""),"Denial of Service: Connection Lost To Cloud Application")</f>
        <v>Denial of Service: Connection Lost To Cloud Application</v>
      </c>
      <c r="R13" s="14">
        <f ca="1">IFERROR(__xludf.DUMMYFUNCTION("""COMPUTED_VALUE"""),5)</f>
        <v>5</v>
      </c>
      <c r="S13" s="14" t="s">
        <v>0</v>
      </c>
      <c r="T13" s="14"/>
      <c r="U13" s="16"/>
      <c r="W13" s="14"/>
      <c r="X13" s="14"/>
    </row>
    <row r="14" spans="1:24" ht="15.75" customHeight="1">
      <c r="A14" s="10" t="s">
        <v>23</v>
      </c>
      <c r="B14" s="11" t="s">
        <v>22</v>
      </c>
      <c r="C14" s="12">
        <v>1</v>
      </c>
      <c r="D14" s="12">
        <v>0.72550000000000003</v>
      </c>
      <c r="E14" s="12">
        <v>0</v>
      </c>
      <c r="F14" s="12">
        <v>5.2596999999999996</v>
      </c>
      <c r="G14" s="13">
        <v>0.72550000000000003</v>
      </c>
      <c r="H14" s="14"/>
      <c r="I14" s="17" t="str">
        <f ca="1">IFERROR(__xludf.DUMMYFUNCTION("""COMPUTED_VALUE"""),"Denial of Service: Block Shared Resources Of Cloud Application")</f>
        <v>Denial of Service: Block Shared Resources Of Cloud Application</v>
      </c>
      <c r="J14" s="14" t="str">
        <f ca="1">IFERROR(__xludf.DUMMYFUNCTION("""COMPUTED_VALUE"""),"VirtualFirewall (SecurityGroup) - cg-ec2-security-group")</f>
        <v>VirtualFirewall (SecurityGroup) - cg-ec2-security-group</v>
      </c>
      <c r="K14" s="14">
        <f ca="1">IFERROR(__xludf.DUMMYFUNCTION("""COMPUTED_VALUE"""),1)</f>
        <v>1</v>
      </c>
      <c r="L14" s="14">
        <f ca="1">IFERROR(__xludf.DUMMYFUNCTION("""COMPUTED_VALUE"""),0.764)</f>
        <v>0.76400000000000001</v>
      </c>
      <c r="M14" s="14">
        <f ca="1">IFERROR(__xludf.DUMMYFUNCTION("""COMPUTED_VALUE"""),0.0001)</f>
        <v>1E-4</v>
      </c>
      <c r="N14" s="14">
        <f ca="1">IFERROR(__xludf.DUMMYFUNCTION("""COMPUTED_VALUE"""),5.3929)</f>
        <v>5.3929</v>
      </c>
      <c r="O14" s="16">
        <f ca="1">IFERROR(__xludf.DUMMYFUNCTION("""COMPUTED_VALUE"""),0.764)</f>
        <v>0.76400000000000001</v>
      </c>
      <c r="P14" s="14"/>
      <c r="Q14" s="17" t="str">
        <f ca="1">IFERROR(__xludf.DUMMYFUNCTION("""COMPUTED_VALUE"""),"Denial of Service: Failure Of Cloud Application")</f>
        <v>Denial of Service: Failure Of Cloud Application</v>
      </c>
      <c r="R14" s="14">
        <f ca="1">IFERROR(__xludf.DUMMYFUNCTION("""COMPUTED_VALUE"""),5)</f>
        <v>5</v>
      </c>
      <c r="S14" s="14" t="s">
        <v>0</v>
      </c>
      <c r="T14" s="14"/>
      <c r="U14" s="16"/>
      <c r="W14" s="14"/>
      <c r="X14" s="14"/>
    </row>
    <row r="15" spans="1:24" ht="15.75" customHeight="1">
      <c r="A15" s="10" t="s">
        <v>23</v>
      </c>
      <c r="B15" s="11" t="s">
        <v>17</v>
      </c>
      <c r="C15" s="12">
        <v>1</v>
      </c>
      <c r="D15" s="12">
        <v>0.70779999999999998</v>
      </c>
      <c r="E15" s="12">
        <v>0</v>
      </c>
      <c r="F15" s="12">
        <v>4.3475999999999999</v>
      </c>
      <c r="G15" s="13">
        <v>0.70779999999999998</v>
      </c>
      <c r="H15" s="14"/>
      <c r="I15" s="17" t="str">
        <f ca="1">IFERROR(__xludf.DUMMYFUNCTION("""COMPUTED_VALUE"""),"Denial of Service: Block Shared Resources Of Cloud Application")</f>
        <v>Denial of Service: Block Shared Resources Of Cloud Application</v>
      </c>
      <c r="J15" s="14" t="str">
        <f ca="1">IFERROR(__xludf.DUMMYFUNCTION("""COMPUTED_VALUE"""),"VirtualFirewall (SecurityGroup) - cg-rds-glue-security-group")</f>
        <v>VirtualFirewall (SecurityGroup) - cg-rds-glue-security-group</v>
      </c>
      <c r="K15" s="14">
        <f ca="1">IFERROR(__xludf.DUMMYFUNCTION("""COMPUTED_VALUE"""),1)</f>
        <v>1</v>
      </c>
      <c r="L15" s="14">
        <f ca="1">IFERROR(__xludf.DUMMYFUNCTION("""COMPUTED_VALUE"""),0.7072)</f>
        <v>0.70720000000000005</v>
      </c>
      <c r="M15" s="14">
        <f ca="1">IFERROR(__xludf.DUMMYFUNCTION("""COMPUTED_VALUE"""),0)</f>
        <v>0</v>
      </c>
      <c r="N15" s="14">
        <f ca="1">IFERROR(__xludf.DUMMYFUNCTION("""COMPUTED_VALUE"""),5.0769)</f>
        <v>5.0769000000000002</v>
      </c>
      <c r="O15" s="16">
        <f ca="1">IFERROR(__xludf.DUMMYFUNCTION("""COMPUTED_VALUE"""),0.7072)</f>
        <v>0.70720000000000005</v>
      </c>
      <c r="P15" s="14"/>
      <c r="Q15" s="17" t="str">
        <f ca="1">IFERROR(__xludf.DUMMYFUNCTION("""COMPUTED_VALUE"""),"Elevation of Privilege: Broken Access Control")</f>
        <v>Elevation of Privilege: Broken Access Control</v>
      </c>
      <c r="R15" s="14">
        <f ca="1">IFERROR(__xludf.DUMMYFUNCTION("""COMPUTED_VALUE"""),5)</f>
        <v>5</v>
      </c>
      <c r="S15" s="14" t="s">
        <v>0</v>
      </c>
      <c r="T15" s="14" t="s">
        <v>0</v>
      </c>
      <c r="U15" s="16"/>
      <c r="W15" s="14"/>
      <c r="X15" s="14"/>
    </row>
    <row r="16" spans="1:24" ht="15.75" customHeight="1">
      <c r="A16" s="10" t="s">
        <v>23</v>
      </c>
      <c r="B16" s="11" t="s">
        <v>22</v>
      </c>
      <c r="C16" s="12">
        <v>1</v>
      </c>
      <c r="D16" s="12">
        <v>0.75580000000000003</v>
      </c>
      <c r="E16" s="12">
        <v>0</v>
      </c>
      <c r="F16" s="12">
        <v>5.5106000000000002</v>
      </c>
      <c r="G16" s="13">
        <v>0.75580000000000003</v>
      </c>
      <c r="H16" s="14"/>
      <c r="I16" s="17" t="str">
        <f ca="1">IFERROR(__xludf.DUMMYFUNCTION("""COMPUTED_VALUE"""),"Denial of Service: Block Shared Resources Of Cloud Application")</f>
        <v>Denial of Service: Block Shared Resources Of Cloud Application</v>
      </c>
      <c r="J16" s="14" t="str">
        <f ca="1">IFERROR(__xludf.DUMMYFUNCTION("""COMPUTED_VALUE"""),"VirtualFirewall (SecurityGroup) - cg-rds-security-group")</f>
        <v>VirtualFirewall (SecurityGroup) - cg-rds-security-group</v>
      </c>
      <c r="K16" s="14">
        <f ca="1">IFERROR(__xludf.DUMMYFUNCTION("""COMPUTED_VALUE"""),1)</f>
        <v>1</v>
      </c>
      <c r="L16" s="14">
        <f ca="1">IFERROR(__xludf.DUMMYFUNCTION("""COMPUTED_VALUE"""),0.6813)</f>
        <v>0.68130000000000002</v>
      </c>
      <c r="M16" s="14">
        <f ca="1">IFERROR(__xludf.DUMMYFUNCTION("""COMPUTED_VALUE"""),0.0001)</f>
        <v>1E-4</v>
      </c>
      <c r="N16" s="14">
        <f ca="1">IFERROR(__xludf.DUMMYFUNCTION("""COMPUTED_VALUE"""),5.1448)</f>
        <v>5.1448</v>
      </c>
      <c r="O16" s="16">
        <f ca="1">IFERROR(__xludf.DUMMYFUNCTION("""COMPUTED_VALUE"""),0.6813)</f>
        <v>0.68130000000000002</v>
      </c>
      <c r="P16" s="14"/>
      <c r="Q16" s="17" t="str">
        <f ca="1">IFERROR(__xludf.DUMMYFUNCTION("""COMPUTED_VALUE"""),"Information Disclosure: Backup Of Cloud Application Stolen")</f>
        <v>Information Disclosure: Backup Of Cloud Application Stolen</v>
      </c>
      <c r="R16" s="14">
        <f ca="1">IFERROR(__xludf.DUMMYFUNCTION("""COMPUTED_VALUE"""),5)</f>
        <v>5</v>
      </c>
      <c r="S16" s="14"/>
      <c r="T16" s="14" t="s">
        <v>0</v>
      </c>
      <c r="U16" s="16"/>
      <c r="W16" s="14"/>
      <c r="X16" s="14"/>
    </row>
    <row r="17" spans="1:24" ht="15.75" customHeight="1">
      <c r="A17" s="10" t="s">
        <v>23</v>
      </c>
      <c r="B17" s="11" t="s">
        <v>22</v>
      </c>
      <c r="C17" s="12">
        <v>1</v>
      </c>
      <c r="D17" s="12">
        <v>0.76639999999999997</v>
      </c>
      <c r="E17" s="12">
        <v>1E-4</v>
      </c>
      <c r="F17" s="12">
        <v>4.4135999999999997</v>
      </c>
      <c r="G17" s="13">
        <v>0.76639999999999997</v>
      </c>
      <c r="H17" s="14"/>
      <c r="I17" s="17" t="str">
        <f ca="1">IFERROR(__xludf.DUMMYFUNCTION("""COMPUTED_VALUE"""),"Denial of Service: Connection Lost To Cloud Application")</f>
        <v>Denial of Service: Connection Lost To Cloud Application</v>
      </c>
      <c r="J17" s="14" t="str">
        <f ca="1">IFERROR(__xludf.DUMMYFUNCTION("""COMPUTED_VALUE"""),"IAM (IAM) - glue_ETL_role")</f>
        <v>IAM (IAM) - glue_ETL_role</v>
      </c>
      <c r="K17" s="14">
        <f ca="1">IFERROR(__xludf.DUMMYFUNCTION("""COMPUTED_VALUE"""),1)</f>
        <v>1</v>
      </c>
      <c r="L17" s="14">
        <f ca="1">IFERROR(__xludf.DUMMYFUNCTION("""COMPUTED_VALUE"""),0.7049)</f>
        <v>0.70489999999999997</v>
      </c>
      <c r="M17" s="14">
        <f ca="1">IFERROR(__xludf.DUMMYFUNCTION("""COMPUTED_VALUE"""),0.0001)</f>
        <v>1E-4</v>
      </c>
      <c r="N17" s="14">
        <f ca="1">IFERROR(__xludf.DUMMYFUNCTION("""COMPUTED_VALUE"""),4.8839)</f>
        <v>4.8838999999999997</v>
      </c>
      <c r="O17" s="16">
        <f ca="1">IFERROR(__xludf.DUMMYFUNCTION("""COMPUTED_VALUE"""),0.7049)</f>
        <v>0.70489999999999997</v>
      </c>
      <c r="P17" s="14"/>
      <c r="Q17" s="17" t="str">
        <f ca="1">IFERROR(__xludf.DUMMYFUNCTION("""COMPUTED_VALUE"""),"Information Disclosure: Data Breach By Cloud Application")</f>
        <v>Information Disclosure: Data Breach By Cloud Application</v>
      </c>
      <c r="R17" s="14">
        <f ca="1">IFERROR(__xludf.DUMMYFUNCTION("""COMPUTED_VALUE"""),5)</f>
        <v>5</v>
      </c>
      <c r="S17" s="14" t="s">
        <v>0</v>
      </c>
      <c r="T17" s="14" t="s">
        <v>0</v>
      </c>
      <c r="U17" s="16"/>
      <c r="W17" s="14"/>
      <c r="X17" s="14"/>
    </row>
    <row r="18" spans="1:24" ht="15.75" customHeight="1">
      <c r="A18" s="10" t="s">
        <v>24</v>
      </c>
      <c r="B18" s="11" t="s">
        <v>2</v>
      </c>
      <c r="C18" s="12">
        <v>1</v>
      </c>
      <c r="D18" s="12">
        <v>0.68989999999999996</v>
      </c>
      <c r="E18" s="12">
        <v>0</v>
      </c>
      <c r="F18" s="12">
        <v>5.4728000000000003</v>
      </c>
      <c r="G18" s="13">
        <v>0.68989999999999996</v>
      </c>
      <c r="H18" s="14"/>
      <c r="I18" s="17" t="str">
        <f ca="1">IFERROR(__xludf.DUMMYFUNCTION("""COMPUTED_VALUE"""),"Denial of Service: Connection Lost To Cloud Application")</f>
        <v>Denial of Service: Connection Lost To Cloud Application</v>
      </c>
      <c r="J18" s="14" t="str">
        <f ca="1">IFERROR(__xludf.DUMMYFUNCTION("""COMPUTED_VALUE"""),"IAM (IAM) - s3_to_gluecatalog_lambda_role")</f>
        <v>IAM (IAM) - s3_to_gluecatalog_lambda_role</v>
      </c>
      <c r="K18" s="14">
        <f ca="1">IFERROR(__xludf.DUMMYFUNCTION("""COMPUTED_VALUE"""),1)</f>
        <v>1</v>
      </c>
      <c r="L18" s="14">
        <f ca="1">IFERROR(__xludf.DUMMYFUNCTION("""COMPUTED_VALUE"""),0.7571)</f>
        <v>0.7571</v>
      </c>
      <c r="M18" s="14">
        <f ca="1">IFERROR(__xludf.DUMMYFUNCTION("""COMPUTED_VALUE"""),0.0001)</f>
        <v>1E-4</v>
      </c>
      <c r="N18" s="14">
        <f ca="1">IFERROR(__xludf.DUMMYFUNCTION("""COMPUTED_VALUE"""),5.0632)</f>
        <v>5.0632000000000001</v>
      </c>
      <c r="O18" s="16">
        <f ca="1">IFERROR(__xludf.DUMMYFUNCTION("""COMPUTED_VALUE"""),0.7571)</f>
        <v>0.7571</v>
      </c>
      <c r="P18" s="14"/>
      <c r="Q18" s="17" t="str">
        <f ca="1">IFERROR(__xludf.DUMMYFUNCTION("""COMPUTED_VALUE"""),"Information Disclosure: Logs Of Cloud Application Stolen")</f>
        <v>Information Disclosure: Logs Of Cloud Application Stolen</v>
      </c>
      <c r="R18" s="14">
        <f ca="1">IFERROR(__xludf.DUMMYFUNCTION("""COMPUTED_VALUE"""),5)</f>
        <v>5</v>
      </c>
      <c r="S18" s="14"/>
      <c r="T18" s="14" t="s">
        <v>0</v>
      </c>
      <c r="U18" s="16"/>
      <c r="W18" s="14"/>
      <c r="X18" s="14"/>
    </row>
    <row r="19" spans="1:24" ht="15.75" customHeight="1">
      <c r="A19" s="10" t="s">
        <v>24</v>
      </c>
      <c r="B19" s="11" t="s">
        <v>2</v>
      </c>
      <c r="C19" s="12">
        <v>1</v>
      </c>
      <c r="D19" s="12">
        <v>0.74099999999999999</v>
      </c>
      <c r="E19" s="12">
        <v>0</v>
      </c>
      <c r="F19" s="12">
        <v>4.6284000000000001</v>
      </c>
      <c r="G19" s="13">
        <v>0.74099999999999999</v>
      </c>
      <c r="H19" s="14"/>
      <c r="I19" s="17" t="str">
        <f ca="1">IFERROR(__xludf.DUMMYFUNCTION("""COMPUTED_VALUE"""),"Denial of Service: Connection Lost To Cloud Application")</f>
        <v>Denial of Service: Connection Lost To Cloud Application</v>
      </c>
      <c r="J19" s="14" t="str">
        <f ca="1">IFERROR(__xludf.DUMMYFUNCTION("""COMPUTED_VALUE"""),"ServerlessFunction (AwsLambda) - s3_to_gluecatalog")</f>
        <v>ServerlessFunction (AwsLambda) - s3_to_gluecatalog</v>
      </c>
      <c r="K19" s="14">
        <f ca="1">IFERROR(__xludf.DUMMYFUNCTION("""COMPUTED_VALUE"""),1)</f>
        <v>1</v>
      </c>
      <c r="L19" s="14">
        <f ca="1">IFERROR(__xludf.DUMMYFUNCTION("""COMPUTED_VALUE"""),0.8097)</f>
        <v>0.80969999999999998</v>
      </c>
      <c r="M19" s="14">
        <f ca="1">IFERROR(__xludf.DUMMYFUNCTION("""COMPUTED_VALUE"""),0)</f>
        <v>0</v>
      </c>
      <c r="N19" s="14">
        <f ca="1">IFERROR(__xludf.DUMMYFUNCTION("""COMPUTED_VALUE"""),4.9345)</f>
        <v>4.9344999999999999</v>
      </c>
      <c r="O19" s="16">
        <f ca="1">IFERROR(__xludf.DUMMYFUNCTION("""COMPUTED_VALUE"""),0.8097)</f>
        <v>0.80969999999999998</v>
      </c>
      <c r="P19" s="14"/>
      <c r="Q19" s="17" t="str">
        <f ca="1">IFERROR(__xludf.DUMMYFUNCTION("""COMPUTED_VALUE"""),"Repudiation: Logs Of Cloud Application Lost")</f>
        <v>Repudiation: Logs Of Cloud Application Lost</v>
      </c>
      <c r="R19" s="14">
        <f ca="1">IFERROR(__xludf.DUMMYFUNCTION("""COMPUTED_VALUE"""),5)</f>
        <v>5</v>
      </c>
      <c r="S19" s="14"/>
      <c r="T19" s="14" t="s">
        <v>0</v>
      </c>
      <c r="U19" s="16"/>
      <c r="W19" s="14"/>
      <c r="X19" s="14"/>
    </row>
    <row r="20" spans="1:24" ht="15.75" customHeight="1">
      <c r="A20" s="10" t="s">
        <v>24</v>
      </c>
      <c r="B20" s="11" t="s">
        <v>2</v>
      </c>
      <c r="C20" s="12">
        <v>1</v>
      </c>
      <c r="D20" s="12">
        <v>0.69179999999999997</v>
      </c>
      <c r="E20" s="12">
        <v>1E-4</v>
      </c>
      <c r="F20" s="12">
        <v>5.5533000000000001</v>
      </c>
      <c r="G20" s="13">
        <v>0.69179999999999997</v>
      </c>
      <c r="H20" s="14"/>
      <c r="I20" s="17" t="str">
        <f ca="1">IFERROR(__xludf.DUMMYFUNCTION("""COMPUTED_VALUE"""),"Denial of Service: Connection Lost To Cloud Application")</f>
        <v>Denial of Service: Connection Lost To Cloud Application</v>
      </c>
      <c r="J20" s="14" t="str">
        <f ca="1">IFERROR(__xludf.DUMMYFUNCTION("""COMPUTED_VALUE"""),"ServerlessOrchestration (GlueJob) - cg-glue-connection")</f>
        <v>ServerlessOrchestration (GlueJob) - cg-glue-connection</v>
      </c>
      <c r="K20" s="14">
        <f ca="1">IFERROR(__xludf.DUMMYFUNCTION("""COMPUTED_VALUE"""),1)</f>
        <v>1</v>
      </c>
      <c r="L20" s="14">
        <f ca="1">IFERROR(__xludf.DUMMYFUNCTION("""COMPUTED_VALUE"""),0.757633333333333)</f>
        <v>0.75763333333333305</v>
      </c>
      <c r="M20" s="14">
        <f ca="1">IFERROR(__xludf.DUMMYFUNCTION("""COMPUTED_VALUE"""),0.0000666666666666666)</f>
        <v>6.6666666666666602E-5</v>
      </c>
      <c r="N20" s="14">
        <f ca="1">IFERROR(__xludf.DUMMYFUNCTION("""COMPUTED_VALUE"""),5.10116666666666)</f>
        <v>5.1011666666666597</v>
      </c>
      <c r="O20" s="16">
        <f ca="1">IFERROR(__xludf.DUMMYFUNCTION("""COMPUTED_VALUE"""),0.757633333333333)</f>
        <v>0.75763333333333305</v>
      </c>
      <c r="P20" s="14"/>
      <c r="Q20" s="17" t="str">
        <f ca="1">IFERROR(__xludf.DUMMYFUNCTION("""COMPUTED_VALUE"""),"Spoofing: Broken Authentication")</f>
        <v>Spoofing: Broken Authentication</v>
      </c>
      <c r="R20" s="14">
        <f ca="1">IFERROR(__xludf.DUMMYFUNCTION("""COMPUTED_VALUE"""),5)</f>
        <v>5</v>
      </c>
      <c r="S20" s="14" t="s">
        <v>0</v>
      </c>
      <c r="T20" s="14"/>
      <c r="U20" s="16"/>
      <c r="W20" s="14"/>
      <c r="X20" s="14"/>
    </row>
    <row r="21" spans="1:24" ht="15.75" customHeight="1">
      <c r="A21" s="10" t="s">
        <v>24</v>
      </c>
      <c r="B21" s="11" t="s">
        <v>2</v>
      </c>
      <c r="C21" s="12">
        <v>1</v>
      </c>
      <c r="D21" s="12">
        <v>0.72919999999999996</v>
      </c>
      <c r="E21" s="12">
        <v>0</v>
      </c>
      <c r="F21" s="12">
        <v>4.6139000000000001</v>
      </c>
      <c r="G21" s="13">
        <v>0.72919999999999996</v>
      </c>
      <c r="H21" s="14"/>
      <c r="I21" s="17" t="str">
        <f ca="1">IFERROR(__xludf.DUMMYFUNCTION("""COMPUTED_VALUE"""),"Denial of Service: Connection Lost To Cloud Application")</f>
        <v>Denial of Service: Connection Lost To Cloud Application</v>
      </c>
      <c r="J21" s="14" t="str">
        <f ca="1">IFERROR(__xludf.DUMMYFUNCTION("""COMPUTED_VALUE"""),"VirtualFirewall (SecurityGroup) - cg-rds-glue-security-group")</f>
        <v>VirtualFirewall (SecurityGroup) - cg-rds-glue-security-group</v>
      </c>
      <c r="K21" s="14">
        <f ca="1">IFERROR(__xludf.DUMMYFUNCTION("""COMPUTED_VALUE"""),1)</f>
        <v>1</v>
      </c>
      <c r="L21" s="14">
        <f ca="1">IFERROR(__xludf.DUMMYFUNCTION("""COMPUTED_VALUE"""),0.7814)</f>
        <v>0.78139999999999998</v>
      </c>
      <c r="M21" s="14">
        <f ca="1">IFERROR(__xludf.DUMMYFUNCTION("""COMPUTED_VALUE"""),0)</f>
        <v>0</v>
      </c>
      <c r="N21" s="14">
        <f ca="1">IFERROR(__xludf.DUMMYFUNCTION("""COMPUTED_VALUE"""),4.4219)</f>
        <v>4.4218999999999999</v>
      </c>
      <c r="O21" s="16">
        <f ca="1">IFERROR(__xludf.DUMMYFUNCTION("""COMPUTED_VALUE"""),0.7814)</f>
        <v>0.78139999999999998</v>
      </c>
      <c r="P21" s="14"/>
      <c r="Q21" s="17" t="str">
        <f ca="1">IFERROR(__xludf.DUMMYFUNCTION("""COMPUTED_VALUE"""),"Tampering: Data Loss By Cloud Application")</f>
        <v>Tampering: Data Loss By Cloud Application</v>
      </c>
      <c r="R21" s="14">
        <f ca="1">IFERROR(__xludf.DUMMYFUNCTION("""COMPUTED_VALUE"""),5)</f>
        <v>5</v>
      </c>
      <c r="S21" s="14" t="s">
        <v>0</v>
      </c>
      <c r="T21" s="14" t="s">
        <v>0</v>
      </c>
      <c r="U21" s="16"/>
      <c r="W21" s="14"/>
      <c r="X21" s="14"/>
    </row>
    <row r="22" spans="1:24" ht="15.75" customHeight="1">
      <c r="A22" s="10" t="s">
        <v>24</v>
      </c>
      <c r="B22" s="11" t="s">
        <v>2</v>
      </c>
      <c r="C22" s="12">
        <v>1</v>
      </c>
      <c r="D22" s="12">
        <v>0.77370000000000005</v>
      </c>
      <c r="E22" s="12">
        <v>0</v>
      </c>
      <c r="F22" s="12">
        <v>5.0335999999999999</v>
      </c>
      <c r="G22" s="13">
        <v>0.77370000000000005</v>
      </c>
      <c r="H22" s="14"/>
      <c r="I22" s="17" t="str">
        <f ca="1">IFERROR(__xludf.DUMMYFUNCTION("""COMPUTED_VALUE"""),"Denial of Service: DDoS Attack To Cloud Application")</f>
        <v>Denial of Service: DDoS Attack To Cloud Application</v>
      </c>
      <c r="J22" s="14" t="str">
        <f ca="1">IFERROR(__xludf.DUMMYFUNCTION("""COMPUTED_VALUE"""),"IAM (IAM) - cg-ec2-instance-profile")</f>
        <v>IAM (IAM) - cg-ec2-instance-profile</v>
      </c>
      <c r="K22" s="14">
        <f ca="1">IFERROR(__xludf.DUMMYFUNCTION("""COMPUTED_VALUE"""),1)</f>
        <v>1</v>
      </c>
      <c r="L22" s="14">
        <f ca="1">IFERROR(__xludf.DUMMYFUNCTION("""COMPUTED_VALUE"""),0.8145)</f>
        <v>0.8145</v>
      </c>
      <c r="M22" s="14">
        <f ca="1">IFERROR(__xludf.DUMMYFUNCTION("""COMPUTED_VALUE"""),0.0001)</f>
        <v>1E-4</v>
      </c>
      <c r="N22" s="14">
        <f ca="1">IFERROR(__xludf.DUMMYFUNCTION("""COMPUTED_VALUE"""),5.0675)</f>
        <v>5.0674999999999999</v>
      </c>
      <c r="O22" s="16">
        <f ca="1">IFERROR(__xludf.DUMMYFUNCTION("""COMPUTED_VALUE"""),0.8145)</f>
        <v>0.8145</v>
      </c>
      <c r="P22" s="14"/>
      <c r="Q22" s="17" t="str">
        <f ca="1">IFERROR(__xludf.DUMMYFUNCTION("""COMPUTED_VALUE"""),"Denial of Service: Block Shared Resources Of Cloud Application")</f>
        <v>Denial of Service: Block Shared Resources Of Cloud Application</v>
      </c>
      <c r="R22" s="14">
        <f ca="1">IFERROR(__xludf.DUMMYFUNCTION("""COMPUTED_VALUE"""),10)</f>
        <v>10</v>
      </c>
      <c r="S22" s="14" t="s">
        <v>0</v>
      </c>
      <c r="T22" s="14"/>
      <c r="U22" s="16"/>
      <c r="W22" s="14"/>
      <c r="X22" s="14"/>
    </row>
    <row r="23" spans="1:24" ht="15.75" customHeight="1">
      <c r="A23" s="10" t="s">
        <v>24</v>
      </c>
      <c r="B23" s="11" t="s">
        <v>2</v>
      </c>
      <c r="C23" s="12">
        <v>1</v>
      </c>
      <c r="D23" s="12">
        <v>0.72929999999999995</v>
      </c>
      <c r="E23" s="12">
        <v>0</v>
      </c>
      <c r="F23" s="12">
        <v>4.9245999999999999</v>
      </c>
      <c r="G23" s="13">
        <v>0.72929999999999995</v>
      </c>
      <c r="H23" s="14"/>
      <c r="I23" s="17" t="str">
        <f ca="1">IFERROR(__xludf.DUMMYFUNCTION("""COMPUTED_VALUE"""),"Denial of Service: DDoS Attack To Cloud Application")</f>
        <v>Denial of Service: DDoS Attack To Cloud Application</v>
      </c>
      <c r="J23" s="14" t="str">
        <f ca="1">IFERROR(__xludf.DUMMYFUNCTION("""COMPUTED_VALUE"""),"IAM (IAM) - cg-glue-admin")</f>
        <v>IAM (IAM) - cg-glue-admin</v>
      </c>
      <c r="K23" s="14">
        <f ca="1">IFERROR(__xludf.DUMMYFUNCTION("""COMPUTED_VALUE"""),1)</f>
        <v>1</v>
      </c>
      <c r="L23" s="14">
        <f ca="1">IFERROR(__xludf.DUMMYFUNCTION("""COMPUTED_VALUE"""),0.7161)</f>
        <v>0.71609999999999996</v>
      </c>
      <c r="M23" s="14">
        <f ca="1">IFERROR(__xludf.DUMMYFUNCTION("""COMPUTED_VALUE"""),0)</f>
        <v>0</v>
      </c>
      <c r="N23" s="14">
        <f ca="1">IFERROR(__xludf.DUMMYFUNCTION("""COMPUTED_VALUE"""),4.8557)</f>
        <v>4.8556999999999997</v>
      </c>
      <c r="O23" s="16">
        <f ca="1">IFERROR(__xludf.DUMMYFUNCTION("""COMPUTED_VALUE"""),0.7161)</f>
        <v>0.71609999999999996</v>
      </c>
      <c r="P23" s="14"/>
      <c r="Q23" s="17" t="str">
        <f ca="1">IFERROR(__xludf.DUMMYFUNCTION("""COMPUTED_VALUE"""),"Denial of Service: DDoS Attack To Cloud Application")</f>
        <v>Denial of Service: DDoS Attack To Cloud Application</v>
      </c>
      <c r="R23" s="14">
        <f ca="1">IFERROR(__xludf.DUMMYFUNCTION("""COMPUTED_VALUE"""),10)</f>
        <v>10</v>
      </c>
      <c r="S23" s="14" t="s">
        <v>0</v>
      </c>
      <c r="T23" s="14"/>
      <c r="U23" s="16"/>
      <c r="W23" s="14"/>
      <c r="X23" s="14"/>
    </row>
    <row r="24" spans="1:24" ht="15.75" customHeight="1">
      <c r="A24" s="10" t="s">
        <v>24</v>
      </c>
      <c r="B24" s="11" t="s">
        <v>2</v>
      </c>
      <c r="C24" s="12">
        <v>1</v>
      </c>
      <c r="D24" s="12">
        <v>0.76270000000000004</v>
      </c>
      <c r="E24" s="12">
        <v>0</v>
      </c>
      <c r="F24" s="12">
        <v>4.9611999999999998</v>
      </c>
      <c r="G24" s="13">
        <v>0.76270000000000004</v>
      </c>
      <c r="H24" s="14"/>
      <c r="I24" s="17" t="str">
        <f ca="1">IFERROR(__xludf.DUMMYFUNCTION("""COMPUTED_VALUE"""),"Denial of Service: DDoS Attack To Cloud Application")</f>
        <v>Denial of Service: DDoS Attack To Cloud Application</v>
      </c>
      <c r="J24" s="14" t="str">
        <f ca="1">IFERROR(__xludf.DUMMYFUNCTION("""COMPUTED_VALUE"""),"IAM (IAM) - cg-run-app")</f>
        <v>IAM (IAM) - cg-run-app</v>
      </c>
      <c r="K24" s="14">
        <f ca="1">IFERROR(__xludf.DUMMYFUNCTION("""COMPUTED_VALUE"""),1)</f>
        <v>1</v>
      </c>
      <c r="L24" s="14">
        <f ca="1">IFERROR(__xludf.DUMMYFUNCTION("""COMPUTED_VALUE"""),0.786)</f>
        <v>0.78600000000000003</v>
      </c>
      <c r="M24" s="14">
        <f ca="1">IFERROR(__xludf.DUMMYFUNCTION("""COMPUTED_VALUE"""),0)</f>
        <v>0</v>
      </c>
      <c r="N24" s="14">
        <f ca="1">IFERROR(__xludf.DUMMYFUNCTION("""COMPUTED_VALUE"""),5.3202)</f>
        <v>5.3201999999999998</v>
      </c>
      <c r="O24" s="16">
        <f ca="1">IFERROR(__xludf.DUMMYFUNCTION("""COMPUTED_VALUE"""),0.786)</f>
        <v>0.78600000000000003</v>
      </c>
      <c r="P24" s="14"/>
      <c r="Q24" s="17" t="str">
        <f ca="1">IFERROR(__xludf.DUMMYFUNCTION("""COMPUTED_VALUE"""),"Denial of Service: EDoS Attack To Cloud Application")</f>
        <v>Denial of Service: EDoS Attack To Cloud Application</v>
      </c>
      <c r="R24" s="14">
        <f ca="1">IFERROR(__xludf.DUMMYFUNCTION("""COMPUTED_VALUE"""),10)</f>
        <v>10</v>
      </c>
      <c r="S24" s="14"/>
      <c r="T24" s="14" t="s">
        <v>0</v>
      </c>
      <c r="U24" s="16"/>
      <c r="W24" s="14"/>
      <c r="X24" s="14"/>
    </row>
    <row r="25" spans="1:24" ht="12.5">
      <c r="A25" s="10" t="s">
        <v>24</v>
      </c>
      <c r="B25" s="11" t="s">
        <v>2</v>
      </c>
      <c r="C25" s="12">
        <v>1</v>
      </c>
      <c r="D25" s="12">
        <v>0.76319999999999999</v>
      </c>
      <c r="E25" s="12">
        <v>1E-4</v>
      </c>
      <c r="F25" s="12">
        <v>5.5453000000000001</v>
      </c>
      <c r="G25" s="13">
        <v>0.76319999999999999</v>
      </c>
      <c r="H25" s="14"/>
      <c r="I25" s="17" t="str">
        <f ca="1">IFERROR(__xludf.DUMMYFUNCTION("""COMPUTED_VALUE"""),"Denial of Service: DDoS Attack To Cloud Application")</f>
        <v>Denial of Service: DDoS Attack To Cloud Application</v>
      </c>
      <c r="J25" s="14" t="str">
        <f ca="1">IFERROR(__xludf.DUMMYFUNCTION("""COMPUTED_VALUE"""),"IAM (IAM) - glue_ETL_role")</f>
        <v>IAM (IAM) - glue_ETL_role</v>
      </c>
      <c r="K25" s="14">
        <f ca="1">IFERROR(__xludf.DUMMYFUNCTION("""COMPUTED_VALUE"""),1)</f>
        <v>1</v>
      </c>
      <c r="L25" s="14">
        <f ca="1">IFERROR(__xludf.DUMMYFUNCTION("""COMPUTED_VALUE"""),0.707)</f>
        <v>0.70699999999999996</v>
      </c>
      <c r="M25" s="14">
        <f ca="1">IFERROR(__xludf.DUMMYFUNCTION("""COMPUTED_VALUE"""),0)</f>
        <v>0</v>
      </c>
      <c r="N25" s="14">
        <f ca="1">IFERROR(__xludf.DUMMYFUNCTION("""COMPUTED_VALUE"""),5.2828)</f>
        <v>5.2827999999999999</v>
      </c>
      <c r="O25" s="16">
        <f ca="1">IFERROR(__xludf.DUMMYFUNCTION("""COMPUTED_VALUE"""),0.707)</f>
        <v>0.70699999999999996</v>
      </c>
      <c r="P25" s="14"/>
      <c r="Q25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R25" s="14">
        <f ca="1">IFERROR(__xludf.DUMMYFUNCTION("""COMPUTED_VALUE"""),10)</f>
        <v>10</v>
      </c>
      <c r="S25" s="14"/>
      <c r="T25" s="14" t="s">
        <v>0</v>
      </c>
      <c r="U25" s="16"/>
      <c r="W25" s="14"/>
      <c r="X25" s="14"/>
    </row>
    <row r="26" spans="1:24" ht="12.5">
      <c r="A26" s="10" t="s">
        <v>24</v>
      </c>
      <c r="B26" s="11" t="s">
        <v>2</v>
      </c>
      <c r="C26" s="12">
        <v>1</v>
      </c>
      <c r="D26" s="12">
        <v>0.72330000000000005</v>
      </c>
      <c r="E26" s="12">
        <v>0</v>
      </c>
      <c r="F26" s="12">
        <v>5.1906999999999996</v>
      </c>
      <c r="G26" s="13">
        <v>0.72330000000000005</v>
      </c>
      <c r="H26" s="14"/>
      <c r="I26" s="17" t="str">
        <f ca="1">IFERROR(__xludf.DUMMYFUNCTION("""COMPUTED_VALUE"""),"Denial of Service: DDoS Attack To Cloud Application")</f>
        <v>Denial of Service: DDoS Attack To Cloud Application</v>
      </c>
      <c r="J26" s="14" t="str">
        <f ca="1">IFERROR(__xludf.DUMMYFUNCTION("""COMPUTED_VALUE"""),"IAM (IAM) - s3_to_gluecatalog_lambda_role")</f>
        <v>IAM (IAM) - s3_to_gluecatalog_lambda_role</v>
      </c>
      <c r="K26" s="14">
        <f ca="1">IFERROR(__xludf.DUMMYFUNCTION("""COMPUTED_VALUE"""),1)</f>
        <v>1</v>
      </c>
      <c r="L26" s="14">
        <f ca="1">IFERROR(__xludf.DUMMYFUNCTION("""COMPUTED_VALUE"""),0.7043)</f>
        <v>0.70430000000000004</v>
      </c>
      <c r="M26" s="14">
        <f ca="1">IFERROR(__xludf.DUMMYFUNCTION("""COMPUTED_VALUE"""),0)</f>
        <v>0</v>
      </c>
      <c r="N26" s="14">
        <f ca="1">IFERROR(__xludf.DUMMYFUNCTION("""COMPUTED_VALUE"""),5.0355)</f>
        <v>5.0354999999999999</v>
      </c>
      <c r="O26" s="16">
        <f ca="1">IFERROR(__xludf.DUMMYFUNCTION("""COMPUTED_VALUE"""),0.7043)</f>
        <v>0.70430000000000004</v>
      </c>
      <c r="P26" s="14"/>
      <c r="Q26" s="17" t="str">
        <f ca="1">IFERROR(__xludf.DUMMYFUNCTION("""COMPUTED_VALUE"""),"Other: Cloud Application Abuse")</f>
        <v>Other: Cloud Application Abuse</v>
      </c>
      <c r="R26" s="14">
        <f ca="1">IFERROR(__xludf.DUMMYFUNCTION("""COMPUTED_VALUE"""),10)</f>
        <v>10</v>
      </c>
      <c r="S26" s="14" t="s">
        <v>0</v>
      </c>
      <c r="T26" s="14"/>
      <c r="U26" s="16"/>
      <c r="W26" s="14"/>
      <c r="X26" s="14"/>
    </row>
    <row r="27" spans="1:24" ht="12.5">
      <c r="A27" s="10" t="s">
        <v>24</v>
      </c>
      <c r="B27" s="11" t="s">
        <v>2</v>
      </c>
      <c r="C27" s="12">
        <v>1</v>
      </c>
      <c r="D27" s="12">
        <v>0.70630000000000004</v>
      </c>
      <c r="E27" s="12">
        <v>1E-4</v>
      </c>
      <c r="F27" s="12">
        <v>5.3036000000000003</v>
      </c>
      <c r="G27" s="13">
        <v>0.70630000000000004</v>
      </c>
      <c r="H27" s="14"/>
      <c r="I27" s="17" t="str">
        <f ca="1">IFERROR(__xludf.DUMMYFUNCTION("""COMPUTED_VALUE"""),"Denial of Service: DDoS Attack To Cloud Application")</f>
        <v>Denial of Service: DDoS Attack To Cloud Application</v>
      </c>
      <c r="J27" s="14" t="str">
        <f ca="1">IFERROR(__xludf.DUMMYFUNCTION("""COMPUTED_VALUE"""),"IAM (IAM) - ssm_parameter_role_policies")</f>
        <v>IAM (IAM) - ssm_parameter_role_policies</v>
      </c>
      <c r="K27" s="14">
        <f ca="1">IFERROR(__xludf.DUMMYFUNCTION("""COMPUTED_VALUE"""),1)</f>
        <v>1</v>
      </c>
      <c r="L27" s="14">
        <f ca="1">IFERROR(__xludf.DUMMYFUNCTION("""COMPUTED_VALUE"""),0.6902)</f>
        <v>0.69020000000000004</v>
      </c>
      <c r="M27" s="14">
        <f ca="1">IFERROR(__xludf.DUMMYFUNCTION("""COMPUTED_VALUE"""),0)</f>
        <v>0</v>
      </c>
      <c r="N27" s="14">
        <f ca="1">IFERROR(__xludf.DUMMYFUNCTION("""COMPUTED_VALUE"""),4.7727)</f>
        <v>4.7727000000000004</v>
      </c>
      <c r="O27" s="16">
        <f ca="1">IFERROR(__xludf.DUMMYFUNCTION("""COMPUTED_VALUE"""),0.6902)</f>
        <v>0.69020000000000004</v>
      </c>
      <c r="P27" s="14"/>
      <c r="Q27" s="19" t="str">
        <f ca="1">IFERROR(__xludf.DUMMYFUNCTION("""COMPUTED_VALUE"""),"Other: Network Attacks To Cloud Application")</f>
        <v>Other: Network Attacks To Cloud Application</v>
      </c>
      <c r="R27" s="20">
        <f ca="1">IFERROR(__xludf.DUMMYFUNCTION("""COMPUTED_VALUE"""),10)</f>
        <v>10</v>
      </c>
      <c r="S27" s="20" t="s">
        <v>0</v>
      </c>
      <c r="T27" s="20"/>
      <c r="U27" s="21"/>
      <c r="W27" s="14"/>
      <c r="X27" s="14"/>
    </row>
    <row r="28" spans="1:24" ht="12.5">
      <c r="A28" s="10" t="s">
        <v>25</v>
      </c>
      <c r="B28" s="11" t="s">
        <v>26</v>
      </c>
      <c r="C28" s="12">
        <v>1</v>
      </c>
      <c r="D28" s="12">
        <v>0.74509999999999998</v>
      </c>
      <c r="E28" s="12">
        <v>0</v>
      </c>
      <c r="F28" s="12">
        <v>5.0038999999999998</v>
      </c>
      <c r="G28" s="13">
        <v>0.74509999999999998</v>
      </c>
      <c r="H28" s="14"/>
      <c r="I28" s="17" t="str">
        <f ca="1">IFERROR(__xludf.DUMMYFUNCTION("""COMPUTED_VALUE"""),"Denial of Service: DDoS Attack To Cloud Application")</f>
        <v>Denial of Service: DDoS Attack To Cloud Application</v>
      </c>
      <c r="J28" s="14" t="str">
        <f ca="1">IFERROR(__xludf.DUMMYFUNCTION("""COMPUTED_VALUE"""),"ServerlessFunction (AwsLambda) - s3_to_gluecatalog")</f>
        <v>ServerlessFunction (AwsLambda) - s3_to_gluecatalog</v>
      </c>
      <c r="K28" s="14">
        <f ca="1">IFERROR(__xludf.DUMMYFUNCTION("""COMPUTED_VALUE"""),1)</f>
        <v>1</v>
      </c>
      <c r="L28" s="14">
        <f ca="1">IFERROR(__xludf.DUMMYFUNCTION("""COMPUTED_VALUE"""),0.735)</f>
        <v>0.73499999999999999</v>
      </c>
      <c r="M28" s="14">
        <f ca="1">IFERROR(__xludf.DUMMYFUNCTION("""COMPUTED_VALUE"""),0.0001)</f>
        <v>1E-4</v>
      </c>
      <c r="N28" s="14">
        <f ca="1">IFERROR(__xludf.DUMMYFUNCTION("""COMPUTED_VALUE"""),4.9309)</f>
        <v>4.9309000000000003</v>
      </c>
      <c r="O28" s="16">
        <f ca="1">IFERROR(__xludf.DUMMYFUNCTION("""COMPUTED_VALUE"""),0.735)</f>
        <v>0.73499999999999999</v>
      </c>
      <c r="P28" s="14"/>
      <c r="Q28" s="14" t="str">
        <f ca="1">"TOTAL: " &amp; TEXT(COUNTA($Q$2:$Q$27),"0")</f>
        <v>TOTAL: 26</v>
      </c>
      <c r="R28" s="14"/>
      <c r="S28" s="14"/>
      <c r="T28" s="14"/>
      <c r="U28" s="14"/>
      <c r="V28" s="14"/>
      <c r="W28" s="14"/>
      <c r="X28" s="14"/>
    </row>
    <row r="29" spans="1:24" ht="12.5">
      <c r="A29" s="10" t="s">
        <v>25</v>
      </c>
      <c r="B29" s="11" t="s">
        <v>27</v>
      </c>
      <c r="C29" s="12">
        <v>1</v>
      </c>
      <c r="D29" s="12">
        <v>0.77259999999999995</v>
      </c>
      <c r="E29" s="12">
        <v>0</v>
      </c>
      <c r="F29" s="12">
        <v>4.8377999999999997</v>
      </c>
      <c r="G29" s="13">
        <v>0.77259999999999995</v>
      </c>
      <c r="H29" s="14"/>
      <c r="I29" s="17" t="str">
        <f ca="1">IFERROR(__xludf.DUMMYFUNCTION("""COMPUTED_VALUE"""),"Denial of Service: DDoS Attack To Cloud Application")</f>
        <v>Denial of Service: DDoS Attack To Cloud Application</v>
      </c>
      <c r="J29" s="14" t="str">
        <f ca="1">IFERROR(__xludf.DUMMYFUNCTION("""COMPUTED_VALUE"""),"VirtualFirewall (SecurityGroup) - cg-ec2-security-group")</f>
        <v>VirtualFirewall (SecurityGroup) - cg-ec2-security-group</v>
      </c>
      <c r="K29" s="14">
        <f ca="1">IFERROR(__xludf.DUMMYFUNCTION("""COMPUTED_VALUE"""),1)</f>
        <v>1</v>
      </c>
      <c r="L29" s="14">
        <f ca="1">IFERROR(__xludf.DUMMYFUNCTION("""COMPUTED_VALUE"""),0.789)</f>
        <v>0.78900000000000003</v>
      </c>
      <c r="M29" s="14">
        <f ca="1">IFERROR(__xludf.DUMMYFUNCTION("""COMPUTED_VALUE"""),0)</f>
        <v>0</v>
      </c>
      <c r="N29" s="14">
        <f ca="1">IFERROR(__xludf.DUMMYFUNCTION("""COMPUTED_VALUE"""),4.7326)</f>
        <v>4.7325999999999997</v>
      </c>
      <c r="O29" s="16">
        <f ca="1">IFERROR(__xludf.DUMMYFUNCTION("""COMPUTED_VALUE"""),0.789)</f>
        <v>0.78900000000000003</v>
      </c>
      <c r="P29" s="14"/>
      <c r="Q29" s="14"/>
      <c r="R29" s="14"/>
      <c r="S29" s="14"/>
      <c r="T29" s="14"/>
      <c r="U29" s="14"/>
      <c r="V29" s="14"/>
      <c r="W29" s="14"/>
      <c r="X29" s="14"/>
    </row>
    <row r="30" spans="1:24" ht="12.5">
      <c r="A30" s="10" t="s">
        <v>25</v>
      </c>
      <c r="B30" s="11" t="s">
        <v>27</v>
      </c>
      <c r="C30" s="12">
        <v>1</v>
      </c>
      <c r="D30" s="12">
        <v>0.72970000000000002</v>
      </c>
      <c r="E30" s="12">
        <v>0</v>
      </c>
      <c r="F30" s="12">
        <v>5.6519000000000004</v>
      </c>
      <c r="G30" s="13">
        <v>0.72970000000000002</v>
      </c>
      <c r="H30" s="14"/>
      <c r="I30" s="17" t="str">
        <f ca="1">IFERROR(__xludf.DUMMYFUNCTION("""COMPUTED_VALUE"""),"Denial of Service: DDoS Attack To Cloud Application")</f>
        <v>Denial of Service: DDoS Attack To Cloud Application</v>
      </c>
      <c r="J30" s="14" t="str">
        <f ca="1">IFERROR(__xludf.DUMMYFUNCTION("""COMPUTED_VALUE"""),"VirtualFirewall (SecurityGroup) - cg-rds-glue-security-group")</f>
        <v>VirtualFirewall (SecurityGroup) - cg-rds-glue-security-group</v>
      </c>
      <c r="K30" s="14">
        <f ca="1">IFERROR(__xludf.DUMMYFUNCTION("""COMPUTED_VALUE"""),1)</f>
        <v>1</v>
      </c>
      <c r="L30" s="14">
        <f ca="1">IFERROR(__xludf.DUMMYFUNCTION("""COMPUTED_VALUE"""),0.7069)</f>
        <v>0.70689999999999997</v>
      </c>
      <c r="M30" s="14">
        <f ca="1">IFERROR(__xludf.DUMMYFUNCTION("""COMPUTED_VALUE"""),0)</f>
        <v>0</v>
      </c>
      <c r="N30" s="14">
        <f ca="1">IFERROR(__xludf.DUMMYFUNCTION("""COMPUTED_VALUE"""),5.169)</f>
        <v>5.1689999999999996</v>
      </c>
      <c r="O30" s="16">
        <f ca="1">IFERROR(__xludf.DUMMYFUNCTION("""COMPUTED_VALUE"""),0.7069)</f>
        <v>0.70689999999999997</v>
      </c>
      <c r="P30" s="14"/>
      <c r="Q30" s="14"/>
      <c r="R30" s="14"/>
      <c r="S30" s="14"/>
      <c r="T30" s="14"/>
      <c r="U30" s="14"/>
      <c r="V30" s="14"/>
      <c r="W30" s="14"/>
      <c r="X30" s="14"/>
    </row>
    <row r="31" spans="1:24" ht="12.5">
      <c r="A31" s="10" t="s">
        <v>25</v>
      </c>
      <c r="B31" s="11" t="s">
        <v>27</v>
      </c>
      <c r="C31" s="12">
        <v>1</v>
      </c>
      <c r="D31" s="12">
        <v>0.78420000000000001</v>
      </c>
      <c r="E31" s="12">
        <v>1E-4</v>
      </c>
      <c r="F31" s="12">
        <v>4.7721</v>
      </c>
      <c r="G31" s="13">
        <v>0.78420000000000001</v>
      </c>
      <c r="H31" s="14"/>
      <c r="I31" s="17" t="str">
        <f ca="1">IFERROR(__xludf.DUMMYFUNCTION("""COMPUTED_VALUE"""),"Denial of Service: DDoS Attack To Cloud Application")</f>
        <v>Denial of Service: DDoS Attack To Cloud Application</v>
      </c>
      <c r="J31" s="14" t="str">
        <f ca="1">IFERROR(__xludf.DUMMYFUNCTION("""COMPUTED_VALUE"""),"VirtualFirewall (SecurityGroup) - cg-rds-security-group")</f>
        <v>VirtualFirewall (SecurityGroup) - cg-rds-security-group</v>
      </c>
      <c r="K31" s="14">
        <f ca="1">IFERROR(__xludf.DUMMYFUNCTION("""COMPUTED_VALUE"""),1)</f>
        <v>1</v>
      </c>
      <c r="L31" s="14">
        <f ca="1">IFERROR(__xludf.DUMMYFUNCTION("""COMPUTED_VALUE"""),0.7282)</f>
        <v>0.72819999999999996</v>
      </c>
      <c r="M31" s="14">
        <f ca="1">IFERROR(__xludf.DUMMYFUNCTION("""COMPUTED_VALUE"""),0.0001)</f>
        <v>1E-4</v>
      </c>
      <c r="N31" s="14">
        <f ca="1">IFERROR(__xludf.DUMMYFUNCTION("""COMPUTED_VALUE"""),4.9669)</f>
        <v>4.9668999999999999</v>
      </c>
      <c r="O31" s="16">
        <f ca="1">IFERROR(__xludf.DUMMYFUNCTION("""COMPUTED_VALUE"""),0.7282)</f>
        <v>0.72819999999999996</v>
      </c>
      <c r="P31" s="14"/>
      <c r="Q31" s="14"/>
      <c r="R31" s="14"/>
      <c r="S31" s="14"/>
      <c r="T31" s="14"/>
      <c r="U31" s="14"/>
      <c r="V31" s="14"/>
      <c r="W31" s="14"/>
      <c r="X31" s="14"/>
    </row>
    <row r="32" spans="1:24" ht="12.5">
      <c r="A32" s="10" t="s">
        <v>25</v>
      </c>
      <c r="B32" s="11" t="s">
        <v>26</v>
      </c>
      <c r="C32" s="12">
        <v>1</v>
      </c>
      <c r="D32" s="12">
        <v>0.70940000000000003</v>
      </c>
      <c r="E32" s="12">
        <v>0</v>
      </c>
      <c r="F32" s="12">
        <v>5.3205999999999998</v>
      </c>
      <c r="G32" s="13">
        <v>0.70940000000000003</v>
      </c>
      <c r="H32" s="14"/>
      <c r="I32" s="17" t="str">
        <f ca="1">IFERROR(__xludf.DUMMYFUNCTION("""COMPUTED_VALUE"""),"Denial of Service: Denial of Service against a Data Store")</f>
        <v>Denial of Service: Denial of Service against a Data Store</v>
      </c>
      <c r="J32" s="14" t="str">
        <f ca="1">IFERROR(__xludf.DUMMYFUNCTION("""COMPUTED_VALUE"""),"Database (RDS) - cg-rds")</f>
        <v>Database (RDS) - cg-rds</v>
      </c>
      <c r="K32" s="14">
        <f ca="1">IFERROR(__xludf.DUMMYFUNCTION("""COMPUTED_VALUE"""),1)</f>
        <v>1</v>
      </c>
      <c r="L32" s="14">
        <f ca="1">IFERROR(__xludf.DUMMYFUNCTION("""COMPUTED_VALUE"""),0.742166666666666)</f>
        <v>0.74216666666666598</v>
      </c>
      <c r="M32" s="14">
        <f ca="1">IFERROR(__xludf.DUMMYFUNCTION("""COMPUTED_VALUE"""),0)</f>
        <v>0</v>
      </c>
      <c r="N32" s="14">
        <f ca="1">IFERROR(__xludf.DUMMYFUNCTION("""COMPUTED_VALUE"""),5.09153333333333)</f>
        <v>5.0915333333333299</v>
      </c>
      <c r="O32" s="16">
        <f ca="1">IFERROR(__xludf.DUMMYFUNCTION("""COMPUTED_VALUE"""),0.742166666666666)</f>
        <v>0.74216666666666598</v>
      </c>
      <c r="P32" s="14"/>
      <c r="Q32" s="14"/>
      <c r="R32" s="14"/>
      <c r="S32" s="14"/>
      <c r="T32" s="14"/>
      <c r="U32" s="14"/>
      <c r="V32" s="14"/>
      <c r="W32" s="14"/>
      <c r="X32" s="14"/>
    </row>
    <row r="33" spans="1:24" ht="12.5">
      <c r="A33" s="10" t="s">
        <v>25</v>
      </c>
      <c r="B33" s="11" t="s">
        <v>26</v>
      </c>
      <c r="C33" s="12">
        <v>1</v>
      </c>
      <c r="D33" s="12">
        <v>0.68620000000000003</v>
      </c>
      <c r="E33" s="12">
        <v>1E-4</v>
      </c>
      <c r="F33" s="12">
        <v>5.3771000000000004</v>
      </c>
      <c r="G33" s="13">
        <v>0.68620000000000003</v>
      </c>
      <c r="H33" s="14"/>
      <c r="I33" s="17" t="str">
        <f ca="1">IFERROR(__xludf.DUMMYFUNCTION("""COMPUTED_VALUE"""),"Denial of Service: Denial of Service against a Data Store")</f>
        <v>Denial of Service: Denial of Service against a Data Store</v>
      </c>
      <c r="J33" s="14" t="str">
        <f ca="1">IFERROR(__xludf.DUMMYFUNCTION("""COMPUTED_VALUE"""),"FileStorage (S3) - cg-data-from-web")</f>
        <v>FileStorage (S3) - cg-data-from-web</v>
      </c>
      <c r="K33" s="14">
        <f ca="1">IFERROR(__xludf.DUMMYFUNCTION("""COMPUTED_VALUE"""),1)</f>
        <v>1</v>
      </c>
      <c r="L33" s="14">
        <f ca="1">IFERROR(__xludf.DUMMYFUNCTION("""COMPUTED_VALUE"""),0.737375)</f>
        <v>0.737375</v>
      </c>
      <c r="M33" s="14">
        <f ca="1">IFERROR(__xludf.DUMMYFUNCTION("""COMPUTED_VALUE"""),0.0001)</f>
        <v>1E-4</v>
      </c>
      <c r="N33" s="14">
        <f ca="1">IFERROR(__xludf.DUMMYFUNCTION("""COMPUTED_VALUE"""),5.25827499999999)</f>
        <v>5.2582749999999896</v>
      </c>
      <c r="O33" s="16">
        <f ca="1">IFERROR(__xludf.DUMMYFUNCTION("""COMPUTED_VALUE"""),0.737375)</f>
        <v>0.737375</v>
      </c>
      <c r="P33" s="14"/>
      <c r="Q33" s="14"/>
      <c r="R33" s="14"/>
      <c r="S33" s="14"/>
      <c r="T33" s="14"/>
      <c r="U33" s="14"/>
      <c r="V33" s="14"/>
      <c r="W33" s="14"/>
      <c r="X33" s="14"/>
    </row>
    <row r="34" spans="1:24" ht="12.5">
      <c r="A34" s="10" t="s">
        <v>28</v>
      </c>
      <c r="B34" s="11" t="s">
        <v>14</v>
      </c>
      <c r="C34" s="12">
        <v>1</v>
      </c>
      <c r="D34" s="12">
        <v>0.7056</v>
      </c>
      <c r="E34" s="12">
        <v>2.9999999999999997E-4</v>
      </c>
      <c r="F34" s="12">
        <v>4.3722000000000003</v>
      </c>
      <c r="G34" s="13">
        <v>0.7056</v>
      </c>
      <c r="H34" s="14"/>
      <c r="I34" s="17" t="str">
        <f ca="1">IFERROR(__xludf.DUMMYFUNCTION("""COMPUTED_VALUE"""),"Denial of Service: EDoS Attack To Cloud Application")</f>
        <v>Denial of Service: EDoS Attack To Cloud Application</v>
      </c>
      <c r="J34" s="14" t="str">
        <f ca="1">IFERROR(__xludf.DUMMYFUNCTION("""COMPUTED_VALUE"""),"IAM (IAM) - cg-ec2-instance-profile")</f>
        <v>IAM (IAM) - cg-ec2-instance-profile</v>
      </c>
      <c r="K34" s="14">
        <f ca="1">IFERROR(__xludf.DUMMYFUNCTION("""COMPUTED_VALUE"""),1)</f>
        <v>1</v>
      </c>
      <c r="L34" s="14">
        <f ca="1">IFERROR(__xludf.DUMMYFUNCTION("""COMPUTED_VALUE"""),0.7449)</f>
        <v>0.74490000000000001</v>
      </c>
      <c r="M34" s="14">
        <f ca="1">IFERROR(__xludf.DUMMYFUNCTION("""COMPUTED_VALUE"""),0.0001)</f>
        <v>1E-4</v>
      </c>
      <c r="N34" s="14">
        <f ca="1">IFERROR(__xludf.DUMMYFUNCTION("""COMPUTED_VALUE"""),5.4705)</f>
        <v>5.4705000000000004</v>
      </c>
      <c r="O34" s="16">
        <f ca="1">IFERROR(__xludf.DUMMYFUNCTION("""COMPUTED_VALUE"""),0.7449)</f>
        <v>0.74490000000000001</v>
      </c>
      <c r="P34" s="14"/>
      <c r="Q34" s="14"/>
      <c r="R34" s="14"/>
      <c r="S34" s="14"/>
      <c r="T34" s="14"/>
      <c r="U34" s="14"/>
      <c r="V34" s="14"/>
      <c r="W34" s="14"/>
      <c r="X34" s="14"/>
    </row>
    <row r="35" spans="1:24" ht="12.5">
      <c r="A35" s="10" t="s">
        <v>28</v>
      </c>
      <c r="B35" s="11" t="s">
        <v>17</v>
      </c>
      <c r="C35" s="12">
        <v>1</v>
      </c>
      <c r="D35" s="12">
        <v>0.69889999999999997</v>
      </c>
      <c r="E35" s="12">
        <v>0</v>
      </c>
      <c r="F35" s="12">
        <v>5.1760999999999999</v>
      </c>
      <c r="G35" s="13">
        <v>0.69889999999999997</v>
      </c>
      <c r="H35" s="14"/>
      <c r="I35" s="17" t="str">
        <f ca="1">IFERROR(__xludf.DUMMYFUNCTION("""COMPUTED_VALUE"""),"Denial of Service: EDoS Attack To Cloud Application")</f>
        <v>Denial of Service: EDoS Attack To Cloud Application</v>
      </c>
      <c r="J35" s="14" t="str">
        <f ca="1">IFERROR(__xludf.DUMMYFUNCTION("""COMPUTED_VALUE"""),"IAM (IAM) - cg-glue-admin")</f>
        <v>IAM (IAM) - cg-glue-admin</v>
      </c>
      <c r="K35" s="14">
        <f ca="1">IFERROR(__xludf.DUMMYFUNCTION("""COMPUTED_VALUE"""),1)</f>
        <v>1</v>
      </c>
      <c r="L35" s="14">
        <f ca="1">IFERROR(__xludf.DUMMYFUNCTION("""COMPUTED_VALUE"""),0.6871)</f>
        <v>0.68710000000000004</v>
      </c>
      <c r="M35" s="14">
        <f ca="1">IFERROR(__xludf.DUMMYFUNCTION("""COMPUTED_VALUE"""),0.0001)</f>
        <v>1E-4</v>
      </c>
      <c r="N35" s="14">
        <f ca="1">IFERROR(__xludf.DUMMYFUNCTION("""COMPUTED_VALUE"""),4.7968)</f>
        <v>4.7968000000000002</v>
      </c>
      <c r="O35" s="16">
        <f ca="1">IFERROR(__xludf.DUMMYFUNCTION("""COMPUTED_VALUE"""),0.6871)</f>
        <v>0.68710000000000004</v>
      </c>
      <c r="P35" s="14"/>
      <c r="Q35" s="14"/>
      <c r="R35" s="14"/>
      <c r="S35" s="14"/>
      <c r="T35" s="14"/>
      <c r="U35" s="14"/>
      <c r="V35" s="14"/>
      <c r="W35" s="14"/>
      <c r="X35" s="14"/>
    </row>
    <row r="36" spans="1:24" ht="12.5">
      <c r="A36" s="10" t="s">
        <v>28</v>
      </c>
      <c r="B36" s="11" t="s">
        <v>20</v>
      </c>
      <c r="C36" s="12">
        <v>1</v>
      </c>
      <c r="D36" s="12">
        <v>0.77410000000000001</v>
      </c>
      <c r="E36" s="12">
        <v>0</v>
      </c>
      <c r="F36" s="12">
        <v>5.1013999999999999</v>
      </c>
      <c r="G36" s="13">
        <v>0.77410000000000001</v>
      </c>
      <c r="H36" s="14"/>
      <c r="I36" s="17" t="str">
        <f ca="1">IFERROR(__xludf.DUMMYFUNCTION("""COMPUTED_VALUE"""),"Denial of Service: EDoS Attack To Cloud Application")</f>
        <v>Denial of Service: EDoS Attack To Cloud Application</v>
      </c>
      <c r="J36" s="14" t="str">
        <f ca="1">IFERROR(__xludf.DUMMYFUNCTION("""COMPUTED_VALUE"""),"IAM (IAM) - cg-run-app")</f>
        <v>IAM (IAM) - cg-run-app</v>
      </c>
      <c r="K36" s="14">
        <f ca="1">IFERROR(__xludf.DUMMYFUNCTION("""COMPUTED_VALUE"""),1)</f>
        <v>1</v>
      </c>
      <c r="L36" s="14">
        <f ca="1">IFERROR(__xludf.DUMMYFUNCTION("""COMPUTED_VALUE"""),0.7437)</f>
        <v>0.74370000000000003</v>
      </c>
      <c r="M36" s="14">
        <f ca="1">IFERROR(__xludf.DUMMYFUNCTION("""COMPUTED_VALUE"""),0.0001)</f>
        <v>1E-4</v>
      </c>
      <c r="N36" s="14">
        <f ca="1">IFERROR(__xludf.DUMMYFUNCTION("""COMPUTED_VALUE"""),5.0271)</f>
        <v>5.0270999999999999</v>
      </c>
      <c r="O36" s="16">
        <f ca="1">IFERROR(__xludf.DUMMYFUNCTION("""COMPUTED_VALUE"""),0.7437)</f>
        <v>0.74370000000000003</v>
      </c>
      <c r="P36" s="14"/>
      <c r="Q36" s="14"/>
      <c r="R36" s="14"/>
      <c r="S36" s="14"/>
      <c r="T36" s="14"/>
      <c r="U36" s="14"/>
      <c r="V36" s="14"/>
      <c r="W36" s="14"/>
      <c r="X36" s="14"/>
    </row>
    <row r="37" spans="1:24" ht="12.5">
      <c r="A37" s="10" t="s">
        <v>28</v>
      </c>
      <c r="B37" s="11" t="s">
        <v>21</v>
      </c>
      <c r="C37" s="12">
        <v>1</v>
      </c>
      <c r="D37" s="12">
        <v>0.71830000000000005</v>
      </c>
      <c r="E37" s="12">
        <v>1E-4</v>
      </c>
      <c r="F37" s="12">
        <v>4.6067</v>
      </c>
      <c r="G37" s="13">
        <v>0.71830000000000005</v>
      </c>
      <c r="H37" s="14"/>
      <c r="I37" s="17" t="str">
        <f ca="1">IFERROR(__xludf.DUMMYFUNCTION("""COMPUTED_VALUE"""),"Denial of Service: EDoS Attack To Cloud Application")</f>
        <v>Denial of Service: EDoS Attack To Cloud Application</v>
      </c>
      <c r="J37" s="14" t="str">
        <f ca="1">IFERROR(__xludf.DUMMYFUNCTION("""COMPUTED_VALUE"""),"IAM (IAM) - glue_ETL_role")</f>
        <v>IAM (IAM) - glue_ETL_role</v>
      </c>
      <c r="K37" s="14">
        <f ca="1">IFERROR(__xludf.DUMMYFUNCTION("""COMPUTED_VALUE"""),1)</f>
        <v>1</v>
      </c>
      <c r="L37" s="14">
        <f ca="1">IFERROR(__xludf.DUMMYFUNCTION("""COMPUTED_VALUE"""),0.6862)</f>
        <v>0.68620000000000003</v>
      </c>
      <c r="M37" s="14">
        <f ca="1">IFERROR(__xludf.DUMMYFUNCTION("""COMPUTED_VALUE"""),0)</f>
        <v>0</v>
      </c>
      <c r="N37" s="14">
        <f ca="1">IFERROR(__xludf.DUMMYFUNCTION("""COMPUTED_VALUE"""),4.4643)</f>
        <v>4.4642999999999997</v>
      </c>
      <c r="O37" s="16">
        <f ca="1">IFERROR(__xludf.DUMMYFUNCTION("""COMPUTED_VALUE"""),0.6862)</f>
        <v>0.68620000000000003</v>
      </c>
      <c r="P37" s="14"/>
      <c r="Q37" s="14"/>
      <c r="R37" s="14"/>
      <c r="S37" s="14"/>
      <c r="T37" s="14"/>
      <c r="U37" s="14"/>
      <c r="V37" s="14"/>
      <c r="W37" s="14"/>
      <c r="X37" s="14"/>
    </row>
    <row r="38" spans="1:24" ht="12.5">
      <c r="A38" s="10" t="s">
        <v>28</v>
      </c>
      <c r="B38" s="11" t="s">
        <v>22</v>
      </c>
      <c r="C38" s="12">
        <v>1</v>
      </c>
      <c r="D38" s="12">
        <v>0.75839999999999996</v>
      </c>
      <c r="E38" s="12">
        <v>0</v>
      </c>
      <c r="F38" s="12">
        <v>5.0983999999999998</v>
      </c>
      <c r="G38" s="13">
        <v>0.75839999999999996</v>
      </c>
      <c r="H38" s="14"/>
      <c r="I38" s="17" t="str">
        <f ca="1">IFERROR(__xludf.DUMMYFUNCTION("""COMPUTED_VALUE"""),"Denial of Service: EDoS Attack To Cloud Application")</f>
        <v>Denial of Service: EDoS Attack To Cloud Application</v>
      </c>
      <c r="J38" s="14" t="str">
        <f ca="1">IFERROR(__xludf.DUMMYFUNCTION("""COMPUTED_VALUE"""),"IAM (IAM) - s3_to_gluecatalog_lambda_role")</f>
        <v>IAM (IAM) - s3_to_gluecatalog_lambda_role</v>
      </c>
      <c r="K38" s="14">
        <f ca="1">IFERROR(__xludf.DUMMYFUNCTION("""COMPUTED_VALUE"""),1)</f>
        <v>1</v>
      </c>
      <c r="L38" s="14">
        <f ca="1">IFERROR(__xludf.DUMMYFUNCTION("""COMPUTED_VALUE"""),0.7407)</f>
        <v>0.74070000000000003</v>
      </c>
      <c r="M38" s="14">
        <f ca="1">IFERROR(__xludf.DUMMYFUNCTION("""COMPUTED_VALUE"""),0.0001)</f>
        <v>1E-4</v>
      </c>
      <c r="N38" s="14">
        <f ca="1">IFERROR(__xludf.DUMMYFUNCTION("""COMPUTED_VALUE"""),5.367)</f>
        <v>5.367</v>
      </c>
      <c r="O38" s="16">
        <f ca="1">IFERROR(__xludf.DUMMYFUNCTION("""COMPUTED_VALUE"""),0.7407)</f>
        <v>0.74070000000000003</v>
      </c>
      <c r="P38" s="14"/>
      <c r="Q38" s="14"/>
      <c r="R38" s="14"/>
      <c r="S38" s="14"/>
      <c r="T38" s="14"/>
      <c r="U38" s="14"/>
      <c r="V38" s="14"/>
      <c r="W38" s="14"/>
      <c r="X38" s="14"/>
    </row>
    <row r="39" spans="1:24" ht="12.5">
      <c r="A39" s="10" t="s">
        <v>28</v>
      </c>
      <c r="B39" s="11" t="s">
        <v>17</v>
      </c>
      <c r="C39" s="12">
        <v>1</v>
      </c>
      <c r="D39" s="12">
        <v>0.71060000000000001</v>
      </c>
      <c r="E39" s="12">
        <v>0</v>
      </c>
      <c r="F39" s="12">
        <v>4.3978999999999999</v>
      </c>
      <c r="G39" s="13">
        <v>0.71060000000000001</v>
      </c>
      <c r="H39" s="14"/>
      <c r="I39" s="17" t="str">
        <f ca="1">IFERROR(__xludf.DUMMYFUNCTION("""COMPUTED_VALUE"""),"Denial of Service: EDoS Attack To Cloud Application")</f>
        <v>Denial of Service: EDoS Attack To Cloud Application</v>
      </c>
      <c r="J39" s="14" t="str">
        <f ca="1">IFERROR(__xludf.DUMMYFUNCTION("""COMPUTED_VALUE"""),"IAM (IAM) - ssm_parameter_role_policies")</f>
        <v>IAM (IAM) - ssm_parameter_role_policies</v>
      </c>
      <c r="K39" s="14">
        <f ca="1">IFERROR(__xludf.DUMMYFUNCTION("""COMPUTED_VALUE"""),1)</f>
        <v>1</v>
      </c>
      <c r="L39" s="14">
        <f ca="1">IFERROR(__xludf.DUMMYFUNCTION("""COMPUTED_VALUE"""),0.7855)</f>
        <v>0.78549999999999998</v>
      </c>
      <c r="M39" s="14">
        <f ca="1">IFERROR(__xludf.DUMMYFUNCTION("""COMPUTED_VALUE"""),0.0001)</f>
        <v>1E-4</v>
      </c>
      <c r="N39" s="14">
        <f ca="1">IFERROR(__xludf.DUMMYFUNCTION("""COMPUTED_VALUE"""),5.1642)</f>
        <v>5.1642000000000001</v>
      </c>
      <c r="O39" s="16">
        <f ca="1">IFERROR(__xludf.DUMMYFUNCTION("""COMPUTED_VALUE"""),0.7855)</f>
        <v>0.78549999999999998</v>
      </c>
      <c r="P39" s="14"/>
      <c r="Q39" s="14"/>
      <c r="R39" s="14"/>
      <c r="S39" s="14"/>
      <c r="T39" s="14"/>
      <c r="U39" s="14"/>
      <c r="V39" s="14"/>
      <c r="W39" s="14"/>
      <c r="X39" s="14"/>
    </row>
    <row r="40" spans="1:24" ht="12.5">
      <c r="A40" s="10" t="s">
        <v>28</v>
      </c>
      <c r="B40" s="11" t="s">
        <v>22</v>
      </c>
      <c r="C40" s="12">
        <v>1</v>
      </c>
      <c r="D40" s="12">
        <v>0.70650000000000002</v>
      </c>
      <c r="E40" s="12">
        <v>0</v>
      </c>
      <c r="F40" s="12">
        <v>4.3033999999999999</v>
      </c>
      <c r="G40" s="13">
        <v>0.70650000000000002</v>
      </c>
      <c r="H40" s="14"/>
      <c r="I40" s="17" t="str">
        <f ca="1">IFERROR(__xludf.DUMMYFUNCTION("""COMPUTED_VALUE"""),"Denial of Service: EDoS Attack To Cloud Application")</f>
        <v>Denial of Service: EDoS Attack To Cloud Application</v>
      </c>
      <c r="J40" s="14" t="str">
        <f ca="1">IFERROR(__xludf.DUMMYFUNCTION("""COMPUTED_VALUE"""),"ServerlessFunction (AwsLambda) - s3_to_gluecatalog")</f>
        <v>ServerlessFunction (AwsLambda) - s3_to_gluecatalog</v>
      </c>
      <c r="K40" s="14">
        <f ca="1">IFERROR(__xludf.DUMMYFUNCTION("""COMPUTED_VALUE"""),1)</f>
        <v>1</v>
      </c>
      <c r="L40" s="14">
        <f ca="1">IFERROR(__xludf.DUMMYFUNCTION("""COMPUTED_VALUE"""),0.7067)</f>
        <v>0.70669999999999999</v>
      </c>
      <c r="M40" s="14">
        <f ca="1">IFERROR(__xludf.DUMMYFUNCTION("""COMPUTED_VALUE"""),0.0001)</f>
        <v>1E-4</v>
      </c>
      <c r="N40" s="14">
        <f ca="1">IFERROR(__xludf.DUMMYFUNCTION("""COMPUTED_VALUE"""),5.1731)</f>
        <v>5.1730999999999998</v>
      </c>
      <c r="O40" s="16">
        <f ca="1">IFERROR(__xludf.DUMMYFUNCTION("""COMPUTED_VALUE"""),0.7067)</f>
        <v>0.70669999999999999</v>
      </c>
      <c r="P40" s="14"/>
      <c r="Q40" s="14"/>
      <c r="R40" s="14"/>
      <c r="S40" s="14"/>
      <c r="T40" s="14"/>
      <c r="U40" s="14"/>
      <c r="V40" s="14"/>
      <c r="W40" s="14"/>
      <c r="X40" s="14"/>
    </row>
    <row r="41" spans="1:24" ht="12.5">
      <c r="A41" s="10" t="s">
        <v>28</v>
      </c>
      <c r="B41" s="11" t="s">
        <v>22</v>
      </c>
      <c r="C41" s="12">
        <v>1</v>
      </c>
      <c r="D41" s="12">
        <v>0.68049999999999999</v>
      </c>
      <c r="E41" s="12">
        <v>0</v>
      </c>
      <c r="F41" s="12">
        <v>5.0692000000000004</v>
      </c>
      <c r="G41" s="13">
        <v>0.68049999999999999</v>
      </c>
      <c r="H41" s="14"/>
      <c r="I41" s="17" t="str">
        <f ca="1">IFERROR(__xludf.DUMMYFUNCTION("""COMPUTED_VALUE"""),"Denial of Service: EDoS Attack To Cloud Application")</f>
        <v>Denial of Service: EDoS Attack To Cloud Application</v>
      </c>
      <c r="J41" s="14" t="str">
        <f ca="1">IFERROR(__xludf.DUMMYFUNCTION("""COMPUTED_VALUE"""),"VirtualFirewall (SecurityGroup) - cg-ec2-security-group")</f>
        <v>VirtualFirewall (SecurityGroup) - cg-ec2-security-group</v>
      </c>
      <c r="K41" s="14">
        <f ca="1">IFERROR(__xludf.DUMMYFUNCTION("""COMPUTED_VALUE"""),1)</f>
        <v>1</v>
      </c>
      <c r="L41" s="14">
        <f ca="1">IFERROR(__xludf.DUMMYFUNCTION("""COMPUTED_VALUE"""),0.7192)</f>
        <v>0.71919999999999995</v>
      </c>
      <c r="M41" s="14">
        <f ca="1">IFERROR(__xludf.DUMMYFUNCTION("""COMPUTED_VALUE"""),0)</f>
        <v>0</v>
      </c>
      <c r="N41" s="14">
        <f ca="1">IFERROR(__xludf.DUMMYFUNCTION("""COMPUTED_VALUE"""),4.9605)</f>
        <v>4.9604999999999997</v>
      </c>
      <c r="O41" s="16">
        <f ca="1">IFERROR(__xludf.DUMMYFUNCTION("""COMPUTED_VALUE"""),0.7192)</f>
        <v>0.71919999999999995</v>
      </c>
      <c r="P41" s="14"/>
      <c r="Q41" s="14"/>
      <c r="R41" s="14"/>
      <c r="S41" s="14"/>
      <c r="T41" s="14"/>
      <c r="U41" s="14"/>
      <c r="V41" s="14"/>
      <c r="W41" s="14"/>
      <c r="X41" s="14"/>
    </row>
    <row r="42" spans="1:24" ht="12.5">
      <c r="A42" s="10" t="s">
        <v>29</v>
      </c>
      <c r="B42" s="11" t="s">
        <v>30</v>
      </c>
      <c r="C42" s="12">
        <v>1</v>
      </c>
      <c r="D42" s="12">
        <v>0.74370000000000003</v>
      </c>
      <c r="E42" s="12">
        <v>1E-4</v>
      </c>
      <c r="F42" s="12">
        <v>5.0270999999999999</v>
      </c>
      <c r="G42" s="13">
        <v>0.74370000000000003</v>
      </c>
      <c r="H42" s="14"/>
      <c r="I42" s="17" t="str">
        <f ca="1">IFERROR(__xludf.DUMMYFUNCTION("""COMPUTED_VALUE"""),"Denial of Service: EDoS Attack To Cloud Application")</f>
        <v>Denial of Service: EDoS Attack To Cloud Application</v>
      </c>
      <c r="J42" s="14" t="str">
        <f ca="1">IFERROR(__xludf.DUMMYFUNCTION("""COMPUTED_VALUE"""),"VirtualFirewall (SecurityGroup) - cg-rds-glue-security-group")</f>
        <v>VirtualFirewall (SecurityGroup) - cg-rds-glue-security-group</v>
      </c>
      <c r="K42" s="14">
        <f ca="1">IFERROR(__xludf.DUMMYFUNCTION("""COMPUTED_VALUE"""),1)</f>
        <v>1</v>
      </c>
      <c r="L42" s="14">
        <f ca="1">IFERROR(__xludf.DUMMYFUNCTION("""COMPUTED_VALUE"""),0.7431)</f>
        <v>0.74309999999999998</v>
      </c>
      <c r="M42" s="14">
        <f ca="1">IFERROR(__xludf.DUMMYFUNCTION("""COMPUTED_VALUE"""),0)</f>
        <v>0</v>
      </c>
      <c r="N42" s="14">
        <f ca="1">IFERROR(__xludf.DUMMYFUNCTION("""COMPUTED_VALUE"""),4.6143)</f>
        <v>4.6143000000000001</v>
      </c>
      <c r="O42" s="16">
        <f ca="1">IFERROR(__xludf.DUMMYFUNCTION("""COMPUTED_VALUE"""),0.7431)</f>
        <v>0.74309999999999998</v>
      </c>
      <c r="P42" s="14"/>
      <c r="Q42" s="14"/>
      <c r="R42" s="14"/>
      <c r="S42" s="14"/>
      <c r="T42" s="14"/>
      <c r="U42" s="14"/>
      <c r="V42" s="14"/>
      <c r="W42" s="14"/>
      <c r="X42" s="14"/>
    </row>
    <row r="43" spans="1:24" ht="12.5">
      <c r="A43" s="10" t="s">
        <v>29</v>
      </c>
      <c r="B43" s="11" t="s">
        <v>20</v>
      </c>
      <c r="C43" s="12">
        <v>1</v>
      </c>
      <c r="D43" s="12">
        <v>0.68620000000000003</v>
      </c>
      <c r="E43" s="12">
        <v>0</v>
      </c>
      <c r="F43" s="12">
        <v>4.4642999999999997</v>
      </c>
      <c r="G43" s="13">
        <v>0.68620000000000003</v>
      </c>
      <c r="H43" s="14"/>
      <c r="I43" s="17" t="str">
        <f ca="1">IFERROR(__xludf.DUMMYFUNCTION("""COMPUTED_VALUE"""),"Denial of Service: EDoS Attack To Cloud Application")</f>
        <v>Denial of Service: EDoS Attack To Cloud Application</v>
      </c>
      <c r="J43" s="14" t="str">
        <f ca="1">IFERROR(__xludf.DUMMYFUNCTION("""COMPUTED_VALUE"""),"VirtualFirewall (SecurityGroup) - cg-rds-security-group")</f>
        <v>VirtualFirewall (SecurityGroup) - cg-rds-security-group</v>
      </c>
      <c r="K43" s="14">
        <f ca="1">IFERROR(__xludf.DUMMYFUNCTION("""COMPUTED_VALUE"""),1)</f>
        <v>1</v>
      </c>
      <c r="L43" s="14">
        <f ca="1">IFERROR(__xludf.DUMMYFUNCTION("""COMPUTED_VALUE"""),0.7412)</f>
        <v>0.74119999999999997</v>
      </c>
      <c r="M43" s="14">
        <f ca="1">IFERROR(__xludf.DUMMYFUNCTION("""COMPUTED_VALUE"""),0)</f>
        <v>0</v>
      </c>
      <c r="N43" s="14">
        <f ca="1">IFERROR(__xludf.DUMMYFUNCTION("""COMPUTED_VALUE"""),4.1191)</f>
        <v>4.1191000000000004</v>
      </c>
      <c r="O43" s="16">
        <f ca="1">IFERROR(__xludf.DUMMYFUNCTION("""COMPUTED_VALUE"""),0.7412)</f>
        <v>0.74119999999999997</v>
      </c>
      <c r="P43" s="14"/>
      <c r="Q43" s="14"/>
      <c r="R43" s="14"/>
      <c r="S43" s="14"/>
      <c r="T43" s="14"/>
      <c r="U43" s="14"/>
      <c r="V43" s="14"/>
      <c r="W43" s="14"/>
      <c r="X43" s="14"/>
    </row>
    <row r="44" spans="1:24" ht="12.5">
      <c r="A44" s="10" t="s">
        <v>29</v>
      </c>
      <c r="B44" s="11" t="s">
        <v>31</v>
      </c>
      <c r="C44" s="12">
        <v>1</v>
      </c>
      <c r="D44" s="12">
        <v>0.68710000000000004</v>
      </c>
      <c r="E44" s="12">
        <v>1E-4</v>
      </c>
      <c r="F44" s="12">
        <v>4.7968000000000002</v>
      </c>
      <c r="G44" s="13">
        <v>0.68710000000000004</v>
      </c>
      <c r="H44" s="14"/>
      <c r="I44" s="17" t="str">
        <f ca="1">IFERROR(__xludf.DUMMYFUNCTION("""COMPUTED_VALUE"""),"Denial of Service: Failure Of Cloud Application")</f>
        <v>Denial of Service: Failure Of Cloud Application</v>
      </c>
      <c r="J44" s="14" t="str">
        <f ca="1">IFERROR(__xludf.DUMMYFUNCTION("""COMPUTED_VALUE"""),"IAM (IAM) - glue_ETL_role")</f>
        <v>IAM (IAM) - glue_ETL_role</v>
      </c>
      <c r="K44" s="14">
        <f ca="1">IFERROR(__xludf.DUMMYFUNCTION("""COMPUTED_VALUE"""),1)</f>
        <v>1</v>
      </c>
      <c r="L44" s="14">
        <f ca="1">IFERROR(__xludf.DUMMYFUNCTION("""COMPUTED_VALUE"""),0.7765)</f>
        <v>0.77649999999999997</v>
      </c>
      <c r="M44" s="14">
        <f ca="1">IFERROR(__xludf.DUMMYFUNCTION("""COMPUTED_VALUE"""),0.0002)</f>
        <v>2.0000000000000001E-4</v>
      </c>
      <c r="N44" s="14">
        <f ca="1">IFERROR(__xludf.DUMMYFUNCTION("""COMPUTED_VALUE"""),4.9231)</f>
        <v>4.9230999999999998</v>
      </c>
      <c r="O44" s="16">
        <f ca="1">IFERROR(__xludf.DUMMYFUNCTION("""COMPUTED_VALUE"""),0.7765)</f>
        <v>0.77649999999999997</v>
      </c>
      <c r="P44" s="14"/>
      <c r="Q44" s="14"/>
      <c r="R44" s="14"/>
      <c r="S44" s="14"/>
      <c r="T44" s="14"/>
      <c r="U44" s="14"/>
      <c r="V44" s="14"/>
      <c r="W44" s="14"/>
      <c r="X44" s="14"/>
    </row>
    <row r="45" spans="1:24" ht="12.5">
      <c r="A45" s="10" t="s">
        <v>29</v>
      </c>
      <c r="B45" s="11" t="s">
        <v>32</v>
      </c>
      <c r="C45" s="12">
        <v>1</v>
      </c>
      <c r="D45" s="12">
        <v>0.74119999999999997</v>
      </c>
      <c r="E45" s="12">
        <v>0</v>
      </c>
      <c r="F45" s="12">
        <v>4.1191000000000004</v>
      </c>
      <c r="G45" s="13">
        <v>0.74119999999999997</v>
      </c>
      <c r="H45" s="14"/>
      <c r="I45" s="17" t="str">
        <f ca="1">IFERROR(__xludf.DUMMYFUNCTION("""COMPUTED_VALUE"""),"Denial of Service: Failure Of Cloud Application")</f>
        <v>Denial of Service: Failure Of Cloud Application</v>
      </c>
      <c r="J45" s="14" t="str">
        <f ca="1">IFERROR(__xludf.DUMMYFUNCTION("""COMPUTED_VALUE"""),"IAM (IAM) - s3_to_gluecatalog_lambda_role")</f>
        <v>IAM (IAM) - s3_to_gluecatalog_lambda_role</v>
      </c>
      <c r="K45" s="14">
        <f ca="1">IFERROR(__xludf.DUMMYFUNCTION("""COMPUTED_VALUE"""),1)</f>
        <v>1</v>
      </c>
      <c r="L45" s="14">
        <f ca="1">IFERROR(__xludf.DUMMYFUNCTION("""COMPUTED_VALUE"""),0.7139)</f>
        <v>0.71389999999999998</v>
      </c>
      <c r="M45" s="14">
        <f ca="1">IFERROR(__xludf.DUMMYFUNCTION("""COMPUTED_VALUE"""),0.0001)</f>
        <v>1E-4</v>
      </c>
      <c r="N45" s="14">
        <f ca="1">IFERROR(__xludf.DUMMYFUNCTION("""COMPUTED_VALUE"""),4.8561)</f>
        <v>4.8560999999999996</v>
      </c>
      <c r="O45" s="16">
        <f ca="1">IFERROR(__xludf.DUMMYFUNCTION("""COMPUTED_VALUE"""),0.7139)</f>
        <v>0.71389999999999998</v>
      </c>
      <c r="P45" s="14"/>
      <c r="Q45" s="14"/>
      <c r="R45" s="14"/>
      <c r="S45" s="14"/>
      <c r="T45" s="14"/>
      <c r="U45" s="14"/>
      <c r="V45" s="14"/>
      <c r="W45" s="14"/>
      <c r="X45" s="14"/>
    </row>
    <row r="46" spans="1:24" ht="12.5">
      <c r="A46" s="10" t="s">
        <v>29</v>
      </c>
      <c r="B46" s="11" t="s">
        <v>33</v>
      </c>
      <c r="C46" s="12">
        <v>1</v>
      </c>
      <c r="D46" s="12">
        <v>0.74490000000000001</v>
      </c>
      <c r="E46" s="12">
        <v>1E-4</v>
      </c>
      <c r="F46" s="12">
        <v>5.4705000000000004</v>
      </c>
      <c r="G46" s="13">
        <v>0.74490000000000001</v>
      </c>
      <c r="H46" s="14"/>
      <c r="I46" s="17" t="str">
        <f ca="1">IFERROR(__xludf.DUMMYFUNCTION("""COMPUTED_VALUE"""),"Denial of Service: Failure Of Cloud Application")</f>
        <v>Denial of Service: Failure Of Cloud Application</v>
      </c>
      <c r="J46" s="14" t="str">
        <f ca="1">IFERROR(__xludf.DUMMYFUNCTION("""COMPUTED_VALUE"""),"ServerlessFunction (AwsLambda) - s3_to_gluecatalog")</f>
        <v>ServerlessFunction (AwsLambda) - s3_to_gluecatalog</v>
      </c>
      <c r="K46" s="14">
        <f ca="1">IFERROR(__xludf.DUMMYFUNCTION("""COMPUTED_VALUE"""),1)</f>
        <v>1</v>
      </c>
      <c r="L46" s="14">
        <f ca="1">IFERROR(__xludf.DUMMYFUNCTION("""COMPUTED_VALUE"""),0.721449999999999)</f>
        <v>0.72144999999999904</v>
      </c>
      <c r="M46" s="14">
        <f ca="1">IFERROR(__xludf.DUMMYFUNCTION("""COMPUTED_VALUE"""),0)</f>
        <v>0</v>
      </c>
      <c r="N46" s="14">
        <f ca="1">IFERROR(__xludf.DUMMYFUNCTION("""COMPUTED_VALUE"""),4.869)</f>
        <v>4.8689999999999998</v>
      </c>
      <c r="O46" s="16">
        <f ca="1">IFERROR(__xludf.DUMMYFUNCTION("""COMPUTED_VALUE"""),0.721449999999999)</f>
        <v>0.72144999999999904</v>
      </c>
      <c r="P46" s="14"/>
      <c r="Q46" s="14"/>
      <c r="R46" s="14"/>
      <c r="S46" s="14"/>
      <c r="T46" s="14"/>
      <c r="U46" s="14"/>
      <c r="V46" s="14"/>
      <c r="W46" s="14"/>
      <c r="X46" s="14"/>
    </row>
    <row r="47" spans="1:24" ht="12.5">
      <c r="A47" s="10" t="s">
        <v>29</v>
      </c>
      <c r="B47" s="11" t="s">
        <v>21</v>
      </c>
      <c r="C47" s="12">
        <v>1</v>
      </c>
      <c r="D47" s="12">
        <v>0.74309999999999998</v>
      </c>
      <c r="E47" s="12">
        <v>0</v>
      </c>
      <c r="F47" s="12">
        <v>4.6143000000000001</v>
      </c>
      <c r="G47" s="13">
        <v>0.74309999999999998</v>
      </c>
      <c r="H47" s="14"/>
      <c r="I47" s="17" t="str">
        <f ca="1">IFERROR(__xludf.DUMMYFUNCTION("""COMPUTED_VALUE"""),"Denial of Service: Failure Of Cloud Application")</f>
        <v>Denial of Service: Failure Of Cloud Application</v>
      </c>
      <c r="J47" s="14" t="str">
        <f ca="1">IFERROR(__xludf.DUMMYFUNCTION("""COMPUTED_VALUE"""),"ServerlessOrchestration (GlueJob) - cg-glue-connection")</f>
        <v>ServerlessOrchestration (GlueJob) - cg-glue-connection</v>
      </c>
      <c r="K47" s="14">
        <f ca="1">IFERROR(__xludf.DUMMYFUNCTION("""COMPUTED_VALUE"""),1)</f>
        <v>1</v>
      </c>
      <c r="L47" s="14">
        <f ca="1">IFERROR(__xludf.DUMMYFUNCTION("""COMPUTED_VALUE"""),0.749233333333333)</f>
        <v>0.74923333333333297</v>
      </c>
      <c r="M47" s="14">
        <f ca="1">IFERROR(__xludf.DUMMYFUNCTION("""COMPUTED_VALUE"""),0.0000333333333333333)</f>
        <v>3.3333333333333301E-5</v>
      </c>
      <c r="N47" s="14">
        <f ca="1">IFERROR(__xludf.DUMMYFUNCTION("""COMPUTED_VALUE"""),5.06129999999999)</f>
        <v>5.0612999999999904</v>
      </c>
      <c r="O47" s="16">
        <f ca="1">IFERROR(__xludf.DUMMYFUNCTION("""COMPUTED_VALUE"""),0.749233333333333)</f>
        <v>0.74923333333333297</v>
      </c>
      <c r="P47" s="14"/>
      <c r="Q47" s="14"/>
      <c r="R47" s="14"/>
      <c r="S47" s="14"/>
      <c r="T47" s="14"/>
      <c r="U47" s="14"/>
      <c r="V47" s="14"/>
      <c r="W47" s="14"/>
      <c r="X47" s="14"/>
    </row>
    <row r="48" spans="1:24" ht="12.5">
      <c r="A48" s="10" t="s">
        <v>29</v>
      </c>
      <c r="B48" s="11" t="s">
        <v>34</v>
      </c>
      <c r="C48" s="12">
        <v>1</v>
      </c>
      <c r="D48" s="12">
        <v>0.78549999999999998</v>
      </c>
      <c r="E48" s="12">
        <v>1E-4</v>
      </c>
      <c r="F48" s="12">
        <v>5.1642000000000001</v>
      </c>
      <c r="G48" s="13">
        <v>0.78549999999999998</v>
      </c>
      <c r="H48" s="14"/>
      <c r="I48" s="17" t="str">
        <f ca="1">IFERROR(__xludf.DUMMYFUNCTION("""COMPUTED_VALUE"""),"Denial of Service: Failure Of Cloud Application")</f>
        <v>Denial of Service: Failure Of Cloud Application</v>
      </c>
      <c r="J48" s="14" t="str">
        <f ca="1">IFERROR(__xludf.DUMMYFUNCTION("""COMPUTED_VALUE"""),"VirtualFirewall (SecurityGroup) - cg-rds-glue-security-group")</f>
        <v>VirtualFirewall (SecurityGroup) - cg-rds-glue-security-group</v>
      </c>
      <c r="K48" s="14">
        <f ca="1">IFERROR(__xludf.DUMMYFUNCTION("""COMPUTED_VALUE"""),1)</f>
        <v>1</v>
      </c>
      <c r="L48" s="14">
        <f ca="1">IFERROR(__xludf.DUMMYFUNCTION("""COMPUTED_VALUE"""),0.8119)</f>
        <v>0.81189999999999996</v>
      </c>
      <c r="M48" s="14">
        <f ca="1">IFERROR(__xludf.DUMMYFUNCTION("""COMPUTED_VALUE"""),0)</f>
        <v>0</v>
      </c>
      <c r="N48" s="14">
        <f ca="1">IFERROR(__xludf.DUMMYFUNCTION("""COMPUTED_VALUE"""),5.4657)</f>
        <v>5.4657</v>
      </c>
      <c r="O48" s="16">
        <f ca="1">IFERROR(__xludf.DUMMYFUNCTION("""COMPUTED_VALUE"""),0.8119)</f>
        <v>0.81189999999999996</v>
      </c>
      <c r="P48" s="14"/>
      <c r="Q48" s="14"/>
      <c r="R48" s="14"/>
      <c r="S48" s="14"/>
      <c r="T48" s="14"/>
      <c r="U48" s="14"/>
      <c r="V48" s="14"/>
      <c r="W48" s="14"/>
      <c r="X48" s="14"/>
    </row>
    <row r="49" spans="1:24" ht="12.5">
      <c r="A49" s="10" t="s">
        <v>29</v>
      </c>
      <c r="B49" s="11" t="s">
        <v>17</v>
      </c>
      <c r="C49" s="12">
        <v>1</v>
      </c>
      <c r="D49" s="12">
        <v>0.70669999999999999</v>
      </c>
      <c r="E49" s="12">
        <v>1E-4</v>
      </c>
      <c r="F49" s="12">
        <v>5.1730999999999998</v>
      </c>
      <c r="G49" s="13">
        <v>0.70669999999999999</v>
      </c>
      <c r="H49" s="14"/>
      <c r="I49" s="17" t="str">
        <f ca="1">IFERROR(__xludf.DUMMYFUNCTION("""COMPUTED_VALUE"""),"Elevation of Privilege: Broken Access Control")</f>
        <v>Elevation of Privilege: Broken Access Control</v>
      </c>
      <c r="J49" s="14" t="str">
        <f ca="1">IFERROR(__xludf.DUMMYFUNCTION("""COMPUTED_VALUE"""),"IAM (IAM) - glue_ETL_role")</f>
        <v>IAM (IAM) - glue_ETL_role</v>
      </c>
      <c r="K49" s="14">
        <f ca="1">IFERROR(__xludf.DUMMYFUNCTION("""COMPUTED_VALUE"""),1)</f>
        <v>1</v>
      </c>
      <c r="L49" s="14">
        <f ca="1">IFERROR(__xludf.DUMMYFUNCTION("""COMPUTED_VALUE"""),0.7413)</f>
        <v>0.74129999999999996</v>
      </c>
      <c r="M49" s="14">
        <f ca="1">IFERROR(__xludf.DUMMYFUNCTION("""COMPUTED_VALUE"""),0)</f>
        <v>0</v>
      </c>
      <c r="N49" s="14">
        <f ca="1">IFERROR(__xludf.DUMMYFUNCTION("""COMPUTED_VALUE"""),4.8373)</f>
        <v>4.8372999999999999</v>
      </c>
      <c r="O49" s="16">
        <f ca="1">IFERROR(__xludf.DUMMYFUNCTION("""COMPUTED_VALUE"""),0.7413)</f>
        <v>0.74129999999999996</v>
      </c>
      <c r="P49" s="14"/>
      <c r="Q49" s="14"/>
      <c r="R49" s="14"/>
      <c r="S49" s="14"/>
      <c r="T49" s="14"/>
      <c r="U49" s="14"/>
      <c r="V49" s="14"/>
      <c r="W49" s="14"/>
      <c r="X49" s="14"/>
    </row>
    <row r="50" spans="1:24" ht="12.5">
      <c r="A50" s="10" t="s">
        <v>29</v>
      </c>
      <c r="B50" s="11" t="s">
        <v>14</v>
      </c>
      <c r="C50" s="12">
        <v>1</v>
      </c>
      <c r="D50" s="12">
        <v>0.74070000000000003</v>
      </c>
      <c r="E50" s="12">
        <v>1E-4</v>
      </c>
      <c r="F50" s="12">
        <v>5.367</v>
      </c>
      <c r="G50" s="13">
        <v>0.74070000000000003</v>
      </c>
      <c r="H50" s="14"/>
      <c r="I50" s="17" t="str">
        <f ca="1">IFERROR(__xludf.DUMMYFUNCTION("""COMPUTED_VALUE"""),"Elevation of Privilege: Broken Access Control")</f>
        <v>Elevation of Privilege: Broken Access Control</v>
      </c>
      <c r="J50" s="14" t="str">
        <f ca="1">IFERROR(__xludf.DUMMYFUNCTION("""COMPUTED_VALUE"""),"IAM (IAM) - s3_to_gluecatalog_lambda_role")</f>
        <v>IAM (IAM) - s3_to_gluecatalog_lambda_role</v>
      </c>
      <c r="K50" s="14">
        <f ca="1">IFERROR(__xludf.DUMMYFUNCTION("""COMPUTED_VALUE"""),1)</f>
        <v>1</v>
      </c>
      <c r="L50" s="14">
        <f ca="1">IFERROR(__xludf.DUMMYFUNCTION("""COMPUTED_VALUE"""),0.7324)</f>
        <v>0.73240000000000005</v>
      </c>
      <c r="M50" s="14">
        <f ca="1">IFERROR(__xludf.DUMMYFUNCTION("""COMPUTED_VALUE"""),0.0002)</f>
        <v>2.0000000000000001E-4</v>
      </c>
      <c r="N50" s="14">
        <f ca="1">IFERROR(__xludf.DUMMYFUNCTION("""COMPUTED_VALUE"""),4.7748)</f>
        <v>4.7747999999999999</v>
      </c>
      <c r="O50" s="16">
        <f ca="1">IFERROR(__xludf.DUMMYFUNCTION("""COMPUTED_VALUE"""),0.7324)</f>
        <v>0.73240000000000005</v>
      </c>
      <c r="P50" s="14"/>
      <c r="Q50" s="14"/>
      <c r="R50" s="14"/>
      <c r="S50" s="14"/>
      <c r="T50" s="14"/>
      <c r="U50" s="14"/>
      <c r="V50" s="14"/>
      <c r="W50" s="14"/>
      <c r="X50" s="14"/>
    </row>
    <row r="51" spans="1:24" ht="12.5">
      <c r="A51" s="10" t="s">
        <v>29</v>
      </c>
      <c r="B51" s="11" t="s">
        <v>35</v>
      </c>
      <c r="C51" s="12">
        <v>1</v>
      </c>
      <c r="D51" s="12">
        <v>0.71919999999999995</v>
      </c>
      <c r="E51" s="12">
        <v>0</v>
      </c>
      <c r="F51" s="12">
        <v>4.9604999999999997</v>
      </c>
      <c r="G51" s="13">
        <v>0.71919999999999995</v>
      </c>
      <c r="H51" s="14"/>
      <c r="I51" s="17" t="str">
        <f ca="1">IFERROR(__xludf.DUMMYFUNCTION("""COMPUTED_VALUE"""),"Elevation of Privilege: Broken Access Control")</f>
        <v>Elevation of Privilege: Broken Access Control</v>
      </c>
      <c r="J51" s="14" t="str">
        <f ca="1">IFERROR(__xludf.DUMMYFUNCTION("""COMPUTED_VALUE"""),"ServerlessFunction (AwsLambda) - s3_to_gluecatalog")</f>
        <v>ServerlessFunction (AwsLambda) - s3_to_gluecatalog</v>
      </c>
      <c r="K51" s="14">
        <f ca="1">IFERROR(__xludf.DUMMYFUNCTION("""COMPUTED_VALUE"""),1)</f>
        <v>1</v>
      </c>
      <c r="L51" s="14">
        <f ca="1">IFERROR(__xludf.DUMMYFUNCTION("""COMPUTED_VALUE"""),0.751)</f>
        <v>0.751</v>
      </c>
      <c r="M51" s="14">
        <f ca="1">IFERROR(__xludf.DUMMYFUNCTION("""COMPUTED_VALUE"""),0)</f>
        <v>0</v>
      </c>
      <c r="N51" s="14">
        <f ca="1">IFERROR(__xludf.DUMMYFUNCTION("""COMPUTED_VALUE"""),5.45215)</f>
        <v>5.4521499999999996</v>
      </c>
      <c r="O51" s="16">
        <f ca="1">IFERROR(__xludf.DUMMYFUNCTION("""COMPUTED_VALUE"""),0.751)</f>
        <v>0.751</v>
      </c>
      <c r="P51" s="14"/>
      <c r="Q51" s="14"/>
      <c r="R51" s="14"/>
      <c r="S51" s="14"/>
      <c r="T51" s="14"/>
      <c r="U51" s="14"/>
      <c r="V51" s="14"/>
      <c r="W51" s="14"/>
      <c r="X51" s="14"/>
    </row>
    <row r="52" spans="1:24" ht="12.5">
      <c r="A52" s="10" t="s">
        <v>36</v>
      </c>
      <c r="B52" s="11" t="s">
        <v>2</v>
      </c>
      <c r="C52" s="12">
        <v>1</v>
      </c>
      <c r="D52" s="12">
        <v>0.73250000000000004</v>
      </c>
      <c r="E52" s="12">
        <v>1E-4</v>
      </c>
      <c r="F52" s="12">
        <v>5.6493000000000002</v>
      </c>
      <c r="G52" s="13">
        <v>0.73250000000000004</v>
      </c>
      <c r="H52" s="14"/>
      <c r="I52" s="17" t="str">
        <f ca="1">IFERROR(__xludf.DUMMYFUNCTION("""COMPUTED_VALUE"""),"Elevation of Privilege: Broken Access Control")</f>
        <v>Elevation of Privilege: Broken Access Control</v>
      </c>
      <c r="J52" s="14" t="str">
        <f ca="1">IFERROR(__xludf.DUMMYFUNCTION("""COMPUTED_VALUE"""),"ServerlessOrchestration (GlueJob) - cg-glue-connection")</f>
        <v>ServerlessOrchestration (GlueJob) - cg-glue-connection</v>
      </c>
      <c r="K52" s="14">
        <f ca="1">IFERROR(__xludf.DUMMYFUNCTION("""COMPUTED_VALUE"""),1)</f>
        <v>1</v>
      </c>
      <c r="L52" s="14">
        <f ca="1">IFERROR(__xludf.DUMMYFUNCTION("""COMPUTED_VALUE"""),0.747499999999999)</f>
        <v>0.74749999999999905</v>
      </c>
      <c r="M52" s="14">
        <f ca="1">IFERROR(__xludf.DUMMYFUNCTION("""COMPUTED_VALUE"""),0.0000666666666666666)</f>
        <v>6.6666666666666602E-5</v>
      </c>
      <c r="N52" s="14">
        <f ca="1">IFERROR(__xludf.DUMMYFUNCTION("""COMPUTED_VALUE"""),5.11766666666666)</f>
        <v>5.1176666666666604</v>
      </c>
      <c r="O52" s="16">
        <f ca="1">IFERROR(__xludf.DUMMYFUNCTION("""COMPUTED_VALUE"""),0.747499999999999)</f>
        <v>0.74749999999999905</v>
      </c>
      <c r="P52" s="14"/>
      <c r="Q52" s="14"/>
      <c r="R52" s="14"/>
      <c r="S52" s="14"/>
      <c r="T52" s="14"/>
      <c r="U52" s="14"/>
      <c r="V52" s="14"/>
      <c r="W52" s="14"/>
      <c r="X52" s="14"/>
    </row>
    <row r="53" spans="1:24" ht="12.5">
      <c r="A53" s="10" t="s">
        <v>36</v>
      </c>
      <c r="B53" s="11" t="s">
        <v>2</v>
      </c>
      <c r="C53" s="12">
        <v>1</v>
      </c>
      <c r="D53" s="12">
        <v>0.7722</v>
      </c>
      <c r="E53" s="12">
        <v>0</v>
      </c>
      <c r="F53" s="12">
        <v>4.7625000000000002</v>
      </c>
      <c r="G53" s="13">
        <v>0.7722</v>
      </c>
      <c r="H53" s="14"/>
      <c r="I53" s="17" t="str">
        <f ca="1">IFERROR(__xludf.DUMMYFUNCTION("""COMPUTED_VALUE"""),"Elevation of Privilege: Broken Access Control")</f>
        <v>Elevation of Privilege: Broken Access Control</v>
      </c>
      <c r="J53" s="14" t="str">
        <f ca="1">IFERROR(__xludf.DUMMYFUNCTION("""COMPUTED_VALUE"""),"VirtualFirewall (SecurityGroup) - cg-rds-glue-security-group")</f>
        <v>VirtualFirewall (SecurityGroup) - cg-rds-glue-security-group</v>
      </c>
      <c r="K53" s="14">
        <f ca="1">IFERROR(__xludf.DUMMYFUNCTION("""COMPUTED_VALUE"""),1)</f>
        <v>1</v>
      </c>
      <c r="L53" s="14">
        <f ca="1">IFERROR(__xludf.DUMMYFUNCTION("""COMPUTED_VALUE"""),0.7252)</f>
        <v>0.72519999999999996</v>
      </c>
      <c r="M53" s="14">
        <f ca="1">IFERROR(__xludf.DUMMYFUNCTION("""COMPUTED_VALUE"""),0)</f>
        <v>0</v>
      </c>
      <c r="N53" s="14">
        <f ca="1">IFERROR(__xludf.DUMMYFUNCTION("""COMPUTED_VALUE"""),4.9093)</f>
        <v>4.9093</v>
      </c>
      <c r="O53" s="16">
        <f ca="1">IFERROR(__xludf.DUMMYFUNCTION("""COMPUTED_VALUE"""),0.7252)</f>
        <v>0.72519999999999996</v>
      </c>
      <c r="P53" s="14"/>
      <c r="Q53" s="14"/>
      <c r="R53" s="14"/>
      <c r="S53" s="14"/>
      <c r="T53" s="14"/>
      <c r="U53" s="14"/>
      <c r="V53" s="14"/>
      <c r="W53" s="14"/>
      <c r="X53" s="14"/>
    </row>
    <row r="54" spans="1:24" ht="12.5">
      <c r="A54" s="10" t="s">
        <v>36</v>
      </c>
      <c r="B54" s="11" t="s">
        <v>2</v>
      </c>
      <c r="C54" s="12">
        <v>1</v>
      </c>
      <c r="D54" s="12">
        <v>0.75349999999999995</v>
      </c>
      <c r="E54" s="12">
        <v>1E-4</v>
      </c>
      <c r="F54" s="12">
        <v>4.9843000000000002</v>
      </c>
      <c r="G54" s="13">
        <v>0.75349999999999995</v>
      </c>
      <c r="H54" s="14"/>
      <c r="I54" s="17" t="str">
        <f ca="1">IFERROR(__xludf.DUMMYFUNCTION("""COMPUTED_VALUE"""),"Information Disclosure: Backup Of Cloud Application Stolen")</f>
        <v>Information Disclosure: Backup Of Cloud Application Stolen</v>
      </c>
      <c r="J54" s="14" t="str">
        <f ca="1">IFERROR(__xludf.DUMMYFUNCTION("""COMPUTED_VALUE"""),"IAM (IAM) - glue_ETL_role")</f>
        <v>IAM (IAM) - glue_ETL_role</v>
      </c>
      <c r="K54" s="14">
        <f ca="1">IFERROR(__xludf.DUMMYFUNCTION("""COMPUTED_VALUE"""),1)</f>
        <v>1</v>
      </c>
      <c r="L54" s="14">
        <f ca="1">IFERROR(__xludf.DUMMYFUNCTION("""COMPUTED_VALUE"""),0.7822)</f>
        <v>0.78220000000000001</v>
      </c>
      <c r="M54" s="14">
        <f ca="1">IFERROR(__xludf.DUMMYFUNCTION("""COMPUTED_VALUE"""),0)</f>
        <v>0</v>
      </c>
      <c r="N54" s="14">
        <f ca="1">IFERROR(__xludf.DUMMYFUNCTION("""COMPUTED_VALUE"""),4.7728)</f>
        <v>4.7728000000000002</v>
      </c>
      <c r="O54" s="16">
        <f ca="1">IFERROR(__xludf.DUMMYFUNCTION("""COMPUTED_VALUE"""),0.7822)</f>
        <v>0.78220000000000001</v>
      </c>
      <c r="P54" s="14"/>
      <c r="Q54" s="14"/>
      <c r="R54" s="14"/>
      <c r="S54" s="14"/>
      <c r="T54" s="14"/>
      <c r="U54" s="14"/>
      <c r="V54" s="14"/>
      <c r="W54" s="14"/>
      <c r="X54" s="14"/>
    </row>
    <row r="55" spans="1:24" ht="12.5">
      <c r="A55" s="10" t="s">
        <v>36</v>
      </c>
      <c r="B55" s="11" t="s">
        <v>2</v>
      </c>
      <c r="C55" s="12">
        <v>1</v>
      </c>
      <c r="D55" s="12">
        <v>0.7087</v>
      </c>
      <c r="E55" s="12">
        <v>0</v>
      </c>
      <c r="F55" s="12">
        <v>5.2282000000000002</v>
      </c>
      <c r="G55" s="13">
        <v>0.7087</v>
      </c>
      <c r="H55" s="14"/>
      <c r="I55" s="17" t="str">
        <f ca="1">IFERROR(__xludf.DUMMYFUNCTION("""COMPUTED_VALUE"""),"Information Disclosure: Backup Of Cloud Application Stolen")</f>
        <v>Information Disclosure: Backup Of Cloud Application Stolen</v>
      </c>
      <c r="J55" s="14" t="str">
        <f ca="1">IFERROR(__xludf.DUMMYFUNCTION("""COMPUTED_VALUE"""),"IAM (IAM) - s3_to_gluecatalog_lambda_role")</f>
        <v>IAM (IAM) - s3_to_gluecatalog_lambda_role</v>
      </c>
      <c r="K55" s="14">
        <f ca="1">IFERROR(__xludf.DUMMYFUNCTION("""COMPUTED_VALUE"""),1)</f>
        <v>1</v>
      </c>
      <c r="L55" s="14">
        <f ca="1">IFERROR(__xludf.DUMMYFUNCTION("""COMPUTED_VALUE"""),0.7707)</f>
        <v>0.77070000000000005</v>
      </c>
      <c r="M55" s="14">
        <f ca="1">IFERROR(__xludf.DUMMYFUNCTION("""COMPUTED_VALUE"""),0.0001)</f>
        <v>1E-4</v>
      </c>
      <c r="N55" s="14">
        <f ca="1">IFERROR(__xludf.DUMMYFUNCTION("""COMPUTED_VALUE"""),4.8181)</f>
        <v>4.8181000000000003</v>
      </c>
      <c r="O55" s="16">
        <f ca="1">IFERROR(__xludf.DUMMYFUNCTION("""COMPUTED_VALUE"""),0.7707)</f>
        <v>0.77070000000000005</v>
      </c>
      <c r="P55" s="14"/>
      <c r="Q55" s="14"/>
      <c r="R55" s="14"/>
      <c r="S55" s="14"/>
      <c r="T55" s="14"/>
      <c r="U55" s="14"/>
      <c r="V55" s="14"/>
      <c r="W55" s="14"/>
      <c r="X55" s="14"/>
    </row>
    <row r="56" spans="1:24" ht="12.5">
      <c r="A56" s="10" t="s">
        <v>36</v>
      </c>
      <c r="B56" s="11" t="s">
        <v>2</v>
      </c>
      <c r="C56" s="12">
        <v>1</v>
      </c>
      <c r="D56" s="12">
        <v>0.74260000000000004</v>
      </c>
      <c r="E56" s="12">
        <v>0</v>
      </c>
      <c r="F56" s="12">
        <v>4.8327999999999998</v>
      </c>
      <c r="G56" s="13">
        <v>0.74260000000000004</v>
      </c>
      <c r="H56" s="14"/>
      <c r="I56" s="17" t="str">
        <f ca="1">IFERROR(__xludf.DUMMYFUNCTION("""COMPUTED_VALUE"""),"Information Disclosure: Backup Of Cloud Application Stolen")</f>
        <v>Information Disclosure: Backup Of Cloud Application Stolen</v>
      </c>
      <c r="J56" s="14" t="str">
        <f ca="1">IFERROR(__xludf.DUMMYFUNCTION("""COMPUTED_VALUE"""),"ServerlessFunction (AwsLambda) - s3_to_gluecatalog")</f>
        <v>ServerlessFunction (AwsLambda) - s3_to_gluecatalog</v>
      </c>
      <c r="K56" s="14">
        <f ca="1">IFERROR(__xludf.DUMMYFUNCTION("""COMPUTED_VALUE"""),1)</f>
        <v>1</v>
      </c>
      <c r="L56" s="14">
        <f ca="1">IFERROR(__xludf.DUMMYFUNCTION("""COMPUTED_VALUE"""),0.71775)</f>
        <v>0.71775</v>
      </c>
      <c r="M56" s="14">
        <f ca="1">IFERROR(__xludf.DUMMYFUNCTION("""COMPUTED_VALUE"""),0)</f>
        <v>0</v>
      </c>
      <c r="N56" s="14">
        <f ca="1">IFERROR(__xludf.DUMMYFUNCTION("""COMPUTED_VALUE"""),5.1818)</f>
        <v>5.1818</v>
      </c>
      <c r="O56" s="16">
        <f ca="1">IFERROR(__xludf.DUMMYFUNCTION("""COMPUTED_VALUE"""),0.71775)</f>
        <v>0.71775</v>
      </c>
      <c r="P56" s="14"/>
      <c r="Q56" s="14"/>
      <c r="R56" s="14"/>
      <c r="S56" s="14"/>
      <c r="T56" s="14"/>
      <c r="U56" s="14"/>
      <c r="V56" s="14"/>
      <c r="W56" s="14"/>
      <c r="X56" s="14"/>
    </row>
    <row r="57" spans="1:24" ht="12.5">
      <c r="A57" s="10" t="s">
        <v>36</v>
      </c>
      <c r="B57" s="11" t="s">
        <v>2</v>
      </c>
      <c r="C57" s="12">
        <v>1</v>
      </c>
      <c r="D57" s="12">
        <v>0.72389999999999999</v>
      </c>
      <c r="E57" s="12">
        <v>0</v>
      </c>
      <c r="F57" s="12">
        <v>5.4801000000000002</v>
      </c>
      <c r="G57" s="13">
        <v>0.72389999999999999</v>
      </c>
      <c r="H57" s="14"/>
      <c r="I57" s="17" t="str">
        <f ca="1">IFERROR(__xludf.DUMMYFUNCTION("""COMPUTED_VALUE"""),"Information Disclosure: Backup Of Cloud Application Stolen")</f>
        <v>Information Disclosure: Backup Of Cloud Application Stolen</v>
      </c>
      <c r="J57" s="14" t="str">
        <f ca="1">IFERROR(__xludf.DUMMYFUNCTION("""COMPUTED_VALUE"""),"ServerlessOrchestration (GlueJob) - cg-glue-connection")</f>
        <v>ServerlessOrchestration (GlueJob) - cg-glue-connection</v>
      </c>
      <c r="K57" s="14">
        <f ca="1">IFERROR(__xludf.DUMMYFUNCTION("""COMPUTED_VALUE"""),1)</f>
        <v>1</v>
      </c>
      <c r="L57" s="14">
        <f ca="1">IFERROR(__xludf.DUMMYFUNCTION("""COMPUTED_VALUE"""),0.7565)</f>
        <v>0.75649999999999995</v>
      </c>
      <c r="M57" s="14">
        <f ca="1">IFERROR(__xludf.DUMMYFUNCTION("""COMPUTED_VALUE"""),0)</f>
        <v>0</v>
      </c>
      <c r="N57" s="14">
        <f ca="1">IFERROR(__xludf.DUMMYFUNCTION("""COMPUTED_VALUE"""),4.98526666666666)</f>
        <v>4.9852666666666599</v>
      </c>
      <c r="O57" s="16">
        <f ca="1">IFERROR(__xludf.DUMMYFUNCTION("""COMPUTED_VALUE"""),0.7565)</f>
        <v>0.75649999999999995</v>
      </c>
      <c r="P57" s="14"/>
      <c r="Q57" s="14"/>
      <c r="R57" s="14"/>
      <c r="S57" s="14"/>
      <c r="T57" s="14"/>
      <c r="U57" s="14"/>
      <c r="V57" s="14"/>
      <c r="W57" s="14"/>
      <c r="X57" s="14"/>
    </row>
    <row r="58" spans="1:24" ht="12.5">
      <c r="A58" s="10" t="s">
        <v>36</v>
      </c>
      <c r="B58" s="11" t="s">
        <v>2</v>
      </c>
      <c r="C58" s="12">
        <v>1</v>
      </c>
      <c r="D58" s="12">
        <v>0.75829999999999997</v>
      </c>
      <c r="E58" s="12">
        <v>0</v>
      </c>
      <c r="F58" s="12">
        <v>4.6195000000000004</v>
      </c>
      <c r="G58" s="13">
        <v>0.75829999999999997</v>
      </c>
      <c r="H58" s="14"/>
      <c r="I58" s="17" t="str">
        <f ca="1">IFERROR(__xludf.DUMMYFUNCTION("""COMPUTED_VALUE"""),"Information Disclosure: Backup Of Cloud Application Stolen")</f>
        <v>Information Disclosure: Backup Of Cloud Application Stolen</v>
      </c>
      <c r="J58" s="14" t="str">
        <f ca="1">IFERROR(__xludf.DUMMYFUNCTION("""COMPUTED_VALUE"""),"VirtualFirewall (SecurityGroup) - cg-rds-glue-security-group")</f>
        <v>VirtualFirewall (SecurityGroup) - cg-rds-glue-security-group</v>
      </c>
      <c r="K58" s="14">
        <f ca="1">IFERROR(__xludf.DUMMYFUNCTION("""COMPUTED_VALUE"""),1)</f>
        <v>1</v>
      </c>
      <c r="L58" s="14">
        <f ca="1">IFERROR(__xludf.DUMMYFUNCTION("""COMPUTED_VALUE"""),0.7492)</f>
        <v>0.74919999999999998</v>
      </c>
      <c r="M58" s="14">
        <f ca="1">IFERROR(__xludf.DUMMYFUNCTION("""COMPUTED_VALUE"""),0)</f>
        <v>0</v>
      </c>
      <c r="N58" s="14">
        <f ca="1">IFERROR(__xludf.DUMMYFUNCTION("""COMPUTED_VALUE"""),5.9904)</f>
        <v>5.9904000000000002</v>
      </c>
      <c r="O58" s="16">
        <f ca="1">IFERROR(__xludf.DUMMYFUNCTION("""COMPUTED_VALUE"""),0.7492)</f>
        <v>0.74919999999999998</v>
      </c>
      <c r="P58" s="14"/>
      <c r="Q58" s="14"/>
      <c r="R58" s="14"/>
      <c r="S58" s="14"/>
      <c r="T58" s="14"/>
      <c r="U58" s="14"/>
      <c r="V58" s="14"/>
      <c r="W58" s="14"/>
      <c r="X58" s="14"/>
    </row>
    <row r="59" spans="1:24" ht="12.5">
      <c r="A59" s="10" t="s">
        <v>36</v>
      </c>
      <c r="B59" s="11" t="s">
        <v>2</v>
      </c>
      <c r="C59" s="12">
        <v>1</v>
      </c>
      <c r="D59" s="12">
        <v>0.74829999999999997</v>
      </c>
      <c r="E59" s="12">
        <v>0</v>
      </c>
      <c r="F59" s="12">
        <v>4.8630000000000004</v>
      </c>
      <c r="G59" s="13">
        <v>0.74829999999999997</v>
      </c>
      <c r="H59" s="14"/>
      <c r="I59" s="17" t="str">
        <f ca="1">IFERROR(__xludf.DUMMYFUNCTION("""COMPUTED_VALUE"""),"Information Disclosure: Data Breach By Cloud Application")</f>
        <v>Information Disclosure: Data Breach By Cloud Application</v>
      </c>
      <c r="J59" s="14" t="str">
        <f ca="1">IFERROR(__xludf.DUMMYFUNCTION("""COMPUTED_VALUE"""),"IAM (IAM) - glue_ETL_role")</f>
        <v>IAM (IAM) - glue_ETL_role</v>
      </c>
      <c r="K59" s="14">
        <f ca="1">IFERROR(__xludf.DUMMYFUNCTION("""COMPUTED_VALUE"""),1)</f>
        <v>1</v>
      </c>
      <c r="L59" s="14">
        <f ca="1">IFERROR(__xludf.DUMMYFUNCTION("""COMPUTED_VALUE"""),0.7741)</f>
        <v>0.77410000000000001</v>
      </c>
      <c r="M59" s="14">
        <f ca="1">IFERROR(__xludf.DUMMYFUNCTION("""COMPUTED_VALUE"""),0)</f>
        <v>0</v>
      </c>
      <c r="N59" s="14">
        <f ca="1">IFERROR(__xludf.DUMMYFUNCTION("""COMPUTED_VALUE"""),5.1014)</f>
        <v>5.1013999999999999</v>
      </c>
      <c r="O59" s="16">
        <f ca="1">IFERROR(__xludf.DUMMYFUNCTION("""COMPUTED_VALUE"""),0.7741)</f>
        <v>0.77410000000000001</v>
      </c>
      <c r="P59" s="14"/>
      <c r="Q59" s="14"/>
      <c r="R59" s="14"/>
      <c r="S59" s="14"/>
      <c r="T59" s="14"/>
      <c r="U59" s="14"/>
      <c r="V59" s="14"/>
      <c r="W59" s="14"/>
      <c r="X59" s="14"/>
    </row>
    <row r="60" spans="1:24" ht="12.5">
      <c r="A60" s="10" t="s">
        <v>36</v>
      </c>
      <c r="B60" s="11" t="s">
        <v>2</v>
      </c>
      <c r="C60" s="12">
        <v>1</v>
      </c>
      <c r="D60" s="12">
        <v>0.70740000000000003</v>
      </c>
      <c r="E60" s="12">
        <v>0</v>
      </c>
      <c r="F60" s="12">
        <v>5.3475000000000001</v>
      </c>
      <c r="G60" s="13">
        <v>0.70740000000000003</v>
      </c>
      <c r="H60" s="14"/>
      <c r="I60" s="17" t="str">
        <f ca="1">IFERROR(__xludf.DUMMYFUNCTION("""COMPUTED_VALUE"""),"Information Disclosure: Data Breach By Cloud Application")</f>
        <v>Information Disclosure: Data Breach By Cloud Application</v>
      </c>
      <c r="J60" s="14" t="str">
        <f ca="1">IFERROR(__xludf.DUMMYFUNCTION("""COMPUTED_VALUE"""),"IAM (IAM) - s3_to_gluecatalog_lambda_role")</f>
        <v>IAM (IAM) - s3_to_gluecatalog_lambda_role</v>
      </c>
      <c r="K60" s="14">
        <f ca="1">IFERROR(__xludf.DUMMYFUNCTION("""COMPUTED_VALUE"""),1)</f>
        <v>1</v>
      </c>
      <c r="L60" s="14">
        <f ca="1">IFERROR(__xludf.DUMMYFUNCTION("""COMPUTED_VALUE"""),0.7056)</f>
        <v>0.7056</v>
      </c>
      <c r="M60" s="14">
        <f ca="1">IFERROR(__xludf.DUMMYFUNCTION("""COMPUTED_VALUE"""),0.0003)</f>
        <v>2.9999999999999997E-4</v>
      </c>
      <c r="N60" s="14">
        <f ca="1">IFERROR(__xludf.DUMMYFUNCTION("""COMPUTED_VALUE"""),4.3722)</f>
        <v>4.3722000000000003</v>
      </c>
      <c r="O60" s="16">
        <f ca="1">IFERROR(__xludf.DUMMYFUNCTION("""COMPUTED_VALUE"""),0.7056)</f>
        <v>0.7056</v>
      </c>
      <c r="P60" s="14"/>
      <c r="Q60" s="14"/>
      <c r="R60" s="14"/>
      <c r="S60" s="14"/>
      <c r="T60" s="14"/>
      <c r="U60" s="14"/>
      <c r="V60" s="14"/>
      <c r="W60" s="14"/>
      <c r="X60" s="14"/>
    </row>
    <row r="61" spans="1:24" ht="12.5">
      <c r="A61" s="10" t="s">
        <v>36</v>
      </c>
      <c r="B61" s="11" t="s">
        <v>2</v>
      </c>
      <c r="C61" s="12">
        <v>1</v>
      </c>
      <c r="D61" s="12">
        <v>0.69240000000000002</v>
      </c>
      <c r="E61" s="12">
        <v>0</v>
      </c>
      <c r="F61" s="12">
        <v>4.6025</v>
      </c>
      <c r="G61" s="13">
        <v>0.69240000000000002</v>
      </c>
      <c r="H61" s="14"/>
      <c r="I61" s="17" t="str">
        <f ca="1">IFERROR(__xludf.DUMMYFUNCTION("""COMPUTED_VALUE"""),"Information Disclosure: Data Breach By Cloud Application")</f>
        <v>Information Disclosure: Data Breach By Cloud Application</v>
      </c>
      <c r="J61" s="14" t="str">
        <f ca="1">IFERROR(__xludf.DUMMYFUNCTION("""COMPUTED_VALUE"""),"ServerlessFunction (AwsLambda) - s3_to_gluecatalog")</f>
        <v>ServerlessFunction (AwsLambda) - s3_to_gluecatalog</v>
      </c>
      <c r="K61" s="14">
        <f ca="1">IFERROR(__xludf.DUMMYFUNCTION("""COMPUTED_VALUE"""),1)</f>
        <v>1</v>
      </c>
      <c r="L61" s="14">
        <f ca="1">IFERROR(__xludf.DUMMYFUNCTION("""COMPUTED_VALUE"""),0.70475)</f>
        <v>0.70474999999999999</v>
      </c>
      <c r="M61" s="14">
        <f ca="1">IFERROR(__xludf.DUMMYFUNCTION("""COMPUTED_VALUE"""),0)</f>
        <v>0</v>
      </c>
      <c r="N61" s="14">
        <f ca="1">IFERROR(__xludf.DUMMYFUNCTION("""COMPUTED_VALUE"""),4.787)</f>
        <v>4.7869999999999999</v>
      </c>
      <c r="O61" s="16">
        <f ca="1">IFERROR(__xludf.DUMMYFUNCTION("""COMPUTED_VALUE"""),0.70475)</f>
        <v>0.70474999999999999</v>
      </c>
      <c r="P61" s="14"/>
      <c r="Q61" s="14"/>
      <c r="R61" s="14"/>
      <c r="S61" s="14"/>
      <c r="T61" s="14"/>
      <c r="U61" s="14"/>
      <c r="V61" s="14"/>
      <c r="W61" s="14"/>
      <c r="X61" s="14"/>
    </row>
    <row r="62" spans="1:24" ht="12.5">
      <c r="A62" s="10" t="s">
        <v>37</v>
      </c>
      <c r="B62" s="11" t="s">
        <v>2</v>
      </c>
      <c r="C62" s="12">
        <v>1</v>
      </c>
      <c r="D62" s="12">
        <v>0.76490000000000002</v>
      </c>
      <c r="E62" s="12">
        <v>0</v>
      </c>
      <c r="F62" s="12">
        <v>4.8993000000000002</v>
      </c>
      <c r="G62" s="13">
        <v>0.76490000000000002</v>
      </c>
      <c r="H62" s="14"/>
      <c r="I62" s="17" t="str">
        <f ca="1">IFERROR(__xludf.DUMMYFUNCTION("""COMPUTED_VALUE"""),"Information Disclosure: Data Breach By Cloud Application")</f>
        <v>Information Disclosure: Data Breach By Cloud Application</v>
      </c>
      <c r="J62" s="14" t="str">
        <f ca="1">IFERROR(__xludf.DUMMYFUNCTION("""COMPUTED_VALUE"""),"ServerlessOrchestration (GlueJob) - cg-glue-connection")</f>
        <v>ServerlessOrchestration (GlueJob) - cg-glue-connection</v>
      </c>
      <c r="K62" s="14">
        <f ca="1">IFERROR(__xludf.DUMMYFUNCTION("""COMPUTED_VALUE"""),1)</f>
        <v>1</v>
      </c>
      <c r="L62" s="14">
        <f ca="1">IFERROR(__xludf.DUMMYFUNCTION("""COMPUTED_VALUE"""),0.715133333333333)</f>
        <v>0.71513333333333295</v>
      </c>
      <c r="M62" s="14">
        <f ca="1">IFERROR(__xludf.DUMMYFUNCTION("""COMPUTED_VALUE"""),0)</f>
        <v>0</v>
      </c>
      <c r="N62" s="14">
        <f ca="1">IFERROR(__xludf.DUMMYFUNCTION("""COMPUTED_VALUE"""),4.82366666666666)</f>
        <v>4.8236666666666599</v>
      </c>
      <c r="O62" s="16">
        <f ca="1">IFERROR(__xludf.DUMMYFUNCTION("""COMPUTED_VALUE"""),0.715133333333333)</f>
        <v>0.71513333333333295</v>
      </c>
      <c r="P62" s="14"/>
      <c r="Q62" s="14"/>
      <c r="R62" s="14"/>
      <c r="S62" s="14"/>
      <c r="T62" s="14"/>
      <c r="U62" s="14"/>
      <c r="V62" s="14"/>
      <c r="W62" s="14"/>
      <c r="X62" s="14"/>
    </row>
    <row r="63" spans="1:24" ht="12.5">
      <c r="A63" s="10" t="s">
        <v>37</v>
      </c>
      <c r="B63" s="11" t="s">
        <v>2</v>
      </c>
      <c r="C63" s="12">
        <v>1</v>
      </c>
      <c r="D63" s="12">
        <v>0.72340000000000004</v>
      </c>
      <c r="E63" s="12">
        <v>1E-4</v>
      </c>
      <c r="F63" s="12">
        <v>4.6898</v>
      </c>
      <c r="G63" s="13">
        <v>0.72340000000000004</v>
      </c>
      <c r="H63" s="14"/>
      <c r="I63" s="17" t="str">
        <f ca="1">IFERROR(__xludf.DUMMYFUNCTION("""COMPUTED_VALUE"""),"Information Disclosure: Data Breach By Cloud Application")</f>
        <v>Information Disclosure: Data Breach By Cloud Application</v>
      </c>
      <c r="J63" s="14" t="str">
        <f ca="1">IFERROR(__xludf.DUMMYFUNCTION("""COMPUTED_VALUE"""),"VirtualFirewall (SecurityGroup) - cg-rds-glue-security-group")</f>
        <v>VirtualFirewall (SecurityGroup) - cg-rds-glue-security-group</v>
      </c>
      <c r="K63" s="14">
        <f ca="1">IFERROR(__xludf.DUMMYFUNCTION("""COMPUTED_VALUE"""),1)</f>
        <v>1</v>
      </c>
      <c r="L63" s="14">
        <f ca="1">IFERROR(__xludf.DUMMYFUNCTION("""COMPUTED_VALUE"""),0.7183)</f>
        <v>0.71830000000000005</v>
      </c>
      <c r="M63" s="14">
        <f ca="1">IFERROR(__xludf.DUMMYFUNCTION("""COMPUTED_VALUE"""),0.0001)</f>
        <v>1E-4</v>
      </c>
      <c r="N63" s="14">
        <f ca="1">IFERROR(__xludf.DUMMYFUNCTION("""COMPUTED_VALUE"""),4.6067)</f>
        <v>4.6067</v>
      </c>
      <c r="O63" s="16">
        <f ca="1">IFERROR(__xludf.DUMMYFUNCTION("""COMPUTED_VALUE"""),0.7183)</f>
        <v>0.71830000000000005</v>
      </c>
      <c r="P63" s="14"/>
      <c r="Q63" s="14"/>
      <c r="R63" s="14"/>
      <c r="S63" s="14"/>
      <c r="T63" s="14"/>
      <c r="U63" s="14"/>
      <c r="V63" s="14"/>
      <c r="W63" s="14"/>
      <c r="X63" s="14"/>
    </row>
    <row r="64" spans="1:24" ht="12.5">
      <c r="A64" s="10" t="s">
        <v>37</v>
      </c>
      <c r="B64" s="11" t="s">
        <v>2</v>
      </c>
      <c r="C64" s="12">
        <v>1</v>
      </c>
      <c r="D64" s="12">
        <v>0.76429999999999998</v>
      </c>
      <c r="E64" s="12">
        <v>0</v>
      </c>
      <c r="F64" s="12">
        <v>5.0426000000000002</v>
      </c>
      <c r="G64" s="13">
        <v>0.76429999999999998</v>
      </c>
      <c r="H64" s="14"/>
      <c r="I64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4" s="14" t="str">
        <f ca="1">IFERROR(__xludf.DUMMYFUNCTION("""COMPUTED_VALUE"""),"IAM (IAM) - cg-ec2-instance-profile")</f>
        <v>IAM (IAM) - cg-ec2-instance-profile</v>
      </c>
      <c r="K64" s="14">
        <f ca="1">IFERROR(__xludf.DUMMYFUNCTION("""COMPUTED_VALUE"""),1)</f>
        <v>1</v>
      </c>
      <c r="L64" s="14">
        <f ca="1">IFERROR(__xludf.DUMMYFUNCTION("""COMPUTED_VALUE"""),0.7249)</f>
        <v>0.72489999999999999</v>
      </c>
      <c r="M64" s="14">
        <f ca="1">IFERROR(__xludf.DUMMYFUNCTION("""COMPUTED_VALUE"""),0.0001)</f>
        <v>1E-4</v>
      </c>
      <c r="N64" s="14">
        <f ca="1">IFERROR(__xludf.DUMMYFUNCTION("""COMPUTED_VALUE"""),6.6505)</f>
        <v>6.6505000000000001</v>
      </c>
      <c r="O64" s="16">
        <f ca="1">IFERROR(__xludf.DUMMYFUNCTION("""COMPUTED_VALUE"""),0.7249)</f>
        <v>0.72489999999999999</v>
      </c>
      <c r="P64" s="14"/>
      <c r="Q64" s="14"/>
      <c r="R64" s="14"/>
      <c r="S64" s="14"/>
      <c r="T64" s="14"/>
      <c r="U64" s="14"/>
      <c r="V64" s="14"/>
      <c r="W64" s="14"/>
      <c r="X64" s="14"/>
    </row>
    <row r="65" spans="1:24" ht="12.5">
      <c r="A65" s="10" t="s">
        <v>37</v>
      </c>
      <c r="B65" s="11" t="s">
        <v>2</v>
      </c>
      <c r="C65" s="12">
        <v>1</v>
      </c>
      <c r="D65" s="12">
        <v>0.72289999999999999</v>
      </c>
      <c r="E65" s="12">
        <v>0</v>
      </c>
      <c r="F65" s="12">
        <v>4.6128999999999998</v>
      </c>
      <c r="G65" s="13">
        <v>0.72289999999999999</v>
      </c>
      <c r="H65" s="14"/>
      <c r="I65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5" s="14" t="str">
        <f ca="1">IFERROR(__xludf.DUMMYFUNCTION("""COMPUTED_VALUE"""),"IAM (IAM) - cg-glue-admin")</f>
        <v>IAM (IAM) - cg-glue-admin</v>
      </c>
      <c r="K65" s="14">
        <f ca="1">IFERROR(__xludf.DUMMYFUNCTION("""COMPUTED_VALUE"""),1)</f>
        <v>1</v>
      </c>
      <c r="L65" s="14">
        <f ca="1">IFERROR(__xludf.DUMMYFUNCTION("""COMPUTED_VALUE"""),0.708)</f>
        <v>0.70799999999999996</v>
      </c>
      <c r="M65" s="14">
        <f ca="1">IFERROR(__xludf.DUMMYFUNCTION("""COMPUTED_VALUE"""),0)</f>
        <v>0</v>
      </c>
      <c r="N65" s="14">
        <f ca="1">IFERROR(__xludf.DUMMYFUNCTION("""COMPUTED_VALUE"""),5.3529)</f>
        <v>5.3529</v>
      </c>
      <c r="O65" s="16">
        <f ca="1">IFERROR(__xludf.DUMMYFUNCTION("""COMPUTED_VALUE"""),0.708)</f>
        <v>0.70799999999999996</v>
      </c>
      <c r="P65" s="14"/>
      <c r="Q65" s="14"/>
      <c r="R65" s="14"/>
      <c r="S65" s="14"/>
      <c r="T65" s="14"/>
      <c r="U65" s="14"/>
      <c r="V65" s="14"/>
      <c r="W65" s="14"/>
      <c r="X65" s="14"/>
    </row>
    <row r="66" spans="1:24" ht="12.5">
      <c r="A66" s="10" t="s">
        <v>37</v>
      </c>
      <c r="B66" s="11" t="s">
        <v>2</v>
      </c>
      <c r="C66" s="12">
        <v>1</v>
      </c>
      <c r="D66" s="12">
        <v>0.76119999999999999</v>
      </c>
      <c r="E66" s="12">
        <v>0</v>
      </c>
      <c r="F66" s="12">
        <v>4.9607999999999999</v>
      </c>
      <c r="G66" s="13">
        <v>0.76119999999999999</v>
      </c>
      <c r="H66" s="14"/>
      <c r="I66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6" s="14" t="str">
        <f ca="1">IFERROR(__xludf.DUMMYFUNCTION("""COMPUTED_VALUE"""),"IAM (IAM) - cg-run-app")</f>
        <v>IAM (IAM) - cg-run-app</v>
      </c>
      <c r="K66" s="14">
        <f ca="1">IFERROR(__xludf.DUMMYFUNCTION("""COMPUTED_VALUE"""),1)</f>
        <v>1</v>
      </c>
      <c r="L66" s="14">
        <f ca="1">IFERROR(__xludf.DUMMYFUNCTION("""COMPUTED_VALUE"""),0.7414)</f>
        <v>0.74139999999999995</v>
      </c>
      <c r="M66" s="14">
        <f ca="1">IFERROR(__xludf.DUMMYFUNCTION("""COMPUTED_VALUE"""),0)</f>
        <v>0</v>
      </c>
      <c r="N66" s="14">
        <f ca="1">IFERROR(__xludf.DUMMYFUNCTION("""COMPUTED_VALUE"""),5.3441)</f>
        <v>5.3441000000000001</v>
      </c>
      <c r="O66" s="16">
        <f ca="1">IFERROR(__xludf.DUMMYFUNCTION("""COMPUTED_VALUE"""),0.7414)</f>
        <v>0.74139999999999995</v>
      </c>
      <c r="P66" s="14"/>
      <c r="Q66" s="14"/>
      <c r="R66" s="14"/>
      <c r="S66" s="14"/>
      <c r="T66" s="14"/>
      <c r="U66" s="14"/>
      <c r="V66" s="14"/>
      <c r="W66" s="14"/>
      <c r="X66" s="14"/>
    </row>
    <row r="67" spans="1:24" ht="12.5">
      <c r="A67" s="10" t="s">
        <v>37</v>
      </c>
      <c r="B67" s="11" t="s">
        <v>2</v>
      </c>
      <c r="C67" s="12">
        <v>1</v>
      </c>
      <c r="D67" s="12">
        <v>0.68569999999999998</v>
      </c>
      <c r="E67" s="12">
        <v>1E-4</v>
      </c>
      <c r="F67" s="12">
        <v>4.5993000000000004</v>
      </c>
      <c r="G67" s="13">
        <v>0.68569999999999998</v>
      </c>
      <c r="H67" s="14"/>
      <c r="I67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7" s="14" t="str">
        <f ca="1">IFERROR(__xludf.DUMMYFUNCTION("""COMPUTED_VALUE"""),"IAM (IAM) - glue_ETL_role")</f>
        <v>IAM (IAM) - glue_ETL_role</v>
      </c>
      <c r="K67" s="14">
        <f ca="1">IFERROR(__xludf.DUMMYFUNCTION("""COMPUTED_VALUE"""),1)</f>
        <v>1</v>
      </c>
      <c r="L67" s="14">
        <f ca="1">IFERROR(__xludf.DUMMYFUNCTION("""COMPUTED_VALUE"""),0.7503)</f>
        <v>0.75029999999999997</v>
      </c>
      <c r="M67" s="14">
        <f ca="1">IFERROR(__xludf.DUMMYFUNCTION("""COMPUTED_VALUE"""),0.0004)</f>
        <v>4.0000000000000002E-4</v>
      </c>
      <c r="N67" s="14">
        <f ca="1">IFERROR(__xludf.DUMMYFUNCTION("""COMPUTED_VALUE"""),4.65)</f>
        <v>4.6500000000000004</v>
      </c>
      <c r="O67" s="16">
        <f ca="1">IFERROR(__xludf.DUMMYFUNCTION("""COMPUTED_VALUE"""),0.7503)</f>
        <v>0.75029999999999997</v>
      </c>
      <c r="P67" s="14"/>
      <c r="Q67" s="14"/>
      <c r="R67" s="14"/>
      <c r="S67" s="14"/>
      <c r="T67" s="14"/>
      <c r="U67" s="14"/>
      <c r="V67" s="14"/>
      <c r="W67" s="14"/>
      <c r="X67" s="14"/>
    </row>
    <row r="68" spans="1:24" ht="12.5">
      <c r="A68" s="10" t="s">
        <v>37</v>
      </c>
      <c r="B68" s="11" t="s">
        <v>2</v>
      </c>
      <c r="C68" s="12">
        <v>1</v>
      </c>
      <c r="D68" s="12">
        <v>0.74770000000000003</v>
      </c>
      <c r="E68" s="12">
        <v>1E-4</v>
      </c>
      <c r="F68" s="12">
        <v>4.758</v>
      </c>
      <c r="G68" s="13">
        <v>0.74770000000000003</v>
      </c>
      <c r="H68" s="14"/>
      <c r="I68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8" s="14" t="str">
        <f ca="1">IFERROR(__xludf.DUMMYFUNCTION("""COMPUTED_VALUE"""),"IAM (IAM) - s3_to_gluecatalog_lambda_role")</f>
        <v>IAM (IAM) - s3_to_gluecatalog_lambda_role</v>
      </c>
      <c r="K68" s="14">
        <f ca="1">IFERROR(__xludf.DUMMYFUNCTION("""COMPUTED_VALUE"""),1)</f>
        <v>1</v>
      </c>
      <c r="L68" s="14">
        <f ca="1">IFERROR(__xludf.DUMMYFUNCTION("""COMPUTED_VALUE"""),0.7276)</f>
        <v>0.72760000000000002</v>
      </c>
      <c r="M68" s="14">
        <f ca="1">IFERROR(__xludf.DUMMYFUNCTION("""COMPUTED_VALUE"""),0.0001)</f>
        <v>1E-4</v>
      </c>
      <c r="N68" s="14">
        <f ca="1">IFERROR(__xludf.DUMMYFUNCTION("""COMPUTED_VALUE"""),5.1971)</f>
        <v>5.1970999999999998</v>
      </c>
      <c r="O68" s="16">
        <f ca="1">IFERROR(__xludf.DUMMYFUNCTION("""COMPUTED_VALUE"""),0.7276)</f>
        <v>0.72760000000000002</v>
      </c>
      <c r="P68" s="14"/>
      <c r="Q68" s="14"/>
      <c r="R68" s="14"/>
      <c r="S68" s="14"/>
      <c r="T68" s="14"/>
      <c r="U68" s="14"/>
      <c r="V68" s="14"/>
      <c r="W68" s="14"/>
      <c r="X68" s="14"/>
    </row>
    <row r="69" spans="1:24" ht="12.5">
      <c r="A69" s="10" t="s">
        <v>37</v>
      </c>
      <c r="B69" s="11" t="s">
        <v>2</v>
      </c>
      <c r="C69" s="12">
        <v>1</v>
      </c>
      <c r="D69" s="12">
        <v>0.72030000000000005</v>
      </c>
      <c r="E69" s="12">
        <v>1E-4</v>
      </c>
      <c r="F69" s="12">
        <v>5.9703999999999997</v>
      </c>
      <c r="G69" s="13">
        <v>0.72030000000000005</v>
      </c>
      <c r="H69" s="14"/>
      <c r="I69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9" s="14" t="str">
        <f ca="1">IFERROR(__xludf.DUMMYFUNCTION("""COMPUTED_VALUE"""),"IAM (IAM) - ssm_parameter_role_policies")</f>
        <v>IAM (IAM) - ssm_parameter_role_policies</v>
      </c>
      <c r="K69" s="14">
        <f ca="1">IFERROR(__xludf.DUMMYFUNCTION("""COMPUTED_VALUE"""),1)</f>
        <v>1</v>
      </c>
      <c r="L69" s="14">
        <f ca="1">IFERROR(__xludf.DUMMYFUNCTION("""COMPUTED_VALUE"""),0.7259)</f>
        <v>0.72589999999999999</v>
      </c>
      <c r="M69" s="14">
        <f ca="1">IFERROR(__xludf.DUMMYFUNCTION("""COMPUTED_VALUE"""),0.0002)</f>
        <v>2.0000000000000001E-4</v>
      </c>
      <c r="N69" s="14">
        <f ca="1">IFERROR(__xludf.DUMMYFUNCTION("""COMPUTED_VALUE"""),4.969)</f>
        <v>4.9690000000000003</v>
      </c>
      <c r="O69" s="16">
        <f ca="1">IFERROR(__xludf.DUMMYFUNCTION("""COMPUTED_VALUE"""),0.7259)</f>
        <v>0.72589999999999999</v>
      </c>
      <c r="P69" s="14"/>
      <c r="Q69" s="14"/>
      <c r="R69" s="14"/>
      <c r="S69" s="14"/>
      <c r="T69" s="14"/>
      <c r="U69" s="14"/>
      <c r="V69" s="14"/>
      <c r="W69" s="14"/>
      <c r="X69" s="14"/>
    </row>
    <row r="70" spans="1:24" ht="12.5">
      <c r="A70" s="10" t="s">
        <v>37</v>
      </c>
      <c r="B70" s="11" t="s">
        <v>2</v>
      </c>
      <c r="C70" s="12">
        <v>1</v>
      </c>
      <c r="D70" s="12">
        <v>0.69089999999999996</v>
      </c>
      <c r="E70" s="12">
        <v>0</v>
      </c>
      <c r="F70" s="12">
        <v>4.9565999999999999</v>
      </c>
      <c r="G70" s="13">
        <v>0.69089999999999996</v>
      </c>
      <c r="H70" s="14"/>
      <c r="I70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70" s="14" t="str">
        <f ca="1">IFERROR(__xludf.DUMMYFUNCTION("""COMPUTED_VALUE"""),"ServerlessFunction (AwsLambda) - s3_to_gluecatalog")</f>
        <v>ServerlessFunction (AwsLambda) - s3_to_gluecatalog</v>
      </c>
      <c r="K70" s="14">
        <f ca="1">IFERROR(__xludf.DUMMYFUNCTION("""COMPUTED_VALUE"""),1)</f>
        <v>1</v>
      </c>
      <c r="L70" s="14">
        <f ca="1">IFERROR(__xludf.DUMMYFUNCTION("""COMPUTED_VALUE"""),0.7291)</f>
        <v>0.72909999999999997</v>
      </c>
      <c r="M70" s="14">
        <f ca="1">IFERROR(__xludf.DUMMYFUNCTION("""COMPUTED_VALUE"""),0.0001)</f>
        <v>1E-4</v>
      </c>
      <c r="N70" s="14">
        <f ca="1">IFERROR(__xludf.DUMMYFUNCTION("""COMPUTED_VALUE"""),5.1244)</f>
        <v>5.1243999999999996</v>
      </c>
      <c r="O70" s="16">
        <f ca="1">IFERROR(__xludf.DUMMYFUNCTION("""COMPUTED_VALUE"""),0.7291)</f>
        <v>0.72909999999999997</v>
      </c>
      <c r="P70" s="14"/>
      <c r="Q70" s="14"/>
      <c r="R70" s="14"/>
      <c r="S70" s="14"/>
      <c r="T70" s="14"/>
      <c r="U70" s="14"/>
      <c r="V70" s="14"/>
      <c r="W70" s="14"/>
      <c r="X70" s="14"/>
    </row>
    <row r="71" spans="1:24" ht="12.5">
      <c r="A71" s="10" t="s">
        <v>37</v>
      </c>
      <c r="B71" s="11" t="s">
        <v>2</v>
      </c>
      <c r="C71" s="12">
        <v>1</v>
      </c>
      <c r="D71" s="12">
        <v>0.76359999999999995</v>
      </c>
      <c r="E71" s="12">
        <v>0</v>
      </c>
      <c r="F71" s="12">
        <v>4.7811000000000003</v>
      </c>
      <c r="G71" s="13">
        <v>0.76359999999999995</v>
      </c>
      <c r="H71" s="14"/>
      <c r="I71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71" s="14" t="str">
        <f ca="1">IFERROR(__xludf.DUMMYFUNCTION("""COMPUTED_VALUE"""),"VirtualFirewall (SecurityGroup) - cg-ec2-security-group")</f>
        <v>VirtualFirewall (SecurityGroup) - cg-ec2-security-group</v>
      </c>
      <c r="K71" s="14">
        <f ca="1">IFERROR(__xludf.DUMMYFUNCTION("""COMPUTED_VALUE"""),1)</f>
        <v>1</v>
      </c>
      <c r="L71" s="14">
        <f ca="1">IFERROR(__xludf.DUMMYFUNCTION("""COMPUTED_VALUE"""),0.7029)</f>
        <v>0.70289999999999997</v>
      </c>
      <c r="M71" s="14">
        <f ca="1">IFERROR(__xludf.DUMMYFUNCTION("""COMPUTED_VALUE"""),0)</f>
        <v>0</v>
      </c>
      <c r="N71" s="14">
        <f ca="1">IFERROR(__xludf.DUMMYFUNCTION("""COMPUTED_VALUE"""),5.3401)</f>
        <v>5.3400999999999996</v>
      </c>
      <c r="O71" s="16">
        <f ca="1">IFERROR(__xludf.DUMMYFUNCTION("""COMPUTED_VALUE"""),0.7029)</f>
        <v>0.70289999999999997</v>
      </c>
      <c r="P71" s="14"/>
      <c r="Q71" s="14"/>
      <c r="R71" s="14"/>
      <c r="S71" s="14"/>
      <c r="T71" s="14"/>
      <c r="U71" s="14"/>
      <c r="V71" s="14"/>
      <c r="W71" s="14"/>
      <c r="X71" s="14"/>
    </row>
    <row r="72" spans="1:24" ht="12.5">
      <c r="A72" s="10" t="s">
        <v>38</v>
      </c>
      <c r="B72" s="11" t="s">
        <v>30</v>
      </c>
      <c r="C72" s="12">
        <v>1</v>
      </c>
      <c r="D72" s="12">
        <v>0.75519999999999998</v>
      </c>
      <c r="E72" s="12">
        <v>1E-4</v>
      </c>
      <c r="F72" s="12">
        <v>4.9120999999999997</v>
      </c>
      <c r="G72" s="13">
        <v>0.75519999999999998</v>
      </c>
      <c r="H72" s="14"/>
      <c r="I72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72" s="14" t="str">
        <f ca="1">IFERROR(__xludf.DUMMYFUNCTION("""COMPUTED_VALUE"""),"VirtualFirewall (SecurityGroup) - cg-rds-glue-security-group")</f>
        <v>VirtualFirewall (SecurityGroup) - cg-rds-glue-security-group</v>
      </c>
      <c r="K72" s="14">
        <f ca="1">IFERROR(__xludf.DUMMYFUNCTION("""COMPUTED_VALUE"""),1)</f>
        <v>1</v>
      </c>
      <c r="L72" s="14">
        <f ca="1">IFERROR(__xludf.DUMMYFUNCTION("""COMPUTED_VALUE"""),0.7436)</f>
        <v>0.74360000000000004</v>
      </c>
      <c r="M72" s="14">
        <f ca="1">IFERROR(__xludf.DUMMYFUNCTION("""COMPUTED_VALUE"""),0.0001)</f>
        <v>1E-4</v>
      </c>
      <c r="N72" s="14">
        <f ca="1">IFERROR(__xludf.DUMMYFUNCTION("""COMPUTED_VALUE"""),4.7306)</f>
        <v>4.7305999999999999</v>
      </c>
      <c r="O72" s="16">
        <f ca="1">IFERROR(__xludf.DUMMYFUNCTION("""COMPUTED_VALUE"""),0.7436)</f>
        <v>0.74360000000000004</v>
      </c>
      <c r="P72" s="14"/>
      <c r="Q72" s="14"/>
      <c r="R72" s="14"/>
      <c r="S72" s="14"/>
      <c r="T72" s="14"/>
      <c r="U72" s="14"/>
      <c r="V72" s="14"/>
      <c r="W72" s="14"/>
      <c r="X72" s="14"/>
    </row>
    <row r="73" spans="1:24" ht="12.5">
      <c r="A73" s="10" t="s">
        <v>38</v>
      </c>
      <c r="B73" s="11" t="s">
        <v>20</v>
      </c>
      <c r="C73" s="12">
        <v>1</v>
      </c>
      <c r="D73" s="12">
        <v>0.76780000000000004</v>
      </c>
      <c r="E73" s="12">
        <v>0</v>
      </c>
      <c r="F73" s="12">
        <v>5.3517999999999999</v>
      </c>
      <c r="G73" s="13">
        <v>0.76780000000000004</v>
      </c>
      <c r="H73" s="14"/>
      <c r="I73" s="17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73" s="14" t="str">
        <f ca="1">IFERROR(__xludf.DUMMYFUNCTION("""COMPUTED_VALUE"""),"VirtualFirewall (SecurityGroup) - cg-rds-security-group")</f>
        <v>VirtualFirewall (SecurityGroup) - cg-rds-security-group</v>
      </c>
      <c r="K73" s="14">
        <f ca="1">IFERROR(__xludf.DUMMYFUNCTION("""COMPUTED_VALUE"""),1)</f>
        <v>1</v>
      </c>
      <c r="L73" s="14">
        <f ca="1">IFERROR(__xludf.DUMMYFUNCTION("""COMPUTED_VALUE"""),0.7541)</f>
        <v>0.75409999999999999</v>
      </c>
      <c r="M73" s="14">
        <f ca="1">IFERROR(__xludf.DUMMYFUNCTION("""COMPUTED_VALUE"""),0)</f>
        <v>0</v>
      </c>
      <c r="N73" s="14">
        <f ca="1">IFERROR(__xludf.DUMMYFUNCTION("""COMPUTED_VALUE"""),5.1313)</f>
        <v>5.1313000000000004</v>
      </c>
      <c r="O73" s="16">
        <f ca="1">IFERROR(__xludf.DUMMYFUNCTION("""COMPUTED_VALUE"""),0.7541)</f>
        <v>0.75409999999999999</v>
      </c>
      <c r="P73" s="14"/>
      <c r="Q73" s="14"/>
      <c r="R73" s="14"/>
      <c r="S73" s="14"/>
      <c r="T73" s="14"/>
      <c r="U73" s="14"/>
      <c r="V73" s="14"/>
      <c r="W73" s="14"/>
      <c r="X73" s="14"/>
    </row>
    <row r="74" spans="1:24" ht="12.5">
      <c r="A74" s="10" t="s">
        <v>38</v>
      </c>
      <c r="B74" s="11" t="s">
        <v>31</v>
      </c>
      <c r="C74" s="12">
        <v>1</v>
      </c>
      <c r="D74" s="12">
        <v>0.74370000000000003</v>
      </c>
      <c r="E74" s="12">
        <v>0</v>
      </c>
      <c r="F74" s="12">
        <v>4.9476000000000004</v>
      </c>
      <c r="G74" s="13">
        <v>0.74370000000000003</v>
      </c>
      <c r="H74" s="14"/>
      <c r="I74" s="17" t="str">
        <f ca="1">IFERROR(__xludf.DUMMYFUNCTION("""COMPUTED_VALUE"""),"Information Disclosure: Logs Of Cloud Application Stolen")</f>
        <v>Information Disclosure: Logs Of Cloud Application Stolen</v>
      </c>
      <c r="J74" s="14" t="str">
        <f ca="1">IFERROR(__xludf.DUMMYFUNCTION("""COMPUTED_VALUE"""),"IAM (IAM) - glue_ETL_role")</f>
        <v>IAM (IAM) - glue_ETL_role</v>
      </c>
      <c r="K74" s="14">
        <f ca="1">IFERROR(__xludf.DUMMYFUNCTION("""COMPUTED_VALUE"""),1)</f>
        <v>1</v>
      </c>
      <c r="L74" s="14">
        <f ca="1">IFERROR(__xludf.DUMMYFUNCTION("""COMPUTED_VALUE"""),0.7323)</f>
        <v>0.73229999999999995</v>
      </c>
      <c r="M74" s="14">
        <f ca="1">IFERROR(__xludf.DUMMYFUNCTION("""COMPUTED_VALUE"""),0)</f>
        <v>0</v>
      </c>
      <c r="N74" s="14">
        <f ca="1">IFERROR(__xludf.DUMMYFUNCTION("""COMPUTED_VALUE"""),4.9761)</f>
        <v>4.9760999999999997</v>
      </c>
      <c r="O74" s="16">
        <f ca="1">IFERROR(__xludf.DUMMYFUNCTION("""COMPUTED_VALUE"""),0.7323)</f>
        <v>0.73229999999999995</v>
      </c>
      <c r="P74" s="14"/>
      <c r="Q74" s="14"/>
      <c r="R74" s="14"/>
      <c r="S74" s="14"/>
      <c r="T74" s="14"/>
      <c r="U74" s="14"/>
      <c r="V74" s="14"/>
      <c r="W74" s="14"/>
      <c r="X74" s="14"/>
    </row>
    <row r="75" spans="1:24" ht="12.5">
      <c r="A75" s="10" t="s">
        <v>38</v>
      </c>
      <c r="B75" s="11" t="s">
        <v>32</v>
      </c>
      <c r="C75" s="12">
        <v>1</v>
      </c>
      <c r="D75" s="12">
        <v>0.68130000000000002</v>
      </c>
      <c r="E75" s="12">
        <v>1E-4</v>
      </c>
      <c r="F75" s="12">
        <v>5.1448</v>
      </c>
      <c r="G75" s="13">
        <v>0.68130000000000002</v>
      </c>
      <c r="H75" s="14"/>
      <c r="I75" s="17" t="str">
        <f ca="1">IFERROR(__xludf.DUMMYFUNCTION("""COMPUTED_VALUE"""),"Information Disclosure: Logs Of Cloud Application Stolen")</f>
        <v>Information Disclosure: Logs Of Cloud Application Stolen</v>
      </c>
      <c r="J75" s="14" t="str">
        <f ca="1">IFERROR(__xludf.DUMMYFUNCTION("""COMPUTED_VALUE"""),"IAM (IAM) - s3_to_gluecatalog_lambda_role")</f>
        <v>IAM (IAM) - s3_to_gluecatalog_lambda_role</v>
      </c>
      <c r="K75" s="14">
        <f ca="1">IFERROR(__xludf.DUMMYFUNCTION("""COMPUTED_VALUE"""),1)</f>
        <v>1</v>
      </c>
      <c r="L75" s="14">
        <f ca="1">IFERROR(__xludf.DUMMYFUNCTION("""COMPUTED_VALUE"""),0.7462)</f>
        <v>0.74619999999999997</v>
      </c>
      <c r="M75" s="14">
        <f ca="1">IFERROR(__xludf.DUMMYFUNCTION("""COMPUTED_VALUE"""),0)</f>
        <v>0</v>
      </c>
      <c r="N75" s="14">
        <f ca="1">IFERROR(__xludf.DUMMYFUNCTION("""COMPUTED_VALUE"""),5.2239)</f>
        <v>5.2239000000000004</v>
      </c>
      <c r="O75" s="16">
        <f ca="1">IFERROR(__xludf.DUMMYFUNCTION("""COMPUTED_VALUE"""),0.7462)</f>
        <v>0.74619999999999997</v>
      </c>
      <c r="P75" s="14"/>
      <c r="Q75" s="14"/>
      <c r="R75" s="14"/>
      <c r="S75" s="14"/>
      <c r="T75" s="14"/>
      <c r="U75" s="14"/>
      <c r="V75" s="14"/>
      <c r="W75" s="14"/>
      <c r="X75" s="14"/>
    </row>
    <row r="76" spans="1:24" ht="12.5">
      <c r="A76" s="10" t="s">
        <v>38</v>
      </c>
      <c r="B76" s="11" t="s">
        <v>33</v>
      </c>
      <c r="C76" s="12">
        <v>1</v>
      </c>
      <c r="D76" s="12">
        <v>0.74460000000000004</v>
      </c>
      <c r="E76" s="12">
        <v>0</v>
      </c>
      <c r="F76" s="12">
        <v>4.5148000000000001</v>
      </c>
      <c r="G76" s="13">
        <v>0.74460000000000004</v>
      </c>
      <c r="H76" s="14"/>
      <c r="I76" s="17" t="str">
        <f ca="1">IFERROR(__xludf.DUMMYFUNCTION("""COMPUTED_VALUE"""),"Information Disclosure: Logs Of Cloud Application Stolen")</f>
        <v>Information Disclosure: Logs Of Cloud Application Stolen</v>
      </c>
      <c r="J76" s="14" t="str">
        <f ca="1">IFERROR(__xludf.DUMMYFUNCTION("""COMPUTED_VALUE"""),"ServerlessFunction (AwsLambda) - s3_to_gluecatalog")</f>
        <v>ServerlessFunction (AwsLambda) - s3_to_gluecatalog</v>
      </c>
      <c r="K76" s="14">
        <f ca="1">IFERROR(__xludf.DUMMYFUNCTION("""COMPUTED_VALUE"""),1)</f>
        <v>1</v>
      </c>
      <c r="L76" s="14">
        <f ca="1">IFERROR(__xludf.DUMMYFUNCTION("""COMPUTED_VALUE"""),0.7359)</f>
        <v>0.7359</v>
      </c>
      <c r="M76" s="14">
        <f ca="1">IFERROR(__xludf.DUMMYFUNCTION("""COMPUTED_VALUE"""),0.0001)</f>
        <v>1E-4</v>
      </c>
      <c r="N76" s="14">
        <f ca="1">IFERROR(__xludf.DUMMYFUNCTION("""COMPUTED_VALUE"""),4.5983)</f>
        <v>4.5983000000000001</v>
      </c>
      <c r="O76" s="16">
        <f ca="1">IFERROR(__xludf.DUMMYFUNCTION("""COMPUTED_VALUE"""),0.7359)</f>
        <v>0.7359</v>
      </c>
      <c r="P76" s="14"/>
      <c r="Q76" s="14"/>
      <c r="R76" s="14"/>
      <c r="S76" s="14"/>
      <c r="T76" s="14"/>
      <c r="U76" s="14"/>
      <c r="V76" s="14"/>
      <c r="W76" s="14"/>
      <c r="X76" s="14"/>
    </row>
    <row r="77" spans="1:24" ht="12.5">
      <c r="A77" s="10" t="s">
        <v>38</v>
      </c>
      <c r="B77" s="11" t="s">
        <v>21</v>
      </c>
      <c r="C77" s="12">
        <v>1</v>
      </c>
      <c r="D77" s="12">
        <v>0.70720000000000005</v>
      </c>
      <c r="E77" s="12">
        <v>0</v>
      </c>
      <c r="F77" s="12">
        <v>5.0769000000000002</v>
      </c>
      <c r="G77" s="13">
        <v>0.70720000000000005</v>
      </c>
      <c r="H77" s="14"/>
      <c r="I77" s="17" t="str">
        <f ca="1">IFERROR(__xludf.DUMMYFUNCTION("""COMPUTED_VALUE"""),"Information Disclosure: Logs Of Cloud Application Stolen")</f>
        <v>Information Disclosure: Logs Of Cloud Application Stolen</v>
      </c>
      <c r="J77" s="14" t="str">
        <f ca="1">IFERROR(__xludf.DUMMYFUNCTION("""COMPUTED_VALUE"""),"ServerlessOrchestration (GlueJob) - cg-glue-connection")</f>
        <v>ServerlessOrchestration (GlueJob) - cg-glue-connection</v>
      </c>
      <c r="K77" s="14">
        <f ca="1">IFERROR(__xludf.DUMMYFUNCTION("""COMPUTED_VALUE"""),1)</f>
        <v>1</v>
      </c>
      <c r="L77" s="14">
        <f ca="1">IFERROR(__xludf.DUMMYFUNCTION("""COMPUTED_VALUE"""),0.7443)</f>
        <v>0.74429999999999996</v>
      </c>
      <c r="M77" s="14">
        <f ca="1">IFERROR(__xludf.DUMMYFUNCTION("""COMPUTED_VALUE"""),0.0000666666666666666)</f>
        <v>6.6666666666666602E-5</v>
      </c>
      <c r="N77" s="14">
        <f ca="1">IFERROR(__xludf.DUMMYFUNCTION("""COMPUTED_VALUE"""),4.8717)</f>
        <v>4.8716999999999997</v>
      </c>
      <c r="O77" s="16">
        <f ca="1">IFERROR(__xludf.DUMMYFUNCTION("""COMPUTED_VALUE"""),0.7443)</f>
        <v>0.74429999999999996</v>
      </c>
      <c r="P77" s="14"/>
      <c r="Q77" s="14"/>
      <c r="R77" s="14"/>
      <c r="S77" s="14"/>
      <c r="T77" s="14"/>
      <c r="U77" s="14"/>
      <c r="V77" s="14"/>
      <c r="W77" s="14"/>
      <c r="X77" s="14"/>
    </row>
    <row r="78" spans="1:24" ht="12.5">
      <c r="A78" s="10" t="s">
        <v>38</v>
      </c>
      <c r="B78" s="11" t="s">
        <v>34</v>
      </c>
      <c r="C78" s="12">
        <v>1</v>
      </c>
      <c r="D78" s="12">
        <v>0.76229999999999998</v>
      </c>
      <c r="E78" s="12">
        <v>0</v>
      </c>
      <c r="F78" s="12">
        <v>5.3586</v>
      </c>
      <c r="G78" s="13">
        <v>0.76229999999999998</v>
      </c>
      <c r="H78" s="14"/>
      <c r="I78" s="17" t="str">
        <f ca="1">IFERROR(__xludf.DUMMYFUNCTION("""COMPUTED_VALUE"""),"Information Disclosure: Logs Of Cloud Application Stolen")</f>
        <v>Information Disclosure: Logs Of Cloud Application Stolen</v>
      </c>
      <c r="J78" s="14" t="str">
        <f ca="1">IFERROR(__xludf.DUMMYFUNCTION("""COMPUTED_VALUE"""),"VirtualFirewall (SecurityGroup) - cg-rds-glue-security-group")</f>
        <v>VirtualFirewall (SecurityGroup) - cg-rds-glue-security-group</v>
      </c>
      <c r="K78" s="14">
        <f ca="1">IFERROR(__xludf.DUMMYFUNCTION("""COMPUTED_VALUE"""),1)</f>
        <v>1</v>
      </c>
      <c r="L78" s="14">
        <f ca="1">IFERROR(__xludf.DUMMYFUNCTION("""COMPUTED_VALUE"""),0.7254)</f>
        <v>0.72540000000000004</v>
      </c>
      <c r="M78" s="14">
        <f ca="1">IFERROR(__xludf.DUMMYFUNCTION("""COMPUTED_VALUE"""),0)</f>
        <v>0</v>
      </c>
      <c r="N78" s="14">
        <f ca="1">IFERROR(__xludf.DUMMYFUNCTION("""COMPUTED_VALUE"""),5.7252)</f>
        <v>5.7252000000000001</v>
      </c>
      <c r="O78" s="16">
        <f ca="1">IFERROR(__xludf.DUMMYFUNCTION("""COMPUTED_VALUE"""),0.7254)</f>
        <v>0.72540000000000004</v>
      </c>
      <c r="P78" s="14"/>
      <c r="Q78" s="14"/>
      <c r="R78" s="14"/>
      <c r="S78" s="14"/>
      <c r="T78" s="14"/>
      <c r="U78" s="14"/>
      <c r="V78" s="14"/>
      <c r="W78" s="14"/>
      <c r="X78" s="14"/>
    </row>
    <row r="79" spans="1:24" ht="12.5">
      <c r="A79" s="10" t="s">
        <v>38</v>
      </c>
      <c r="B79" s="11" t="s">
        <v>17</v>
      </c>
      <c r="C79" s="12">
        <v>1</v>
      </c>
      <c r="D79" s="12">
        <v>0.72619999999999996</v>
      </c>
      <c r="E79" s="12">
        <v>2.0000000000000001E-4</v>
      </c>
      <c r="F79" s="12">
        <v>5.4158999999999997</v>
      </c>
      <c r="G79" s="13">
        <v>0.72619999999999996</v>
      </c>
      <c r="H79" s="14"/>
      <c r="I79" s="17" t="str">
        <f ca="1">IFERROR(__xludf.DUMMYFUNCTION("""COMPUTED_VALUE"""),"Information Disclosure: Malware From Cloud Application")</f>
        <v>Information Disclosure: Malware From Cloud Application</v>
      </c>
      <c r="J79" s="14" t="str">
        <f ca="1">IFERROR(__xludf.DUMMYFUNCTION("""COMPUTED_VALUE"""),"User")</f>
        <v>User</v>
      </c>
      <c r="K79" s="14">
        <f ca="1">IFERROR(__xludf.DUMMYFUNCTION("""COMPUTED_VALUE"""),1)</f>
        <v>1</v>
      </c>
      <c r="L79" s="14">
        <f ca="1">IFERROR(__xludf.DUMMYFUNCTION("""COMPUTED_VALUE"""),0.72722)</f>
        <v>0.72721999999999998</v>
      </c>
      <c r="M79" s="14">
        <f ca="1">IFERROR(__xludf.DUMMYFUNCTION("""COMPUTED_VALUE"""),0.00001)</f>
        <v>1.0000000000000001E-5</v>
      </c>
      <c r="N79" s="14">
        <f ca="1">IFERROR(__xludf.DUMMYFUNCTION("""COMPUTED_VALUE"""),5.20165)</f>
        <v>5.2016499999999999</v>
      </c>
      <c r="O79" s="16">
        <f ca="1">IFERROR(__xludf.DUMMYFUNCTION("""COMPUTED_VALUE"""),0.72722)</f>
        <v>0.72721999999999998</v>
      </c>
      <c r="P79" s="14"/>
      <c r="Q79" s="14"/>
      <c r="R79" s="14"/>
      <c r="S79" s="14"/>
      <c r="T79" s="14"/>
      <c r="U79" s="14"/>
      <c r="V79" s="14"/>
      <c r="W79" s="14"/>
      <c r="X79" s="14"/>
    </row>
    <row r="80" spans="1:24" ht="12.5">
      <c r="A80" s="10" t="s">
        <v>38</v>
      </c>
      <c r="B80" s="11" t="s">
        <v>14</v>
      </c>
      <c r="C80" s="12">
        <v>1</v>
      </c>
      <c r="D80" s="12">
        <v>0.71</v>
      </c>
      <c r="E80" s="12">
        <v>4.0000000000000002E-4</v>
      </c>
      <c r="F80" s="12">
        <v>4.9135999999999997</v>
      </c>
      <c r="G80" s="13">
        <v>0.71</v>
      </c>
      <c r="H80" s="14"/>
      <c r="I80" s="17" t="str">
        <f ca="1">IFERROR(__xludf.DUMMYFUNCTION("""COMPUTED_VALUE"""),"Information Disclosure: Public Network Access To Cloud Application")</f>
        <v>Information Disclosure: Public Network Access To Cloud Application</v>
      </c>
      <c r="J80" s="14" t="str">
        <f ca="1">IFERROR(__xludf.DUMMYFUNCTION("""COMPUTED_VALUE"""),"User")</f>
        <v>User</v>
      </c>
      <c r="K80" s="14">
        <f ca="1">IFERROR(__xludf.DUMMYFUNCTION("""COMPUTED_VALUE"""),1)</f>
        <v>1</v>
      </c>
      <c r="L80" s="14">
        <f ca="1">IFERROR(__xludf.DUMMYFUNCTION("""COMPUTED_VALUE"""),0.73398)</f>
        <v>0.73397999999999997</v>
      </c>
      <c r="M80" s="14">
        <f ca="1">IFERROR(__xludf.DUMMYFUNCTION("""COMPUTED_VALUE"""),0.00002)</f>
        <v>2.0000000000000002E-5</v>
      </c>
      <c r="N80" s="14">
        <f ca="1">IFERROR(__xludf.DUMMYFUNCTION("""COMPUTED_VALUE"""),5.03697)</f>
        <v>5.0369700000000002</v>
      </c>
      <c r="O80" s="16">
        <f ca="1">IFERROR(__xludf.DUMMYFUNCTION("""COMPUTED_VALUE"""),0.73398)</f>
        <v>0.73397999999999997</v>
      </c>
      <c r="P80" s="14"/>
      <c r="Q80" s="14"/>
      <c r="R80" s="14"/>
      <c r="S80" s="14"/>
      <c r="T80" s="14"/>
      <c r="U80" s="14"/>
      <c r="V80" s="14"/>
      <c r="W80" s="14"/>
      <c r="X80" s="14"/>
    </row>
    <row r="81" spans="1:24" ht="12.5">
      <c r="A81" s="10" t="s">
        <v>38</v>
      </c>
      <c r="B81" s="11" t="s">
        <v>35</v>
      </c>
      <c r="C81" s="12">
        <v>1</v>
      </c>
      <c r="D81" s="12">
        <v>0.76400000000000001</v>
      </c>
      <c r="E81" s="12">
        <v>1E-4</v>
      </c>
      <c r="F81" s="12">
        <v>5.3929</v>
      </c>
      <c r="G81" s="13">
        <v>0.76400000000000001</v>
      </c>
      <c r="H81" s="14"/>
      <c r="I81" s="17" t="str">
        <f ca="1">IFERROR(__xludf.DUMMYFUNCTION("""COMPUTED_VALUE"""),"Information Disclosure: Sensitive Data Leakage")</f>
        <v>Information Disclosure: Sensitive Data Leakage</v>
      </c>
      <c r="J81" s="14" t="str">
        <f ca="1">IFERROR(__xludf.DUMMYFUNCTION("""COMPUTED_VALUE"""),"Database (RDS) - cg-rds")</f>
        <v>Database (RDS) - cg-rds</v>
      </c>
      <c r="K81" s="14">
        <f ca="1">IFERROR(__xludf.DUMMYFUNCTION("""COMPUTED_VALUE"""),1)</f>
        <v>1</v>
      </c>
      <c r="L81" s="14">
        <f ca="1">IFERROR(__xludf.DUMMYFUNCTION("""COMPUTED_VALUE"""),0.713566666666666)</f>
        <v>0.71356666666666602</v>
      </c>
      <c r="M81" s="14">
        <f ca="1">IFERROR(__xludf.DUMMYFUNCTION("""COMPUTED_VALUE"""),0.0000333333333333333)</f>
        <v>3.3333333333333301E-5</v>
      </c>
      <c r="N81" s="14">
        <f ca="1">IFERROR(__xludf.DUMMYFUNCTION("""COMPUTED_VALUE"""),5.23386666666666)</f>
        <v>5.2338666666666596</v>
      </c>
      <c r="O81" s="16">
        <f ca="1">IFERROR(__xludf.DUMMYFUNCTION("""COMPUTED_VALUE"""),0.713566666666666)</f>
        <v>0.71356666666666602</v>
      </c>
      <c r="P81" s="14"/>
      <c r="Q81" s="14"/>
      <c r="R81" s="14"/>
      <c r="S81" s="14"/>
      <c r="T81" s="14"/>
      <c r="U81" s="14"/>
      <c r="V81" s="14"/>
      <c r="W81" s="14"/>
      <c r="X81" s="14"/>
    </row>
    <row r="82" spans="1:24" ht="12.5">
      <c r="A82" s="10" t="s">
        <v>39</v>
      </c>
      <c r="B82" s="11" t="s">
        <v>14</v>
      </c>
      <c r="C82" s="12">
        <v>1</v>
      </c>
      <c r="D82" s="12">
        <v>0.7571</v>
      </c>
      <c r="E82" s="12">
        <v>1E-4</v>
      </c>
      <c r="F82" s="12">
        <v>5.0632000000000001</v>
      </c>
      <c r="G82" s="13">
        <v>0.7571</v>
      </c>
      <c r="H82" s="14"/>
      <c r="I82" s="17" t="str">
        <f ca="1">IFERROR(__xludf.DUMMYFUNCTION("""COMPUTED_VALUE"""),"Information Disclosure: Sensitive Data Leakage")</f>
        <v>Information Disclosure: Sensitive Data Leakage</v>
      </c>
      <c r="J82" s="14" t="str">
        <f ca="1">IFERROR(__xludf.DUMMYFUNCTION("""COMPUTED_VALUE"""),"FileStorage (S3) - cg-data-from-web")</f>
        <v>FileStorage (S3) - cg-data-from-web</v>
      </c>
      <c r="K82" s="14">
        <f ca="1">IFERROR(__xludf.DUMMYFUNCTION("""COMPUTED_VALUE"""),1)</f>
        <v>1</v>
      </c>
      <c r="L82" s="14">
        <f ca="1">IFERROR(__xludf.DUMMYFUNCTION("""COMPUTED_VALUE"""),0.754025)</f>
        <v>0.75402499999999995</v>
      </c>
      <c r="M82" s="14">
        <f ca="1">IFERROR(__xludf.DUMMYFUNCTION("""COMPUTED_VALUE"""),0.000025)</f>
        <v>2.5000000000000001E-5</v>
      </c>
      <c r="N82" s="14">
        <f ca="1">IFERROR(__xludf.DUMMYFUNCTION("""COMPUTED_VALUE"""),5.2596)</f>
        <v>5.2595999999999998</v>
      </c>
      <c r="O82" s="16">
        <f ca="1">IFERROR(__xludf.DUMMYFUNCTION("""COMPUTED_VALUE"""),0.754025)</f>
        <v>0.75402499999999995</v>
      </c>
      <c r="P82" s="14"/>
      <c r="Q82" s="14"/>
      <c r="R82" s="14"/>
      <c r="S82" s="14"/>
      <c r="T82" s="14"/>
      <c r="U82" s="14"/>
      <c r="V82" s="14"/>
      <c r="W82" s="14"/>
      <c r="X82" s="14"/>
    </row>
    <row r="83" spans="1:24" ht="12.5">
      <c r="A83" s="10" t="s">
        <v>39</v>
      </c>
      <c r="B83" s="11" t="s">
        <v>17</v>
      </c>
      <c r="C83" s="12">
        <v>1</v>
      </c>
      <c r="D83" s="12">
        <v>0.83099999999999996</v>
      </c>
      <c r="E83" s="12">
        <v>0</v>
      </c>
      <c r="F83" s="12">
        <v>5.2949999999999999</v>
      </c>
      <c r="G83" s="13">
        <v>0.83099999999999996</v>
      </c>
      <c r="H83" s="14"/>
      <c r="I83" s="17" t="str">
        <f ca="1">IFERROR(__xludf.DUMMYFUNCTION("""COMPUTED_VALUE"""),"Information Disclosure: Social Engineering Against Remote User")</f>
        <v>Information Disclosure: Social Engineering Against Remote User</v>
      </c>
      <c r="J83" s="14" t="str">
        <f ca="1">IFERROR(__xludf.DUMMYFUNCTION("""COMPUTED_VALUE"""),"User")</f>
        <v>User</v>
      </c>
      <c r="K83" s="14">
        <f ca="1">IFERROR(__xludf.DUMMYFUNCTION("""COMPUTED_VALUE"""),1)</f>
        <v>1</v>
      </c>
      <c r="L83" s="14">
        <f ca="1">IFERROR(__xludf.DUMMYFUNCTION("""COMPUTED_VALUE"""),0.73449)</f>
        <v>0.73448999999999998</v>
      </c>
      <c r="M83" s="14">
        <f ca="1">IFERROR(__xludf.DUMMYFUNCTION("""COMPUTED_VALUE"""),0.00004)</f>
        <v>4.0000000000000003E-5</v>
      </c>
      <c r="N83" s="14">
        <f ca="1">IFERROR(__xludf.DUMMYFUNCTION("""COMPUTED_VALUE"""),4.92708)</f>
        <v>4.9270800000000001</v>
      </c>
      <c r="O83" s="16">
        <f ca="1">IFERROR(__xludf.DUMMYFUNCTION("""COMPUTED_VALUE"""),0.73449)</f>
        <v>0.73448999999999998</v>
      </c>
      <c r="P83" s="14"/>
      <c r="Q83" s="14"/>
      <c r="R83" s="14"/>
      <c r="S83" s="14"/>
      <c r="T83" s="14"/>
      <c r="U83" s="14"/>
      <c r="V83" s="14"/>
      <c r="W83" s="14"/>
      <c r="X83" s="14"/>
    </row>
    <row r="84" spans="1:24" ht="12.5">
      <c r="A84" s="10" t="s">
        <v>39</v>
      </c>
      <c r="B84" s="11" t="s">
        <v>20</v>
      </c>
      <c r="C84" s="12">
        <v>1</v>
      </c>
      <c r="D84" s="12">
        <v>0.70489999999999997</v>
      </c>
      <c r="E84" s="12">
        <v>1E-4</v>
      </c>
      <c r="F84" s="12">
        <v>4.8838999999999997</v>
      </c>
      <c r="G84" s="13">
        <v>0.70489999999999997</v>
      </c>
      <c r="H84" s="14"/>
      <c r="I84" s="17" t="str">
        <f ca="1">IFERROR(__xludf.DUMMYFUNCTION("""COMPUTED_VALUE"""),"Other: Cloud Application Abuse")</f>
        <v>Other: Cloud Application Abuse</v>
      </c>
      <c r="J84" s="14" t="str">
        <f ca="1">IFERROR(__xludf.DUMMYFUNCTION("""COMPUTED_VALUE"""),"IAM (IAM) - cg-ec2-instance-profile")</f>
        <v>IAM (IAM) - cg-ec2-instance-profile</v>
      </c>
      <c r="K84" s="14">
        <f ca="1">IFERROR(__xludf.DUMMYFUNCTION("""COMPUTED_VALUE"""),1)</f>
        <v>1</v>
      </c>
      <c r="L84" s="14">
        <f ca="1">IFERROR(__xludf.DUMMYFUNCTION("""COMPUTED_VALUE"""),0.7738)</f>
        <v>0.77380000000000004</v>
      </c>
      <c r="M84" s="14">
        <f ca="1">IFERROR(__xludf.DUMMYFUNCTION("""COMPUTED_VALUE"""),0)</f>
        <v>0</v>
      </c>
      <c r="N84" s="14">
        <f ca="1">IFERROR(__xludf.DUMMYFUNCTION("""COMPUTED_VALUE"""),5.2814)</f>
        <v>5.2813999999999997</v>
      </c>
      <c r="O84" s="16">
        <f ca="1">IFERROR(__xludf.DUMMYFUNCTION("""COMPUTED_VALUE"""),0.7738)</f>
        <v>0.77380000000000004</v>
      </c>
      <c r="P84" s="14"/>
      <c r="Q84" s="14"/>
      <c r="R84" s="14"/>
      <c r="S84" s="14"/>
      <c r="T84" s="14"/>
      <c r="U84" s="14"/>
      <c r="V84" s="14"/>
      <c r="W84" s="14"/>
      <c r="X84" s="14"/>
    </row>
    <row r="85" spans="1:24" ht="12.5">
      <c r="A85" s="10" t="s">
        <v>39</v>
      </c>
      <c r="B85" s="11" t="s">
        <v>21</v>
      </c>
      <c r="C85" s="12">
        <v>1</v>
      </c>
      <c r="D85" s="12">
        <v>0.78139999999999998</v>
      </c>
      <c r="E85" s="12">
        <v>0</v>
      </c>
      <c r="F85" s="12">
        <v>4.4218999999999999</v>
      </c>
      <c r="G85" s="13">
        <v>0.78139999999999998</v>
      </c>
      <c r="H85" s="14"/>
      <c r="I85" s="17" t="str">
        <f ca="1">IFERROR(__xludf.DUMMYFUNCTION("""COMPUTED_VALUE"""),"Other: Cloud Application Abuse")</f>
        <v>Other: Cloud Application Abuse</v>
      </c>
      <c r="J85" s="14" t="str">
        <f ca="1">IFERROR(__xludf.DUMMYFUNCTION("""COMPUTED_VALUE"""),"IAM (IAM) - cg-glue-admin")</f>
        <v>IAM (IAM) - cg-glue-admin</v>
      </c>
      <c r="K85" s="14">
        <f ca="1">IFERROR(__xludf.DUMMYFUNCTION("""COMPUTED_VALUE"""),1)</f>
        <v>1</v>
      </c>
      <c r="L85" s="14">
        <f ca="1">IFERROR(__xludf.DUMMYFUNCTION("""COMPUTED_VALUE"""),0.7788)</f>
        <v>0.77880000000000005</v>
      </c>
      <c r="M85" s="14">
        <f ca="1">IFERROR(__xludf.DUMMYFUNCTION("""COMPUTED_VALUE"""),0)</f>
        <v>0</v>
      </c>
      <c r="N85" s="14">
        <f ca="1">IFERROR(__xludf.DUMMYFUNCTION("""COMPUTED_VALUE"""),4.8768)</f>
        <v>4.8768000000000002</v>
      </c>
      <c r="O85" s="16">
        <f ca="1">IFERROR(__xludf.DUMMYFUNCTION("""COMPUTED_VALUE"""),0.7788)</f>
        <v>0.77880000000000005</v>
      </c>
      <c r="P85" s="14"/>
      <c r="Q85" s="14"/>
      <c r="R85" s="14"/>
      <c r="S85" s="14"/>
      <c r="T85" s="14"/>
      <c r="U85" s="14"/>
      <c r="V85" s="14"/>
      <c r="W85" s="14"/>
      <c r="X85" s="14"/>
    </row>
    <row r="86" spans="1:24" ht="12.5">
      <c r="A86" s="10" t="s">
        <v>39</v>
      </c>
      <c r="B86" s="11" t="s">
        <v>22</v>
      </c>
      <c r="C86" s="12">
        <v>1</v>
      </c>
      <c r="D86" s="12">
        <v>0.76970000000000005</v>
      </c>
      <c r="E86" s="12">
        <v>1E-4</v>
      </c>
      <c r="F86" s="12">
        <v>4.8406000000000002</v>
      </c>
      <c r="G86" s="13">
        <v>0.76970000000000005</v>
      </c>
      <c r="H86" s="14"/>
      <c r="I86" s="17" t="str">
        <f ca="1">IFERROR(__xludf.DUMMYFUNCTION("""COMPUTED_VALUE"""),"Other: Cloud Application Abuse")</f>
        <v>Other: Cloud Application Abuse</v>
      </c>
      <c r="J86" s="14" t="str">
        <f ca="1">IFERROR(__xludf.DUMMYFUNCTION("""COMPUTED_VALUE"""),"IAM (IAM) - cg-run-app")</f>
        <v>IAM (IAM) - cg-run-app</v>
      </c>
      <c r="K86" s="14">
        <f ca="1">IFERROR(__xludf.DUMMYFUNCTION("""COMPUTED_VALUE"""),1)</f>
        <v>1</v>
      </c>
      <c r="L86" s="14">
        <f ca="1">IFERROR(__xludf.DUMMYFUNCTION("""COMPUTED_VALUE"""),0.7474)</f>
        <v>0.74739999999999995</v>
      </c>
      <c r="M86" s="14">
        <f ca="1">IFERROR(__xludf.DUMMYFUNCTION("""COMPUTED_VALUE"""),0.0001)</f>
        <v>1E-4</v>
      </c>
      <c r="N86" s="14">
        <f ca="1">IFERROR(__xludf.DUMMYFUNCTION("""COMPUTED_VALUE"""),4.7434)</f>
        <v>4.7434000000000003</v>
      </c>
      <c r="O86" s="16">
        <f ca="1">IFERROR(__xludf.DUMMYFUNCTION("""COMPUTED_VALUE"""),0.7474)</f>
        <v>0.74739999999999995</v>
      </c>
      <c r="P86" s="14"/>
      <c r="Q86" s="14"/>
      <c r="R86" s="14"/>
      <c r="S86" s="14"/>
      <c r="T86" s="14"/>
      <c r="U86" s="14"/>
      <c r="V86" s="14"/>
      <c r="W86" s="14"/>
      <c r="X86" s="14"/>
    </row>
    <row r="87" spans="1:24" ht="12.5">
      <c r="A87" s="10" t="s">
        <v>39</v>
      </c>
      <c r="B87" s="11" t="s">
        <v>17</v>
      </c>
      <c r="C87" s="12">
        <v>1</v>
      </c>
      <c r="D87" s="12">
        <v>0.78839999999999999</v>
      </c>
      <c r="E87" s="12">
        <v>0</v>
      </c>
      <c r="F87" s="12">
        <v>4.5739999999999998</v>
      </c>
      <c r="G87" s="13">
        <v>0.78839999999999999</v>
      </c>
      <c r="H87" s="14"/>
      <c r="I87" s="17" t="str">
        <f ca="1">IFERROR(__xludf.DUMMYFUNCTION("""COMPUTED_VALUE"""),"Other: Cloud Application Abuse")</f>
        <v>Other: Cloud Application Abuse</v>
      </c>
      <c r="J87" s="14" t="str">
        <f ca="1">IFERROR(__xludf.DUMMYFUNCTION("""COMPUTED_VALUE"""),"IAM (IAM) - glue_ETL_role")</f>
        <v>IAM (IAM) - glue_ETL_role</v>
      </c>
      <c r="K87" s="14">
        <f ca="1">IFERROR(__xludf.DUMMYFUNCTION("""COMPUTED_VALUE"""),1)</f>
        <v>1</v>
      </c>
      <c r="L87" s="14">
        <f ca="1">IFERROR(__xludf.DUMMYFUNCTION("""COMPUTED_VALUE"""),0.7011)</f>
        <v>0.70109999999999995</v>
      </c>
      <c r="M87" s="14">
        <f ca="1">IFERROR(__xludf.DUMMYFUNCTION("""COMPUTED_VALUE"""),0)</f>
        <v>0</v>
      </c>
      <c r="N87" s="14">
        <f ca="1">IFERROR(__xludf.DUMMYFUNCTION("""COMPUTED_VALUE"""),5.0315)</f>
        <v>5.0315000000000003</v>
      </c>
      <c r="O87" s="16">
        <f ca="1">IFERROR(__xludf.DUMMYFUNCTION("""COMPUTED_VALUE"""),0.7011)</f>
        <v>0.70109999999999995</v>
      </c>
      <c r="P87" s="14"/>
      <c r="Q87" s="14"/>
      <c r="R87" s="14"/>
      <c r="S87" s="14"/>
      <c r="T87" s="14"/>
      <c r="U87" s="14"/>
      <c r="V87" s="14"/>
      <c r="W87" s="14"/>
      <c r="X87" s="14"/>
    </row>
    <row r="88" spans="1:24" ht="12.5">
      <c r="A88" s="10" t="s">
        <v>39</v>
      </c>
      <c r="B88" s="11" t="s">
        <v>22</v>
      </c>
      <c r="C88" s="12">
        <v>1</v>
      </c>
      <c r="D88" s="12">
        <v>0.72809999999999997</v>
      </c>
      <c r="E88" s="12">
        <v>1E-4</v>
      </c>
      <c r="F88" s="12">
        <v>5.2194000000000003</v>
      </c>
      <c r="G88" s="13">
        <v>0.72809999999999997</v>
      </c>
      <c r="H88" s="14"/>
      <c r="I88" s="17" t="str">
        <f ca="1">IFERROR(__xludf.DUMMYFUNCTION("""COMPUTED_VALUE"""),"Other: Cloud Application Abuse")</f>
        <v>Other: Cloud Application Abuse</v>
      </c>
      <c r="J88" s="14" t="str">
        <f ca="1">IFERROR(__xludf.DUMMYFUNCTION("""COMPUTED_VALUE"""),"IAM (IAM) - s3_to_gluecatalog_lambda_role")</f>
        <v>IAM (IAM) - s3_to_gluecatalog_lambda_role</v>
      </c>
      <c r="K88" s="14">
        <f ca="1">IFERROR(__xludf.DUMMYFUNCTION("""COMPUTED_VALUE"""),1)</f>
        <v>1</v>
      </c>
      <c r="L88" s="14">
        <f ca="1">IFERROR(__xludf.DUMMYFUNCTION("""COMPUTED_VALUE"""),0.7428)</f>
        <v>0.74280000000000002</v>
      </c>
      <c r="M88" s="14">
        <f ca="1">IFERROR(__xludf.DUMMYFUNCTION("""COMPUTED_VALUE"""),0.0002)</f>
        <v>2.0000000000000001E-4</v>
      </c>
      <c r="N88" s="14">
        <f ca="1">IFERROR(__xludf.DUMMYFUNCTION("""COMPUTED_VALUE"""),5.2044)</f>
        <v>5.2043999999999997</v>
      </c>
      <c r="O88" s="16">
        <f ca="1">IFERROR(__xludf.DUMMYFUNCTION("""COMPUTED_VALUE"""),0.7428)</f>
        <v>0.74280000000000002</v>
      </c>
      <c r="P88" s="14"/>
      <c r="Q88" s="14"/>
      <c r="R88" s="14"/>
      <c r="S88" s="14"/>
      <c r="T88" s="14"/>
      <c r="U88" s="14"/>
      <c r="V88" s="14"/>
      <c r="W88" s="14"/>
      <c r="X88" s="14"/>
    </row>
    <row r="89" spans="1:24" ht="12.5">
      <c r="A89" s="10" t="s">
        <v>39</v>
      </c>
      <c r="B89" s="11" t="s">
        <v>22</v>
      </c>
      <c r="C89" s="12">
        <v>1</v>
      </c>
      <c r="D89" s="12">
        <v>0.77510000000000001</v>
      </c>
      <c r="E89" s="12">
        <v>0</v>
      </c>
      <c r="F89" s="12">
        <v>5.2435</v>
      </c>
      <c r="G89" s="13">
        <v>0.77510000000000001</v>
      </c>
      <c r="H89" s="14"/>
      <c r="I89" s="17" t="str">
        <f ca="1">IFERROR(__xludf.DUMMYFUNCTION("""COMPUTED_VALUE"""),"Other: Cloud Application Abuse")</f>
        <v>Other: Cloud Application Abuse</v>
      </c>
      <c r="J89" s="14" t="str">
        <f ca="1">IFERROR(__xludf.DUMMYFUNCTION("""COMPUTED_VALUE"""),"IAM (IAM) - ssm_parameter_role_policies")</f>
        <v>IAM (IAM) - ssm_parameter_role_policies</v>
      </c>
      <c r="K89" s="14">
        <f ca="1">IFERROR(__xludf.DUMMYFUNCTION("""COMPUTED_VALUE"""),1)</f>
        <v>1</v>
      </c>
      <c r="L89" s="14">
        <f ca="1">IFERROR(__xludf.DUMMYFUNCTION("""COMPUTED_VALUE"""),0.7677)</f>
        <v>0.76770000000000005</v>
      </c>
      <c r="M89" s="14">
        <f ca="1">IFERROR(__xludf.DUMMYFUNCTION("""COMPUTED_VALUE"""),0.0001)</f>
        <v>1E-4</v>
      </c>
      <c r="N89" s="14">
        <f ca="1">IFERROR(__xludf.DUMMYFUNCTION("""COMPUTED_VALUE"""),5.2097)</f>
        <v>5.2096999999999998</v>
      </c>
      <c r="O89" s="16">
        <f ca="1">IFERROR(__xludf.DUMMYFUNCTION("""COMPUTED_VALUE"""),0.7677)</f>
        <v>0.76770000000000005</v>
      </c>
      <c r="P89" s="14"/>
      <c r="Q89" s="14"/>
      <c r="R89" s="14"/>
      <c r="S89" s="14"/>
      <c r="T89" s="14"/>
      <c r="U89" s="14"/>
      <c r="V89" s="14"/>
      <c r="W89" s="14"/>
      <c r="X89" s="14"/>
    </row>
    <row r="90" spans="1:24" ht="12.5">
      <c r="A90" s="10" t="s">
        <v>40</v>
      </c>
      <c r="B90" s="11" t="s">
        <v>27</v>
      </c>
      <c r="C90" s="12">
        <v>1</v>
      </c>
      <c r="D90" s="12">
        <v>0.72509999999999997</v>
      </c>
      <c r="E90" s="12">
        <v>0</v>
      </c>
      <c r="F90" s="12">
        <v>4.9782000000000002</v>
      </c>
      <c r="G90" s="13">
        <v>0.72509999999999997</v>
      </c>
      <c r="H90" s="14"/>
      <c r="I90" s="17" t="str">
        <f ca="1">IFERROR(__xludf.DUMMYFUNCTION("""COMPUTED_VALUE"""),"Other: Cloud Application Abuse")</f>
        <v>Other: Cloud Application Abuse</v>
      </c>
      <c r="J90" s="14" t="str">
        <f ca="1">IFERROR(__xludf.DUMMYFUNCTION("""COMPUTED_VALUE"""),"ServerlessFunction (AwsLambda) - s3_to_gluecatalog")</f>
        <v>ServerlessFunction (AwsLambda) - s3_to_gluecatalog</v>
      </c>
      <c r="K90" s="14">
        <f ca="1">IFERROR(__xludf.DUMMYFUNCTION("""COMPUTED_VALUE"""),1)</f>
        <v>1</v>
      </c>
      <c r="L90" s="14">
        <f ca="1">IFERROR(__xludf.DUMMYFUNCTION("""COMPUTED_VALUE"""),0.7143)</f>
        <v>0.71430000000000005</v>
      </c>
      <c r="M90" s="14">
        <f ca="1">IFERROR(__xludf.DUMMYFUNCTION("""COMPUTED_VALUE"""),0.0001)</f>
        <v>1E-4</v>
      </c>
      <c r="N90" s="14">
        <f ca="1">IFERROR(__xludf.DUMMYFUNCTION("""COMPUTED_VALUE"""),4.6068)</f>
        <v>4.6067999999999998</v>
      </c>
      <c r="O90" s="16">
        <f ca="1">IFERROR(__xludf.DUMMYFUNCTION("""COMPUTED_VALUE"""),0.7143)</f>
        <v>0.71430000000000005</v>
      </c>
      <c r="P90" s="14"/>
      <c r="Q90" s="14"/>
      <c r="R90" s="14"/>
      <c r="S90" s="14"/>
      <c r="T90" s="14"/>
      <c r="U90" s="14"/>
      <c r="V90" s="14"/>
      <c r="W90" s="14"/>
      <c r="X90" s="14"/>
    </row>
    <row r="91" spans="1:24" ht="12.5">
      <c r="A91" s="10" t="s">
        <v>41</v>
      </c>
      <c r="B91" s="11" t="s">
        <v>30</v>
      </c>
      <c r="C91" s="12">
        <v>1</v>
      </c>
      <c r="D91" s="12">
        <v>0.74739999999999995</v>
      </c>
      <c r="E91" s="12">
        <v>1E-4</v>
      </c>
      <c r="F91" s="12">
        <v>4.7434000000000003</v>
      </c>
      <c r="G91" s="13">
        <v>0.74739999999999995</v>
      </c>
      <c r="H91" s="14"/>
      <c r="I91" s="17" t="str">
        <f ca="1">IFERROR(__xludf.DUMMYFUNCTION("""COMPUTED_VALUE"""),"Other: Cloud Application Abuse")</f>
        <v>Other: Cloud Application Abuse</v>
      </c>
      <c r="J91" s="14" t="str">
        <f ca="1">IFERROR(__xludf.DUMMYFUNCTION("""COMPUTED_VALUE"""),"VirtualFirewall (SecurityGroup) - cg-ec2-security-group")</f>
        <v>VirtualFirewall (SecurityGroup) - cg-ec2-security-group</v>
      </c>
      <c r="K91" s="14">
        <f ca="1">IFERROR(__xludf.DUMMYFUNCTION("""COMPUTED_VALUE"""),1)</f>
        <v>1</v>
      </c>
      <c r="L91" s="14">
        <f ca="1">IFERROR(__xludf.DUMMYFUNCTION("""COMPUTED_VALUE"""),0.7574)</f>
        <v>0.75739999999999996</v>
      </c>
      <c r="M91" s="14">
        <f ca="1">IFERROR(__xludf.DUMMYFUNCTION("""COMPUTED_VALUE"""),0.0001)</f>
        <v>1E-4</v>
      </c>
      <c r="N91" s="14">
        <f ca="1">IFERROR(__xludf.DUMMYFUNCTION("""COMPUTED_VALUE"""),4.9739)</f>
        <v>4.9739000000000004</v>
      </c>
      <c r="O91" s="16">
        <f ca="1">IFERROR(__xludf.DUMMYFUNCTION("""COMPUTED_VALUE"""),0.7574)</f>
        <v>0.75739999999999996</v>
      </c>
      <c r="P91" s="14"/>
      <c r="Q91" s="14"/>
      <c r="R91" s="14"/>
      <c r="S91" s="14"/>
      <c r="T91" s="14"/>
      <c r="U91" s="14"/>
      <c r="V91" s="14"/>
      <c r="W91" s="14"/>
      <c r="X91" s="14"/>
    </row>
    <row r="92" spans="1:24" ht="12.5">
      <c r="A92" s="10" t="s">
        <v>41</v>
      </c>
      <c r="B92" s="11" t="s">
        <v>21</v>
      </c>
      <c r="C92" s="12">
        <v>1</v>
      </c>
      <c r="D92" s="12">
        <v>0.69910000000000005</v>
      </c>
      <c r="E92" s="12">
        <v>1E-4</v>
      </c>
      <c r="F92" s="12">
        <v>5.1334</v>
      </c>
      <c r="G92" s="13">
        <v>0.69910000000000005</v>
      </c>
      <c r="H92" s="14"/>
      <c r="I92" s="17" t="str">
        <f ca="1">IFERROR(__xludf.DUMMYFUNCTION("""COMPUTED_VALUE"""),"Other: Cloud Application Abuse")</f>
        <v>Other: Cloud Application Abuse</v>
      </c>
      <c r="J92" s="14" t="str">
        <f ca="1">IFERROR(__xludf.DUMMYFUNCTION("""COMPUTED_VALUE"""),"VirtualFirewall (SecurityGroup) - cg-rds-glue-security-group")</f>
        <v>VirtualFirewall (SecurityGroup) - cg-rds-glue-security-group</v>
      </c>
      <c r="K92" s="14">
        <f ca="1">IFERROR(__xludf.DUMMYFUNCTION("""COMPUTED_VALUE"""),1)</f>
        <v>1</v>
      </c>
      <c r="L92" s="14">
        <f ca="1">IFERROR(__xludf.DUMMYFUNCTION("""COMPUTED_VALUE"""),0.6991)</f>
        <v>0.69910000000000005</v>
      </c>
      <c r="M92" s="14">
        <f ca="1">IFERROR(__xludf.DUMMYFUNCTION("""COMPUTED_VALUE"""),0.0001)</f>
        <v>1E-4</v>
      </c>
      <c r="N92" s="14">
        <f ca="1">IFERROR(__xludf.DUMMYFUNCTION("""COMPUTED_VALUE"""),5.1334)</f>
        <v>5.1334</v>
      </c>
      <c r="O92" s="16">
        <f ca="1">IFERROR(__xludf.DUMMYFUNCTION("""COMPUTED_VALUE"""),0.6991)</f>
        <v>0.69910000000000005</v>
      </c>
      <c r="P92" s="14"/>
      <c r="Q92" s="14"/>
      <c r="R92" s="14"/>
      <c r="S92" s="14"/>
      <c r="T92" s="14"/>
      <c r="U92" s="14"/>
      <c r="V92" s="14"/>
      <c r="W92" s="14"/>
      <c r="X92" s="14"/>
    </row>
    <row r="93" spans="1:24" ht="12.5">
      <c r="A93" s="10" t="s">
        <v>41</v>
      </c>
      <c r="B93" s="11" t="s">
        <v>31</v>
      </c>
      <c r="C93" s="12">
        <v>1</v>
      </c>
      <c r="D93" s="12">
        <v>0.77880000000000005</v>
      </c>
      <c r="E93" s="12">
        <v>0</v>
      </c>
      <c r="F93" s="12">
        <v>4.8768000000000002</v>
      </c>
      <c r="G93" s="13">
        <v>0.77880000000000005</v>
      </c>
      <c r="H93" s="14"/>
      <c r="I93" s="17" t="str">
        <f ca="1">IFERROR(__xludf.DUMMYFUNCTION("""COMPUTED_VALUE"""),"Other: Cloud Application Abuse")</f>
        <v>Other: Cloud Application Abuse</v>
      </c>
      <c r="J93" s="14" t="str">
        <f ca="1">IFERROR(__xludf.DUMMYFUNCTION("""COMPUTED_VALUE"""),"VirtualFirewall (SecurityGroup) - cg-rds-security-group")</f>
        <v>VirtualFirewall (SecurityGroup) - cg-rds-security-group</v>
      </c>
      <c r="K93" s="14">
        <f ca="1">IFERROR(__xludf.DUMMYFUNCTION("""COMPUTED_VALUE"""),1)</f>
        <v>1</v>
      </c>
      <c r="L93" s="14">
        <f ca="1">IFERROR(__xludf.DUMMYFUNCTION("""COMPUTED_VALUE"""),0.7444)</f>
        <v>0.74439999999999995</v>
      </c>
      <c r="M93" s="14">
        <f ca="1">IFERROR(__xludf.DUMMYFUNCTION("""COMPUTED_VALUE"""),0)</f>
        <v>0</v>
      </c>
      <c r="N93" s="14">
        <f ca="1">IFERROR(__xludf.DUMMYFUNCTION("""COMPUTED_VALUE"""),5.0361)</f>
        <v>5.0361000000000002</v>
      </c>
      <c r="O93" s="16">
        <f ca="1">IFERROR(__xludf.DUMMYFUNCTION("""COMPUTED_VALUE"""),0.7444)</f>
        <v>0.74439999999999995</v>
      </c>
      <c r="P93" s="14"/>
      <c r="Q93" s="14"/>
      <c r="R93" s="14"/>
      <c r="S93" s="14"/>
      <c r="T93" s="14"/>
      <c r="U93" s="14"/>
      <c r="V93" s="14"/>
      <c r="W93" s="14"/>
      <c r="X93" s="14"/>
    </row>
    <row r="94" spans="1:24" ht="12.5">
      <c r="A94" s="10" t="s">
        <v>41</v>
      </c>
      <c r="B94" s="11" t="s">
        <v>32</v>
      </c>
      <c r="C94" s="12">
        <v>1</v>
      </c>
      <c r="D94" s="12">
        <v>0.74439999999999995</v>
      </c>
      <c r="E94" s="12">
        <v>0</v>
      </c>
      <c r="F94" s="12">
        <v>5.0361000000000002</v>
      </c>
      <c r="G94" s="13">
        <v>0.74439999999999995</v>
      </c>
      <c r="H94" s="14"/>
      <c r="I94" s="17" t="str">
        <f ca="1">IFERROR(__xludf.DUMMYFUNCTION("""COMPUTED_VALUE"""),"Other: Network Attacks To Cloud Application")</f>
        <v>Other: Network Attacks To Cloud Application</v>
      </c>
      <c r="J94" s="14" t="str">
        <f ca="1">IFERROR(__xludf.DUMMYFUNCTION("""COMPUTED_VALUE"""),"IAM (IAM) - cg-ec2-instance-profile")</f>
        <v>IAM (IAM) - cg-ec2-instance-profile</v>
      </c>
      <c r="K94" s="14">
        <f ca="1">IFERROR(__xludf.DUMMYFUNCTION("""COMPUTED_VALUE"""),1)</f>
        <v>1</v>
      </c>
      <c r="L94" s="14">
        <f ca="1">IFERROR(__xludf.DUMMYFUNCTION("""COMPUTED_VALUE"""),0.7266)</f>
        <v>0.72660000000000002</v>
      </c>
      <c r="M94" s="14">
        <f ca="1">IFERROR(__xludf.DUMMYFUNCTION("""COMPUTED_VALUE"""),0)</f>
        <v>0</v>
      </c>
      <c r="N94" s="14">
        <f ca="1">IFERROR(__xludf.DUMMYFUNCTION("""COMPUTED_VALUE"""),5.1524)</f>
        <v>5.1524000000000001</v>
      </c>
      <c r="O94" s="16">
        <f ca="1">IFERROR(__xludf.DUMMYFUNCTION("""COMPUTED_VALUE"""),0.7266)</f>
        <v>0.72660000000000002</v>
      </c>
      <c r="P94" s="14"/>
      <c r="Q94" s="14"/>
      <c r="R94" s="14"/>
      <c r="S94" s="14"/>
      <c r="T94" s="14"/>
      <c r="U94" s="14"/>
      <c r="V94" s="14"/>
      <c r="W94" s="14"/>
      <c r="X94" s="14"/>
    </row>
    <row r="95" spans="1:24" ht="12.5">
      <c r="A95" s="10" t="s">
        <v>41</v>
      </c>
      <c r="B95" s="11" t="s">
        <v>33</v>
      </c>
      <c r="C95" s="12">
        <v>1</v>
      </c>
      <c r="D95" s="12">
        <v>0.77380000000000004</v>
      </c>
      <c r="E95" s="12">
        <v>0</v>
      </c>
      <c r="F95" s="12">
        <v>5.2813999999999997</v>
      </c>
      <c r="G95" s="13">
        <v>0.77380000000000004</v>
      </c>
      <c r="H95" s="14"/>
      <c r="I95" s="17" t="str">
        <f ca="1">IFERROR(__xludf.DUMMYFUNCTION("""COMPUTED_VALUE"""),"Other: Network Attacks To Cloud Application")</f>
        <v>Other: Network Attacks To Cloud Application</v>
      </c>
      <c r="J95" s="14" t="str">
        <f ca="1">IFERROR(__xludf.DUMMYFUNCTION("""COMPUTED_VALUE"""),"IAM (IAM) - cg-glue-admin")</f>
        <v>IAM (IAM) - cg-glue-admin</v>
      </c>
      <c r="K95" s="14">
        <f ca="1">IFERROR(__xludf.DUMMYFUNCTION("""COMPUTED_VALUE"""),1)</f>
        <v>1</v>
      </c>
      <c r="L95" s="14">
        <f ca="1">IFERROR(__xludf.DUMMYFUNCTION("""COMPUTED_VALUE"""),0.721)</f>
        <v>0.72099999999999997</v>
      </c>
      <c r="M95" s="14">
        <f ca="1">IFERROR(__xludf.DUMMYFUNCTION("""COMPUTED_VALUE"""),0)</f>
        <v>0</v>
      </c>
      <c r="N95" s="14">
        <f ca="1">IFERROR(__xludf.DUMMYFUNCTION("""COMPUTED_VALUE"""),4.6564)</f>
        <v>4.6563999999999997</v>
      </c>
      <c r="O95" s="16">
        <f ca="1">IFERROR(__xludf.DUMMYFUNCTION("""COMPUTED_VALUE"""),0.721)</f>
        <v>0.72099999999999997</v>
      </c>
      <c r="P95" s="14"/>
      <c r="Q95" s="14"/>
      <c r="R95" s="14"/>
      <c r="S95" s="14"/>
      <c r="T95" s="14"/>
      <c r="U95" s="14"/>
      <c r="V95" s="14"/>
      <c r="W95" s="14"/>
      <c r="X95" s="14"/>
    </row>
    <row r="96" spans="1:24" ht="12.5">
      <c r="A96" s="10" t="s">
        <v>41</v>
      </c>
      <c r="B96" s="11" t="s">
        <v>20</v>
      </c>
      <c r="C96" s="12">
        <v>1</v>
      </c>
      <c r="D96" s="12">
        <v>0.70109999999999995</v>
      </c>
      <c r="E96" s="12">
        <v>0</v>
      </c>
      <c r="F96" s="12">
        <v>5.0315000000000003</v>
      </c>
      <c r="G96" s="13">
        <v>0.70109999999999995</v>
      </c>
      <c r="H96" s="14"/>
      <c r="I96" s="17" t="str">
        <f ca="1">IFERROR(__xludf.DUMMYFUNCTION("""COMPUTED_VALUE"""),"Other: Network Attacks To Cloud Application")</f>
        <v>Other: Network Attacks To Cloud Application</v>
      </c>
      <c r="J96" s="14" t="str">
        <f ca="1">IFERROR(__xludf.DUMMYFUNCTION("""COMPUTED_VALUE"""),"IAM (IAM) - cg-run-app")</f>
        <v>IAM (IAM) - cg-run-app</v>
      </c>
      <c r="K96" s="14">
        <f ca="1">IFERROR(__xludf.DUMMYFUNCTION("""COMPUTED_VALUE"""),1)</f>
        <v>1</v>
      </c>
      <c r="L96" s="14">
        <f ca="1">IFERROR(__xludf.DUMMYFUNCTION("""COMPUTED_VALUE"""),0.7347)</f>
        <v>0.73470000000000002</v>
      </c>
      <c r="M96" s="14">
        <f ca="1">IFERROR(__xludf.DUMMYFUNCTION("""COMPUTED_VALUE"""),0)</f>
        <v>0</v>
      </c>
      <c r="N96" s="14">
        <f ca="1">IFERROR(__xludf.DUMMYFUNCTION("""COMPUTED_VALUE"""),5.1827)</f>
        <v>5.1826999999999996</v>
      </c>
      <c r="O96" s="16">
        <f ca="1">IFERROR(__xludf.DUMMYFUNCTION("""COMPUTED_VALUE"""),0.7347)</f>
        <v>0.73470000000000002</v>
      </c>
      <c r="P96" s="14"/>
      <c r="Q96" s="14"/>
      <c r="R96" s="14"/>
      <c r="S96" s="14"/>
      <c r="T96" s="14"/>
      <c r="U96" s="14"/>
      <c r="V96" s="14"/>
      <c r="W96" s="14"/>
      <c r="X96" s="14"/>
    </row>
    <row r="97" spans="1:24" ht="12.5">
      <c r="A97" s="10" t="s">
        <v>41</v>
      </c>
      <c r="B97" s="11" t="s">
        <v>34</v>
      </c>
      <c r="C97" s="12">
        <v>1</v>
      </c>
      <c r="D97" s="12">
        <v>0.76770000000000005</v>
      </c>
      <c r="E97" s="12">
        <v>1E-4</v>
      </c>
      <c r="F97" s="12">
        <v>5.2096999999999998</v>
      </c>
      <c r="G97" s="13">
        <v>0.76770000000000005</v>
      </c>
      <c r="H97" s="14"/>
      <c r="I97" s="17" t="str">
        <f ca="1">IFERROR(__xludf.DUMMYFUNCTION("""COMPUTED_VALUE"""),"Other: Network Attacks To Cloud Application")</f>
        <v>Other: Network Attacks To Cloud Application</v>
      </c>
      <c r="J97" s="14" t="str">
        <f ca="1">IFERROR(__xludf.DUMMYFUNCTION("""COMPUTED_VALUE"""),"IAM (IAM) - glue_ETL_role")</f>
        <v>IAM (IAM) - glue_ETL_role</v>
      </c>
      <c r="K97" s="14">
        <f ca="1">IFERROR(__xludf.DUMMYFUNCTION("""COMPUTED_VALUE"""),1)</f>
        <v>1</v>
      </c>
      <c r="L97" s="14">
        <f ca="1">IFERROR(__xludf.DUMMYFUNCTION("""COMPUTED_VALUE"""),0.7669)</f>
        <v>0.76690000000000003</v>
      </c>
      <c r="M97" s="14">
        <f ca="1">IFERROR(__xludf.DUMMYFUNCTION("""COMPUTED_VALUE"""),0)</f>
        <v>0</v>
      </c>
      <c r="N97" s="14">
        <f ca="1">IFERROR(__xludf.DUMMYFUNCTION("""COMPUTED_VALUE"""),4.9783)</f>
        <v>4.9782999999999999</v>
      </c>
      <c r="O97" s="16">
        <f ca="1">IFERROR(__xludf.DUMMYFUNCTION("""COMPUTED_VALUE"""),0.7669)</f>
        <v>0.76690000000000003</v>
      </c>
      <c r="P97" s="14"/>
      <c r="Q97" s="14"/>
      <c r="R97" s="14"/>
      <c r="S97" s="14"/>
      <c r="T97" s="14"/>
      <c r="U97" s="14"/>
      <c r="V97" s="14"/>
      <c r="W97" s="14"/>
      <c r="X97" s="14"/>
    </row>
    <row r="98" spans="1:24" ht="12.5">
      <c r="A98" s="10" t="s">
        <v>41</v>
      </c>
      <c r="B98" s="11" t="s">
        <v>17</v>
      </c>
      <c r="C98" s="12">
        <v>1</v>
      </c>
      <c r="D98" s="12">
        <v>0.71430000000000005</v>
      </c>
      <c r="E98" s="12">
        <v>1E-4</v>
      </c>
      <c r="F98" s="12">
        <v>4.6067999999999998</v>
      </c>
      <c r="G98" s="13">
        <v>0.71430000000000005</v>
      </c>
      <c r="H98" s="14"/>
      <c r="I98" s="17" t="str">
        <f ca="1">IFERROR(__xludf.DUMMYFUNCTION("""COMPUTED_VALUE"""),"Other: Network Attacks To Cloud Application")</f>
        <v>Other: Network Attacks To Cloud Application</v>
      </c>
      <c r="J98" s="14" t="str">
        <f ca="1">IFERROR(__xludf.DUMMYFUNCTION("""COMPUTED_VALUE"""),"IAM (IAM) - s3_to_gluecatalog_lambda_role")</f>
        <v>IAM (IAM) - s3_to_gluecatalog_lambda_role</v>
      </c>
      <c r="K98" s="14">
        <f ca="1">IFERROR(__xludf.DUMMYFUNCTION("""COMPUTED_VALUE"""),1)</f>
        <v>1</v>
      </c>
      <c r="L98" s="14">
        <f ca="1">IFERROR(__xludf.DUMMYFUNCTION("""COMPUTED_VALUE"""),0.7281)</f>
        <v>0.72809999999999997</v>
      </c>
      <c r="M98" s="14">
        <f ca="1">IFERROR(__xludf.DUMMYFUNCTION("""COMPUTED_VALUE"""),0)</f>
        <v>0</v>
      </c>
      <c r="N98" s="14">
        <f ca="1">IFERROR(__xludf.DUMMYFUNCTION("""COMPUTED_VALUE"""),4.7192)</f>
        <v>4.7191999999999998</v>
      </c>
      <c r="O98" s="16">
        <f ca="1">IFERROR(__xludf.DUMMYFUNCTION("""COMPUTED_VALUE"""),0.7281)</f>
        <v>0.72809999999999997</v>
      </c>
      <c r="P98" s="14"/>
      <c r="Q98" s="14"/>
      <c r="R98" s="14"/>
      <c r="S98" s="14"/>
      <c r="T98" s="14"/>
      <c r="U98" s="14"/>
      <c r="V98" s="14"/>
      <c r="W98" s="14"/>
      <c r="X98" s="14"/>
    </row>
    <row r="99" spans="1:24" ht="12.5">
      <c r="A99" s="10" t="s">
        <v>41</v>
      </c>
      <c r="B99" s="11" t="s">
        <v>14</v>
      </c>
      <c r="C99" s="12">
        <v>1</v>
      </c>
      <c r="D99" s="12">
        <v>0.74280000000000002</v>
      </c>
      <c r="E99" s="12">
        <v>2.0000000000000001E-4</v>
      </c>
      <c r="F99" s="12">
        <v>5.2043999999999997</v>
      </c>
      <c r="G99" s="13">
        <v>0.74280000000000002</v>
      </c>
      <c r="H99" s="14"/>
      <c r="I99" s="17" t="str">
        <f ca="1">IFERROR(__xludf.DUMMYFUNCTION("""COMPUTED_VALUE"""),"Other: Network Attacks To Cloud Application")</f>
        <v>Other: Network Attacks To Cloud Application</v>
      </c>
      <c r="J99" s="14" t="str">
        <f ca="1">IFERROR(__xludf.DUMMYFUNCTION("""COMPUTED_VALUE"""),"IAM (IAM) - ssm_parameter_role_policies")</f>
        <v>IAM (IAM) - ssm_parameter_role_policies</v>
      </c>
      <c r="K99" s="14">
        <f ca="1">IFERROR(__xludf.DUMMYFUNCTION("""COMPUTED_VALUE"""),1)</f>
        <v>1</v>
      </c>
      <c r="L99" s="14">
        <f ca="1">IFERROR(__xludf.DUMMYFUNCTION("""COMPUTED_VALUE"""),0.7678)</f>
        <v>0.76780000000000004</v>
      </c>
      <c r="M99" s="14">
        <f ca="1">IFERROR(__xludf.DUMMYFUNCTION("""COMPUTED_VALUE"""),0)</f>
        <v>0</v>
      </c>
      <c r="N99" s="14">
        <f ca="1">IFERROR(__xludf.DUMMYFUNCTION("""COMPUTED_VALUE"""),5.347)</f>
        <v>5.3470000000000004</v>
      </c>
      <c r="O99" s="16">
        <f ca="1">IFERROR(__xludf.DUMMYFUNCTION("""COMPUTED_VALUE"""),0.7678)</f>
        <v>0.76780000000000004</v>
      </c>
      <c r="P99" s="14"/>
      <c r="Q99" s="14"/>
      <c r="R99" s="14"/>
      <c r="S99" s="14"/>
      <c r="T99" s="14"/>
      <c r="U99" s="14"/>
      <c r="V99" s="14"/>
      <c r="W99" s="14"/>
      <c r="X99" s="14"/>
    </row>
    <row r="100" spans="1:24" ht="12.5">
      <c r="A100" s="10" t="s">
        <v>41</v>
      </c>
      <c r="B100" s="11" t="s">
        <v>35</v>
      </c>
      <c r="C100" s="12">
        <v>1</v>
      </c>
      <c r="D100" s="12">
        <v>0.75739999999999996</v>
      </c>
      <c r="E100" s="12">
        <v>1E-4</v>
      </c>
      <c r="F100" s="12">
        <v>4.9739000000000004</v>
      </c>
      <c r="G100" s="13">
        <v>0.75739999999999996</v>
      </c>
      <c r="H100" s="14"/>
      <c r="I100" s="17" t="str">
        <f ca="1">IFERROR(__xludf.DUMMYFUNCTION("""COMPUTED_VALUE"""),"Other: Network Attacks To Cloud Application")</f>
        <v>Other: Network Attacks To Cloud Application</v>
      </c>
      <c r="J100" s="14" t="str">
        <f ca="1">IFERROR(__xludf.DUMMYFUNCTION("""COMPUTED_VALUE"""),"ServerlessFunction (AwsLambda) - s3_to_gluecatalog")</f>
        <v>ServerlessFunction (AwsLambda) - s3_to_gluecatalog</v>
      </c>
      <c r="K100" s="14">
        <f ca="1">IFERROR(__xludf.DUMMYFUNCTION("""COMPUTED_VALUE"""),1)</f>
        <v>1</v>
      </c>
      <c r="L100" s="14">
        <f ca="1">IFERROR(__xludf.DUMMYFUNCTION("""COMPUTED_VALUE"""),0.7246)</f>
        <v>0.72460000000000002</v>
      </c>
      <c r="M100" s="14">
        <f ca="1">IFERROR(__xludf.DUMMYFUNCTION("""COMPUTED_VALUE"""),0.0001)</f>
        <v>1E-4</v>
      </c>
      <c r="N100" s="14">
        <f ca="1">IFERROR(__xludf.DUMMYFUNCTION("""COMPUTED_VALUE"""),5.5087)</f>
        <v>5.5087000000000002</v>
      </c>
      <c r="O100" s="16">
        <f ca="1">IFERROR(__xludf.DUMMYFUNCTION("""COMPUTED_VALUE"""),0.7246)</f>
        <v>0.72460000000000002</v>
      </c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1:24" ht="12.5">
      <c r="A101" s="10" t="s">
        <v>42</v>
      </c>
      <c r="B101" s="11" t="s">
        <v>14</v>
      </c>
      <c r="C101" s="12">
        <v>1</v>
      </c>
      <c r="D101" s="12">
        <v>0.7964</v>
      </c>
      <c r="E101" s="12">
        <v>1E-4</v>
      </c>
      <c r="F101" s="12">
        <v>5.5930999999999997</v>
      </c>
      <c r="G101" s="13">
        <v>0.7964</v>
      </c>
      <c r="H101" s="14"/>
      <c r="I101" s="17" t="str">
        <f ca="1">IFERROR(__xludf.DUMMYFUNCTION("""COMPUTED_VALUE"""),"Other: Network Attacks To Cloud Application")</f>
        <v>Other: Network Attacks To Cloud Application</v>
      </c>
      <c r="J101" s="14" t="str">
        <f ca="1">IFERROR(__xludf.DUMMYFUNCTION("""COMPUTED_VALUE"""),"VirtualFirewall (SecurityGroup) - cg-ec2-security-group")</f>
        <v>VirtualFirewall (SecurityGroup) - cg-ec2-security-group</v>
      </c>
      <c r="K101" s="14">
        <f ca="1">IFERROR(__xludf.DUMMYFUNCTION("""COMPUTED_VALUE"""),1)</f>
        <v>1</v>
      </c>
      <c r="L101" s="14">
        <f ca="1">IFERROR(__xludf.DUMMYFUNCTION("""COMPUTED_VALUE"""),0.7655)</f>
        <v>0.76549999999999996</v>
      </c>
      <c r="M101" s="14">
        <f ca="1">IFERROR(__xludf.DUMMYFUNCTION("""COMPUTED_VALUE"""),0.0001)</f>
        <v>1E-4</v>
      </c>
      <c r="N101" s="14">
        <f ca="1">IFERROR(__xludf.DUMMYFUNCTION("""COMPUTED_VALUE"""),5.4115)</f>
        <v>5.4115000000000002</v>
      </c>
      <c r="O101" s="16">
        <f ca="1">IFERROR(__xludf.DUMMYFUNCTION("""COMPUTED_VALUE"""),0.7655)</f>
        <v>0.76549999999999996</v>
      </c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1:24" ht="12.5">
      <c r="A102" s="10" t="s">
        <v>42</v>
      </c>
      <c r="B102" s="11" t="s">
        <v>17</v>
      </c>
      <c r="C102" s="12">
        <v>1</v>
      </c>
      <c r="D102" s="12">
        <v>0.74860000000000004</v>
      </c>
      <c r="E102" s="12">
        <v>0</v>
      </c>
      <c r="F102" s="12">
        <v>5.0541999999999998</v>
      </c>
      <c r="G102" s="13">
        <v>0.74860000000000004</v>
      </c>
      <c r="H102" s="14"/>
      <c r="I102" s="17" t="str">
        <f ca="1">IFERROR(__xludf.DUMMYFUNCTION("""COMPUTED_VALUE"""),"Other: Network Attacks To Cloud Application")</f>
        <v>Other: Network Attacks To Cloud Application</v>
      </c>
      <c r="J102" s="14" t="str">
        <f ca="1">IFERROR(__xludf.DUMMYFUNCTION("""COMPUTED_VALUE"""),"VirtualFirewall (SecurityGroup) - cg-rds-glue-security-group")</f>
        <v>VirtualFirewall (SecurityGroup) - cg-rds-glue-security-group</v>
      </c>
      <c r="K102" s="14">
        <f ca="1">IFERROR(__xludf.DUMMYFUNCTION("""COMPUTED_VALUE"""),1)</f>
        <v>1</v>
      </c>
      <c r="L102" s="14">
        <f ca="1">IFERROR(__xludf.DUMMYFUNCTION("""COMPUTED_VALUE"""),0.7233)</f>
        <v>0.72330000000000005</v>
      </c>
      <c r="M102" s="14">
        <f ca="1">IFERROR(__xludf.DUMMYFUNCTION("""COMPUTED_VALUE"""),0)</f>
        <v>0</v>
      </c>
      <c r="N102" s="14">
        <f ca="1">IFERROR(__xludf.DUMMYFUNCTION("""COMPUTED_VALUE"""),5.4825)</f>
        <v>5.4824999999999999</v>
      </c>
      <c r="O102" s="16">
        <f ca="1">IFERROR(__xludf.DUMMYFUNCTION("""COMPUTED_VALUE"""),0.7233)</f>
        <v>0.72330000000000005</v>
      </c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1:24" ht="12.5">
      <c r="A103" s="10" t="s">
        <v>42</v>
      </c>
      <c r="B103" s="11" t="s">
        <v>20</v>
      </c>
      <c r="C103" s="12">
        <v>1</v>
      </c>
      <c r="D103" s="12">
        <v>0.72670000000000001</v>
      </c>
      <c r="E103" s="12">
        <v>0</v>
      </c>
      <c r="F103" s="12">
        <v>5.8276000000000003</v>
      </c>
      <c r="G103" s="13">
        <v>0.72670000000000001</v>
      </c>
      <c r="H103" s="14"/>
      <c r="I103" s="17" t="str">
        <f ca="1">IFERROR(__xludf.DUMMYFUNCTION("""COMPUTED_VALUE"""),"Other: Network Attacks To Cloud Application")</f>
        <v>Other: Network Attacks To Cloud Application</v>
      </c>
      <c r="J103" s="14" t="str">
        <f ca="1">IFERROR(__xludf.DUMMYFUNCTION("""COMPUTED_VALUE"""),"VirtualFirewall (SecurityGroup) - cg-rds-security-group")</f>
        <v>VirtualFirewall (SecurityGroup) - cg-rds-security-group</v>
      </c>
      <c r="K103" s="14">
        <f ca="1">IFERROR(__xludf.DUMMYFUNCTION("""COMPUTED_VALUE"""),1)</f>
        <v>1</v>
      </c>
      <c r="L103" s="14">
        <f ca="1">IFERROR(__xludf.DUMMYFUNCTION("""COMPUTED_VALUE"""),0.7094)</f>
        <v>0.70940000000000003</v>
      </c>
      <c r="M103" s="14">
        <f ca="1">IFERROR(__xludf.DUMMYFUNCTION("""COMPUTED_VALUE"""),0.0001)</f>
        <v>1E-4</v>
      </c>
      <c r="N103" s="14">
        <f ca="1">IFERROR(__xludf.DUMMYFUNCTION("""COMPUTED_VALUE"""),4.5594)</f>
        <v>4.5594000000000001</v>
      </c>
      <c r="O103" s="16">
        <f ca="1">IFERROR(__xludf.DUMMYFUNCTION("""COMPUTED_VALUE"""),0.7094)</f>
        <v>0.70940000000000003</v>
      </c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1:24" ht="12.5">
      <c r="A104" s="10" t="s">
        <v>42</v>
      </c>
      <c r="B104" s="11" t="s">
        <v>21</v>
      </c>
      <c r="C104" s="12">
        <v>1</v>
      </c>
      <c r="D104" s="12">
        <v>0.78739999999999999</v>
      </c>
      <c r="E104" s="12">
        <v>0</v>
      </c>
      <c r="F104" s="12">
        <v>4.7042999999999999</v>
      </c>
      <c r="G104" s="13">
        <v>0.78739999999999999</v>
      </c>
      <c r="H104" s="14"/>
      <c r="I104" s="17" t="str">
        <f ca="1">IFERROR(__xludf.DUMMYFUNCTION("""COMPUTED_VALUE"""),"Repudiation: Attacking the Logs")</f>
        <v>Repudiation: Attacking the Logs</v>
      </c>
      <c r="J104" s="14" t="str">
        <f ca="1">IFERROR(__xludf.DUMMYFUNCTION("""COMPUTED_VALUE"""),"Database (RDS) - cg-rds")</f>
        <v>Database (RDS) - cg-rds</v>
      </c>
      <c r="K104" s="14">
        <f ca="1">IFERROR(__xludf.DUMMYFUNCTION("""COMPUTED_VALUE"""),1)</f>
        <v>1</v>
      </c>
      <c r="L104" s="14">
        <f ca="1">IFERROR(__xludf.DUMMYFUNCTION("""COMPUTED_VALUE"""),0.742833333333333)</f>
        <v>0.74283333333333301</v>
      </c>
      <c r="M104" s="14">
        <f ca="1">IFERROR(__xludf.DUMMYFUNCTION("""COMPUTED_VALUE"""),0.0000999999999999999)</f>
        <v>9.9999999999999896E-5</v>
      </c>
      <c r="N104" s="14">
        <f ca="1">IFERROR(__xludf.DUMMYFUNCTION("""COMPUTED_VALUE"""),4.76163333333333)</f>
        <v>4.7616333333333296</v>
      </c>
      <c r="O104" s="16">
        <f ca="1">IFERROR(__xludf.DUMMYFUNCTION("""COMPUTED_VALUE"""),0.742833333333333)</f>
        <v>0.74283333333333301</v>
      </c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1:24" ht="12.5">
      <c r="A105" s="10" t="s">
        <v>42</v>
      </c>
      <c r="B105" s="11" t="s">
        <v>22</v>
      </c>
      <c r="C105" s="12">
        <v>1</v>
      </c>
      <c r="D105" s="12">
        <v>0.73529999999999995</v>
      </c>
      <c r="E105" s="12">
        <v>1E-4</v>
      </c>
      <c r="F105" s="12">
        <v>5.0686999999999998</v>
      </c>
      <c r="G105" s="13">
        <v>0.73529999999999995</v>
      </c>
      <c r="H105" s="14"/>
      <c r="I105" s="17" t="str">
        <f ca="1">IFERROR(__xludf.DUMMYFUNCTION("""COMPUTED_VALUE"""),"Repudiation: Attacking the Logs")</f>
        <v>Repudiation: Attacking the Logs</v>
      </c>
      <c r="J105" s="14" t="str">
        <f ca="1">IFERROR(__xludf.DUMMYFUNCTION("""COMPUTED_VALUE"""),"FileStorage (S3) - cg-data-from-web")</f>
        <v>FileStorage (S3) - cg-data-from-web</v>
      </c>
      <c r="K105" s="14">
        <f ca="1">IFERROR(__xludf.DUMMYFUNCTION("""COMPUTED_VALUE"""),1)</f>
        <v>1</v>
      </c>
      <c r="L105" s="14">
        <f ca="1">IFERROR(__xludf.DUMMYFUNCTION("""COMPUTED_VALUE"""),0.734875)</f>
        <v>0.73487499999999994</v>
      </c>
      <c r="M105" s="14">
        <f ca="1">IFERROR(__xludf.DUMMYFUNCTION("""COMPUTED_VALUE"""),0)</f>
        <v>0</v>
      </c>
      <c r="N105" s="14">
        <f ca="1">IFERROR(__xludf.DUMMYFUNCTION("""COMPUTED_VALUE"""),4.994725)</f>
        <v>4.9947249999999999</v>
      </c>
      <c r="O105" s="16">
        <f ca="1">IFERROR(__xludf.DUMMYFUNCTION("""COMPUTED_VALUE"""),0.734875)</f>
        <v>0.73487499999999994</v>
      </c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1:24" ht="12.5">
      <c r="A106" s="10" t="s">
        <v>42</v>
      </c>
      <c r="B106" s="11" t="s">
        <v>17</v>
      </c>
      <c r="C106" s="12">
        <v>1</v>
      </c>
      <c r="D106" s="12">
        <v>0.74819999999999998</v>
      </c>
      <c r="E106" s="12">
        <v>0</v>
      </c>
      <c r="F106" s="12">
        <v>5.1363000000000003</v>
      </c>
      <c r="G106" s="13">
        <v>0.74819999999999998</v>
      </c>
      <c r="H106" s="14"/>
      <c r="I106" s="17" t="str">
        <f ca="1">IFERROR(__xludf.DUMMYFUNCTION("""COMPUTED_VALUE"""),"Repudiation: Logs Of Cloud Application Lost")</f>
        <v>Repudiation: Logs Of Cloud Application Lost</v>
      </c>
      <c r="J106" s="14" t="str">
        <f ca="1">IFERROR(__xludf.DUMMYFUNCTION("""COMPUTED_VALUE"""),"IAM (IAM) - glue_ETL_role")</f>
        <v>IAM (IAM) - glue_ETL_role</v>
      </c>
      <c r="K106" s="14">
        <f ca="1">IFERROR(__xludf.DUMMYFUNCTION("""COMPUTED_VALUE"""),1)</f>
        <v>1</v>
      </c>
      <c r="L106" s="14">
        <f ca="1">IFERROR(__xludf.DUMMYFUNCTION("""COMPUTED_VALUE"""),0.7022)</f>
        <v>0.70220000000000005</v>
      </c>
      <c r="M106" s="14">
        <f ca="1">IFERROR(__xludf.DUMMYFUNCTION("""COMPUTED_VALUE"""),0)</f>
        <v>0</v>
      </c>
      <c r="N106" s="14">
        <f ca="1">IFERROR(__xludf.DUMMYFUNCTION("""COMPUTED_VALUE"""),4.7944)</f>
        <v>4.7944000000000004</v>
      </c>
      <c r="O106" s="16">
        <f ca="1">IFERROR(__xludf.DUMMYFUNCTION("""COMPUTED_VALUE"""),0.7022)</f>
        <v>0.70220000000000005</v>
      </c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1:24" ht="12.5">
      <c r="A107" s="10" t="s">
        <v>42</v>
      </c>
      <c r="B107" s="11" t="s">
        <v>22</v>
      </c>
      <c r="C107" s="12">
        <v>1</v>
      </c>
      <c r="D107" s="12">
        <v>0.71699999999999997</v>
      </c>
      <c r="E107" s="12">
        <v>1E-4</v>
      </c>
      <c r="F107" s="12">
        <v>4.7272999999999996</v>
      </c>
      <c r="G107" s="13">
        <v>0.71699999999999997</v>
      </c>
      <c r="H107" s="14"/>
      <c r="I107" s="17" t="str">
        <f ca="1">IFERROR(__xludf.DUMMYFUNCTION("""COMPUTED_VALUE"""),"Repudiation: Logs Of Cloud Application Lost")</f>
        <v>Repudiation: Logs Of Cloud Application Lost</v>
      </c>
      <c r="J107" s="14" t="str">
        <f ca="1">IFERROR(__xludf.DUMMYFUNCTION("""COMPUTED_VALUE"""),"IAM (IAM) - s3_to_gluecatalog_lambda_role")</f>
        <v>IAM (IAM) - s3_to_gluecatalog_lambda_role</v>
      </c>
      <c r="K107" s="14">
        <f ca="1">IFERROR(__xludf.DUMMYFUNCTION("""COMPUTED_VALUE"""),1)</f>
        <v>1</v>
      </c>
      <c r="L107" s="14">
        <f ca="1">IFERROR(__xludf.DUMMYFUNCTION("""COMPUTED_VALUE"""),0.7037)</f>
        <v>0.70369999999999999</v>
      </c>
      <c r="M107" s="14">
        <f ca="1">IFERROR(__xludf.DUMMYFUNCTION("""COMPUTED_VALUE"""),0)</f>
        <v>0</v>
      </c>
      <c r="N107" s="14">
        <f ca="1">IFERROR(__xludf.DUMMYFUNCTION("""COMPUTED_VALUE"""),4.4192)</f>
        <v>4.4192</v>
      </c>
      <c r="O107" s="16">
        <f ca="1">IFERROR(__xludf.DUMMYFUNCTION("""COMPUTED_VALUE"""),0.7037)</f>
        <v>0.70369999999999999</v>
      </c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1:24" ht="12.5">
      <c r="A108" s="10" t="s">
        <v>42</v>
      </c>
      <c r="B108" s="11" t="s">
        <v>22</v>
      </c>
      <c r="C108" s="12">
        <v>1</v>
      </c>
      <c r="D108" s="12">
        <v>0.71760000000000002</v>
      </c>
      <c r="E108" s="12">
        <v>0</v>
      </c>
      <c r="F108" s="12">
        <v>4.6177000000000001</v>
      </c>
      <c r="G108" s="13">
        <v>0.71760000000000002</v>
      </c>
      <c r="H108" s="14"/>
      <c r="I108" s="17" t="str">
        <f ca="1">IFERROR(__xludf.DUMMYFUNCTION("""COMPUTED_VALUE"""),"Repudiation: Logs Of Cloud Application Lost")</f>
        <v>Repudiation: Logs Of Cloud Application Lost</v>
      </c>
      <c r="J108" s="14" t="str">
        <f ca="1">IFERROR(__xludf.DUMMYFUNCTION("""COMPUTED_VALUE"""),"ServerlessFunction (AwsLambda) - s3_to_gluecatalog")</f>
        <v>ServerlessFunction (AwsLambda) - s3_to_gluecatalog</v>
      </c>
      <c r="K108" s="14">
        <f ca="1">IFERROR(__xludf.DUMMYFUNCTION("""COMPUTED_VALUE"""),1)</f>
        <v>1</v>
      </c>
      <c r="L108" s="14">
        <f ca="1">IFERROR(__xludf.DUMMYFUNCTION("""COMPUTED_VALUE"""),0.7412)</f>
        <v>0.74119999999999997</v>
      </c>
      <c r="M108" s="14">
        <f ca="1">IFERROR(__xludf.DUMMYFUNCTION("""COMPUTED_VALUE"""),0.00015)</f>
        <v>1.4999999999999999E-4</v>
      </c>
      <c r="N108" s="14">
        <f ca="1">IFERROR(__xludf.DUMMYFUNCTION("""COMPUTED_VALUE"""),5.1564)</f>
        <v>5.1563999999999997</v>
      </c>
      <c r="O108" s="16">
        <f ca="1">IFERROR(__xludf.DUMMYFUNCTION("""COMPUTED_VALUE"""),0.7412)</f>
        <v>0.74119999999999997</v>
      </c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1:24" ht="12.5">
      <c r="A109" s="10" t="s">
        <v>43</v>
      </c>
      <c r="B109" s="11" t="s">
        <v>14</v>
      </c>
      <c r="C109" s="12">
        <v>1</v>
      </c>
      <c r="D109" s="12">
        <v>0.77070000000000005</v>
      </c>
      <c r="E109" s="12">
        <v>1E-4</v>
      </c>
      <c r="F109" s="12">
        <v>4.8181000000000003</v>
      </c>
      <c r="G109" s="13">
        <v>0.77070000000000005</v>
      </c>
      <c r="H109" s="14"/>
      <c r="I109" s="17" t="str">
        <f ca="1">IFERROR(__xludf.DUMMYFUNCTION("""COMPUTED_VALUE"""),"Repudiation: Logs Of Cloud Application Lost")</f>
        <v>Repudiation: Logs Of Cloud Application Lost</v>
      </c>
      <c r="J109" s="14" t="str">
        <f ca="1">IFERROR(__xludf.DUMMYFUNCTION("""COMPUTED_VALUE"""),"ServerlessOrchestration (GlueJob) - cg-glue-connection")</f>
        <v>ServerlessOrchestration (GlueJob) - cg-glue-connection</v>
      </c>
      <c r="K109" s="14">
        <f ca="1">IFERROR(__xludf.DUMMYFUNCTION("""COMPUTED_VALUE"""),1)</f>
        <v>1</v>
      </c>
      <c r="L109" s="14">
        <f ca="1">IFERROR(__xludf.DUMMYFUNCTION("""COMPUTED_VALUE"""),0.7441)</f>
        <v>0.74409999999999998</v>
      </c>
      <c r="M109" s="14">
        <f ca="1">IFERROR(__xludf.DUMMYFUNCTION("""COMPUTED_VALUE"""),0.000133333333333333)</f>
        <v>1.3333333333333299E-4</v>
      </c>
      <c r="N109" s="14">
        <f ca="1">IFERROR(__xludf.DUMMYFUNCTION("""COMPUTED_VALUE"""),4.95793333333333)</f>
        <v>4.9579333333333304</v>
      </c>
      <c r="O109" s="16">
        <f ca="1">IFERROR(__xludf.DUMMYFUNCTION("""COMPUTED_VALUE"""),0.7441)</f>
        <v>0.74409999999999998</v>
      </c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1:24" ht="12.5">
      <c r="A110" s="10" t="s">
        <v>43</v>
      </c>
      <c r="B110" s="11" t="s">
        <v>17</v>
      </c>
      <c r="C110" s="12">
        <v>1</v>
      </c>
      <c r="D110" s="12">
        <v>0.69940000000000002</v>
      </c>
      <c r="E110" s="12">
        <v>0</v>
      </c>
      <c r="F110" s="12">
        <v>5.1776</v>
      </c>
      <c r="G110" s="13">
        <v>0.69940000000000002</v>
      </c>
      <c r="H110" s="14"/>
      <c r="I110" s="17" t="str">
        <f ca="1">IFERROR(__xludf.DUMMYFUNCTION("""COMPUTED_VALUE"""),"Repudiation: Logs Of Cloud Application Lost")</f>
        <v>Repudiation: Logs Of Cloud Application Lost</v>
      </c>
      <c r="J110" s="14" t="str">
        <f ca="1">IFERROR(__xludf.DUMMYFUNCTION("""COMPUTED_VALUE"""),"VirtualFirewall (SecurityGroup) - cg-rds-glue-security-group")</f>
        <v>VirtualFirewall (SecurityGroup) - cg-rds-glue-security-group</v>
      </c>
      <c r="K110" s="14">
        <f ca="1">IFERROR(__xludf.DUMMYFUNCTION("""COMPUTED_VALUE"""),1)</f>
        <v>1</v>
      </c>
      <c r="L110" s="14">
        <f ca="1">IFERROR(__xludf.DUMMYFUNCTION("""COMPUTED_VALUE"""),0.6825)</f>
        <v>0.6825</v>
      </c>
      <c r="M110" s="14">
        <f ca="1">IFERROR(__xludf.DUMMYFUNCTION("""COMPUTED_VALUE"""),0)</f>
        <v>0</v>
      </c>
      <c r="N110" s="14">
        <f ca="1">IFERROR(__xludf.DUMMYFUNCTION("""COMPUTED_VALUE"""),4.9324)</f>
        <v>4.9324000000000003</v>
      </c>
      <c r="O110" s="16">
        <f ca="1">IFERROR(__xludf.DUMMYFUNCTION("""COMPUTED_VALUE"""),0.6825)</f>
        <v>0.6825</v>
      </c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1:24" ht="12.5">
      <c r="A111" s="10" t="s">
        <v>43</v>
      </c>
      <c r="B111" s="11" t="s">
        <v>20</v>
      </c>
      <c r="C111" s="12">
        <v>1</v>
      </c>
      <c r="D111" s="12">
        <v>0.78220000000000001</v>
      </c>
      <c r="E111" s="12">
        <v>0</v>
      </c>
      <c r="F111" s="12">
        <v>4.7728000000000002</v>
      </c>
      <c r="G111" s="13">
        <v>0.78220000000000001</v>
      </c>
      <c r="H111" s="14"/>
      <c r="I111" s="17" t="str">
        <f ca="1">IFERROR(__xludf.DUMMYFUNCTION("""COMPUTED_VALUE"""),"Spoofing: Broken Authentication")</f>
        <v>Spoofing: Broken Authentication</v>
      </c>
      <c r="J111" s="14" t="str">
        <f ca="1">IFERROR(__xludf.DUMMYFUNCTION("""COMPUTED_VALUE"""),"IAM (IAM) - glue_ETL_role")</f>
        <v>IAM (IAM) - glue_ETL_role</v>
      </c>
      <c r="K111" s="14">
        <f ca="1">IFERROR(__xludf.DUMMYFUNCTION("""COMPUTED_VALUE"""),1)</f>
        <v>1</v>
      </c>
      <c r="L111" s="14">
        <f ca="1">IFERROR(__xludf.DUMMYFUNCTION("""COMPUTED_VALUE"""),0.7162)</f>
        <v>0.71619999999999995</v>
      </c>
      <c r="M111" s="14">
        <f ca="1">IFERROR(__xludf.DUMMYFUNCTION("""COMPUTED_VALUE"""),0.0001)</f>
        <v>1E-4</v>
      </c>
      <c r="N111" s="14">
        <f ca="1">IFERROR(__xludf.DUMMYFUNCTION("""COMPUTED_VALUE"""),5.4689)</f>
        <v>5.4688999999999997</v>
      </c>
      <c r="O111" s="16">
        <f ca="1">IFERROR(__xludf.DUMMYFUNCTION("""COMPUTED_VALUE"""),0.7162)</f>
        <v>0.71619999999999995</v>
      </c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1:24" ht="12.5">
      <c r="A112" s="10" t="s">
        <v>43</v>
      </c>
      <c r="B112" s="11" t="s">
        <v>21</v>
      </c>
      <c r="C112" s="12">
        <v>1</v>
      </c>
      <c r="D112" s="12">
        <v>0.74919999999999998</v>
      </c>
      <c r="E112" s="12">
        <v>0</v>
      </c>
      <c r="F112" s="12">
        <v>5.9904000000000002</v>
      </c>
      <c r="G112" s="13">
        <v>0.74919999999999998</v>
      </c>
      <c r="H112" s="14"/>
      <c r="I112" s="17" t="str">
        <f ca="1">IFERROR(__xludf.DUMMYFUNCTION("""COMPUTED_VALUE"""),"Spoofing: Broken Authentication")</f>
        <v>Spoofing: Broken Authentication</v>
      </c>
      <c r="J112" s="14" t="str">
        <f ca="1">IFERROR(__xludf.DUMMYFUNCTION("""COMPUTED_VALUE"""),"IAM (IAM) - s3_to_gluecatalog_lambda_role")</f>
        <v>IAM (IAM) - s3_to_gluecatalog_lambda_role</v>
      </c>
      <c r="K112" s="14">
        <f ca="1">IFERROR(__xludf.DUMMYFUNCTION("""COMPUTED_VALUE"""),1)</f>
        <v>1</v>
      </c>
      <c r="L112" s="14">
        <f ca="1">IFERROR(__xludf.DUMMYFUNCTION("""COMPUTED_VALUE"""),0.7393)</f>
        <v>0.73929999999999996</v>
      </c>
      <c r="M112" s="14">
        <f ca="1">IFERROR(__xludf.DUMMYFUNCTION("""COMPUTED_VALUE"""),0)</f>
        <v>0</v>
      </c>
      <c r="N112" s="14">
        <f ca="1">IFERROR(__xludf.DUMMYFUNCTION("""COMPUTED_VALUE"""),4.9675)</f>
        <v>4.9675000000000002</v>
      </c>
      <c r="O112" s="16">
        <f ca="1">IFERROR(__xludf.DUMMYFUNCTION("""COMPUTED_VALUE"""),0.7393)</f>
        <v>0.73929999999999996</v>
      </c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1:24" ht="12.5">
      <c r="A113" s="10" t="s">
        <v>43</v>
      </c>
      <c r="B113" s="11" t="s">
        <v>22</v>
      </c>
      <c r="C113" s="12">
        <v>1</v>
      </c>
      <c r="D113" s="12">
        <v>0.76390000000000002</v>
      </c>
      <c r="E113" s="12">
        <v>0</v>
      </c>
      <c r="F113" s="12">
        <v>5.1673999999999998</v>
      </c>
      <c r="G113" s="13">
        <v>0.76390000000000002</v>
      </c>
      <c r="H113" s="14"/>
      <c r="I113" s="17" t="str">
        <f ca="1">IFERROR(__xludf.DUMMYFUNCTION("""COMPUTED_VALUE"""),"Spoofing: Broken Authentication")</f>
        <v>Spoofing: Broken Authentication</v>
      </c>
      <c r="J113" s="14" t="str">
        <f ca="1">IFERROR(__xludf.DUMMYFUNCTION("""COMPUTED_VALUE"""),"ServerlessFunction (AwsLambda) - s3_to_gluecatalog")</f>
        <v>ServerlessFunction (AwsLambda) - s3_to_gluecatalog</v>
      </c>
      <c r="K113" s="14">
        <f ca="1">IFERROR(__xludf.DUMMYFUNCTION("""COMPUTED_VALUE"""),1)</f>
        <v>1</v>
      </c>
      <c r="L113" s="14">
        <f ca="1">IFERROR(__xludf.DUMMYFUNCTION("""COMPUTED_VALUE"""),0.7551)</f>
        <v>0.75509999999999999</v>
      </c>
      <c r="M113" s="14">
        <f ca="1">IFERROR(__xludf.DUMMYFUNCTION("""COMPUTED_VALUE"""),0)</f>
        <v>0</v>
      </c>
      <c r="N113" s="14">
        <f ca="1">IFERROR(__xludf.DUMMYFUNCTION("""COMPUTED_VALUE"""),5.08955)</f>
        <v>5.08955</v>
      </c>
      <c r="O113" s="16">
        <f ca="1">IFERROR(__xludf.DUMMYFUNCTION("""COMPUTED_VALUE"""),0.7551)</f>
        <v>0.75509999999999999</v>
      </c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1:24" ht="12.5">
      <c r="A114" s="10" t="s">
        <v>43</v>
      </c>
      <c r="B114" s="11" t="s">
        <v>22</v>
      </c>
      <c r="C114" s="12">
        <v>1</v>
      </c>
      <c r="D114" s="12">
        <v>0.7379</v>
      </c>
      <c r="E114" s="12">
        <v>0</v>
      </c>
      <c r="F114" s="12">
        <v>5.2903000000000002</v>
      </c>
      <c r="G114" s="13">
        <v>0.7379</v>
      </c>
      <c r="H114" s="14"/>
      <c r="I114" s="17" t="str">
        <f ca="1">IFERROR(__xludf.DUMMYFUNCTION("""COMPUTED_VALUE"""),"Spoofing: Broken Authentication")</f>
        <v>Spoofing: Broken Authentication</v>
      </c>
      <c r="J114" s="14" t="str">
        <f ca="1">IFERROR(__xludf.DUMMYFUNCTION("""COMPUTED_VALUE"""),"ServerlessOrchestration (GlueJob) - cg-glue-connection")</f>
        <v>ServerlessOrchestration (GlueJob) - cg-glue-connection</v>
      </c>
      <c r="K114" s="14">
        <f ca="1">IFERROR(__xludf.DUMMYFUNCTION("""COMPUTED_VALUE"""),1)</f>
        <v>1</v>
      </c>
      <c r="L114" s="14">
        <f ca="1">IFERROR(__xludf.DUMMYFUNCTION("""COMPUTED_VALUE"""),0.733899999999999)</f>
        <v>0.733899999999999</v>
      </c>
      <c r="M114" s="14">
        <f ca="1">IFERROR(__xludf.DUMMYFUNCTION("""COMPUTED_VALUE"""),0.0000333333333333333)</f>
        <v>3.3333333333333301E-5</v>
      </c>
      <c r="N114" s="14">
        <f ca="1">IFERROR(__xludf.DUMMYFUNCTION("""COMPUTED_VALUE"""),4.51606666666666)</f>
        <v>4.51606666666666</v>
      </c>
      <c r="O114" s="16">
        <f ca="1">IFERROR(__xludf.DUMMYFUNCTION("""COMPUTED_VALUE"""),0.733899999999999)</f>
        <v>0.733899999999999</v>
      </c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1:24" ht="12.5">
      <c r="A115" s="10" t="s">
        <v>43</v>
      </c>
      <c r="B115" s="11" t="s">
        <v>17</v>
      </c>
      <c r="C115" s="12">
        <v>1</v>
      </c>
      <c r="D115" s="12">
        <v>0.73609999999999998</v>
      </c>
      <c r="E115" s="12">
        <v>0</v>
      </c>
      <c r="F115" s="12">
        <v>5.1859999999999999</v>
      </c>
      <c r="G115" s="13">
        <v>0.73609999999999998</v>
      </c>
      <c r="H115" s="14"/>
      <c r="I115" s="17" t="str">
        <f ca="1">IFERROR(__xludf.DUMMYFUNCTION("""COMPUTED_VALUE"""),"Spoofing: Broken Authentication")</f>
        <v>Spoofing: Broken Authentication</v>
      </c>
      <c r="J115" s="14" t="str">
        <f ca="1">IFERROR(__xludf.DUMMYFUNCTION("""COMPUTED_VALUE"""),"VirtualFirewall (SecurityGroup) - cg-rds-glue-security-group")</f>
        <v>VirtualFirewall (SecurityGroup) - cg-rds-glue-security-group</v>
      </c>
      <c r="K115" s="14">
        <f ca="1">IFERROR(__xludf.DUMMYFUNCTION("""COMPUTED_VALUE"""),1)</f>
        <v>1</v>
      </c>
      <c r="L115" s="14">
        <f ca="1">IFERROR(__xludf.DUMMYFUNCTION("""COMPUTED_VALUE"""),0.7191)</f>
        <v>0.71909999999999996</v>
      </c>
      <c r="M115" s="14">
        <f ca="1">IFERROR(__xludf.DUMMYFUNCTION("""COMPUTED_VALUE"""),0)</f>
        <v>0</v>
      </c>
      <c r="N115" s="14">
        <f ca="1">IFERROR(__xludf.DUMMYFUNCTION("""COMPUTED_VALUE"""),5.1169)</f>
        <v>5.1169000000000002</v>
      </c>
      <c r="O115" s="16">
        <f ca="1">IFERROR(__xludf.DUMMYFUNCTION("""COMPUTED_VALUE"""),0.7191)</f>
        <v>0.71909999999999996</v>
      </c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1:24" ht="12.5">
      <c r="A116" s="10" t="s">
        <v>43</v>
      </c>
      <c r="B116" s="11" t="s">
        <v>22</v>
      </c>
      <c r="C116" s="12">
        <v>1</v>
      </c>
      <c r="D116" s="12">
        <v>0.76770000000000005</v>
      </c>
      <c r="E116" s="12">
        <v>0</v>
      </c>
      <c r="F116" s="12">
        <v>4.4981</v>
      </c>
      <c r="G116" s="13">
        <v>0.76770000000000005</v>
      </c>
      <c r="H116" s="14"/>
      <c r="I116" s="17" t="str">
        <f ca="1">IFERROR(__xludf.DUMMYFUNCTION("""COMPUTED_VALUE"""),"Spoofing: Social Engineering Against Remote User")</f>
        <v>Spoofing: Social Engineering Against Remote User</v>
      </c>
      <c r="J116" s="14" t="str">
        <f ca="1">IFERROR(__xludf.DUMMYFUNCTION("""COMPUTED_VALUE"""),"User")</f>
        <v>User</v>
      </c>
      <c r="K116" s="14">
        <f ca="1">IFERROR(__xludf.DUMMYFUNCTION("""COMPUTED_VALUE"""),1)</f>
        <v>1</v>
      </c>
      <c r="L116" s="14">
        <f ca="1">IFERROR(__xludf.DUMMYFUNCTION("""COMPUTED_VALUE"""),0.73104)</f>
        <v>0.73104000000000002</v>
      </c>
      <c r="M116" s="14">
        <f ca="1">IFERROR(__xludf.DUMMYFUNCTION("""COMPUTED_VALUE"""),0.00003)</f>
        <v>3.0000000000000001E-5</v>
      </c>
      <c r="N116" s="14">
        <f ca="1">IFERROR(__xludf.DUMMYFUNCTION("""COMPUTED_VALUE"""),5.12273999999999)</f>
        <v>5.1227399999999896</v>
      </c>
      <c r="O116" s="16">
        <f ca="1">IFERROR(__xludf.DUMMYFUNCTION("""COMPUTED_VALUE"""),0.73104)</f>
        <v>0.73104000000000002</v>
      </c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1:24" ht="12.5">
      <c r="A117" s="10" t="s">
        <v>44</v>
      </c>
      <c r="B117" s="11" t="s">
        <v>26</v>
      </c>
      <c r="C117" s="12">
        <v>1</v>
      </c>
      <c r="D117" s="12">
        <v>0.72689999999999999</v>
      </c>
      <c r="E117" s="12">
        <v>0</v>
      </c>
      <c r="F117" s="12">
        <v>4.7671000000000001</v>
      </c>
      <c r="G117" s="13">
        <v>0.72689999999999999</v>
      </c>
      <c r="H117" s="14"/>
      <c r="I117" s="17" t="str">
        <f ca="1">IFERROR(__xludf.DUMMYFUNCTION("""COMPUTED_VALUE"""),"Tampering: Data Loss By Cloud Application")</f>
        <v>Tampering: Data Loss By Cloud Application</v>
      </c>
      <c r="J117" s="14" t="str">
        <f ca="1">IFERROR(__xludf.DUMMYFUNCTION("""COMPUTED_VALUE"""),"IAM (IAM) - glue_ETL_role")</f>
        <v>IAM (IAM) - glue_ETL_role</v>
      </c>
      <c r="K117" s="14">
        <f ca="1">IFERROR(__xludf.DUMMYFUNCTION("""COMPUTED_VALUE"""),1)</f>
        <v>1</v>
      </c>
      <c r="L117" s="14">
        <f ca="1">IFERROR(__xludf.DUMMYFUNCTION("""COMPUTED_VALUE"""),0.7267)</f>
        <v>0.72670000000000001</v>
      </c>
      <c r="M117" s="14">
        <f ca="1">IFERROR(__xludf.DUMMYFUNCTION("""COMPUTED_VALUE"""),0)</f>
        <v>0</v>
      </c>
      <c r="N117" s="14">
        <f ca="1">IFERROR(__xludf.DUMMYFUNCTION("""COMPUTED_VALUE"""),5.8276)</f>
        <v>5.8276000000000003</v>
      </c>
      <c r="O117" s="16">
        <f ca="1">IFERROR(__xludf.DUMMYFUNCTION("""COMPUTED_VALUE"""),0.7267)</f>
        <v>0.72670000000000001</v>
      </c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1:24" ht="12.5">
      <c r="A118" s="10" t="s">
        <v>44</v>
      </c>
      <c r="B118" s="11" t="s">
        <v>27</v>
      </c>
      <c r="C118" s="12">
        <v>1</v>
      </c>
      <c r="D118" s="12">
        <v>0.72789999999999999</v>
      </c>
      <c r="E118" s="12">
        <v>0</v>
      </c>
      <c r="F118" s="12">
        <v>5.9283999999999999</v>
      </c>
      <c r="G118" s="13">
        <v>0.72789999999999999</v>
      </c>
      <c r="H118" s="14"/>
      <c r="I118" s="17" t="str">
        <f ca="1">IFERROR(__xludf.DUMMYFUNCTION("""COMPUTED_VALUE"""),"Tampering: Data Loss By Cloud Application")</f>
        <v>Tampering: Data Loss By Cloud Application</v>
      </c>
      <c r="J118" s="14" t="str">
        <f ca="1">IFERROR(__xludf.DUMMYFUNCTION("""COMPUTED_VALUE"""),"IAM (IAM) - s3_to_gluecatalog_lambda_role")</f>
        <v>IAM (IAM) - s3_to_gluecatalog_lambda_role</v>
      </c>
      <c r="K118" s="14">
        <f ca="1">IFERROR(__xludf.DUMMYFUNCTION("""COMPUTED_VALUE"""),1)</f>
        <v>1</v>
      </c>
      <c r="L118" s="14">
        <f ca="1">IFERROR(__xludf.DUMMYFUNCTION("""COMPUTED_VALUE"""),0.7964)</f>
        <v>0.7964</v>
      </c>
      <c r="M118" s="14">
        <f ca="1">IFERROR(__xludf.DUMMYFUNCTION("""COMPUTED_VALUE"""),0.0001)</f>
        <v>1E-4</v>
      </c>
      <c r="N118" s="14">
        <f ca="1">IFERROR(__xludf.DUMMYFUNCTION("""COMPUTED_VALUE"""),5.5931)</f>
        <v>5.5930999999999997</v>
      </c>
      <c r="O118" s="16">
        <f ca="1">IFERROR(__xludf.DUMMYFUNCTION("""COMPUTED_VALUE"""),0.7964)</f>
        <v>0.7964</v>
      </c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1:24" ht="12.5">
      <c r="A119" s="10" t="s">
        <v>44</v>
      </c>
      <c r="B119" s="11" t="s">
        <v>27</v>
      </c>
      <c r="C119" s="12">
        <v>1</v>
      </c>
      <c r="D119" s="12">
        <v>0.74139999999999995</v>
      </c>
      <c r="E119" s="12">
        <v>2.0000000000000001E-4</v>
      </c>
      <c r="F119" s="12">
        <v>5.2991000000000001</v>
      </c>
      <c r="G119" s="13">
        <v>0.74139999999999995</v>
      </c>
      <c r="H119" s="14"/>
      <c r="I119" s="17" t="str">
        <f ca="1">IFERROR(__xludf.DUMMYFUNCTION("""COMPUTED_VALUE"""),"Tampering: Data Loss By Cloud Application")</f>
        <v>Tampering: Data Loss By Cloud Application</v>
      </c>
      <c r="J119" s="14" t="str">
        <f ca="1">IFERROR(__xludf.DUMMYFUNCTION("""COMPUTED_VALUE"""),"ServerlessFunction (AwsLambda) - s3_to_gluecatalog")</f>
        <v>ServerlessFunction (AwsLambda) - s3_to_gluecatalog</v>
      </c>
      <c r="K119" s="14">
        <f ca="1">IFERROR(__xludf.DUMMYFUNCTION("""COMPUTED_VALUE"""),1)</f>
        <v>1</v>
      </c>
      <c r="L119" s="14">
        <f ca="1">IFERROR(__xludf.DUMMYFUNCTION("""COMPUTED_VALUE"""),0.7484)</f>
        <v>0.74839999999999995</v>
      </c>
      <c r="M119" s="14">
        <f ca="1">IFERROR(__xludf.DUMMYFUNCTION("""COMPUTED_VALUE"""),0)</f>
        <v>0</v>
      </c>
      <c r="N119" s="14">
        <f ca="1">IFERROR(__xludf.DUMMYFUNCTION("""COMPUTED_VALUE"""),5.09525)</f>
        <v>5.0952500000000001</v>
      </c>
      <c r="O119" s="16">
        <f ca="1">IFERROR(__xludf.DUMMYFUNCTION("""COMPUTED_VALUE"""),0.7484)</f>
        <v>0.74839999999999995</v>
      </c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1:24" ht="12.5">
      <c r="A120" s="10" t="s">
        <v>44</v>
      </c>
      <c r="B120" s="11" t="s">
        <v>27</v>
      </c>
      <c r="C120" s="12">
        <v>1</v>
      </c>
      <c r="D120" s="12">
        <v>0.74129999999999996</v>
      </c>
      <c r="E120" s="12">
        <v>1E-4</v>
      </c>
      <c r="F120" s="12">
        <v>5.0671999999999997</v>
      </c>
      <c r="G120" s="13">
        <v>0.74129999999999996</v>
      </c>
      <c r="H120" s="14"/>
      <c r="I120" s="17" t="str">
        <f ca="1">IFERROR(__xludf.DUMMYFUNCTION("""COMPUTED_VALUE"""),"Tampering: Data Loss By Cloud Application")</f>
        <v>Tampering: Data Loss By Cloud Application</v>
      </c>
      <c r="J120" s="14" t="str">
        <f ca="1">IFERROR(__xludf.DUMMYFUNCTION("""COMPUTED_VALUE"""),"ServerlessOrchestration (GlueJob) - cg-glue-connection")</f>
        <v>ServerlessOrchestration (GlueJob) - cg-glue-connection</v>
      </c>
      <c r="K120" s="14">
        <f ca="1">IFERROR(__xludf.DUMMYFUNCTION("""COMPUTED_VALUE"""),1)</f>
        <v>1</v>
      </c>
      <c r="L120" s="14">
        <f ca="1">IFERROR(__xludf.DUMMYFUNCTION("""COMPUTED_VALUE"""),0.7233)</f>
        <v>0.72330000000000005</v>
      </c>
      <c r="M120" s="14">
        <f ca="1">IFERROR(__xludf.DUMMYFUNCTION("""COMPUTED_VALUE"""),0.0000666666666666666)</f>
        <v>6.6666666666666602E-5</v>
      </c>
      <c r="N120" s="14">
        <f ca="1">IFERROR(__xludf.DUMMYFUNCTION("""COMPUTED_VALUE"""),4.80456666666666)</f>
        <v>4.80456666666666</v>
      </c>
      <c r="O120" s="16">
        <f ca="1">IFERROR(__xludf.DUMMYFUNCTION("""COMPUTED_VALUE"""),0.7233)</f>
        <v>0.72330000000000005</v>
      </c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1:24" ht="12.5">
      <c r="A121" s="10" t="s">
        <v>44</v>
      </c>
      <c r="B121" s="11" t="s">
        <v>26</v>
      </c>
      <c r="C121" s="12">
        <v>1</v>
      </c>
      <c r="D121" s="12">
        <v>0.74039999999999995</v>
      </c>
      <c r="E121" s="12">
        <v>0</v>
      </c>
      <c r="F121" s="12">
        <v>5.657</v>
      </c>
      <c r="G121" s="13">
        <v>0.74039999999999995</v>
      </c>
      <c r="H121" s="14"/>
      <c r="I121" s="17" t="str">
        <f ca="1">IFERROR(__xludf.DUMMYFUNCTION("""COMPUTED_VALUE"""),"Tampering: Data Loss By Cloud Application")</f>
        <v>Tampering: Data Loss By Cloud Application</v>
      </c>
      <c r="J121" s="14" t="str">
        <f ca="1">IFERROR(__xludf.DUMMYFUNCTION("""COMPUTED_VALUE"""),"VirtualFirewall (SecurityGroup) - cg-rds-glue-security-group")</f>
        <v>VirtualFirewall (SecurityGroup) - cg-rds-glue-security-group</v>
      </c>
      <c r="K121" s="14">
        <f ca="1">IFERROR(__xludf.DUMMYFUNCTION("""COMPUTED_VALUE"""),1)</f>
        <v>1</v>
      </c>
      <c r="L121" s="14">
        <f ca="1">IFERROR(__xludf.DUMMYFUNCTION("""COMPUTED_VALUE"""),0.7874)</f>
        <v>0.78739999999999999</v>
      </c>
      <c r="M121" s="14">
        <f ca="1">IFERROR(__xludf.DUMMYFUNCTION("""COMPUTED_VALUE"""),0)</f>
        <v>0</v>
      </c>
      <c r="N121" s="14">
        <f ca="1">IFERROR(__xludf.DUMMYFUNCTION("""COMPUTED_VALUE"""),4.7043)</f>
        <v>4.7042999999999999</v>
      </c>
      <c r="O121" s="16">
        <f ca="1">IFERROR(__xludf.DUMMYFUNCTION("""COMPUTED_VALUE"""),0.7874)</f>
        <v>0.78739999999999999</v>
      </c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1:24" ht="12.5">
      <c r="A122" s="10" t="s">
        <v>44</v>
      </c>
      <c r="B122" s="11" t="s">
        <v>26</v>
      </c>
      <c r="C122" s="12">
        <v>1</v>
      </c>
      <c r="D122" s="12">
        <v>0.75919999999999999</v>
      </c>
      <c r="E122" s="12">
        <v>0</v>
      </c>
      <c r="F122" s="12">
        <v>4.8505000000000003</v>
      </c>
      <c r="G122" s="13">
        <v>0.75919999999999999</v>
      </c>
      <c r="H122" s="14"/>
      <c r="I122" s="17" t="str">
        <f ca="1">IFERROR(__xludf.DUMMYFUNCTION("""COMPUTED_VALUE"""),"Tampering: Malware From Cloud Application")</f>
        <v>Tampering: Malware From Cloud Application</v>
      </c>
      <c r="J122" s="14" t="str">
        <f ca="1">IFERROR(__xludf.DUMMYFUNCTION("""COMPUTED_VALUE"""),"User")</f>
        <v>User</v>
      </c>
      <c r="K122" s="14">
        <f ca="1">IFERROR(__xludf.DUMMYFUNCTION("""COMPUTED_VALUE"""),1)</f>
        <v>1</v>
      </c>
      <c r="L122" s="14">
        <f ca="1">IFERROR(__xludf.DUMMYFUNCTION("""COMPUTED_VALUE"""),0.73578)</f>
        <v>0.73577999999999999</v>
      </c>
      <c r="M122" s="14">
        <f ca="1">IFERROR(__xludf.DUMMYFUNCTION("""COMPUTED_VALUE"""),0.00004)</f>
        <v>4.0000000000000003E-5</v>
      </c>
      <c r="N122" s="14">
        <f ca="1">IFERROR(__xludf.DUMMYFUNCTION("""COMPUTED_VALUE"""),4.76948999999999)</f>
        <v>4.7694899999999896</v>
      </c>
      <c r="O122" s="16">
        <f ca="1">IFERROR(__xludf.DUMMYFUNCTION("""COMPUTED_VALUE"""),0.73578)</f>
        <v>0.73577999999999999</v>
      </c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1:24" ht="12.5">
      <c r="A123" s="10" t="s">
        <v>44</v>
      </c>
      <c r="B123" s="11" t="s">
        <v>27</v>
      </c>
      <c r="C123" s="12">
        <v>1</v>
      </c>
      <c r="D123" s="12">
        <v>0.7389</v>
      </c>
      <c r="E123" s="12">
        <v>1E-4</v>
      </c>
      <c r="F123" s="12">
        <v>4.7384000000000004</v>
      </c>
      <c r="G123" s="13">
        <v>0.7389</v>
      </c>
      <c r="H123" s="14"/>
      <c r="I123" s="17" t="str">
        <f ca="1">IFERROR(__xludf.DUMMYFUNCTION("""COMPUTED_VALUE"""),"Tampering: Public Network Access To Cloud Application")</f>
        <v>Tampering: Public Network Access To Cloud Application</v>
      </c>
      <c r="J123" s="14" t="str">
        <f ca="1">IFERROR(__xludf.DUMMYFUNCTION("""COMPUTED_VALUE"""),"User")</f>
        <v>User</v>
      </c>
      <c r="K123" s="14">
        <f ca="1">IFERROR(__xludf.DUMMYFUNCTION("""COMPUTED_VALUE"""),1)</f>
        <v>1</v>
      </c>
      <c r="L123" s="14">
        <f ca="1">IFERROR(__xludf.DUMMYFUNCTION("""COMPUTED_VALUE"""),0.73108)</f>
        <v>0.73107999999999995</v>
      </c>
      <c r="M123" s="14">
        <f ca="1">IFERROR(__xludf.DUMMYFUNCTION("""COMPUTED_VALUE"""),0.0001)</f>
        <v>1E-4</v>
      </c>
      <c r="N123" s="14">
        <f ca="1">IFERROR(__xludf.DUMMYFUNCTION("""COMPUTED_VALUE"""),4.87161999999999)</f>
        <v>4.8716199999999903</v>
      </c>
      <c r="O123" s="16">
        <f ca="1">IFERROR(__xludf.DUMMYFUNCTION("""COMPUTED_VALUE"""),0.73108)</f>
        <v>0.73107999999999995</v>
      </c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1:24" ht="12.5">
      <c r="A124" s="10" t="s">
        <v>45</v>
      </c>
      <c r="B124" s="11" t="s">
        <v>14</v>
      </c>
      <c r="C124" s="12">
        <v>1</v>
      </c>
      <c r="D124" s="12">
        <v>0.73929999999999996</v>
      </c>
      <c r="E124" s="12">
        <v>0</v>
      </c>
      <c r="F124" s="12">
        <v>4.9675000000000002</v>
      </c>
      <c r="G124" s="13">
        <v>0.73929999999999996</v>
      </c>
      <c r="H124" s="14"/>
      <c r="I124" s="17" t="str">
        <f ca="1">IFERROR(__xludf.DUMMYFUNCTION("""COMPUTED_VALUE"""),"Tampering: Unauthorized Modification of the Data Stores")</f>
        <v>Tampering: Unauthorized Modification of the Data Stores</v>
      </c>
      <c r="J124" s="14" t="str">
        <f ca="1">IFERROR(__xludf.DUMMYFUNCTION("""COMPUTED_VALUE"""),"Database (RDS) - cg-rds")</f>
        <v>Database (RDS) - cg-rds</v>
      </c>
      <c r="K124" s="14">
        <f ca="1">IFERROR(__xludf.DUMMYFUNCTION("""COMPUTED_VALUE"""),1)</f>
        <v>1</v>
      </c>
      <c r="L124" s="14">
        <f ca="1">IFERROR(__xludf.DUMMYFUNCTION("""COMPUTED_VALUE"""),0.716933333333333)</f>
        <v>0.71693333333333298</v>
      </c>
      <c r="M124" s="14">
        <f ca="1">IFERROR(__xludf.DUMMYFUNCTION("""COMPUTED_VALUE"""),0.0000666666666666666)</f>
        <v>6.6666666666666602E-5</v>
      </c>
      <c r="N124" s="14">
        <f ca="1">IFERROR(__xludf.DUMMYFUNCTION("""COMPUTED_VALUE"""),4.72746666666666)</f>
        <v>4.7274666666666603</v>
      </c>
      <c r="O124" s="16">
        <f ca="1">IFERROR(__xludf.DUMMYFUNCTION("""COMPUTED_VALUE"""),0.716933333333333)</f>
        <v>0.71693333333333298</v>
      </c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ht="12.5">
      <c r="A125" s="10" t="s">
        <v>45</v>
      </c>
      <c r="B125" s="11" t="s">
        <v>17</v>
      </c>
      <c r="C125" s="12">
        <v>1</v>
      </c>
      <c r="D125" s="12">
        <v>0.76200000000000001</v>
      </c>
      <c r="E125" s="12">
        <v>0</v>
      </c>
      <c r="F125" s="12">
        <v>5.4779</v>
      </c>
      <c r="G125" s="13">
        <v>0.76200000000000001</v>
      </c>
      <c r="H125" s="14"/>
      <c r="I125" s="19" t="str">
        <f ca="1">IFERROR(__xludf.DUMMYFUNCTION("""COMPUTED_VALUE"""),"Tampering: Unauthorized Modification of the Data Stores")</f>
        <v>Tampering: Unauthorized Modification of the Data Stores</v>
      </c>
      <c r="J125" s="20" t="str">
        <f ca="1">IFERROR(__xludf.DUMMYFUNCTION("""COMPUTED_VALUE"""),"FileStorage (S3) - cg-data-from-web")</f>
        <v>FileStorage (S3) - cg-data-from-web</v>
      </c>
      <c r="K125" s="20">
        <f ca="1">IFERROR(__xludf.DUMMYFUNCTION("""COMPUTED_VALUE"""),1)</f>
        <v>1</v>
      </c>
      <c r="L125" s="20">
        <f ca="1">IFERROR(__xludf.DUMMYFUNCTION("""COMPUTED_VALUE"""),0.732024999999999)</f>
        <v>0.73202499999999904</v>
      </c>
      <c r="M125" s="20">
        <f ca="1">IFERROR(__xludf.DUMMYFUNCTION("""COMPUTED_VALUE"""),0.00005)</f>
        <v>5.0000000000000002E-5</v>
      </c>
      <c r="N125" s="20">
        <f ca="1">IFERROR(__xludf.DUMMYFUNCTION("""COMPUTED_VALUE"""),4.94842499999999)</f>
        <v>4.9484249999999896</v>
      </c>
      <c r="O125" s="21">
        <f ca="1">IFERROR(__xludf.DUMMYFUNCTION("""COMPUTED_VALUE"""),0.732024999999999)</f>
        <v>0.73202499999999904</v>
      </c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ht="12.5">
      <c r="A126" s="10" t="s">
        <v>45</v>
      </c>
      <c r="B126" s="11" t="s">
        <v>20</v>
      </c>
      <c r="C126" s="12">
        <v>1</v>
      </c>
      <c r="D126" s="12">
        <v>0.71619999999999995</v>
      </c>
      <c r="E126" s="12">
        <v>1E-4</v>
      </c>
      <c r="F126" s="12">
        <v>5.4688999999999997</v>
      </c>
      <c r="G126" s="13">
        <v>0.71619999999999995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ht="12.5">
      <c r="A127" s="10" t="s">
        <v>45</v>
      </c>
      <c r="B127" s="11" t="s">
        <v>21</v>
      </c>
      <c r="C127" s="12">
        <v>1</v>
      </c>
      <c r="D127" s="12">
        <v>0.71909999999999996</v>
      </c>
      <c r="E127" s="12">
        <v>0</v>
      </c>
      <c r="F127" s="12">
        <v>5.1169000000000002</v>
      </c>
      <c r="G127" s="13">
        <v>0.71909999999999996</v>
      </c>
      <c r="H127" s="14"/>
      <c r="I127" s="14" t="str">
        <f ca="1">"TOTAL: " &amp; TEXT(COUNTA($I$2:$I$125),"0")</f>
        <v>TOTAL: 124</v>
      </c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ht="12.5">
      <c r="A128" s="10" t="s">
        <v>45</v>
      </c>
      <c r="B128" s="11" t="s">
        <v>22</v>
      </c>
      <c r="C128" s="12">
        <v>1</v>
      </c>
      <c r="D128" s="12">
        <v>0.73440000000000005</v>
      </c>
      <c r="E128" s="12">
        <v>0</v>
      </c>
      <c r="F128" s="12">
        <v>4.3979999999999997</v>
      </c>
      <c r="G128" s="13">
        <v>0.73440000000000005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4" ht="12.5">
      <c r="A129" s="10" t="s">
        <v>45</v>
      </c>
      <c r="B129" s="11" t="s">
        <v>17</v>
      </c>
      <c r="C129" s="12">
        <v>1</v>
      </c>
      <c r="D129" s="12">
        <v>0.74819999999999998</v>
      </c>
      <c r="E129" s="12">
        <v>0</v>
      </c>
      <c r="F129" s="12">
        <v>4.7012</v>
      </c>
      <c r="G129" s="13">
        <v>0.74819999999999998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1:24" ht="12.5">
      <c r="A130" s="10" t="s">
        <v>45</v>
      </c>
      <c r="B130" s="11" t="s">
        <v>22</v>
      </c>
      <c r="C130" s="12">
        <v>1</v>
      </c>
      <c r="D130" s="12">
        <v>0.76129999999999998</v>
      </c>
      <c r="E130" s="12">
        <v>0</v>
      </c>
      <c r="F130" s="12">
        <v>4.8760000000000003</v>
      </c>
      <c r="G130" s="13">
        <v>0.76129999999999998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1:24" ht="12.5">
      <c r="A131" s="10" t="s">
        <v>45</v>
      </c>
      <c r="B131" s="11" t="s">
        <v>22</v>
      </c>
      <c r="C131" s="12">
        <v>1</v>
      </c>
      <c r="D131" s="12">
        <v>0.70599999999999996</v>
      </c>
      <c r="E131" s="12">
        <v>1E-4</v>
      </c>
      <c r="F131" s="12">
        <v>4.2742000000000004</v>
      </c>
      <c r="G131" s="13">
        <v>0.70599999999999996</v>
      </c>
      <c r="H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1:24" ht="12.5">
      <c r="A132" s="10" t="s">
        <v>46</v>
      </c>
      <c r="B132" s="11" t="s">
        <v>30</v>
      </c>
      <c r="C132" s="12">
        <v>1</v>
      </c>
      <c r="D132" s="12">
        <v>0.73470000000000002</v>
      </c>
      <c r="E132" s="12">
        <v>0</v>
      </c>
      <c r="F132" s="12">
        <v>5.1826999999999996</v>
      </c>
      <c r="G132" s="13">
        <v>0.73470000000000002</v>
      </c>
      <c r="H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1:24" ht="12.5">
      <c r="A133" s="10" t="s">
        <v>46</v>
      </c>
      <c r="B133" s="11" t="s">
        <v>20</v>
      </c>
      <c r="C133" s="12">
        <v>1</v>
      </c>
      <c r="D133" s="12">
        <v>0.76690000000000003</v>
      </c>
      <c r="E133" s="12">
        <v>0</v>
      </c>
      <c r="F133" s="12">
        <v>4.9782999999999999</v>
      </c>
      <c r="G133" s="13">
        <v>0.76690000000000003</v>
      </c>
      <c r="H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1:24" ht="12.5">
      <c r="A134" s="10" t="s">
        <v>46</v>
      </c>
      <c r="B134" s="11" t="s">
        <v>31</v>
      </c>
      <c r="C134" s="12">
        <v>1</v>
      </c>
      <c r="D134" s="12">
        <v>0.72099999999999997</v>
      </c>
      <c r="E134" s="12">
        <v>0</v>
      </c>
      <c r="F134" s="12">
        <v>4.6563999999999997</v>
      </c>
      <c r="G134" s="13">
        <v>0.72099999999999997</v>
      </c>
      <c r="H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1:24" ht="12.5">
      <c r="A135" s="10" t="s">
        <v>46</v>
      </c>
      <c r="B135" s="11" t="s">
        <v>32</v>
      </c>
      <c r="C135" s="12">
        <v>1</v>
      </c>
      <c r="D135" s="12">
        <v>0.70940000000000003</v>
      </c>
      <c r="E135" s="12">
        <v>1E-4</v>
      </c>
      <c r="F135" s="12">
        <v>4.5594000000000001</v>
      </c>
      <c r="G135" s="13">
        <v>0.70940000000000003</v>
      </c>
      <c r="H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1:24" ht="12.5">
      <c r="A136" s="10" t="s">
        <v>46</v>
      </c>
      <c r="B136" s="11" t="s">
        <v>33</v>
      </c>
      <c r="C136" s="12">
        <v>1</v>
      </c>
      <c r="D136" s="12">
        <v>0.72660000000000002</v>
      </c>
      <c r="E136" s="12">
        <v>0</v>
      </c>
      <c r="F136" s="12">
        <v>5.1524000000000001</v>
      </c>
      <c r="G136" s="13">
        <v>0.72660000000000002</v>
      </c>
      <c r="H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1:24" ht="12.5">
      <c r="A137" s="10" t="s">
        <v>46</v>
      </c>
      <c r="B137" s="11" t="s">
        <v>21</v>
      </c>
      <c r="C137" s="12">
        <v>1</v>
      </c>
      <c r="D137" s="12">
        <v>0.72330000000000005</v>
      </c>
      <c r="E137" s="12">
        <v>0</v>
      </c>
      <c r="F137" s="12">
        <v>5.4824999999999999</v>
      </c>
      <c r="G137" s="13">
        <v>0.72330000000000005</v>
      </c>
      <c r="H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1:24" ht="12.5">
      <c r="A138" s="10" t="s">
        <v>46</v>
      </c>
      <c r="B138" s="11" t="s">
        <v>34</v>
      </c>
      <c r="C138" s="12">
        <v>1</v>
      </c>
      <c r="D138" s="12">
        <v>0.76780000000000004</v>
      </c>
      <c r="E138" s="12">
        <v>0</v>
      </c>
      <c r="F138" s="12">
        <v>5.3470000000000004</v>
      </c>
      <c r="G138" s="13">
        <v>0.76780000000000004</v>
      </c>
      <c r="H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1:24" ht="12.5">
      <c r="A139" s="10" t="s">
        <v>46</v>
      </c>
      <c r="B139" s="11" t="s">
        <v>17</v>
      </c>
      <c r="C139" s="12">
        <v>1</v>
      </c>
      <c r="D139" s="12">
        <v>0.72460000000000002</v>
      </c>
      <c r="E139" s="12">
        <v>1E-4</v>
      </c>
      <c r="F139" s="12">
        <v>5.5087000000000002</v>
      </c>
      <c r="G139" s="13">
        <v>0.72460000000000002</v>
      </c>
      <c r="H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1:24" ht="12.5">
      <c r="A140" s="10" t="s">
        <v>46</v>
      </c>
      <c r="B140" s="11" t="s">
        <v>14</v>
      </c>
      <c r="C140" s="12">
        <v>1</v>
      </c>
      <c r="D140" s="12">
        <v>0.72809999999999997</v>
      </c>
      <c r="E140" s="12">
        <v>0</v>
      </c>
      <c r="F140" s="12">
        <v>4.7191999999999998</v>
      </c>
      <c r="G140" s="13">
        <v>0.72809999999999997</v>
      </c>
      <c r="H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1:24" ht="12.5">
      <c r="A141" s="10" t="s">
        <v>46</v>
      </c>
      <c r="B141" s="11" t="s">
        <v>35</v>
      </c>
      <c r="C141" s="12">
        <v>1</v>
      </c>
      <c r="D141" s="12">
        <v>0.76549999999999996</v>
      </c>
      <c r="E141" s="12">
        <v>1E-4</v>
      </c>
      <c r="F141" s="12">
        <v>5.4115000000000002</v>
      </c>
      <c r="G141" s="13">
        <v>0.76549999999999996</v>
      </c>
      <c r="H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1:24" ht="12.5">
      <c r="A142" s="10" t="s">
        <v>47</v>
      </c>
      <c r="B142" s="11" t="s">
        <v>2</v>
      </c>
      <c r="C142" s="12">
        <v>1</v>
      </c>
      <c r="D142" s="12">
        <v>0.72060000000000002</v>
      </c>
      <c r="E142" s="12">
        <v>0</v>
      </c>
      <c r="F142" s="12">
        <v>4.8707000000000003</v>
      </c>
      <c r="G142" s="13">
        <v>0.72060000000000002</v>
      </c>
      <c r="H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1:24" ht="12.5">
      <c r="A143" s="10" t="s">
        <v>47</v>
      </c>
      <c r="B143" s="11" t="s">
        <v>2</v>
      </c>
      <c r="C143" s="12">
        <v>1</v>
      </c>
      <c r="D143" s="12">
        <v>0.69550000000000001</v>
      </c>
      <c r="E143" s="12">
        <v>0</v>
      </c>
      <c r="F143" s="12">
        <v>4.5107999999999997</v>
      </c>
      <c r="G143" s="13">
        <v>0.69550000000000001</v>
      </c>
      <c r="H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1:24" ht="12.5">
      <c r="A144" s="10" t="s">
        <v>47</v>
      </c>
      <c r="B144" s="11" t="s">
        <v>2</v>
      </c>
      <c r="C144" s="12">
        <v>1</v>
      </c>
      <c r="D144" s="12">
        <v>0.72130000000000005</v>
      </c>
      <c r="E144" s="12">
        <v>0</v>
      </c>
      <c r="F144" s="12">
        <v>4.4836</v>
      </c>
      <c r="G144" s="13">
        <v>0.72130000000000005</v>
      </c>
      <c r="H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1:24" ht="12.5">
      <c r="A145" s="10" t="s">
        <v>47</v>
      </c>
      <c r="B145" s="11" t="s">
        <v>2</v>
      </c>
      <c r="C145" s="12">
        <v>1</v>
      </c>
      <c r="D145" s="12">
        <v>0.75409999999999999</v>
      </c>
      <c r="E145" s="12">
        <v>1E-4</v>
      </c>
      <c r="F145" s="12">
        <v>4.6189999999999998</v>
      </c>
      <c r="G145" s="13">
        <v>0.75409999999999999</v>
      </c>
      <c r="H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1:24" ht="12.5">
      <c r="A146" s="10" t="s">
        <v>47</v>
      </c>
      <c r="B146" s="11" t="s">
        <v>2</v>
      </c>
      <c r="C146" s="12">
        <v>1</v>
      </c>
      <c r="D146" s="12">
        <v>0.71179999999999999</v>
      </c>
      <c r="E146" s="12">
        <v>1E-4</v>
      </c>
      <c r="F146" s="12">
        <v>4.5156000000000001</v>
      </c>
      <c r="G146" s="13">
        <v>0.71179999999999999</v>
      </c>
      <c r="H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1:24" ht="12.5">
      <c r="A147" s="10" t="s">
        <v>47</v>
      </c>
      <c r="B147" s="11" t="s">
        <v>2</v>
      </c>
      <c r="C147" s="12">
        <v>1</v>
      </c>
      <c r="D147" s="12">
        <v>0.76190000000000002</v>
      </c>
      <c r="E147" s="12">
        <v>0</v>
      </c>
      <c r="F147" s="12">
        <v>4.5206</v>
      </c>
      <c r="G147" s="13">
        <v>0.76190000000000002</v>
      </c>
      <c r="H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1:24" ht="12.5">
      <c r="A148" s="10" t="s">
        <v>47</v>
      </c>
      <c r="B148" s="11" t="s">
        <v>2</v>
      </c>
      <c r="C148" s="12">
        <v>1</v>
      </c>
      <c r="D148" s="12">
        <v>0.78029999999999999</v>
      </c>
      <c r="E148" s="12">
        <v>0</v>
      </c>
      <c r="F148" s="12">
        <v>4.9606000000000003</v>
      </c>
      <c r="G148" s="13">
        <v>0.78029999999999999</v>
      </c>
      <c r="H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1:24" ht="12.5">
      <c r="A149" s="10" t="s">
        <v>47</v>
      </c>
      <c r="B149" s="11" t="s">
        <v>2</v>
      </c>
      <c r="C149" s="12">
        <v>1</v>
      </c>
      <c r="D149" s="12">
        <v>0.73</v>
      </c>
      <c r="E149" s="12">
        <v>2.0000000000000001E-4</v>
      </c>
      <c r="F149" s="12">
        <v>5.3314000000000004</v>
      </c>
      <c r="G149" s="13">
        <v>0.73</v>
      </c>
      <c r="H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1:24" ht="12.5">
      <c r="A150" s="10" t="s">
        <v>47</v>
      </c>
      <c r="B150" s="11" t="s">
        <v>2</v>
      </c>
      <c r="C150" s="12">
        <v>1</v>
      </c>
      <c r="D150" s="12">
        <v>0.72460000000000002</v>
      </c>
      <c r="E150" s="12">
        <v>0</v>
      </c>
      <c r="F150" s="12">
        <v>4.3513999999999999</v>
      </c>
      <c r="G150" s="13">
        <v>0.72460000000000002</v>
      </c>
      <c r="H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1:24" ht="12.5">
      <c r="A151" s="10" t="s">
        <v>47</v>
      </c>
      <c r="B151" s="11" t="s">
        <v>2</v>
      </c>
      <c r="C151" s="12">
        <v>1</v>
      </c>
      <c r="D151" s="12">
        <v>0.75770000000000004</v>
      </c>
      <c r="E151" s="12">
        <v>0</v>
      </c>
      <c r="F151" s="12">
        <v>5.5312000000000001</v>
      </c>
      <c r="G151" s="13">
        <v>0.75770000000000004</v>
      </c>
      <c r="H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1:24" ht="12.5">
      <c r="A152" s="10" t="s">
        <v>48</v>
      </c>
      <c r="B152" s="11" t="s">
        <v>14</v>
      </c>
      <c r="C152" s="12">
        <v>1</v>
      </c>
      <c r="D152" s="12">
        <v>0.70369999999999999</v>
      </c>
      <c r="E152" s="12">
        <v>0</v>
      </c>
      <c r="F152" s="12">
        <v>4.4192</v>
      </c>
      <c r="G152" s="13">
        <v>0.70369999999999999</v>
      </c>
      <c r="H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1:24" ht="12.5">
      <c r="A153" s="10" t="s">
        <v>48</v>
      </c>
      <c r="B153" s="11" t="s">
        <v>17</v>
      </c>
      <c r="C153" s="12">
        <v>1</v>
      </c>
      <c r="D153" s="12">
        <v>0.72350000000000003</v>
      </c>
      <c r="E153" s="12">
        <v>2.0000000000000001E-4</v>
      </c>
      <c r="F153" s="12">
        <v>5.0633999999999997</v>
      </c>
      <c r="G153" s="13">
        <v>0.72350000000000003</v>
      </c>
      <c r="H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1:24" ht="12.5">
      <c r="A154" s="10" t="s">
        <v>48</v>
      </c>
      <c r="B154" s="11" t="s">
        <v>20</v>
      </c>
      <c r="C154" s="12">
        <v>1</v>
      </c>
      <c r="D154" s="12">
        <v>0.70220000000000005</v>
      </c>
      <c r="E154" s="12">
        <v>0</v>
      </c>
      <c r="F154" s="12">
        <v>4.7944000000000004</v>
      </c>
      <c r="G154" s="13">
        <v>0.70220000000000005</v>
      </c>
      <c r="H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1:24" ht="12.5">
      <c r="A155" s="10" t="s">
        <v>48</v>
      </c>
      <c r="B155" s="11" t="s">
        <v>21</v>
      </c>
      <c r="C155" s="12">
        <v>1</v>
      </c>
      <c r="D155" s="12">
        <v>0.6825</v>
      </c>
      <c r="E155" s="12">
        <v>0</v>
      </c>
      <c r="F155" s="12">
        <v>4.9324000000000003</v>
      </c>
      <c r="G155" s="13">
        <v>0.6825</v>
      </c>
      <c r="H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1:24" ht="12.5">
      <c r="A156" s="10" t="s">
        <v>48</v>
      </c>
      <c r="B156" s="11" t="s">
        <v>22</v>
      </c>
      <c r="C156" s="12">
        <v>1</v>
      </c>
      <c r="D156" s="12">
        <v>0.72929999999999995</v>
      </c>
      <c r="E156" s="12">
        <v>1E-4</v>
      </c>
      <c r="F156" s="12">
        <v>4.7473000000000001</v>
      </c>
      <c r="G156" s="13">
        <v>0.72929999999999995</v>
      </c>
      <c r="H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1:24" ht="12.5">
      <c r="A157" s="10" t="s">
        <v>48</v>
      </c>
      <c r="B157" s="11" t="s">
        <v>17</v>
      </c>
      <c r="C157" s="12">
        <v>1</v>
      </c>
      <c r="D157" s="12">
        <v>0.75890000000000002</v>
      </c>
      <c r="E157" s="12">
        <v>1E-4</v>
      </c>
      <c r="F157" s="12">
        <v>5.2493999999999996</v>
      </c>
      <c r="G157" s="13">
        <v>0.75890000000000002</v>
      </c>
      <c r="H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1:24" ht="12.5">
      <c r="A158" s="10" t="s">
        <v>48</v>
      </c>
      <c r="B158" s="11" t="s">
        <v>22</v>
      </c>
      <c r="C158" s="12">
        <v>1</v>
      </c>
      <c r="D158" s="12">
        <v>0.74160000000000004</v>
      </c>
      <c r="E158" s="12">
        <v>2.0000000000000001E-4</v>
      </c>
      <c r="F158" s="12">
        <v>5.0904999999999996</v>
      </c>
      <c r="G158" s="13">
        <v>0.74160000000000004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1:24" ht="12.5">
      <c r="A159" s="10" t="s">
        <v>48</v>
      </c>
      <c r="B159" s="11" t="s">
        <v>22</v>
      </c>
      <c r="C159" s="12">
        <v>1</v>
      </c>
      <c r="D159" s="12">
        <v>0.76139999999999997</v>
      </c>
      <c r="E159" s="12">
        <v>1E-4</v>
      </c>
      <c r="F159" s="12">
        <v>5.0359999999999996</v>
      </c>
      <c r="G159" s="13">
        <v>0.76139999999999997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1:24" ht="12.5">
      <c r="A160" s="10" t="s">
        <v>49</v>
      </c>
      <c r="B160" s="11" t="s">
        <v>14</v>
      </c>
      <c r="C160" s="12">
        <v>1</v>
      </c>
      <c r="D160" s="12">
        <v>0.74619999999999997</v>
      </c>
      <c r="E160" s="12">
        <v>0</v>
      </c>
      <c r="F160" s="12">
        <v>5.2239000000000004</v>
      </c>
      <c r="G160" s="13">
        <v>0.74619999999999997</v>
      </c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1:24" ht="12.5">
      <c r="A161" s="10" t="s">
        <v>49</v>
      </c>
      <c r="B161" s="11" t="s">
        <v>17</v>
      </c>
      <c r="C161" s="12">
        <v>1</v>
      </c>
      <c r="D161" s="12">
        <v>0.72640000000000005</v>
      </c>
      <c r="E161" s="12">
        <v>0</v>
      </c>
      <c r="F161" s="12">
        <v>4.5864000000000003</v>
      </c>
      <c r="G161" s="13">
        <v>0.72640000000000005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1:24" ht="12.5">
      <c r="A162" s="10" t="s">
        <v>49</v>
      </c>
      <c r="B162" s="11" t="s">
        <v>20</v>
      </c>
      <c r="C162" s="12">
        <v>1</v>
      </c>
      <c r="D162" s="12">
        <v>0.73229999999999995</v>
      </c>
      <c r="E162" s="12">
        <v>0</v>
      </c>
      <c r="F162" s="12">
        <v>4.9760999999999997</v>
      </c>
      <c r="G162" s="13">
        <v>0.73229999999999995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1:24" ht="12.5">
      <c r="A163" s="10" t="s">
        <v>49</v>
      </c>
      <c r="B163" s="11" t="s">
        <v>21</v>
      </c>
      <c r="C163" s="12">
        <v>1</v>
      </c>
      <c r="D163" s="12">
        <v>0.72540000000000004</v>
      </c>
      <c r="E163" s="12">
        <v>0</v>
      </c>
      <c r="F163" s="12">
        <v>5.7252000000000001</v>
      </c>
      <c r="G163" s="13">
        <v>0.72540000000000004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1:24" ht="12.5">
      <c r="A164" s="10" t="s">
        <v>49</v>
      </c>
      <c r="B164" s="11" t="s">
        <v>22</v>
      </c>
      <c r="C164" s="12">
        <v>1</v>
      </c>
      <c r="D164" s="12">
        <v>0.78439999999999999</v>
      </c>
      <c r="E164" s="12">
        <v>0</v>
      </c>
      <c r="F164" s="12">
        <v>4.7750000000000004</v>
      </c>
      <c r="G164" s="13">
        <v>0.78439999999999999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1:24" ht="12.5">
      <c r="A165" s="10" t="s">
        <v>49</v>
      </c>
      <c r="B165" s="11" t="s">
        <v>17</v>
      </c>
      <c r="C165" s="12">
        <v>1</v>
      </c>
      <c r="D165" s="12">
        <v>0.74539999999999995</v>
      </c>
      <c r="E165" s="12">
        <v>2.0000000000000001E-4</v>
      </c>
      <c r="F165" s="12">
        <v>4.6101999999999999</v>
      </c>
      <c r="G165" s="13">
        <v>0.74539999999999995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1:24" ht="12.5">
      <c r="A166" s="10" t="s">
        <v>49</v>
      </c>
      <c r="B166" s="11" t="s">
        <v>22</v>
      </c>
      <c r="C166" s="12">
        <v>1</v>
      </c>
      <c r="D166" s="12">
        <v>0.68240000000000001</v>
      </c>
      <c r="E166" s="12">
        <v>2.0000000000000001E-4</v>
      </c>
      <c r="F166" s="12">
        <v>4.7397</v>
      </c>
      <c r="G166" s="13">
        <v>0.68240000000000001</v>
      </c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1:24" ht="12.5">
      <c r="A167" s="10" t="s">
        <v>49</v>
      </c>
      <c r="B167" s="11" t="s">
        <v>22</v>
      </c>
      <c r="C167" s="12">
        <v>1</v>
      </c>
      <c r="D167" s="12">
        <v>0.7661</v>
      </c>
      <c r="E167" s="12">
        <v>0</v>
      </c>
      <c r="F167" s="12">
        <v>5.1003999999999996</v>
      </c>
      <c r="G167" s="13">
        <v>0.7661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1:24" ht="12.5">
      <c r="A168" s="10" t="s">
        <v>50</v>
      </c>
      <c r="B168" s="11" t="s">
        <v>30</v>
      </c>
      <c r="C168" s="12">
        <v>1</v>
      </c>
      <c r="D168" s="12">
        <v>0.74139999999999995</v>
      </c>
      <c r="E168" s="12">
        <v>0</v>
      </c>
      <c r="F168" s="12">
        <v>5.3441000000000001</v>
      </c>
      <c r="G168" s="13">
        <v>0.74139999999999995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1:24" ht="12.5">
      <c r="A169" s="10" t="s">
        <v>50</v>
      </c>
      <c r="B169" s="11" t="s">
        <v>20</v>
      </c>
      <c r="C169" s="12">
        <v>1</v>
      </c>
      <c r="D169" s="12">
        <v>0.75029999999999997</v>
      </c>
      <c r="E169" s="12">
        <v>4.0000000000000002E-4</v>
      </c>
      <c r="F169" s="12">
        <v>4.6500000000000004</v>
      </c>
      <c r="G169" s="13">
        <v>0.75029999999999997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1:24" ht="12.5">
      <c r="A170" s="10" t="s">
        <v>50</v>
      </c>
      <c r="B170" s="11" t="s">
        <v>31</v>
      </c>
      <c r="C170" s="12">
        <v>1</v>
      </c>
      <c r="D170" s="12">
        <v>0.70799999999999996</v>
      </c>
      <c r="E170" s="12">
        <v>0</v>
      </c>
      <c r="F170" s="12">
        <v>5.3529</v>
      </c>
      <c r="G170" s="13">
        <v>0.70799999999999996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1:24" ht="12.5">
      <c r="A171" s="10" t="s">
        <v>50</v>
      </c>
      <c r="B171" s="11" t="s">
        <v>32</v>
      </c>
      <c r="C171" s="12">
        <v>1</v>
      </c>
      <c r="D171" s="12">
        <v>0.75409999999999999</v>
      </c>
      <c r="E171" s="12">
        <v>0</v>
      </c>
      <c r="F171" s="12">
        <v>5.1313000000000004</v>
      </c>
      <c r="G171" s="13">
        <v>0.75409999999999999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1:24" ht="12.5">
      <c r="A172" s="10" t="s">
        <v>50</v>
      </c>
      <c r="B172" s="11" t="s">
        <v>33</v>
      </c>
      <c r="C172" s="12">
        <v>1</v>
      </c>
      <c r="D172" s="12">
        <v>0.72489999999999999</v>
      </c>
      <c r="E172" s="12">
        <v>1E-4</v>
      </c>
      <c r="F172" s="12">
        <v>6.6505000000000001</v>
      </c>
      <c r="G172" s="13">
        <v>0.72489999999999999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1:24" ht="12.5">
      <c r="A173" s="10" t="s">
        <v>50</v>
      </c>
      <c r="B173" s="11" t="s">
        <v>21</v>
      </c>
      <c r="C173" s="12">
        <v>1</v>
      </c>
      <c r="D173" s="12">
        <v>0.74360000000000004</v>
      </c>
      <c r="E173" s="12">
        <v>1E-4</v>
      </c>
      <c r="F173" s="12">
        <v>4.7305999999999999</v>
      </c>
      <c r="G173" s="13">
        <v>0.74360000000000004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1:24" ht="12.5">
      <c r="A174" s="10" t="s">
        <v>50</v>
      </c>
      <c r="B174" s="11" t="s">
        <v>34</v>
      </c>
      <c r="C174" s="12">
        <v>1</v>
      </c>
      <c r="D174" s="12">
        <v>0.72589999999999999</v>
      </c>
      <c r="E174" s="12">
        <v>2.0000000000000001E-4</v>
      </c>
      <c r="F174" s="12">
        <v>4.9690000000000003</v>
      </c>
      <c r="G174" s="13">
        <v>0.72589999999999999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1:24" ht="12.5">
      <c r="A175" s="10" t="s">
        <v>50</v>
      </c>
      <c r="B175" s="11" t="s">
        <v>17</v>
      </c>
      <c r="C175" s="12">
        <v>1</v>
      </c>
      <c r="D175" s="12">
        <v>0.72909999999999997</v>
      </c>
      <c r="E175" s="12">
        <v>1E-4</v>
      </c>
      <c r="F175" s="12">
        <v>5.1243999999999996</v>
      </c>
      <c r="G175" s="13">
        <v>0.72909999999999997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1:24" ht="12.5">
      <c r="A176" s="10" t="s">
        <v>50</v>
      </c>
      <c r="B176" s="11" t="s">
        <v>14</v>
      </c>
      <c r="C176" s="12">
        <v>1</v>
      </c>
      <c r="D176" s="12">
        <v>0.72760000000000002</v>
      </c>
      <c r="E176" s="12">
        <v>1E-4</v>
      </c>
      <c r="F176" s="12">
        <v>5.1970999999999998</v>
      </c>
      <c r="G176" s="13">
        <v>0.72760000000000002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1:24" ht="12.5">
      <c r="A177" s="10" t="s">
        <v>50</v>
      </c>
      <c r="B177" s="11" t="s">
        <v>35</v>
      </c>
      <c r="C177" s="12">
        <v>1</v>
      </c>
      <c r="D177" s="12">
        <v>0.70289999999999997</v>
      </c>
      <c r="E177" s="12">
        <v>0</v>
      </c>
      <c r="F177" s="12">
        <v>5.3400999999999996</v>
      </c>
      <c r="G177" s="13">
        <v>0.70289999999999997</v>
      </c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1:24" ht="12.5">
      <c r="A178" s="10" t="s">
        <v>51</v>
      </c>
      <c r="B178" s="11" t="s">
        <v>26</v>
      </c>
      <c r="C178" s="12">
        <v>1</v>
      </c>
      <c r="D178" s="12">
        <v>0.71399999999999997</v>
      </c>
      <c r="E178" s="12">
        <v>2.0000000000000001E-4</v>
      </c>
      <c r="F178" s="12">
        <v>4.9954999999999998</v>
      </c>
      <c r="G178" s="13">
        <v>0.71399999999999997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1:24" ht="12.5">
      <c r="A179" s="10" t="s">
        <v>51</v>
      </c>
      <c r="B179" s="11" t="s">
        <v>27</v>
      </c>
      <c r="C179" s="12">
        <v>1</v>
      </c>
      <c r="D179" s="12">
        <v>0.72419999999999995</v>
      </c>
      <c r="E179" s="12">
        <v>0</v>
      </c>
      <c r="F179" s="12">
        <v>5.6007999999999996</v>
      </c>
      <c r="G179" s="13">
        <v>0.72419999999999995</v>
      </c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1:24" ht="12.5">
      <c r="A180" s="10" t="s">
        <v>51</v>
      </c>
      <c r="B180" s="11" t="s">
        <v>27</v>
      </c>
      <c r="C180" s="12">
        <v>1</v>
      </c>
      <c r="D180" s="12">
        <v>0.73780000000000001</v>
      </c>
      <c r="E180" s="12">
        <v>0</v>
      </c>
      <c r="F180" s="12">
        <v>4.8236999999999997</v>
      </c>
      <c r="G180" s="13">
        <v>0.73780000000000001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1:24" ht="12.5">
      <c r="A181" s="10" t="s">
        <v>51</v>
      </c>
      <c r="B181" s="11" t="s">
        <v>27</v>
      </c>
      <c r="C181" s="12">
        <v>1</v>
      </c>
      <c r="D181" s="12">
        <v>0.71240000000000003</v>
      </c>
      <c r="E181" s="12">
        <v>1E-4</v>
      </c>
      <c r="F181" s="12">
        <v>4.9709000000000003</v>
      </c>
      <c r="G181" s="13">
        <v>0.71240000000000003</v>
      </c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1:24" ht="12.5">
      <c r="A182" s="10" t="s">
        <v>51</v>
      </c>
      <c r="B182" s="11" t="s">
        <v>26</v>
      </c>
      <c r="C182" s="12">
        <v>1</v>
      </c>
      <c r="D182" s="12">
        <v>0.75149999999999995</v>
      </c>
      <c r="E182" s="12">
        <v>0</v>
      </c>
      <c r="F182" s="12">
        <v>4.5088999999999997</v>
      </c>
      <c r="G182" s="13">
        <v>0.75149999999999995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1:24" ht="12.5">
      <c r="A183" s="10" t="s">
        <v>51</v>
      </c>
      <c r="B183" s="11" t="s">
        <v>26</v>
      </c>
      <c r="C183" s="12">
        <v>1</v>
      </c>
      <c r="D183" s="12">
        <v>0.68530000000000002</v>
      </c>
      <c r="E183" s="12">
        <v>0</v>
      </c>
      <c r="F183" s="12">
        <v>4.6779999999999999</v>
      </c>
      <c r="G183" s="13">
        <v>0.68530000000000002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1:24" ht="12.5">
      <c r="A184" s="10" t="s">
        <v>51</v>
      </c>
      <c r="B184" s="11" t="s">
        <v>27</v>
      </c>
      <c r="C184" s="12">
        <v>1</v>
      </c>
      <c r="D184" s="12">
        <v>0.75370000000000004</v>
      </c>
      <c r="E184" s="12">
        <v>1E-4</v>
      </c>
      <c r="F184" s="12">
        <v>4.3982999999999999</v>
      </c>
      <c r="G184" s="13">
        <v>0.75370000000000004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1:24" ht="12.5">
      <c r="A185" s="10" t="s">
        <v>52</v>
      </c>
      <c r="B185" s="11" t="s">
        <v>30</v>
      </c>
      <c r="C185" s="12">
        <v>1</v>
      </c>
      <c r="D185" s="12">
        <v>0.78600000000000003</v>
      </c>
      <c r="E185" s="12">
        <v>0</v>
      </c>
      <c r="F185" s="12">
        <v>5.3201999999999998</v>
      </c>
      <c r="G185" s="13">
        <v>0.78600000000000003</v>
      </c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1:24" ht="12.5">
      <c r="A186" s="10" t="s">
        <v>52</v>
      </c>
      <c r="B186" s="11" t="s">
        <v>20</v>
      </c>
      <c r="C186" s="12">
        <v>1</v>
      </c>
      <c r="D186" s="12">
        <v>0.70699999999999996</v>
      </c>
      <c r="E186" s="12">
        <v>0</v>
      </c>
      <c r="F186" s="12">
        <v>5.2827999999999999</v>
      </c>
      <c r="G186" s="13">
        <v>0.70699999999999996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1:24" ht="12.5">
      <c r="A187" s="10" t="s">
        <v>52</v>
      </c>
      <c r="B187" s="11" t="s">
        <v>31</v>
      </c>
      <c r="C187" s="12">
        <v>1</v>
      </c>
      <c r="D187" s="12">
        <v>0.71609999999999996</v>
      </c>
      <c r="E187" s="12">
        <v>0</v>
      </c>
      <c r="F187" s="12">
        <v>4.8556999999999997</v>
      </c>
      <c r="G187" s="13">
        <v>0.71609999999999996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1:24" ht="12.5">
      <c r="A188" s="10" t="s">
        <v>52</v>
      </c>
      <c r="B188" s="11" t="s">
        <v>32</v>
      </c>
      <c r="C188" s="12">
        <v>1</v>
      </c>
      <c r="D188" s="12">
        <v>0.72819999999999996</v>
      </c>
      <c r="E188" s="12">
        <v>1E-4</v>
      </c>
      <c r="F188" s="12">
        <v>4.9668999999999999</v>
      </c>
      <c r="G188" s="13">
        <v>0.72819999999999996</v>
      </c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1:24" ht="12.5">
      <c r="A189" s="10" t="s">
        <v>52</v>
      </c>
      <c r="B189" s="11" t="s">
        <v>33</v>
      </c>
      <c r="C189" s="12">
        <v>1</v>
      </c>
      <c r="D189" s="12">
        <v>0.8145</v>
      </c>
      <c r="E189" s="12">
        <v>1E-4</v>
      </c>
      <c r="F189" s="12">
        <v>5.0674999999999999</v>
      </c>
      <c r="G189" s="13">
        <v>0.8145</v>
      </c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1:24" ht="12.5">
      <c r="A190" s="10" t="s">
        <v>52</v>
      </c>
      <c r="B190" s="11" t="s">
        <v>21</v>
      </c>
      <c r="C190" s="12">
        <v>1</v>
      </c>
      <c r="D190" s="12">
        <v>0.70689999999999997</v>
      </c>
      <c r="E190" s="12">
        <v>0</v>
      </c>
      <c r="F190" s="12">
        <v>5.1689999999999996</v>
      </c>
      <c r="G190" s="13">
        <v>0.70689999999999997</v>
      </c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1:24" ht="12.5">
      <c r="A191" s="10" t="s">
        <v>52</v>
      </c>
      <c r="B191" s="11" t="s">
        <v>34</v>
      </c>
      <c r="C191" s="12">
        <v>1</v>
      </c>
      <c r="D191" s="12">
        <v>0.69020000000000004</v>
      </c>
      <c r="E191" s="12">
        <v>0</v>
      </c>
      <c r="F191" s="12">
        <v>4.7727000000000004</v>
      </c>
      <c r="G191" s="13">
        <v>0.69020000000000004</v>
      </c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1:24" ht="12.5">
      <c r="A192" s="10" t="s">
        <v>52</v>
      </c>
      <c r="B192" s="11" t="s">
        <v>17</v>
      </c>
      <c r="C192" s="12">
        <v>1</v>
      </c>
      <c r="D192" s="12">
        <v>0.73499999999999999</v>
      </c>
      <c r="E192" s="12">
        <v>1E-4</v>
      </c>
      <c r="F192" s="12">
        <v>4.9309000000000003</v>
      </c>
      <c r="G192" s="13">
        <v>0.73499999999999999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1:24" ht="12.5">
      <c r="A193" s="10" t="s">
        <v>52</v>
      </c>
      <c r="B193" s="11" t="s">
        <v>14</v>
      </c>
      <c r="C193" s="12">
        <v>1</v>
      </c>
      <c r="D193" s="12">
        <v>0.70430000000000004</v>
      </c>
      <c r="E193" s="12">
        <v>0</v>
      </c>
      <c r="F193" s="12">
        <v>5.0354999999999999</v>
      </c>
      <c r="G193" s="13">
        <v>0.70430000000000004</v>
      </c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1:24" ht="12.5">
      <c r="A194" s="10" t="s">
        <v>52</v>
      </c>
      <c r="B194" s="11" t="s">
        <v>35</v>
      </c>
      <c r="C194" s="12">
        <v>1</v>
      </c>
      <c r="D194" s="12">
        <v>0.78900000000000003</v>
      </c>
      <c r="E194" s="12">
        <v>0</v>
      </c>
      <c r="F194" s="12">
        <v>4.7325999999999997</v>
      </c>
      <c r="G194" s="13">
        <v>0.78900000000000003</v>
      </c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1:24" ht="12.5">
      <c r="A195" s="10" t="s">
        <v>53</v>
      </c>
      <c r="B195" s="11" t="s">
        <v>2</v>
      </c>
      <c r="C195" s="12">
        <v>1</v>
      </c>
      <c r="D195" s="12">
        <v>0.72899999999999998</v>
      </c>
      <c r="E195" s="12">
        <v>1E-4</v>
      </c>
      <c r="F195" s="12">
        <v>5.1055000000000001</v>
      </c>
      <c r="G195" s="13">
        <v>0.72899999999999998</v>
      </c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1:24" ht="12.5">
      <c r="A196" s="10" t="s">
        <v>53</v>
      </c>
      <c r="B196" s="11" t="s">
        <v>2</v>
      </c>
      <c r="C196" s="12">
        <v>1</v>
      </c>
      <c r="D196" s="12">
        <v>0.74380000000000002</v>
      </c>
      <c r="E196" s="12">
        <v>2.0000000000000001E-4</v>
      </c>
      <c r="F196" s="12">
        <v>5.2237999999999998</v>
      </c>
      <c r="G196" s="13">
        <v>0.74380000000000002</v>
      </c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1:24" ht="12.5">
      <c r="A197" s="10" t="s">
        <v>53</v>
      </c>
      <c r="B197" s="11" t="s">
        <v>2</v>
      </c>
      <c r="C197" s="12">
        <v>1</v>
      </c>
      <c r="D197" s="12">
        <v>0.76249999999999996</v>
      </c>
      <c r="E197" s="12">
        <v>2.0000000000000001E-4</v>
      </c>
      <c r="F197" s="12">
        <v>4.4211999999999998</v>
      </c>
      <c r="G197" s="13">
        <v>0.76249999999999996</v>
      </c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1:24" ht="12.5">
      <c r="A198" s="10" t="s">
        <v>53</v>
      </c>
      <c r="B198" s="11" t="s">
        <v>2</v>
      </c>
      <c r="C198" s="12">
        <v>1</v>
      </c>
      <c r="D198" s="12">
        <v>0.74639999999999995</v>
      </c>
      <c r="E198" s="12">
        <v>1E-4</v>
      </c>
      <c r="F198" s="12">
        <v>4.9337999999999997</v>
      </c>
      <c r="G198" s="13">
        <v>0.74639999999999995</v>
      </c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1:24" ht="12.5">
      <c r="A199" s="10" t="s">
        <v>53</v>
      </c>
      <c r="B199" s="11" t="s">
        <v>2</v>
      </c>
      <c r="C199" s="12">
        <v>1</v>
      </c>
      <c r="D199" s="12">
        <v>0.70479999999999998</v>
      </c>
      <c r="E199" s="12">
        <v>0</v>
      </c>
      <c r="F199" s="12">
        <v>4.8884999999999996</v>
      </c>
      <c r="G199" s="13">
        <v>0.70479999999999998</v>
      </c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1:24" ht="12.5">
      <c r="A200" s="10" t="s">
        <v>53</v>
      </c>
      <c r="B200" s="11" t="s">
        <v>2</v>
      </c>
      <c r="C200" s="12">
        <v>1</v>
      </c>
      <c r="D200" s="12">
        <v>0.73860000000000003</v>
      </c>
      <c r="E200" s="12">
        <v>2.0000000000000001E-4</v>
      </c>
      <c r="F200" s="12">
        <v>5.0823999999999998</v>
      </c>
      <c r="G200" s="13">
        <v>0.73860000000000003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1:24" ht="12.5">
      <c r="A201" s="10" t="s">
        <v>53</v>
      </c>
      <c r="B201" s="11" t="s">
        <v>2</v>
      </c>
      <c r="C201" s="12">
        <v>1</v>
      </c>
      <c r="D201" s="12">
        <v>0.71330000000000005</v>
      </c>
      <c r="E201" s="12">
        <v>0</v>
      </c>
      <c r="F201" s="12">
        <v>4.6561000000000003</v>
      </c>
      <c r="G201" s="13">
        <v>0.71330000000000005</v>
      </c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1:24" ht="12.5">
      <c r="A202" s="10" t="s">
        <v>53</v>
      </c>
      <c r="B202" s="11" t="s">
        <v>2</v>
      </c>
      <c r="C202" s="12">
        <v>1</v>
      </c>
      <c r="D202" s="12">
        <v>0.75019999999999998</v>
      </c>
      <c r="E202" s="12">
        <v>2.0000000000000001E-4</v>
      </c>
      <c r="F202" s="12">
        <v>5.0731000000000002</v>
      </c>
      <c r="G202" s="13">
        <v>0.75019999999999998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1:24" ht="12.5">
      <c r="A203" s="10" t="s">
        <v>53</v>
      </c>
      <c r="B203" s="11" t="s">
        <v>2</v>
      </c>
      <c r="C203" s="12">
        <v>1</v>
      </c>
      <c r="D203" s="12">
        <v>0.71099999999999997</v>
      </c>
      <c r="E203" s="12">
        <v>0</v>
      </c>
      <c r="F203" s="12">
        <v>4.4467999999999996</v>
      </c>
      <c r="G203" s="13">
        <v>0.71099999999999997</v>
      </c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1:24" ht="12.5">
      <c r="A204" s="10" t="s">
        <v>53</v>
      </c>
      <c r="B204" s="11" t="s">
        <v>2</v>
      </c>
      <c r="C204" s="12">
        <v>1</v>
      </c>
      <c r="D204" s="12">
        <v>0.71120000000000005</v>
      </c>
      <c r="E204" s="12">
        <v>0</v>
      </c>
      <c r="F204" s="12">
        <v>4.8849999999999998</v>
      </c>
      <c r="G204" s="13">
        <v>0.71120000000000005</v>
      </c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1:24" ht="12.5">
      <c r="A205" s="10" t="s">
        <v>25</v>
      </c>
      <c r="B205" s="11" t="s">
        <v>27</v>
      </c>
      <c r="C205" s="12">
        <v>1</v>
      </c>
      <c r="D205" s="12">
        <v>0.72960000000000003</v>
      </c>
      <c r="E205" s="12">
        <v>0</v>
      </c>
      <c r="F205" s="12">
        <v>5.7766000000000002</v>
      </c>
      <c r="G205" s="13">
        <v>0.72960000000000003</v>
      </c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1:24" ht="12.5">
      <c r="A206" s="10" t="s">
        <v>54</v>
      </c>
      <c r="B206" s="11" t="s">
        <v>2</v>
      </c>
      <c r="C206" s="12">
        <v>1</v>
      </c>
      <c r="D206" s="12">
        <v>0.72640000000000005</v>
      </c>
      <c r="E206" s="12">
        <v>0</v>
      </c>
      <c r="F206" s="12">
        <v>4.6660000000000004</v>
      </c>
      <c r="G206" s="13">
        <v>0.72640000000000005</v>
      </c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1:24" ht="12.5">
      <c r="A207" s="10" t="s">
        <v>54</v>
      </c>
      <c r="B207" s="11" t="s">
        <v>2</v>
      </c>
      <c r="C207" s="12">
        <v>1</v>
      </c>
      <c r="D207" s="12">
        <v>0.76170000000000004</v>
      </c>
      <c r="E207" s="12">
        <v>0</v>
      </c>
      <c r="F207" s="12">
        <v>6.4238</v>
      </c>
      <c r="G207" s="13">
        <v>0.76170000000000004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1:24" ht="12.5">
      <c r="A208" s="10" t="s">
        <v>54</v>
      </c>
      <c r="B208" s="11" t="s">
        <v>2</v>
      </c>
      <c r="C208" s="12">
        <v>1</v>
      </c>
      <c r="D208" s="12">
        <v>0.71489999999999998</v>
      </c>
      <c r="E208" s="12">
        <v>0</v>
      </c>
      <c r="F208" s="12">
        <v>5.0815000000000001</v>
      </c>
      <c r="G208" s="13">
        <v>0.71489999999999998</v>
      </c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1:24" ht="12.5">
      <c r="A209" s="10" t="s">
        <v>54</v>
      </c>
      <c r="B209" s="11" t="s">
        <v>2</v>
      </c>
      <c r="C209" s="12">
        <v>1</v>
      </c>
      <c r="D209" s="12">
        <v>0.71109999999999995</v>
      </c>
      <c r="E209" s="12">
        <v>1E-4</v>
      </c>
      <c r="F209" s="12">
        <v>4.7427000000000001</v>
      </c>
      <c r="G209" s="13">
        <v>0.71109999999999995</v>
      </c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1:24" ht="12.5">
      <c r="A210" s="10" t="s">
        <v>54</v>
      </c>
      <c r="B210" s="11" t="s">
        <v>2</v>
      </c>
      <c r="C210" s="12">
        <v>1</v>
      </c>
      <c r="D210" s="12">
        <v>0.77690000000000003</v>
      </c>
      <c r="E210" s="12">
        <v>0</v>
      </c>
      <c r="F210" s="12">
        <v>5.4817</v>
      </c>
      <c r="G210" s="13">
        <v>0.77690000000000003</v>
      </c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1:24" ht="12.5">
      <c r="A211" s="10" t="s">
        <v>54</v>
      </c>
      <c r="B211" s="11" t="s">
        <v>2</v>
      </c>
      <c r="C211" s="12">
        <v>1</v>
      </c>
      <c r="D211" s="12">
        <v>0.71319999999999995</v>
      </c>
      <c r="E211" s="12">
        <v>0</v>
      </c>
      <c r="F211" s="12">
        <v>5.1515000000000004</v>
      </c>
      <c r="G211" s="13">
        <v>0.71319999999999995</v>
      </c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1:24" ht="12.5">
      <c r="A212" s="10" t="s">
        <v>54</v>
      </c>
      <c r="B212" s="11" t="s">
        <v>2</v>
      </c>
      <c r="C212" s="12">
        <v>1</v>
      </c>
      <c r="D212" s="12">
        <v>0.75370000000000004</v>
      </c>
      <c r="E212" s="12">
        <v>0</v>
      </c>
      <c r="F212" s="12">
        <v>5.2945000000000002</v>
      </c>
      <c r="G212" s="13">
        <v>0.75370000000000004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1:24" ht="12.5">
      <c r="A213" s="10" t="s">
        <v>54</v>
      </c>
      <c r="B213" s="11" t="s">
        <v>2</v>
      </c>
      <c r="C213" s="12">
        <v>1</v>
      </c>
      <c r="D213" s="12">
        <v>0.70009999999999994</v>
      </c>
      <c r="E213" s="12">
        <v>0</v>
      </c>
      <c r="F213" s="12">
        <v>5.3605</v>
      </c>
      <c r="G213" s="13">
        <v>0.70009999999999994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1:24" ht="12.5">
      <c r="A214" s="10" t="s">
        <v>54</v>
      </c>
      <c r="B214" s="11" t="s">
        <v>2</v>
      </c>
      <c r="C214" s="12">
        <v>1</v>
      </c>
      <c r="D214" s="12">
        <v>0.74339999999999995</v>
      </c>
      <c r="E214" s="12">
        <v>0</v>
      </c>
      <c r="F214" s="12">
        <v>5.0982000000000003</v>
      </c>
      <c r="G214" s="13">
        <v>0.74339999999999995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1:24" ht="12.5">
      <c r="A215" s="10" t="s">
        <v>54</v>
      </c>
      <c r="B215" s="11" t="s">
        <v>2</v>
      </c>
      <c r="C215" s="12">
        <v>1</v>
      </c>
      <c r="D215" s="12">
        <v>0.67079999999999995</v>
      </c>
      <c r="E215" s="12">
        <v>0</v>
      </c>
      <c r="F215" s="12">
        <v>4.7161</v>
      </c>
      <c r="G215" s="13">
        <v>0.67079999999999995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1:24" ht="12.5">
      <c r="A216" s="10" t="s">
        <v>55</v>
      </c>
      <c r="B216" s="11" t="s">
        <v>14</v>
      </c>
      <c r="C216" s="12">
        <v>1</v>
      </c>
      <c r="D216" s="12">
        <v>0.73240000000000005</v>
      </c>
      <c r="E216" s="12">
        <v>2.0000000000000001E-4</v>
      </c>
      <c r="F216" s="12">
        <v>4.7747999999999999</v>
      </c>
      <c r="G216" s="13">
        <v>0.73240000000000005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1:24" ht="12.5">
      <c r="A217" s="10" t="s">
        <v>55</v>
      </c>
      <c r="B217" s="11" t="s">
        <v>17</v>
      </c>
      <c r="C217" s="12">
        <v>1</v>
      </c>
      <c r="D217" s="12">
        <v>0.75880000000000003</v>
      </c>
      <c r="E217" s="12">
        <v>0</v>
      </c>
      <c r="F217" s="12">
        <v>5.5057999999999998</v>
      </c>
      <c r="G217" s="13">
        <v>0.75880000000000003</v>
      </c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1:24" ht="12.5">
      <c r="A218" s="10" t="s">
        <v>55</v>
      </c>
      <c r="B218" s="11" t="s">
        <v>20</v>
      </c>
      <c r="C218" s="12">
        <v>1</v>
      </c>
      <c r="D218" s="12">
        <v>0.74129999999999996</v>
      </c>
      <c r="E218" s="12">
        <v>0</v>
      </c>
      <c r="F218" s="12">
        <v>4.8372999999999999</v>
      </c>
      <c r="G218" s="13">
        <v>0.74129999999999996</v>
      </c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1:24" ht="12.5">
      <c r="A219" s="10" t="s">
        <v>55</v>
      </c>
      <c r="B219" s="11" t="s">
        <v>21</v>
      </c>
      <c r="C219" s="12">
        <v>1</v>
      </c>
      <c r="D219" s="12">
        <v>0.72519999999999996</v>
      </c>
      <c r="E219" s="12">
        <v>0</v>
      </c>
      <c r="F219" s="12">
        <v>4.9093</v>
      </c>
      <c r="G219" s="13">
        <v>0.72519999999999996</v>
      </c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1:24" ht="12.5">
      <c r="A220" s="10" t="s">
        <v>55</v>
      </c>
      <c r="B220" s="11" t="s">
        <v>22</v>
      </c>
      <c r="C220" s="12">
        <v>1</v>
      </c>
      <c r="D220" s="12">
        <v>0.73619999999999997</v>
      </c>
      <c r="E220" s="12">
        <v>1E-4</v>
      </c>
      <c r="F220" s="12">
        <v>4.5824999999999996</v>
      </c>
      <c r="G220" s="13">
        <v>0.73619999999999997</v>
      </c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1:24" ht="12.5">
      <c r="A221" s="10" t="s">
        <v>55</v>
      </c>
      <c r="B221" s="11" t="s">
        <v>22</v>
      </c>
      <c r="C221" s="12">
        <v>1</v>
      </c>
      <c r="D221" s="12">
        <v>0.69950000000000001</v>
      </c>
      <c r="E221" s="12">
        <v>1E-4</v>
      </c>
      <c r="F221" s="12">
        <v>5.3803000000000001</v>
      </c>
      <c r="G221" s="13">
        <v>0.69950000000000001</v>
      </c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1:24" ht="12.5">
      <c r="A222" s="10" t="s">
        <v>55</v>
      </c>
      <c r="B222" s="11" t="s">
        <v>17</v>
      </c>
      <c r="C222" s="12">
        <v>1</v>
      </c>
      <c r="D222" s="12">
        <v>0.74319999999999997</v>
      </c>
      <c r="E222" s="12">
        <v>0</v>
      </c>
      <c r="F222" s="12">
        <v>5.3985000000000003</v>
      </c>
      <c r="G222" s="13">
        <v>0.74319999999999997</v>
      </c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1:24" ht="12.5">
      <c r="A223" s="10" t="s">
        <v>55</v>
      </c>
      <c r="B223" s="11" t="s">
        <v>22</v>
      </c>
      <c r="C223" s="12">
        <v>1</v>
      </c>
      <c r="D223" s="12">
        <v>0.80679999999999996</v>
      </c>
      <c r="E223" s="12">
        <v>0</v>
      </c>
      <c r="F223" s="12">
        <v>5.3902000000000001</v>
      </c>
      <c r="G223" s="13">
        <v>0.80679999999999996</v>
      </c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1:24" ht="12.5">
      <c r="A224" s="10" t="s">
        <v>40</v>
      </c>
      <c r="B224" s="11" t="s">
        <v>26</v>
      </c>
      <c r="C224" s="12">
        <v>1</v>
      </c>
      <c r="D224" s="12">
        <v>0.71179999999999999</v>
      </c>
      <c r="E224" s="12">
        <v>0</v>
      </c>
      <c r="F224" s="12">
        <v>4.7244999999999999</v>
      </c>
      <c r="G224" s="13">
        <v>0.71179999999999999</v>
      </c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1:24" ht="12.5">
      <c r="A225" s="10" t="s">
        <v>40</v>
      </c>
      <c r="B225" s="11" t="s">
        <v>27</v>
      </c>
      <c r="C225" s="12">
        <v>1</v>
      </c>
      <c r="D225" s="12">
        <v>0.73540000000000005</v>
      </c>
      <c r="E225" s="12">
        <v>0</v>
      </c>
      <c r="F225" s="12">
        <v>5.1803999999999997</v>
      </c>
      <c r="G225" s="13">
        <v>0.73540000000000005</v>
      </c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1:24" ht="12.5">
      <c r="A226" s="10" t="s">
        <v>40</v>
      </c>
      <c r="B226" s="11" t="s">
        <v>27</v>
      </c>
      <c r="C226" s="12">
        <v>1</v>
      </c>
      <c r="D226" s="12">
        <v>0.76290000000000002</v>
      </c>
      <c r="E226" s="12">
        <v>0</v>
      </c>
      <c r="F226" s="12">
        <v>4.7935999999999996</v>
      </c>
      <c r="G226" s="13">
        <v>0.76290000000000002</v>
      </c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1:24" ht="12.5">
      <c r="A227" s="10" t="s">
        <v>40</v>
      </c>
      <c r="B227" s="11" t="s">
        <v>27</v>
      </c>
      <c r="C227" s="12">
        <v>1</v>
      </c>
      <c r="D227" s="12">
        <v>0.71609999999999996</v>
      </c>
      <c r="E227" s="12">
        <v>0</v>
      </c>
      <c r="F227" s="12">
        <v>5.0266999999999999</v>
      </c>
      <c r="G227" s="13">
        <v>0.71609999999999996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1:24" ht="12.5">
      <c r="A228" s="10" t="s">
        <v>40</v>
      </c>
      <c r="B228" s="11" t="s">
        <v>26</v>
      </c>
      <c r="C228" s="12">
        <v>1</v>
      </c>
      <c r="D228" s="12">
        <v>0.76349999999999996</v>
      </c>
      <c r="E228" s="12">
        <v>2.9999999999999997E-4</v>
      </c>
      <c r="F228" s="12">
        <v>4.9263000000000003</v>
      </c>
      <c r="G228" s="13">
        <v>0.76349999999999996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1:24" ht="12.5">
      <c r="A229" s="22" t="s">
        <v>40</v>
      </c>
      <c r="B229" s="23" t="s">
        <v>26</v>
      </c>
      <c r="C229" s="24">
        <v>1</v>
      </c>
      <c r="D229" s="24">
        <v>0.75319999999999998</v>
      </c>
      <c r="E229" s="24">
        <v>0</v>
      </c>
      <c r="F229" s="24">
        <v>4.6341000000000001</v>
      </c>
      <c r="G229" s="25">
        <v>0.75319999999999998</v>
      </c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1:24" ht="12.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1:24" ht="12.5">
      <c r="A231" s="14" t="str">
        <f>"TOTAL: " &amp; TEXT(COUNTA($A$2:$A$229),"0")</f>
        <v>TOTAL: 228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1:24" ht="12.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1:24" ht="12.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1:24" ht="12.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1:24" ht="12.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1:24" ht="12.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1:24" ht="12.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1:24" ht="12.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1:24" ht="12.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1:24" ht="12.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1:24" ht="12.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1:24" ht="12.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1:24" ht="12.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1:24" ht="12.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1:24" ht="12.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1:24" ht="12.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1:24" ht="12.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1:24" ht="12.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1:24" ht="12.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1:24" ht="12.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1:24" ht="12.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1:24" ht="12.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1:24" ht="12.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1:24" ht="12.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1:24" ht="12.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1:24" ht="12.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1:24" ht="12.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1:24" ht="12.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1:24" ht="12.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1:24" ht="12.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1:24" ht="12.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1:24" ht="12.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1:24" ht="12.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1:24" ht="12.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1:24" ht="12.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1:24" ht="12.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1:24" ht="12.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1:24" ht="12.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1:24" ht="12.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1:24" ht="12.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1:24" ht="12.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1:24" ht="12.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1:24" ht="12.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1:24" ht="12.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1:24" ht="12.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1:24" ht="12.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1:24" ht="12.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1:24" ht="12.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1:24" ht="12.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1:24" ht="12.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ht="12.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1:24" ht="12.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1:24" ht="12.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1:24" ht="12.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1:24" ht="12.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1:24" ht="12.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1:24" ht="12.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1:24" ht="12.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1:24" ht="12.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1:24" ht="12.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1:24" ht="12.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1:24" ht="12.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1:24" ht="12.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1:24" ht="12.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1:24" ht="12.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1:24" ht="12.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1:24" ht="12.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1:24" ht="12.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1:24" ht="12.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1:24" ht="12.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1:24" ht="12.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1:24" ht="12.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1:24" ht="12.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1:24" ht="12.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1:24" ht="12.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1:24" ht="12.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1:24" ht="12.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1:24" ht="12.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1:24" ht="12.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1:24" ht="12.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1:24" ht="12.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1:24" ht="12.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1:24" ht="12.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1:24" ht="12.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1:24" ht="12.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1:24" ht="12.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1:24" ht="12.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1:24" ht="12.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1:24" ht="12.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1:24" ht="12.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1:24" ht="12.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1:24" ht="12.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1:24" ht="12.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1:24" ht="12.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1:24" ht="12.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1:24" ht="12.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1:24" ht="12.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1:24" ht="12.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1:24" ht="12.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1:24" ht="12.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1:24" ht="12.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1:24" ht="12.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1:24" ht="12.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1:24" ht="12.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1:24" ht="12.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1:24" ht="12.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1:24" ht="12.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1:24" ht="12.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1:24" ht="12.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1:24" ht="12.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1:24" ht="12.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1:24" ht="12.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1:24" ht="12.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1:24" ht="12.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1:24" ht="12.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1:24" ht="12.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1:24" ht="12.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1:24" ht="12.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1:24" ht="12.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1:24" ht="12.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1:24" ht="12.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1:24" ht="12.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1:24" ht="12.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1:24" ht="12.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1:24" ht="12.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1:24" ht="12.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1:24" ht="12.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1:24" ht="12.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1:24" ht="12.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1:24" ht="12.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1:24" ht="12.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1:24" ht="12.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1:24" ht="12.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1:24" ht="12.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1:24" ht="12.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1:24" ht="12.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1:24" ht="12.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1:24" ht="12.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1:24" ht="12.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1:24" ht="12.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1:24" ht="12.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1:24" ht="12.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1:24" ht="12.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1:24" ht="12.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1:24" ht="12.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1:24" ht="12.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1:24" ht="12.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1:24" ht="12.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1:24" ht="12.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1:24" ht="12.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1:24" ht="12.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1:24" ht="12.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1:24" ht="12.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1:24" ht="12.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1:24" ht="12.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1:24" ht="12.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1:24" ht="12.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1:24" ht="12.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1:24" ht="12.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1:24" ht="12.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1:24" ht="12.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1:24" ht="12.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1:24" ht="12.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1:24" ht="12.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1:24" ht="12.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1:24" ht="12.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1:24" ht="12.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1:24" ht="12.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1:24" ht="12.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1:24" ht="12.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1:24" ht="12.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1:24" ht="12.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1:24" ht="12.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1:24" ht="12.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1:24" ht="12.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1:24" ht="12.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1:24" ht="12.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1:24" ht="12.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1:24" ht="12.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1:24" ht="12.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1:24" ht="12.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1:24" ht="12.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1:24" ht="12.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1:24" ht="12.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1:24" ht="12.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1:24" ht="12.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1:24" ht="12.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1:24" ht="12.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1:24" ht="12.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1:24" ht="12.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1:24" ht="12.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1:24" ht="12.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1:24" ht="12.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1:24" ht="12.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1:24" ht="12.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1:24" ht="12.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1:24" ht="12.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1:24" ht="12.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1:24" ht="12.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1:24" ht="12.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1:24" ht="12.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1:24" ht="12.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1:24" ht="12.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1:24" ht="12.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1:24" ht="12.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1:24" ht="12.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1:24" ht="12.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1:24" ht="12.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1:24" ht="12.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 spans="1:24" ht="12.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 spans="1:24" ht="12.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 spans="1:24" ht="12.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 spans="1:24" ht="12.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 spans="1:24" ht="12.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 spans="1:24" ht="12.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 spans="1:24" ht="12.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 spans="1:24" ht="12.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 spans="1:24" ht="12.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 spans="1:24" ht="12.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 spans="1:24" ht="12.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 spans="1:24" ht="12.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 spans="1:24" ht="12.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 spans="1:24" ht="12.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 spans="1:24" ht="12.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 spans="1:24" ht="12.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 spans="1:24" ht="12.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 spans="1:24" ht="12.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 spans="1:24" ht="12.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 spans="1:24" ht="12.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 spans="1:24" ht="12.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 spans="1:24" ht="12.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 spans="1:24" ht="12.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 spans="1:24" ht="12.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 spans="1:24" ht="12.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 spans="1:24" ht="12.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 spans="1:24" ht="12.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 spans="1:24" ht="12.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 spans="1:24" ht="12.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 spans="1:24" ht="12.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 spans="1:24" ht="12.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 spans="1:24" ht="12.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 spans="1:24" ht="12.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 spans="1:24" ht="12.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 spans="1:24" ht="12.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 spans="1:24" ht="12.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 spans="1:24" ht="12.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 spans="1:24" ht="12.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 spans="1:24" ht="12.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 spans="1:24" ht="12.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 spans="1:24" ht="12.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 spans="1:24" ht="12.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 spans="1:24" ht="12.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 spans="1:24" ht="12.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 spans="1:24" ht="12.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 spans="1:24" ht="12.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 spans="1:24" ht="12.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 spans="1:24" ht="12.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 spans="1:24" ht="12.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 spans="1:24" ht="12.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 spans="1:24" ht="12.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 spans="1:24" ht="12.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 spans="1:24" ht="12.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 spans="1:24" ht="12.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 spans="1:24" ht="12.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 spans="1:24" ht="12.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 spans="1:24" ht="12.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 spans="1:24" ht="12.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 spans="1:24" ht="12.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 spans="1:24" ht="12.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 spans="1:24" ht="12.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 spans="1:24" ht="12.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 spans="1:24" ht="12.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 spans="1:24" ht="12.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 spans="1:24" ht="12.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 spans="1:24" ht="12.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 spans="1:24" ht="12.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 spans="1:24" ht="12.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 spans="1:24" ht="12.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 spans="1:24" ht="12.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 spans="1:24" ht="12.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 spans="1:24" ht="12.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 spans="1:24" ht="12.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 spans="1:24" ht="12.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 spans="1:24" ht="12.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 spans="1:24" ht="12.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 spans="1:24" ht="12.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 spans="1:24" ht="12.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 spans="1:24" ht="12.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 spans="1:24" ht="12.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 spans="1:24" ht="12.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 spans="1:24" ht="12.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 spans="1:24" ht="12.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 spans="1:24" ht="12.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 spans="1:24" ht="12.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 spans="1:24" ht="12.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 spans="1:24" ht="12.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 spans="1:24" ht="12.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 spans="1:24" ht="12.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 spans="1:24" ht="12.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 spans="1:24" ht="12.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 spans="1:24" ht="12.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 spans="1:24" ht="12.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 spans="1:24" ht="12.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 spans="1:24" ht="12.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 spans="1:24" ht="12.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 spans="1:24" ht="12.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 spans="1:24" ht="12.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 spans="1:24" ht="12.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 spans="1:24" ht="12.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 spans="1:24" ht="12.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 spans="1:24" ht="12.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 spans="1:24" ht="12.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 spans="1:24" ht="12.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 spans="1:24" ht="12.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 spans="1:24" ht="12.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 spans="1:24" ht="12.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 spans="1:24" ht="12.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 spans="1:24" ht="12.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 spans="1:24" ht="12.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 spans="1:24" ht="12.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 spans="1:24" ht="12.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 spans="1:24" ht="12.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 spans="1:24" ht="12.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 spans="1:24" ht="12.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 spans="1:24" ht="12.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 spans="1:24" ht="12.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 spans="1:24" ht="12.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 spans="1:24" ht="12.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 spans="1:24" ht="12.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 spans="1:24" ht="12.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 spans="1:24" ht="12.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 spans="1:24" ht="12.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 spans="1:24" ht="12.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 spans="1:24" ht="12.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 spans="1:24" ht="12.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 spans="1:24" ht="12.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 spans="1:24" ht="12.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 spans="1:24" ht="12.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 spans="1:24" ht="12.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 spans="1:24" ht="12.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 spans="1:24" ht="12.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 spans="1:24" ht="12.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 spans="1:24" ht="12.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 spans="1:24" ht="12.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 spans="1:24" ht="12.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 spans="1:24" ht="12.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 spans="1:24" ht="12.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 spans="1:24" ht="12.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 spans="1:24" ht="12.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 spans="1:24" ht="12.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 spans="1:24" ht="12.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 spans="1:24" ht="12.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 spans="1:24" ht="12.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 spans="1:24" ht="12.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 spans="1:24" ht="12.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 spans="1:24" ht="12.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 spans="1:24" ht="12.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 spans="1:24" ht="12.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 spans="1:24" ht="12.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 spans="1:24" ht="12.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 spans="1:24" ht="12.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 spans="1:24" ht="12.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 spans="1:24" ht="12.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 spans="1:24" ht="12.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 spans="1:24" ht="12.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spans="1:24" ht="12.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 spans="1:24" ht="12.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 spans="1:24" ht="12.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 spans="1:24" ht="12.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 spans="1:24" ht="12.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 spans="1:24" ht="12.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 spans="1:24" ht="12.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 spans="1:24" ht="12.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spans="1:24" ht="12.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 spans="1:24" ht="12.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 spans="1:24" ht="12.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 spans="1:24" ht="12.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 spans="1:24" ht="12.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 spans="1:24" ht="12.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 spans="1:24" ht="12.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 spans="1:24" ht="12.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 spans="1:24" ht="12.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 spans="1:24" ht="12.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 spans="1:24" ht="12.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 spans="1:24" ht="12.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 spans="1:24" ht="12.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 spans="1:24" ht="12.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 spans="1:24" ht="12.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 spans="1:24" ht="12.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 spans="1:24" ht="12.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 spans="1:24" ht="12.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 spans="1:24" ht="12.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 spans="1:24" ht="12.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 spans="1:24" ht="12.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 spans="1:24" ht="12.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 spans="1:24" ht="12.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 spans="1:24" ht="12.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 spans="1:24" ht="12.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 spans="1:24" ht="12.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 spans="1:24" ht="12.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 spans="1:24" ht="12.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 spans="1:24" ht="12.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 spans="1:24" ht="12.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 spans="1:24" ht="12.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 spans="1:24" ht="12.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 spans="1:24" ht="12.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 spans="1:24" ht="12.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 spans="1:24" ht="12.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 spans="1:24" ht="12.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 spans="1:24" ht="12.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 spans="1:24" ht="12.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 spans="1:24" ht="12.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 spans="1:24" ht="12.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 spans="1:24" ht="12.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 spans="1:24" ht="12.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 spans="1:24" ht="12.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 spans="1:24" ht="12.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 spans="1:24" ht="12.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 spans="1:24" ht="12.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 spans="1:24" ht="12.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 spans="1:24" ht="12.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 spans="1:24" ht="12.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 spans="1:24" ht="12.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 spans="1:24" ht="12.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 spans="1:24" ht="12.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 spans="1:24" ht="12.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 spans="1:24" ht="12.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 spans="1:24" ht="12.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 spans="1:24" ht="12.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 spans="1:24" ht="12.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 spans="1:24" ht="12.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 spans="1:24" ht="12.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 spans="1:24" ht="12.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 spans="1:24" ht="12.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 spans="1:24" ht="12.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 spans="1:24" ht="12.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 spans="1:24" ht="12.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 spans="1:24" ht="12.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 spans="1:24" ht="12.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spans="1:24" ht="12.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spans="1:24" ht="12.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 spans="1:24" ht="12.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 spans="1:24" ht="12.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 spans="1:24" ht="12.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 spans="1:24" ht="12.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 spans="1:24" ht="12.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 spans="1:24" ht="12.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 spans="1:24" ht="12.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 spans="1:24" ht="12.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 spans="1:24" ht="12.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 spans="1:24" ht="12.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 spans="1:24" ht="12.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 spans="1:24" ht="12.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 spans="1:24" ht="12.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 spans="1:24" ht="12.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 spans="1:24" ht="12.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 spans="1:24" ht="12.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 spans="1:24" ht="12.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 spans="1:24" ht="12.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 spans="1:24" ht="12.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 spans="1:24" ht="12.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 spans="1:24" ht="12.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 spans="1:24" ht="12.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 spans="1:24" ht="12.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 spans="1:24" ht="12.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 spans="1:24" ht="12.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 spans="1:24" ht="12.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 spans="1:24" ht="12.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 spans="1:24" ht="12.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 spans="1:24" ht="12.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 spans="1:24" ht="12.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 spans="1:24" ht="12.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 spans="1:24" ht="12.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 spans="1:24" ht="12.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 spans="1:24" ht="12.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 spans="1:24" ht="12.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 spans="1:24" ht="12.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 spans="1:24" ht="12.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 spans="1:24" ht="12.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 spans="1:24" ht="12.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 spans="1:24" ht="12.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 spans="1:24" ht="12.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 spans="1:24" ht="12.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 spans="1:24" ht="12.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 spans="1:24" ht="12.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 spans="1:24" ht="12.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 spans="1:24" ht="12.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 spans="1:24" ht="12.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 spans="1:24" ht="12.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 spans="1:24" ht="12.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 spans="1:24" ht="12.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 spans="1:24" ht="12.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 spans="1:24" ht="12.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 spans="1:24" ht="12.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 spans="1:24" ht="12.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 spans="1:24" ht="12.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 spans="1:24" ht="12.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 spans="1:24" ht="12.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 spans="1:24" ht="12.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 spans="1:24" ht="12.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 spans="1:24" ht="12.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 spans="1:24" ht="12.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 spans="1:24" ht="12.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 spans="1:24" ht="12.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 spans="1:24" ht="12.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 spans="1:24" ht="12.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 spans="1:24" ht="12.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 spans="1:24" ht="12.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 spans="1:24" ht="12.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 spans="1:24" ht="12.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 spans="1:24" ht="12.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 spans="1:24" ht="12.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 spans="1:24" ht="12.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 spans="1:24" ht="12.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 spans="1:24" ht="12.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 spans="1:24" ht="12.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 spans="1:24" ht="12.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 spans="1:24" ht="12.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 spans="1:24" ht="12.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 spans="1:24" ht="12.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 spans="1:24" ht="12.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 spans="1:24" ht="12.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 spans="1:24" ht="12.5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 spans="1:24" ht="12.5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 spans="1:24" ht="12.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 spans="1:24" ht="12.5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 spans="1:24" ht="12.5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 spans="1:24" ht="12.5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 spans="1:24" ht="12.5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 spans="1:24" ht="12.5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 spans="1:24" ht="12.5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 spans="1:24" ht="12.5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 spans="1:24" ht="12.5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 spans="1:24" ht="12.5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 spans="1:24" ht="12.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 spans="1:24" ht="12.5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 spans="1:24" ht="12.5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 spans="1:24" ht="12.5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 spans="1:24" ht="12.5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 spans="1:24" ht="12.5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 spans="1:24" ht="12.5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 spans="1:24" ht="12.5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 spans="1:24" ht="12.5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 spans="1:24" ht="12.5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 spans="1:24" ht="12.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 spans="1:24" ht="12.5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 spans="1:24" ht="12.5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 spans="1:24" ht="12.5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 spans="1:24" ht="12.5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 spans="1:24" ht="12.5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 spans="1:24" ht="12.5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 spans="1:24" ht="12.5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 spans="1:24" ht="12.5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 spans="1:24" ht="12.5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 spans="1:24" ht="12.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 spans="1:24" ht="12.5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 spans="1:24" ht="12.5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 spans="1:24" ht="12.5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 spans="1:24" ht="12.5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 spans="1:24" ht="12.5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 spans="1:24" ht="12.5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 spans="1:24" ht="12.5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 spans="1:24" ht="12.5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 spans="1:24" ht="12.5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 spans="1:24" ht="12.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 spans="1:24" ht="12.5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 spans="1:24" ht="12.5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 spans="1:24" ht="12.5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 spans="1:24" ht="12.5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 spans="1:24" ht="12.5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 spans="1:24" ht="12.5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 spans="1:24" ht="12.5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 spans="1:24" ht="12.5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 spans="1:24" ht="12.5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 spans="1:24" ht="12.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 spans="1:24" ht="12.5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 spans="1:24" ht="12.5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 spans="1:24" ht="12.5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 spans="1:24" ht="12.5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 spans="1:24" ht="12.5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 spans="1:24" ht="12.5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 spans="1:24" ht="12.5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 spans="1:24" ht="12.5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 spans="1:24" ht="12.5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 spans="1:24" ht="12.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 spans="1:24" ht="12.5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 spans="1:24" ht="12.5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 spans="1:24" ht="12.5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 spans="1:24" ht="12.5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 spans="1:24" ht="12.5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 spans="1:24" ht="12.5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 spans="1:24" ht="12.5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 spans="1:24" ht="12.5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 spans="1:24" ht="12.5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 spans="1:24" ht="12.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 spans="1:24" ht="12.5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 spans="1:24" ht="12.5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 spans="1:24" ht="12.5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 spans="1:24" ht="12.5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 spans="1:24" ht="12.5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 spans="1:24" ht="12.5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 spans="1:24" ht="12.5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 spans="1:24" ht="12.5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 spans="1:24" ht="12.5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 spans="1:24" ht="12.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 spans="1:24" ht="12.5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 spans="1:24" ht="12.5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 spans="1:24" ht="12.5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 spans="1:24" ht="12.5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 spans="1:24" ht="12.5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 spans="1:24" ht="12.5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 spans="1:24" ht="12.5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 spans="1:24" ht="12.5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 spans="1:24" ht="12.5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 spans="1:24" ht="12.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 spans="1:24" ht="12.5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spans="1:24" ht="12.5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 spans="1:24" ht="12.5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 spans="1:24" ht="12.5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 spans="1:24" ht="12.5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 spans="1:24" ht="12.5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 spans="1:24" ht="12.5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 spans="1:24" ht="12.5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 spans="1:24" ht="12.5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 spans="1:24" ht="12.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24" ht="12.5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24" ht="12.5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24" ht="12.5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24" ht="12.5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24" ht="12.5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24" ht="12.5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24" ht="12.5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24" ht="12.5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24" ht="12.5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ht="12.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ht="12.5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ht="12.5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ht="12.5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ht="12.5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ht="12.5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ht="12.5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ht="12.5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ht="12.5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ht="12.5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ht="12.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ht="12.5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ht="12.5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ht="12.5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ht="12.5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ht="12.5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ht="12.5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ht="12.5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ht="12.5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ht="12.5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ht="12.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ht="12.5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ht="12.5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ht="12.5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ht="12.5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ht="12.5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ht="12.5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ht="12.5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ht="12.5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ht="12.5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ht="12.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ht="12.5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ht="12.5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ht="12.5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ht="12.5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ht="12.5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ht="12.5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ht="12.5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ht="12.5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ht="12.5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ht="12.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ht="12.5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ht="12.5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ht="12.5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ht="12.5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ht="12.5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ht="12.5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ht="12.5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ht="12.5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ht="12.5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ht="12.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ht="12.5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ht="12.5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ht="12.5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ht="12.5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ht="12.5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ht="12.5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ht="12.5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ht="12.5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ht="12.5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ht="12.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ht="12.5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ht="12.5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ht="12.5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ht="12.5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ht="12.5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ht="12.5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ht="12.5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ht="12.5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ht="12.5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ht="12.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ht="12.5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ht="12.5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ht="12.5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ht="12.5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ht="12.5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ht="12.5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ht="12.5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ht="12.5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ht="12.5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ht="12.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ht="12.5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ht="12.5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ht="12.5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ht="12.5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ht="12.5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ht="12.5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ht="12.5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ht="12.5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ht="12.5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ht="12.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ht="12.5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ht="12.5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ht="12.5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ht="12.5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ht="12.5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ht="12.5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ht="12.5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ht="12.5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ht="12.5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ht="12.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ht="12.5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ht="12.5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ht="12.5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ht="12.5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ht="12.5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ht="12.5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ht="12.5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ht="12.5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ht="12.5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ht="12.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ht="12.5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ht="12.5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ht="12.5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ht="12.5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ht="12.5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ht="12.5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ht="12.5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ht="12.5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ht="12.5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ht="12.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ht="12.5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ht="12.5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ht="12.5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ht="12.5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ht="12.5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ht="12.5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ht="12.5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2.5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2.5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2.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2.5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2.5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ht="12.5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ht="12.5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spans="1:24" ht="12.5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outlinePr summaryBelow="0" summaryRight="0"/>
  </sheetPr>
  <dimension ref="A1:AC71"/>
  <sheetViews>
    <sheetView topLeftCell="R1" workbookViewId="0">
      <selection activeCell="AB8" sqref="AB2:AB8"/>
    </sheetView>
  </sheetViews>
  <sheetFormatPr defaultColWidth="12.6328125" defaultRowHeight="15.75" customHeight="1"/>
  <cols>
    <col min="1" max="1" width="61.90625" customWidth="1"/>
    <col min="2" max="2" width="33.453125" customWidth="1"/>
    <col min="3" max="3" width="11" customWidth="1"/>
    <col min="4" max="4" width="6.08984375" customWidth="1"/>
    <col min="5" max="5" width="10.453125" customWidth="1"/>
    <col min="6" max="6" width="10.7265625" customWidth="1"/>
    <col min="7" max="7" width="13.08984375" customWidth="1"/>
    <col min="9" max="9" width="61.90625" customWidth="1"/>
    <col min="10" max="10" width="33.453125" customWidth="1"/>
    <col min="11" max="11" width="4.36328125" customWidth="1"/>
    <col min="12" max="12" width="11.7265625" customWidth="1"/>
    <col min="13" max="13" width="15.36328125" customWidth="1"/>
    <col min="14" max="14" width="10.7265625" customWidth="1"/>
    <col min="15" max="15" width="11.7265625" customWidth="1"/>
    <col min="17" max="17" width="61.90625" customWidth="1"/>
    <col min="29" max="29" width="83.7265625" customWidth="1"/>
  </cols>
  <sheetData>
    <row r="1" spans="1:29" ht="13">
      <c r="A1" s="26" t="s">
        <v>3</v>
      </c>
      <c r="B1" s="27" t="s">
        <v>4</v>
      </c>
      <c r="C1" s="27" t="s">
        <v>1</v>
      </c>
      <c r="D1" s="27" t="s">
        <v>5</v>
      </c>
      <c r="E1" s="27" t="s">
        <v>6</v>
      </c>
      <c r="F1" s="27" t="s">
        <v>7</v>
      </c>
      <c r="G1" s="28" t="s">
        <v>8</v>
      </c>
      <c r="H1" s="29"/>
      <c r="I1" s="30" t="str">
        <f ca="1">IFERROR(__xludf.DUMMYFUNCTION("QUERY($A$2:$G$69, ""select A, B, avg(C), avg(D), avg(E), avg(F), avg(G) group by A,B"")"),"")</f>
        <v/>
      </c>
      <c r="J1" s="31" t="str">
        <f ca="1">IFERROR(__xludf.DUMMYFUNCTION("""COMPUTED_VALUE"""),"")</f>
        <v/>
      </c>
      <c r="K1" s="31" t="str">
        <f ca="1">IFERROR(__xludf.DUMMYFUNCTION("""COMPUTED_VALUE"""),"avg ")</f>
        <v xml:space="preserve">avg </v>
      </c>
      <c r="L1" s="31" t="str">
        <f ca="1">IFERROR(__xludf.DUMMYFUNCTION("""COMPUTED_VALUE"""),"avg ")</f>
        <v xml:space="preserve">avg </v>
      </c>
      <c r="M1" s="31" t="str">
        <f ca="1">IFERROR(__xludf.DUMMYFUNCTION("""COMPUTED_VALUE"""),"avg ")</f>
        <v xml:space="preserve">avg </v>
      </c>
      <c r="N1" s="31" t="str">
        <f ca="1">IFERROR(__xludf.DUMMYFUNCTION("""COMPUTED_VALUE"""),"avg ")</f>
        <v xml:space="preserve">avg </v>
      </c>
      <c r="O1" s="32" t="str">
        <f ca="1">IFERROR(__xludf.DUMMYFUNCTION("""COMPUTED_VALUE"""),"avg ")</f>
        <v xml:space="preserve">avg </v>
      </c>
      <c r="P1" s="29"/>
      <c r="Q1" s="30" t="str">
        <f ca="1">IFERROR(__xludf.DUMMYFUNCTION("QUERY($I$2:$I$57, ""select I, count(I) group by I order by count(I)"")"),"")</f>
        <v/>
      </c>
      <c r="R1" s="31" t="str">
        <f ca="1">IFERROR(__xludf.DUMMYFUNCTION("""COMPUTED_VALUE"""),"count ")</f>
        <v xml:space="preserve">count </v>
      </c>
      <c r="S1" s="31" t="s">
        <v>9</v>
      </c>
      <c r="T1" s="31" t="s">
        <v>10</v>
      </c>
      <c r="U1" s="31" t="s">
        <v>56</v>
      </c>
      <c r="V1" s="31" t="s">
        <v>57</v>
      </c>
      <c r="W1" s="31" t="s">
        <v>58</v>
      </c>
      <c r="X1" s="31" t="s">
        <v>59</v>
      </c>
      <c r="Y1" s="31" t="s">
        <v>60</v>
      </c>
      <c r="Z1" s="32" t="s">
        <v>11</v>
      </c>
      <c r="AA1" s="29"/>
      <c r="AB1" s="29" t="s">
        <v>12</v>
      </c>
      <c r="AC1" s="29" t="s">
        <v>1</v>
      </c>
    </row>
    <row r="2" spans="1:29" ht="15.75" customHeight="1">
      <c r="A2" s="10" t="s">
        <v>49</v>
      </c>
      <c r="B2" s="11" t="s">
        <v>61</v>
      </c>
      <c r="C2" s="12">
        <v>1</v>
      </c>
      <c r="D2" s="12">
        <v>0.70699999999999996</v>
      </c>
      <c r="E2" s="12">
        <v>1E-4</v>
      </c>
      <c r="F2" s="12">
        <v>4.4116</v>
      </c>
      <c r="G2" s="13">
        <v>0.70699999999999996</v>
      </c>
      <c r="I2" s="15" t="str">
        <f ca="1">IFERROR(__xludf.DUMMYFUNCTION("""COMPUTED_VALUE"""),"Denial of Service: Backup Of Cloud Application Lost")</f>
        <v>Denial of Service: Backup Of Cloud Application Lost</v>
      </c>
      <c r="J2" s="2" t="str">
        <f ca="1">IFERROR(__xludf.DUMMYFUNCTION("""COMPUTED_VALUE"""),"LoadBalancer (ALB) - km_lb_target")</f>
        <v>LoadBalancer (ALB) - km_lb_target</v>
      </c>
      <c r="K2" s="2">
        <f ca="1">IFERROR(__xludf.DUMMYFUNCTION("""COMPUTED_VALUE"""),1)</f>
        <v>1</v>
      </c>
      <c r="L2" s="2">
        <f ca="1">IFERROR(__xludf.DUMMYFUNCTION("""COMPUTED_VALUE"""),0.6952)</f>
        <v>0.69520000000000004</v>
      </c>
      <c r="M2" s="2">
        <f ca="1">IFERROR(__xludf.DUMMYFUNCTION("""COMPUTED_VALUE"""),0)</f>
        <v>0</v>
      </c>
      <c r="N2" s="2">
        <f ca="1">IFERROR(__xludf.DUMMYFUNCTION("""COMPUTED_VALUE"""),4.8485)</f>
        <v>4.8484999999999996</v>
      </c>
      <c r="O2" s="18">
        <f ca="1">IFERROR(__xludf.DUMMYFUNCTION("""COMPUTED_VALUE"""),0.6952)</f>
        <v>0.69520000000000004</v>
      </c>
      <c r="Q2" s="15" t="str">
        <f ca="1">IFERROR(__xludf.DUMMYFUNCTION("""COMPUTED_VALUE"""),"Information Disclosure: Malware From Cloud Application")</f>
        <v>Information Disclosure: Malware From Cloud Application</v>
      </c>
      <c r="R2" s="2">
        <f ca="1">IFERROR(__xludf.DUMMYFUNCTION("""COMPUTED_VALUE"""),1)</f>
        <v>1</v>
      </c>
      <c r="T2" s="2"/>
      <c r="U2" s="2"/>
      <c r="V2" s="2"/>
      <c r="W2" s="2"/>
      <c r="X2" s="2"/>
      <c r="Y2" s="2"/>
      <c r="Z2" s="18"/>
      <c r="AA2" s="2"/>
      <c r="AB2" s="2" t="s">
        <v>15</v>
      </c>
      <c r="AC2" s="2" t="s">
        <v>62</v>
      </c>
    </row>
    <row r="3" spans="1:29" ht="15.75" customHeight="1">
      <c r="A3" s="10" t="s">
        <v>49</v>
      </c>
      <c r="B3" s="11" t="s">
        <v>63</v>
      </c>
      <c r="C3" s="12">
        <v>1</v>
      </c>
      <c r="D3" s="12">
        <v>0.74609999999999999</v>
      </c>
      <c r="E3" s="12">
        <v>1E-4</v>
      </c>
      <c r="F3" s="12">
        <v>5.0620000000000003</v>
      </c>
      <c r="G3" s="13">
        <v>0.74609999999999999</v>
      </c>
      <c r="I3" s="15" t="str">
        <f ca="1">IFERROR(__xludf.DUMMYFUNCTION("""COMPUTED_VALUE"""),"Denial of Service: Backup Of Cloud Application Lost")</f>
        <v>Denial of Service: Backup Of Cloud Application Lost</v>
      </c>
      <c r="J3" s="2" t="str">
        <f ca="1">IFERROR(__xludf.DUMMYFUNCTION("""COMPUTED_VALUE"""),"VirtualFirewall (SecurityGroup) - km_alb_sg")</f>
        <v>VirtualFirewall (SecurityGroup) - km_alb_sg</v>
      </c>
      <c r="K3" s="2">
        <f ca="1">IFERROR(__xludf.DUMMYFUNCTION("""COMPUTED_VALUE"""),1)</f>
        <v>1</v>
      </c>
      <c r="L3" s="2">
        <f ca="1">IFERROR(__xludf.DUMMYFUNCTION("""COMPUTED_VALUE"""),0.7079)</f>
        <v>0.70789999999999997</v>
      </c>
      <c r="M3" s="2">
        <f ca="1">IFERROR(__xludf.DUMMYFUNCTION("""COMPUTED_VALUE"""),0)</f>
        <v>0</v>
      </c>
      <c r="N3" s="2">
        <f ca="1">IFERROR(__xludf.DUMMYFUNCTION("""COMPUTED_VALUE"""),5.3773)</f>
        <v>5.3773</v>
      </c>
      <c r="O3" s="18">
        <f ca="1">IFERROR(__xludf.DUMMYFUNCTION("""COMPUTED_VALUE"""),0.7079)</f>
        <v>0.70789999999999997</v>
      </c>
      <c r="Q3" s="15" t="str">
        <f ca="1">IFERROR(__xludf.DUMMYFUNCTION("""COMPUTED_VALUE"""),"Information Disclosure: Public Network Access To Cloud Application")</f>
        <v>Information Disclosure: Public Network Access To Cloud Application</v>
      </c>
      <c r="R3" s="2">
        <f ca="1">IFERROR(__xludf.DUMMYFUNCTION("""COMPUTED_VALUE"""),1)</f>
        <v>1</v>
      </c>
      <c r="T3" s="2"/>
      <c r="U3" s="2"/>
      <c r="V3" s="2"/>
      <c r="W3" s="2"/>
      <c r="X3" s="2"/>
      <c r="Y3" s="2"/>
      <c r="Z3" s="18"/>
      <c r="AA3" s="2"/>
      <c r="AB3" s="2" t="s">
        <v>18</v>
      </c>
      <c r="AC3" s="2" t="s">
        <v>64</v>
      </c>
    </row>
    <row r="4" spans="1:29" ht="15.75" customHeight="1">
      <c r="A4" s="10" t="s">
        <v>37</v>
      </c>
      <c r="B4" s="11" t="s">
        <v>2</v>
      </c>
      <c r="C4" s="12">
        <v>1</v>
      </c>
      <c r="D4" s="12">
        <v>0.7319</v>
      </c>
      <c r="E4" s="12">
        <v>0</v>
      </c>
      <c r="F4" s="12">
        <v>4.6536999999999997</v>
      </c>
      <c r="G4" s="13">
        <v>0.7319</v>
      </c>
      <c r="I4" s="15" t="str">
        <f ca="1">IFERROR(__xludf.DUMMYFUNCTION("""COMPUTED_VALUE"""),"Denial of Service: Block Shared Resources Of Cloud Application")</f>
        <v>Denial of Service: Block Shared Resources Of Cloud Application</v>
      </c>
      <c r="J4" s="2" t="str">
        <f ca="1">IFERROR(__xludf.DUMMYFUNCTION("""COMPUTED_VALUE"""),"IAM (IAM) - km_ecs_task_execution_role")</f>
        <v>IAM (IAM) - km_ecs_task_execution_role</v>
      </c>
      <c r="K4" s="2">
        <f ca="1">IFERROR(__xludf.DUMMYFUNCTION("""COMPUTED_VALUE"""),1)</f>
        <v>1</v>
      </c>
      <c r="L4" s="2">
        <f ca="1">IFERROR(__xludf.DUMMYFUNCTION("""COMPUTED_VALUE"""),0.774)</f>
        <v>0.77400000000000002</v>
      </c>
      <c r="M4" s="2">
        <f ca="1">IFERROR(__xludf.DUMMYFUNCTION("""COMPUTED_VALUE"""),0.0001)</f>
        <v>1E-4</v>
      </c>
      <c r="N4" s="2">
        <f ca="1">IFERROR(__xludf.DUMMYFUNCTION("""COMPUTED_VALUE"""),4.4518)</f>
        <v>4.4518000000000004</v>
      </c>
      <c r="O4" s="18">
        <f ca="1">IFERROR(__xludf.DUMMYFUNCTION("""COMPUTED_VALUE"""),0.774)</f>
        <v>0.77400000000000002</v>
      </c>
      <c r="Q4" s="15" t="str">
        <f ca="1">IFERROR(__xludf.DUMMYFUNCTION("""COMPUTED_VALUE"""),"Information Disclosure: Social Engineering Against Remote User")</f>
        <v>Information Disclosure: Social Engineering Against Remote User</v>
      </c>
      <c r="R4" s="2">
        <f ca="1">IFERROR(__xludf.DUMMYFUNCTION("""COMPUTED_VALUE"""),1)</f>
        <v>1</v>
      </c>
      <c r="T4" s="2"/>
      <c r="U4" s="2"/>
      <c r="V4" s="2"/>
      <c r="W4" s="2"/>
      <c r="X4" s="2"/>
      <c r="Y4" s="2"/>
      <c r="Z4" s="18"/>
      <c r="AA4" s="2"/>
      <c r="AB4" s="2" t="s">
        <v>65</v>
      </c>
      <c r="AC4" s="2" t="s">
        <v>66</v>
      </c>
    </row>
    <row r="5" spans="1:29" ht="15.75" customHeight="1">
      <c r="A5" s="10" t="s">
        <v>37</v>
      </c>
      <c r="B5" s="11" t="s">
        <v>2</v>
      </c>
      <c r="C5" s="12">
        <v>1</v>
      </c>
      <c r="D5" s="12">
        <v>0.72540000000000004</v>
      </c>
      <c r="E5" s="12">
        <v>0</v>
      </c>
      <c r="F5" s="12">
        <v>5.6765999999999996</v>
      </c>
      <c r="G5" s="13">
        <v>0.72540000000000004</v>
      </c>
      <c r="I5" s="15" t="str">
        <f ca="1">IFERROR(__xludf.DUMMYFUNCTION("""COMPUTED_VALUE"""),"Denial of Service: Block Shared Resources Of Cloud Application")</f>
        <v>Denial of Service: Block Shared Resources Of Cloud Application</v>
      </c>
      <c r="J5" s="2" t="str">
        <f ca="1">IFERROR(__xludf.DUMMYFUNCTION("""COMPUTED_VALUE"""),"VirtualFirewall (SecurityGroup) - km_alb_sg")</f>
        <v>VirtualFirewall (SecurityGroup) - km_alb_sg</v>
      </c>
      <c r="K5" s="2">
        <f ca="1">IFERROR(__xludf.DUMMYFUNCTION("""COMPUTED_VALUE"""),1)</f>
        <v>1</v>
      </c>
      <c r="L5" s="2">
        <f ca="1">IFERROR(__xludf.DUMMYFUNCTION("""COMPUTED_VALUE"""),0.7019)</f>
        <v>0.70189999999999997</v>
      </c>
      <c r="M5" s="2">
        <f ca="1">IFERROR(__xludf.DUMMYFUNCTION("""COMPUTED_VALUE"""),0)</f>
        <v>0</v>
      </c>
      <c r="N5" s="2">
        <f ca="1">IFERROR(__xludf.DUMMYFUNCTION("""COMPUTED_VALUE"""),4.8535)</f>
        <v>4.8535000000000004</v>
      </c>
      <c r="O5" s="18">
        <f ca="1">IFERROR(__xludf.DUMMYFUNCTION("""COMPUTED_VALUE"""),0.7019)</f>
        <v>0.70189999999999997</v>
      </c>
      <c r="Q5" s="15" t="str">
        <f ca="1">IFERROR(__xludf.DUMMYFUNCTION("""COMPUTED_VALUE"""),"Spoofing: Social Engineering Against Remote User")</f>
        <v>Spoofing: Social Engineering Against Remote User</v>
      </c>
      <c r="R5" s="2">
        <f ca="1">IFERROR(__xludf.DUMMYFUNCTION("""COMPUTED_VALUE"""),1)</f>
        <v>1</v>
      </c>
      <c r="T5" s="2"/>
      <c r="U5" s="2"/>
      <c r="V5" s="2"/>
      <c r="W5" s="2"/>
      <c r="X5" s="2"/>
      <c r="Y5" s="2"/>
      <c r="Z5" s="18"/>
      <c r="AA5" s="2"/>
      <c r="AB5" s="2" t="s">
        <v>67</v>
      </c>
      <c r="AC5" s="2" t="s">
        <v>68</v>
      </c>
    </row>
    <row r="6" spans="1:29" ht="15.75" customHeight="1">
      <c r="A6" s="10" t="s">
        <v>37</v>
      </c>
      <c r="B6" s="11" t="s">
        <v>2</v>
      </c>
      <c r="C6" s="12">
        <v>1</v>
      </c>
      <c r="D6" s="12">
        <v>0.72219999999999995</v>
      </c>
      <c r="E6" s="12">
        <v>1E-4</v>
      </c>
      <c r="F6" s="12">
        <v>5.1909999999999998</v>
      </c>
      <c r="G6" s="13">
        <v>0.72219999999999995</v>
      </c>
      <c r="I6" s="15" t="str">
        <f ca="1">IFERROR(__xludf.DUMMYFUNCTION("""COMPUTED_VALUE"""),"Denial of Service: Block Shared Resources Of Cloud Application")</f>
        <v>Denial of Service: Block Shared Resources Of Cloud Application</v>
      </c>
      <c r="J6" s="2" t="str">
        <f ca="1">IFERROR(__xludf.DUMMYFUNCTION("""COMPUTED_VALUE"""),"VirtualFirewall (SecurityGroup) - km_rds_sg")</f>
        <v>VirtualFirewall (SecurityGroup) - km_rds_sg</v>
      </c>
      <c r="K6" s="2">
        <f ca="1">IFERROR(__xludf.DUMMYFUNCTION("""COMPUTED_VALUE"""),1)</f>
        <v>1</v>
      </c>
      <c r="L6" s="2">
        <f ca="1">IFERROR(__xludf.DUMMYFUNCTION("""COMPUTED_VALUE"""),0.7444)</f>
        <v>0.74439999999999995</v>
      </c>
      <c r="M6" s="2">
        <f ca="1">IFERROR(__xludf.DUMMYFUNCTION("""COMPUTED_VALUE"""),0)</f>
        <v>0</v>
      </c>
      <c r="N6" s="2">
        <f ca="1">IFERROR(__xludf.DUMMYFUNCTION("""COMPUTED_VALUE"""),5.1603)</f>
        <v>5.1603000000000003</v>
      </c>
      <c r="O6" s="18">
        <f ca="1">IFERROR(__xludf.DUMMYFUNCTION("""COMPUTED_VALUE"""),0.7444)</f>
        <v>0.74439999999999995</v>
      </c>
      <c r="Q6" s="15" t="str">
        <f ca="1">IFERROR(__xludf.DUMMYFUNCTION("""COMPUTED_VALUE"""),"Tampering: Malware From Cloud Application")</f>
        <v>Tampering: Malware From Cloud Application</v>
      </c>
      <c r="R6" s="2">
        <f ca="1">IFERROR(__xludf.DUMMYFUNCTION("""COMPUTED_VALUE"""),1)</f>
        <v>1</v>
      </c>
      <c r="T6" s="2"/>
      <c r="U6" s="2"/>
      <c r="V6" s="2"/>
      <c r="W6" s="2"/>
      <c r="X6" s="2"/>
      <c r="Y6" s="2"/>
      <c r="Z6" s="18"/>
      <c r="AA6" s="2"/>
      <c r="AB6" s="2" t="s">
        <v>69</v>
      </c>
      <c r="AC6" s="2" t="s">
        <v>70</v>
      </c>
    </row>
    <row r="7" spans="1:29" ht="15.75" customHeight="1">
      <c r="A7" s="10" t="s">
        <v>54</v>
      </c>
      <c r="B7" s="11" t="s">
        <v>2</v>
      </c>
      <c r="C7" s="12">
        <v>1</v>
      </c>
      <c r="D7" s="12">
        <v>0.74619999999999997</v>
      </c>
      <c r="E7" s="12">
        <v>0</v>
      </c>
      <c r="F7" s="12">
        <v>5.1033999999999997</v>
      </c>
      <c r="G7" s="13">
        <v>0.74619999999999997</v>
      </c>
      <c r="I7" s="15" t="str">
        <f ca="1">IFERROR(__xludf.DUMMYFUNCTION("""COMPUTED_VALUE"""),"Denial of Service: Connection Lost To Cloud Application")</f>
        <v>Denial of Service: Connection Lost To Cloud Application</v>
      </c>
      <c r="J7" s="2" t="str">
        <f ca="1">IFERROR(__xludf.DUMMYFUNCTION("""COMPUTED_VALUE"""),"LoadBalancer (ALB) - km_lb_target")</f>
        <v>LoadBalancer (ALB) - km_lb_target</v>
      </c>
      <c r="K7" s="2">
        <f ca="1">IFERROR(__xludf.DUMMYFUNCTION("""COMPUTED_VALUE"""),1)</f>
        <v>1</v>
      </c>
      <c r="L7" s="2">
        <f ca="1">IFERROR(__xludf.DUMMYFUNCTION("""COMPUTED_VALUE"""),0.6834)</f>
        <v>0.68340000000000001</v>
      </c>
      <c r="M7" s="2">
        <f ca="1">IFERROR(__xludf.DUMMYFUNCTION("""COMPUTED_VALUE"""),0.0002)</f>
        <v>2.0000000000000001E-4</v>
      </c>
      <c r="N7" s="2">
        <f ca="1">IFERROR(__xludf.DUMMYFUNCTION("""COMPUTED_VALUE"""),5.4208)</f>
        <v>5.4207999999999998</v>
      </c>
      <c r="O7" s="18">
        <f ca="1">IFERROR(__xludf.DUMMYFUNCTION("""COMPUTED_VALUE"""),0.6834)</f>
        <v>0.68340000000000001</v>
      </c>
      <c r="Q7" s="15" t="str">
        <f ca="1">IFERROR(__xludf.DUMMYFUNCTION("""COMPUTED_VALUE"""),"Tampering: Public Network Access To Cloud Application")</f>
        <v>Tampering: Public Network Access To Cloud Application</v>
      </c>
      <c r="R7" s="2">
        <f ca="1">IFERROR(__xludf.DUMMYFUNCTION("""COMPUTED_VALUE"""),1)</f>
        <v>1</v>
      </c>
      <c r="T7" s="2"/>
      <c r="U7" s="2"/>
      <c r="V7" s="2"/>
      <c r="W7" s="2"/>
      <c r="X7" s="2"/>
      <c r="Y7" s="2"/>
      <c r="Z7" s="18"/>
      <c r="AA7" s="2"/>
      <c r="AB7" s="2" t="s">
        <v>71</v>
      </c>
      <c r="AC7" s="2" t="s">
        <v>72</v>
      </c>
    </row>
    <row r="8" spans="1:29" ht="15.75" customHeight="1">
      <c r="A8" s="10" t="s">
        <v>54</v>
      </c>
      <c r="B8" s="11" t="s">
        <v>2</v>
      </c>
      <c r="C8" s="12">
        <v>1</v>
      </c>
      <c r="D8" s="12">
        <v>0.7056</v>
      </c>
      <c r="E8" s="12">
        <v>0</v>
      </c>
      <c r="F8" s="12">
        <v>4.7691999999999997</v>
      </c>
      <c r="G8" s="13">
        <v>0.7056</v>
      </c>
      <c r="I8" s="15" t="str">
        <f ca="1">IFERROR(__xludf.DUMMYFUNCTION("""COMPUTED_VALUE"""),"Denial of Service: Connection Lost To Cloud Application")</f>
        <v>Denial of Service: Connection Lost To Cloud Application</v>
      </c>
      <c r="J8" s="2" t="str">
        <f ca="1">IFERROR(__xludf.DUMMYFUNCTION("""COMPUTED_VALUE"""),"VirtualFirewall (SecurityGroup) - km_alb_sg")</f>
        <v>VirtualFirewall (SecurityGroup) - km_alb_sg</v>
      </c>
      <c r="K8" s="2">
        <f ca="1">IFERROR(__xludf.DUMMYFUNCTION("""COMPUTED_VALUE"""),1)</f>
        <v>1</v>
      </c>
      <c r="L8" s="2">
        <f ca="1">IFERROR(__xludf.DUMMYFUNCTION("""COMPUTED_VALUE"""),0.7384)</f>
        <v>0.73839999999999995</v>
      </c>
      <c r="M8" s="2">
        <f ca="1">IFERROR(__xludf.DUMMYFUNCTION("""COMPUTED_VALUE"""),0)</f>
        <v>0</v>
      </c>
      <c r="N8" s="2">
        <f ca="1">IFERROR(__xludf.DUMMYFUNCTION("""COMPUTED_VALUE"""),5.5476)</f>
        <v>5.5476000000000001</v>
      </c>
      <c r="O8" s="18">
        <f ca="1">IFERROR(__xludf.DUMMYFUNCTION("""COMPUTED_VALUE"""),0.7384)</f>
        <v>0.73839999999999995</v>
      </c>
      <c r="Q8" s="15" t="str">
        <f ca="1">IFERROR(__xludf.DUMMYFUNCTION("""COMPUTED_VALUE"""),"Denial of Service: Backup Of Cloud Application Lost")</f>
        <v>Denial of Service: Backup Of Cloud Application Lost</v>
      </c>
      <c r="R8" s="2">
        <f ca="1">IFERROR(__xludf.DUMMYFUNCTION("""COMPUTED_VALUE"""),2)</f>
        <v>2</v>
      </c>
      <c r="T8" s="2"/>
      <c r="U8" s="2"/>
      <c r="V8" s="2"/>
      <c r="W8" s="2"/>
      <c r="X8" s="2"/>
      <c r="Y8" s="2"/>
      <c r="Z8" s="18"/>
      <c r="AA8" s="2"/>
      <c r="AB8" s="2" t="s">
        <v>73</v>
      </c>
      <c r="AC8" s="2" t="s">
        <v>74</v>
      </c>
    </row>
    <row r="9" spans="1:29" ht="15.75" customHeight="1">
      <c r="A9" s="10" t="s">
        <v>54</v>
      </c>
      <c r="B9" s="11" t="s">
        <v>2</v>
      </c>
      <c r="C9" s="12">
        <v>1</v>
      </c>
      <c r="D9" s="12">
        <v>0.74199999999999999</v>
      </c>
      <c r="E9" s="12">
        <v>0</v>
      </c>
      <c r="F9" s="12">
        <v>5.4241999999999999</v>
      </c>
      <c r="G9" s="13">
        <v>0.74199999999999999</v>
      </c>
      <c r="I9" s="15" t="str">
        <f ca="1">IFERROR(__xludf.DUMMYFUNCTION("""COMPUTED_VALUE"""),"Denial of Service: DDoS Attack To Cloud Application")</f>
        <v>Denial of Service: DDoS Attack To Cloud Application</v>
      </c>
      <c r="J9" s="2" t="str">
        <f ca="1">IFERROR(__xludf.DUMMYFUNCTION("""COMPUTED_VALUE"""),"IAM (IAM) - km_ecs_task_execution_role")</f>
        <v>IAM (IAM) - km_ecs_task_execution_role</v>
      </c>
      <c r="K9" s="2">
        <f ca="1">IFERROR(__xludf.DUMMYFUNCTION("""COMPUTED_VALUE"""),1)</f>
        <v>1</v>
      </c>
      <c r="L9" s="2">
        <f ca="1">IFERROR(__xludf.DUMMYFUNCTION("""COMPUTED_VALUE"""),0.7299)</f>
        <v>0.72989999999999999</v>
      </c>
      <c r="M9" s="2">
        <f ca="1">IFERROR(__xludf.DUMMYFUNCTION("""COMPUTED_VALUE"""),0)</f>
        <v>0</v>
      </c>
      <c r="N9" s="2">
        <f ca="1">IFERROR(__xludf.DUMMYFUNCTION("""COMPUTED_VALUE"""),5.168)</f>
        <v>5.1680000000000001</v>
      </c>
      <c r="O9" s="18">
        <f ca="1">IFERROR(__xludf.DUMMYFUNCTION("""COMPUTED_VALUE"""),0.7299)</f>
        <v>0.72989999999999999</v>
      </c>
      <c r="Q9" s="15" t="str">
        <f ca="1">IFERROR(__xludf.DUMMYFUNCTION("""COMPUTED_VALUE"""),"Denial of Service: Connection Lost To Cloud Application")</f>
        <v>Denial of Service: Connection Lost To Cloud Application</v>
      </c>
      <c r="R9" s="2">
        <f ca="1">IFERROR(__xludf.DUMMYFUNCTION("""COMPUTED_VALUE"""),2)</f>
        <v>2</v>
      </c>
      <c r="Z9" s="18"/>
    </row>
    <row r="10" spans="1:29" ht="15.75" customHeight="1">
      <c r="A10" s="10" t="s">
        <v>39</v>
      </c>
      <c r="B10" s="11" t="s">
        <v>61</v>
      </c>
      <c r="C10" s="12">
        <v>1</v>
      </c>
      <c r="D10" s="12">
        <v>0.73839999999999995</v>
      </c>
      <c r="E10" s="12">
        <v>0</v>
      </c>
      <c r="F10" s="12">
        <v>5.5476000000000001</v>
      </c>
      <c r="G10" s="13">
        <v>0.73839999999999995</v>
      </c>
      <c r="I10" s="15" t="str">
        <f ca="1">IFERROR(__xludf.DUMMYFUNCTION("""COMPUTED_VALUE"""),"Denial of Service: DDoS Attack To Cloud Application")</f>
        <v>Denial of Service: DDoS Attack To Cloud Application</v>
      </c>
      <c r="J10" s="2" t="str">
        <f ca="1">IFERROR(__xludf.DUMMYFUNCTION("""COMPUTED_VALUE"""),"VirtualFirewall (SecurityGroup) - km_alb_sg")</f>
        <v>VirtualFirewall (SecurityGroup) - km_alb_sg</v>
      </c>
      <c r="K10" s="2">
        <f ca="1">IFERROR(__xludf.DUMMYFUNCTION("""COMPUTED_VALUE"""),1)</f>
        <v>1</v>
      </c>
      <c r="L10" s="2">
        <f ca="1">IFERROR(__xludf.DUMMYFUNCTION("""COMPUTED_VALUE"""),0.7402)</f>
        <v>0.74019999999999997</v>
      </c>
      <c r="M10" s="2">
        <f ca="1">IFERROR(__xludf.DUMMYFUNCTION("""COMPUTED_VALUE"""),0)</f>
        <v>0</v>
      </c>
      <c r="N10" s="2">
        <f ca="1">IFERROR(__xludf.DUMMYFUNCTION("""COMPUTED_VALUE"""),4.797)</f>
        <v>4.7969999999999997</v>
      </c>
      <c r="O10" s="18">
        <f ca="1">IFERROR(__xludf.DUMMYFUNCTION("""COMPUTED_VALUE"""),0.7402)</f>
        <v>0.74019999999999997</v>
      </c>
      <c r="Q10" s="15" t="str">
        <f ca="1">IFERROR(__xludf.DUMMYFUNCTION("""COMPUTED_VALUE"""),"Denial of Service: Failure Of Cloud Application")</f>
        <v>Denial of Service: Failure Of Cloud Application</v>
      </c>
      <c r="R10" s="2">
        <f ca="1">IFERROR(__xludf.DUMMYFUNCTION("""COMPUTED_VALUE"""),2)</f>
        <v>2</v>
      </c>
      <c r="Z10" s="18"/>
    </row>
    <row r="11" spans="1:29" ht="15.75" customHeight="1">
      <c r="A11" s="10" t="s">
        <v>39</v>
      </c>
      <c r="B11" s="11" t="s">
        <v>63</v>
      </c>
      <c r="C11" s="12">
        <v>1</v>
      </c>
      <c r="D11" s="12">
        <v>0.68340000000000001</v>
      </c>
      <c r="E11" s="12">
        <v>2.0000000000000001E-4</v>
      </c>
      <c r="F11" s="12">
        <v>5.4207999999999998</v>
      </c>
      <c r="G11" s="13">
        <v>0.68340000000000001</v>
      </c>
      <c r="I11" s="15" t="str">
        <f ca="1">IFERROR(__xludf.DUMMYFUNCTION("""COMPUTED_VALUE"""),"Denial of Service: DDoS Attack To Cloud Application")</f>
        <v>Denial of Service: DDoS Attack To Cloud Application</v>
      </c>
      <c r="J11" s="2" t="str">
        <f ca="1">IFERROR(__xludf.DUMMYFUNCTION("""COMPUTED_VALUE"""),"VirtualFirewall (SecurityGroup) - km_rds_sg")</f>
        <v>VirtualFirewall (SecurityGroup) - km_rds_sg</v>
      </c>
      <c r="K11" s="2">
        <f ca="1">IFERROR(__xludf.DUMMYFUNCTION("""COMPUTED_VALUE"""),1)</f>
        <v>1</v>
      </c>
      <c r="L11" s="2">
        <f ca="1">IFERROR(__xludf.DUMMYFUNCTION("""COMPUTED_VALUE"""),0.7439)</f>
        <v>0.74390000000000001</v>
      </c>
      <c r="M11" s="2">
        <f ca="1">IFERROR(__xludf.DUMMYFUNCTION("""COMPUTED_VALUE"""),0)</f>
        <v>0</v>
      </c>
      <c r="N11" s="2">
        <f ca="1">IFERROR(__xludf.DUMMYFUNCTION("""COMPUTED_VALUE"""),5.2556)</f>
        <v>5.2556000000000003</v>
      </c>
      <c r="O11" s="18">
        <f ca="1">IFERROR(__xludf.DUMMYFUNCTION("""COMPUTED_VALUE"""),0.7439)</f>
        <v>0.74390000000000001</v>
      </c>
      <c r="Q11" s="15" t="str">
        <f ca="1">IFERROR(__xludf.DUMMYFUNCTION("""COMPUTED_VALUE"""),"Elevation of Privilege: Broken Access Control")</f>
        <v>Elevation of Privilege: Broken Access Control</v>
      </c>
      <c r="R11" s="2">
        <f ca="1">IFERROR(__xludf.DUMMYFUNCTION("""COMPUTED_VALUE"""),2)</f>
        <v>2</v>
      </c>
      <c r="Z11" s="18"/>
    </row>
    <row r="12" spans="1:29" ht="15.75" customHeight="1">
      <c r="A12" s="10" t="s">
        <v>36</v>
      </c>
      <c r="B12" s="11" t="s">
        <v>2</v>
      </c>
      <c r="C12" s="12">
        <v>1</v>
      </c>
      <c r="D12" s="12">
        <v>0.7117</v>
      </c>
      <c r="E12" s="12">
        <v>0</v>
      </c>
      <c r="F12" s="12">
        <v>4.8943000000000003</v>
      </c>
      <c r="G12" s="13">
        <v>0.7117</v>
      </c>
      <c r="I12" s="15" t="str">
        <f ca="1">IFERROR(__xludf.DUMMYFUNCTION("""COMPUTED_VALUE"""),"Denial of Service: Denial of Service against a Data Store")</f>
        <v>Denial of Service: Denial of Service against a Data Store</v>
      </c>
      <c r="J12" s="2" t="str">
        <f ca="1">IFERROR(__xludf.DUMMYFUNCTION("""COMPUTED_VALUE"""),"Database (RDS) - km_db")</f>
        <v>Database (RDS) - km_db</v>
      </c>
      <c r="K12" s="2">
        <f ca="1">IFERROR(__xludf.DUMMYFUNCTION("""COMPUTED_VALUE"""),1)</f>
        <v>1</v>
      </c>
      <c r="L12" s="2">
        <f ca="1">IFERROR(__xludf.DUMMYFUNCTION("""COMPUTED_VALUE"""),0.7506)</f>
        <v>0.75060000000000004</v>
      </c>
      <c r="M12" s="2">
        <f ca="1">IFERROR(__xludf.DUMMYFUNCTION("""COMPUTED_VALUE"""),0)</f>
        <v>0</v>
      </c>
      <c r="N12" s="2">
        <f ca="1">IFERROR(__xludf.DUMMYFUNCTION("""COMPUTED_VALUE"""),4.9948)</f>
        <v>4.9947999999999997</v>
      </c>
      <c r="O12" s="18">
        <f ca="1">IFERROR(__xludf.DUMMYFUNCTION("""COMPUTED_VALUE"""),0.7506)</f>
        <v>0.75060000000000004</v>
      </c>
      <c r="Q12" s="15" t="str">
        <f ca="1">IFERROR(__xludf.DUMMYFUNCTION("""COMPUTED_VALUE"""),"Information Disclosure: Backup Of Cloud Application Stolen")</f>
        <v>Information Disclosure: Backup Of Cloud Application Stolen</v>
      </c>
      <c r="R12" s="2">
        <f ca="1">IFERROR(__xludf.DUMMYFUNCTION("""COMPUTED_VALUE"""),2)</f>
        <v>2</v>
      </c>
      <c r="Z12" s="18"/>
    </row>
    <row r="13" spans="1:29" ht="15.75" customHeight="1">
      <c r="A13" s="10" t="s">
        <v>36</v>
      </c>
      <c r="B13" s="11" t="s">
        <v>2</v>
      </c>
      <c r="C13" s="12">
        <v>1</v>
      </c>
      <c r="D13" s="12">
        <v>0.73319999999999996</v>
      </c>
      <c r="E13" s="12">
        <v>1E-4</v>
      </c>
      <c r="F13" s="12">
        <v>5.2068000000000003</v>
      </c>
      <c r="G13" s="13">
        <v>0.73319999999999996</v>
      </c>
      <c r="I13" s="15" t="str">
        <f ca="1">IFERROR(__xludf.DUMMYFUNCTION("""COMPUTED_VALUE"""),"Denial of Service: Denial of Service against a Data Store")</f>
        <v>Denial of Service: Denial of Service against a Data Store</v>
      </c>
      <c r="J13" s="2" t="str">
        <f ca="1">IFERROR(__xludf.DUMMYFUNCTION("""COMPUTED_VALUE"""),"FileStorage (S3) - km_blob_storage")</f>
        <v>FileStorage (S3) - km_blob_storage</v>
      </c>
      <c r="K13" s="2">
        <f ca="1">IFERROR(__xludf.DUMMYFUNCTION("""COMPUTED_VALUE"""),1)</f>
        <v>1</v>
      </c>
      <c r="L13" s="2">
        <f ca="1">IFERROR(__xludf.DUMMYFUNCTION("""COMPUTED_VALUE"""),0.6896)</f>
        <v>0.68959999999999999</v>
      </c>
      <c r="M13" s="2">
        <f ca="1">IFERROR(__xludf.DUMMYFUNCTION("""COMPUTED_VALUE"""),0.0001)</f>
        <v>1E-4</v>
      </c>
      <c r="N13" s="2">
        <f ca="1">IFERROR(__xludf.DUMMYFUNCTION("""COMPUTED_VALUE"""),5.4998)</f>
        <v>5.4997999999999996</v>
      </c>
      <c r="O13" s="18">
        <f ca="1">IFERROR(__xludf.DUMMYFUNCTION("""COMPUTED_VALUE"""),0.6896)</f>
        <v>0.68959999999999999</v>
      </c>
      <c r="Q13" s="15" t="str">
        <f ca="1">IFERROR(__xludf.DUMMYFUNCTION("""COMPUTED_VALUE"""),"Information Disclosure: Data Breach By Cloud Application")</f>
        <v>Information Disclosure: Data Breach By Cloud Application</v>
      </c>
      <c r="R13" s="2">
        <f ca="1">IFERROR(__xludf.DUMMYFUNCTION("""COMPUTED_VALUE"""),2)</f>
        <v>2</v>
      </c>
      <c r="Z13" s="18"/>
    </row>
    <row r="14" spans="1:29" ht="15.75" customHeight="1">
      <c r="A14" s="10" t="s">
        <v>36</v>
      </c>
      <c r="B14" s="11" t="s">
        <v>2</v>
      </c>
      <c r="C14" s="12">
        <v>1</v>
      </c>
      <c r="D14" s="12">
        <v>0.70220000000000005</v>
      </c>
      <c r="E14" s="12">
        <v>0</v>
      </c>
      <c r="F14" s="12">
        <v>4.9484000000000004</v>
      </c>
      <c r="G14" s="13">
        <v>0.70220000000000005</v>
      </c>
      <c r="I14" s="15" t="str">
        <f ca="1">IFERROR(__xludf.DUMMYFUNCTION("""COMPUTED_VALUE"""),"Denial of Service: Denial of Service against a Data Store")</f>
        <v>Denial of Service: Denial of Service against a Data Store</v>
      </c>
      <c r="J14" s="2" t="str">
        <f ca="1">IFERROR(__xludf.DUMMYFUNCTION("""COMPUTED_VALUE"""),"FileStorage (S3) - km_public_blob")</f>
        <v>FileStorage (S3) - km_public_blob</v>
      </c>
      <c r="K14" s="2">
        <f ca="1">IFERROR(__xludf.DUMMYFUNCTION("""COMPUTED_VALUE"""),1)</f>
        <v>1</v>
      </c>
      <c r="L14" s="2">
        <f ca="1">IFERROR(__xludf.DUMMYFUNCTION("""COMPUTED_VALUE"""),0.7571)</f>
        <v>0.7571</v>
      </c>
      <c r="M14" s="2">
        <f ca="1">IFERROR(__xludf.DUMMYFUNCTION("""COMPUTED_VALUE"""),0)</f>
        <v>0</v>
      </c>
      <c r="N14" s="2">
        <f ca="1">IFERROR(__xludf.DUMMYFUNCTION("""COMPUTED_VALUE"""),5.743)</f>
        <v>5.7430000000000003</v>
      </c>
      <c r="O14" s="18">
        <f ca="1">IFERROR(__xludf.DUMMYFUNCTION("""COMPUTED_VALUE"""),0.7571)</f>
        <v>0.7571</v>
      </c>
      <c r="Q14" s="15" t="str">
        <f ca="1">IFERROR(__xludf.DUMMYFUNCTION("""COMPUTED_VALUE"""),"Information Disclosure: Logs Of Cloud Application Stolen")</f>
        <v>Information Disclosure: Logs Of Cloud Application Stolen</v>
      </c>
      <c r="R14" s="2">
        <f ca="1">IFERROR(__xludf.DUMMYFUNCTION("""COMPUTED_VALUE"""),2)</f>
        <v>2</v>
      </c>
      <c r="Z14" s="18"/>
    </row>
    <row r="15" spans="1:29" ht="15.75" customHeight="1">
      <c r="A15" s="10" t="s">
        <v>40</v>
      </c>
      <c r="B15" s="11" t="s">
        <v>75</v>
      </c>
      <c r="C15" s="12">
        <v>1</v>
      </c>
      <c r="D15" s="12">
        <v>0.76459999999999995</v>
      </c>
      <c r="E15" s="12">
        <v>0</v>
      </c>
      <c r="F15" s="12">
        <v>5.0957999999999997</v>
      </c>
      <c r="G15" s="13">
        <v>0.76459999999999995</v>
      </c>
      <c r="I15" s="15" t="str">
        <f ca="1">IFERROR(__xludf.DUMMYFUNCTION("""COMPUTED_VALUE"""),"Denial of Service: EDoS Attack To Cloud Application")</f>
        <v>Denial of Service: EDoS Attack To Cloud Application</v>
      </c>
      <c r="J15" s="2" t="str">
        <f ca="1">IFERROR(__xludf.DUMMYFUNCTION("""COMPUTED_VALUE"""),"IAM (IAM) - km_ecs_task_execution_role")</f>
        <v>IAM (IAM) - km_ecs_task_execution_role</v>
      </c>
      <c r="K15" s="2">
        <f ca="1">IFERROR(__xludf.DUMMYFUNCTION("""COMPUTED_VALUE"""),1)</f>
        <v>1</v>
      </c>
      <c r="L15" s="2">
        <f ca="1">IFERROR(__xludf.DUMMYFUNCTION("""COMPUTED_VALUE"""),0.7482)</f>
        <v>0.74819999999999998</v>
      </c>
      <c r="M15" s="2">
        <f ca="1">IFERROR(__xludf.DUMMYFUNCTION("""COMPUTED_VALUE"""),0.0001)</f>
        <v>1E-4</v>
      </c>
      <c r="N15" s="2">
        <f ca="1">IFERROR(__xludf.DUMMYFUNCTION("""COMPUTED_VALUE"""),4.4105)</f>
        <v>4.4104999999999999</v>
      </c>
      <c r="O15" s="18">
        <f ca="1">IFERROR(__xludf.DUMMYFUNCTION("""COMPUTED_VALUE"""),0.7482)</f>
        <v>0.74819999999999998</v>
      </c>
      <c r="Q15" s="15" t="str">
        <f ca="1">IFERROR(__xludf.DUMMYFUNCTION("""COMPUTED_VALUE"""),"Repudiation: Logs Of Cloud Application Lost")</f>
        <v>Repudiation: Logs Of Cloud Application Lost</v>
      </c>
      <c r="R15" s="2">
        <f ca="1">IFERROR(__xludf.DUMMYFUNCTION("""COMPUTED_VALUE"""),2)</f>
        <v>2</v>
      </c>
      <c r="Z15" s="18"/>
    </row>
    <row r="16" spans="1:29" ht="15.75" customHeight="1">
      <c r="A16" s="10" t="s">
        <v>40</v>
      </c>
      <c r="B16" s="11" t="s">
        <v>76</v>
      </c>
      <c r="C16" s="12">
        <v>1</v>
      </c>
      <c r="D16" s="12">
        <v>0.74829999999999997</v>
      </c>
      <c r="E16" s="12">
        <v>0</v>
      </c>
      <c r="F16" s="12">
        <v>4.9240000000000004</v>
      </c>
      <c r="G16" s="13">
        <v>0.74829999999999997</v>
      </c>
      <c r="I16" s="15" t="str">
        <f ca="1">IFERROR(__xludf.DUMMYFUNCTION("""COMPUTED_VALUE"""),"Denial of Service: EDoS Attack To Cloud Application")</f>
        <v>Denial of Service: EDoS Attack To Cloud Application</v>
      </c>
      <c r="J16" s="2" t="str">
        <f ca="1">IFERROR(__xludf.DUMMYFUNCTION("""COMPUTED_VALUE"""),"VirtualFirewall (SecurityGroup) - km_alb_sg")</f>
        <v>VirtualFirewall (SecurityGroup) - km_alb_sg</v>
      </c>
      <c r="K16" s="2">
        <f ca="1">IFERROR(__xludf.DUMMYFUNCTION("""COMPUTED_VALUE"""),1)</f>
        <v>1</v>
      </c>
      <c r="L16" s="2">
        <f ca="1">IFERROR(__xludf.DUMMYFUNCTION("""COMPUTED_VALUE"""),0.7788)</f>
        <v>0.77880000000000005</v>
      </c>
      <c r="M16" s="2">
        <f ca="1">IFERROR(__xludf.DUMMYFUNCTION("""COMPUTED_VALUE"""),0.0001)</f>
        <v>1E-4</v>
      </c>
      <c r="N16" s="2">
        <f ca="1">IFERROR(__xludf.DUMMYFUNCTION("""COMPUTED_VALUE"""),5.1208)</f>
        <v>5.1208</v>
      </c>
      <c r="O16" s="18">
        <f ca="1">IFERROR(__xludf.DUMMYFUNCTION("""COMPUTED_VALUE"""),0.7788)</f>
        <v>0.77880000000000005</v>
      </c>
      <c r="Q16" s="15" t="str">
        <f ca="1">IFERROR(__xludf.DUMMYFUNCTION("""COMPUTED_VALUE"""),"Spoofing: Broken Authentication")</f>
        <v>Spoofing: Broken Authentication</v>
      </c>
      <c r="R16" s="2">
        <f ca="1">IFERROR(__xludf.DUMMYFUNCTION("""COMPUTED_VALUE"""),2)</f>
        <v>2</v>
      </c>
      <c r="Z16" s="18"/>
    </row>
    <row r="17" spans="1:26" ht="15.75" customHeight="1">
      <c r="A17" s="10" t="s">
        <v>51</v>
      </c>
      <c r="B17" s="11" t="s">
        <v>77</v>
      </c>
      <c r="C17" s="12">
        <v>1</v>
      </c>
      <c r="D17" s="12">
        <v>0.72750000000000004</v>
      </c>
      <c r="E17" s="12">
        <v>0</v>
      </c>
      <c r="F17" s="12">
        <v>5.1113999999999997</v>
      </c>
      <c r="G17" s="13">
        <v>0.72750000000000004</v>
      </c>
      <c r="I17" s="15" t="str">
        <f ca="1">IFERROR(__xludf.DUMMYFUNCTION("""COMPUTED_VALUE"""),"Denial of Service: EDoS Attack To Cloud Application")</f>
        <v>Denial of Service: EDoS Attack To Cloud Application</v>
      </c>
      <c r="J17" s="2" t="str">
        <f ca="1">IFERROR(__xludf.DUMMYFUNCTION("""COMPUTED_VALUE"""),"VirtualFirewall (SecurityGroup) - km_rds_sg")</f>
        <v>VirtualFirewall (SecurityGroup) - km_rds_sg</v>
      </c>
      <c r="K17" s="2">
        <f ca="1">IFERROR(__xludf.DUMMYFUNCTION("""COMPUTED_VALUE"""),1)</f>
        <v>1</v>
      </c>
      <c r="L17" s="2">
        <f ca="1">IFERROR(__xludf.DUMMYFUNCTION("""COMPUTED_VALUE"""),0.7381)</f>
        <v>0.73809999999999998</v>
      </c>
      <c r="M17" s="2">
        <f ca="1">IFERROR(__xludf.DUMMYFUNCTION("""COMPUTED_VALUE"""),0.0001)</f>
        <v>1E-4</v>
      </c>
      <c r="N17" s="2">
        <f ca="1">IFERROR(__xludf.DUMMYFUNCTION("""COMPUTED_VALUE"""),5.5551)</f>
        <v>5.5551000000000004</v>
      </c>
      <c r="O17" s="18">
        <f ca="1">IFERROR(__xludf.DUMMYFUNCTION("""COMPUTED_VALUE"""),0.7381)</f>
        <v>0.73809999999999998</v>
      </c>
      <c r="Q17" s="15" t="str">
        <f ca="1">IFERROR(__xludf.DUMMYFUNCTION("""COMPUTED_VALUE"""),"Tampering: Data Loss By Cloud Application")</f>
        <v>Tampering: Data Loss By Cloud Application</v>
      </c>
      <c r="R17" s="2">
        <f ca="1">IFERROR(__xludf.DUMMYFUNCTION("""COMPUTED_VALUE"""),2)</f>
        <v>2</v>
      </c>
      <c r="Z17" s="18"/>
    </row>
    <row r="18" spans="1:26" ht="15.75" customHeight="1">
      <c r="A18" s="10" t="s">
        <v>41</v>
      </c>
      <c r="B18" s="11" t="s">
        <v>61</v>
      </c>
      <c r="C18" s="12">
        <v>1</v>
      </c>
      <c r="D18" s="12">
        <v>0.78739999999999999</v>
      </c>
      <c r="E18" s="12">
        <v>1E-4</v>
      </c>
      <c r="F18" s="12">
        <v>5.1477000000000004</v>
      </c>
      <c r="G18" s="13">
        <v>0.78739999999999999</v>
      </c>
      <c r="I18" s="15" t="str">
        <f ca="1">IFERROR(__xludf.DUMMYFUNCTION("""COMPUTED_VALUE"""),"Denial of Service: Failure Of Cloud Application")</f>
        <v>Denial of Service: Failure Of Cloud Application</v>
      </c>
      <c r="J18" s="2" t="str">
        <f ca="1">IFERROR(__xludf.DUMMYFUNCTION("""COMPUTED_VALUE"""),"LoadBalancer (ALB) - km_lb_target")</f>
        <v>LoadBalancer (ALB) - km_lb_target</v>
      </c>
      <c r="K18" s="2">
        <f ca="1">IFERROR(__xludf.DUMMYFUNCTION("""COMPUTED_VALUE"""),1)</f>
        <v>1</v>
      </c>
      <c r="L18" s="2">
        <f ca="1">IFERROR(__xludf.DUMMYFUNCTION("""COMPUTED_VALUE"""),0.7114)</f>
        <v>0.71140000000000003</v>
      </c>
      <c r="M18" s="2">
        <f ca="1">IFERROR(__xludf.DUMMYFUNCTION("""COMPUTED_VALUE"""),0.0001)</f>
        <v>1E-4</v>
      </c>
      <c r="N18" s="2">
        <f ca="1">IFERROR(__xludf.DUMMYFUNCTION("""COMPUTED_VALUE"""),5.0878)</f>
        <v>5.0877999999999997</v>
      </c>
      <c r="O18" s="18">
        <f ca="1">IFERROR(__xludf.DUMMYFUNCTION("""COMPUTED_VALUE"""),0.7114)</f>
        <v>0.71140000000000003</v>
      </c>
      <c r="Q18" s="15" t="str">
        <f ca="1">IFERROR(__xludf.DUMMYFUNCTION("""COMPUTED_VALUE"""),"Denial of Service: Block Shared Resources Of Cloud Application")</f>
        <v>Denial of Service: Block Shared Resources Of Cloud Application</v>
      </c>
      <c r="R18" s="2">
        <f ca="1">IFERROR(__xludf.DUMMYFUNCTION("""COMPUTED_VALUE"""),3)</f>
        <v>3</v>
      </c>
      <c r="Z18" s="18"/>
    </row>
    <row r="19" spans="1:26" ht="15.75" customHeight="1">
      <c r="A19" s="10" t="s">
        <v>41</v>
      </c>
      <c r="B19" s="11" t="s">
        <v>78</v>
      </c>
      <c r="C19" s="12">
        <v>1</v>
      </c>
      <c r="D19" s="12">
        <v>0.73609999999999998</v>
      </c>
      <c r="E19" s="12">
        <v>1E-4</v>
      </c>
      <c r="F19" s="12">
        <v>5.4212999999999996</v>
      </c>
      <c r="G19" s="13">
        <v>0.73609999999999998</v>
      </c>
      <c r="I19" s="15" t="str">
        <f ca="1">IFERROR(__xludf.DUMMYFUNCTION("""COMPUTED_VALUE"""),"Denial of Service: Failure Of Cloud Application")</f>
        <v>Denial of Service: Failure Of Cloud Application</v>
      </c>
      <c r="J19" s="2" t="str">
        <f ca="1">IFERROR(__xludf.DUMMYFUNCTION("""COMPUTED_VALUE"""),"VirtualFirewall (SecurityGroup) - km_alb_sg")</f>
        <v>VirtualFirewall (SecurityGroup) - km_alb_sg</v>
      </c>
      <c r="K19" s="2">
        <f ca="1">IFERROR(__xludf.DUMMYFUNCTION("""COMPUTED_VALUE"""),1)</f>
        <v>1</v>
      </c>
      <c r="L19" s="2">
        <f ca="1">IFERROR(__xludf.DUMMYFUNCTION("""COMPUTED_VALUE"""),0.7371)</f>
        <v>0.73709999999999998</v>
      </c>
      <c r="M19" s="2">
        <f ca="1">IFERROR(__xludf.DUMMYFUNCTION("""COMPUTED_VALUE"""),0)</f>
        <v>0</v>
      </c>
      <c r="N19" s="2">
        <f ca="1">IFERROR(__xludf.DUMMYFUNCTION("""COMPUTED_VALUE"""),5.413)</f>
        <v>5.4130000000000003</v>
      </c>
      <c r="O19" s="18">
        <f ca="1">IFERROR(__xludf.DUMMYFUNCTION("""COMPUTED_VALUE"""),0.7371)</f>
        <v>0.73709999999999998</v>
      </c>
      <c r="Q19" s="15" t="str">
        <f ca="1">IFERROR(__xludf.DUMMYFUNCTION("""COMPUTED_VALUE"""),"Denial of Service: DDoS Attack To Cloud Application")</f>
        <v>Denial of Service: DDoS Attack To Cloud Application</v>
      </c>
      <c r="R19" s="2">
        <f ca="1">IFERROR(__xludf.DUMMYFUNCTION("""COMPUTED_VALUE"""),3)</f>
        <v>3</v>
      </c>
      <c r="Z19" s="18"/>
    </row>
    <row r="20" spans="1:26" ht="15.75" customHeight="1">
      <c r="A20" s="10" t="s">
        <v>41</v>
      </c>
      <c r="B20" s="11" t="s">
        <v>79</v>
      </c>
      <c r="C20" s="12">
        <v>1</v>
      </c>
      <c r="D20" s="12">
        <v>0.72430000000000005</v>
      </c>
      <c r="E20" s="12">
        <v>0</v>
      </c>
      <c r="F20" s="12">
        <v>5.5865999999999998</v>
      </c>
      <c r="G20" s="13">
        <v>0.72430000000000005</v>
      </c>
      <c r="I20" s="15" t="str">
        <f ca="1">IFERROR(__xludf.DUMMYFUNCTION("""COMPUTED_VALUE"""),"Elevation of Privilege: Broken Access Control")</f>
        <v>Elevation of Privilege: Broken Access Control</v>
      </c>
      <c r="J20" s="2" t="str">
        <f ca="1">IFERROR(__xludf.DUMMYFUNCTION("""COMPUTED_VALUE"""),"LoadBalancer (ALB) - km_lb_target")</f>
        <v>LoadBalancer (ALB) - km_lb_target</v>
      </c>
      <c r="K20" s="2">
        <f ca="1">IFERROR(__xludf.DUMMYFUNCTION("""COMPUTED_VALUE"""),1)</f>
        <v>1</v>
      </c>
      <c r="L20" s="2">
        <f ca="1">IFERROR(__xludf.DUMMYFUNCTION("""COMPUTED_VALUE"""),0.7327)</f>
        <v>0.73270000000000002</v>
      </c>
      <c r="M20" s="2">
        <f ca="1">IFERROR(__xludf.DUMMYFUNCTION("""COMPUTED_VALUE"""),0)</f>
        <v>0</v>
      </c>
      <c r="N20" s="2">
        <f ca="1">IFERROR(__xludf.DUMMYFUNCTION("""COMPUTED_VALUE"""),4.5934)</f>
        <v>4.5933999999999999</v>
      </c>
      <c r="O20" s="18">
        <f ca="1">IFERROR(__xludf.DUMMYFUNCTION("""COMPUTED_VALUE"""),0.7327)</f>
        <v>0.73270000000000002</v>
      </c>
      <c r="Q20" s="15" t="str">
        <f ca="1">IFERROR(__xludf.DUMMYFUNCTION("""COMPUTED_VALUE"""),"Denial of Service: Denial of Service against a Data Store")</f>
        <v>Denial of Service: Denial of Service against a Data Store</v>
      </c>
      <c r="R20" s="2">
        <f ca="1">IFERROR(__xludf.DUMMYFUNCTION("""COMPUTED_VALUE"""),3)</f>
        <v>3</v>
      </c>
      <c r="Z20" s="18"/>
    </row>
    <row r="21" spans="1:26" ht="15.75" customHeight="1">
      <c r="A21" s="10" t="s">
        <v>13</v>
      </c>
      <c r="B21" s="11" t="s">
        <v>61</v>
      </c>
      <c r="C21" s="12">
        <v>1</v>
      </c>
      <c r="D21" s="12">
        <v>0.70789999999999997</v>
      </c>
      <c r="E21" s="12">
        <v>0</v>
      </c>
      <c r="F21" s="12">
        <v>5.3773</v>
      </c>
      <c r="G21" s="13">
        <v>0.70789999999999997</v>
      </c>
      <c r="I21" s="15" t="str">
        <f ca="1">IFERROR(__xludf.DUMMYFUNCTION("""COMPUTED_VALUE"""),"Elevation of Privilege: Broken Access Control")</f>
        <v>Elevation of Privilege: Broken Access Control</v>
      </c>
      <c r="J21" s="2" t="str">
        <f ca="1">IFERROR(__xludf.DUMMYFUNCTION("""COMPUTED_VALUE"""),"VirtualFirewall (SecurityGroup) - km_alb_sg")</f>
        <v>VirtualFirewall (SecurityGroup) - km_alb_sg</v>
      </c>
      <c r="K21" s="2">
        <f ca="1">IFERROR(__xludf.DUMMYFUNCTION("""COMPUTED_VALUE"""),1)</f>
        <v>1</v>
      </c>
      <c r="L21" s="2">
        <f ca="1">IFERROR(__xludf.DUMMYFUNCTION("""COMPUTED_VALUE"""),0.7627)</f>
        <v>0.76270000000000004</v>
      </c>
      <c r="M21" s="2">
        <f ca="1">IFERROR(__xludf.DUMMYFUNCTION("""COMPUTED_VALUE"""),0.0001)</f>
        <v>1E-4</v>
      </c>
      <c r="N21" s="2">
        <f ca="1">IFERROR(__xludf.DUMMYFUNCTION("""COMPUTED_VALUE"""),4.9624)</f>
        <v>4.9623999999999997</v>
      </c>
      <c r="O21" s="18">
        <f ca="1">IFERROR(__xludf.DUMMYFUNCTION("""COMPUTED_VALUE"""),0.7627)</f>
        <v>0.76270000000000004</v>
      </c>
      <c r="Q21" s="15" t="str">
        <f ca="1">IFERROR(__xludf.DUMMYFUNCTION("""COMPUTED_VALUE"""),"Denial of Service: EDoS Attack To Cloud Application")</f>
        <v>Denial of Service: EDoS Attack To Cloud Application</v>
      </c>
      <c r="R21" s="2">
        <f ca="1">IFERROR(__xludf.DUMMYFUNCTION("""COMPUTED_VALUE"""),3)</f>
        <v>3</v>
      </c>
      <c r="Z21" s="18"/>
    </row>
    <row r="22" spans="1:26" ht="15.75" customHeight="1">
      <c r="A22" s="10" t="s">
        <v>13</v>
      </c>
      <c r="B22" s="11" t="s">
        <v>63</v>
      </c>
      <c r="C22" s="12">
        <v>1</v>
      </c>
      <c r="D22" s="12">
        <v>0.69520000000000004</v>
      </c>
      <c r="E22" s="12">
        <v>0</v>
      </c>
      <c r="F22" s="12">
        <v>4.8484999999999996</v>
      </c>
      <c r="G22" s="13">
        <v>0.69520000000000004</v>
      </c>
      <c r="I22" s="15" t="str">
        <f ca="1">IFERROR(__xludf.DUMMYFUNCTION("""COMPUTED_VALUE"""),"Information Disclosure: Backup Of Cloud Application Stolen")</f>
        <v>Information Disclosure: Backup Of Cloud Application Stolen</v>
      </c>
      <c r="J22" s="2" t="str">
        <f ca="1">IFERROR(__xludf.DUMMYFUNCTION("""COMPUTED_VALUE"""),"LoadBalancer (ALB) - km_lb_target")</f>
        <v>LoadBalancer (ALB) - km_lb_target</v>
      </c>
      <c r="K22" s="2">
        <f ca="1">IFERROR(__xludf.DUMMYFUNCTION("""COMPUTED_VALUE"""),1)</f>
        <v>1</v>
      </c>
      <c r="L22" s="2">
        <f ca="1">IFERROR(__xludf.DUMMYFUNCTION("""COMPUTED_VALUE"""),0.7694)</f>
        <v>0.76939999999999997</v>
      </c>
      <c r="M22" s="2">
        <f ca="1">IFERROR(__xludf.DUMMYFUNCTION("""COMPUTED_VALUE"""),0.0001)</f>
        <v>1E-4</v>
      </c>
      <c r="N22" s="2">
        <f ca="1">IFERROR(__xludf.DUMMYFUNCTION("""COMPUTED_VALUE"""),5.3922)</f>
        <v>5.3921999999999999</v>
      </c>
      <c r="O22" s="18">
        <f ca="1">IFERROR(__xludf.DUMMYFUNCTION("""COMPUTED_VALUE"""),0.7694)</f>
        <v>0.76939999999999997</v>
      </c>
      <c r="Q22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R22" s="2">
        <f ca="1">IFERROR(__xludf.DUMMYFUNCTION("""COMPUTED_VALUE"""),3)</f>
        <v>3</v>
      </c>
      <c r="Z22" s="18"/>
    </row>
    <row r="23" spans="1:26" ht="15.75" customHeight="1">
      <c r="A23" s="10" t="s">
        <v>25</v>
      </c>
      <c r="B23" s="11" t="s">
        <v>75</v>
      </c>
      <c r="C23" s="12">
        <v>1</v>
      </c>
      <c r="D23" s="12">
        <v>0.74919999999999998</v>
      </c>
      <c r="E23" s="12">
        <v>0</v>
      </c>
      <c r="F23" s="12">
        <v>5.2718999999999996</v>
      </c>
      <c r="G23" s="13">
        <v>0.74919999999999998</v>
      </c>
      <c r="I23" s="15" t="str">
        <f ca="1">IFERROR(__xludf.DUMMYFUNCTION("""COMPUTED_VALUE"""),"Information Disclosure: Backup Of Cloud Application Stolen")</f>
        <v>Information Disclosure: Backup Of Cloud Application Stolen</v>
      </c>
      <c r="J23" s="2" t="str">
        <f ca="1">IFERROR(__xludf.DUMMYFUNCTION("""COMPUTED_VALUE"""),"VirtualFirewall (SecurityGroup) - km_alb_sg")</f>
        <v>VirtualFirewall (SecurityGroup) - km_alb_sg</v>
      </c>
      <c r="K23" s="2">
        <f ca="1">IFERROR(__xludf.DUMMYFUNCTION("""COMPUTED_VALUE"""),1)</f>
        <v>1</v>
      </c>
      <c r="L23" s="2">
        <f ca="1">IFERROR(__xludf.DUMMYFUNCTION("""COMPUTED_VALUE"""),0.6854)</f>
        <v>0.68540000000000001</v>
      </c>
      <c r="M23" s="2">
        <f ca="1">IFERROR(__xludf.DUMMYFUNCTION("""COMPUTED_VALUE"""),0.0001)</f>
        <v>1E-4</v>
      </c>
      <c r="N23" s="2">
        <f ca="1">IFERROR(__xludf.DUMMYFUNCTION("""COMPUTED_VALUE"""),5.3787)</f>
        <v>5.3787000000000003</v>
      </c>
      <c r="O23" s="18">
        <f ca="1">IFERROR(__xludf.DUMMYFUNCTION("""COMPUTED_VALUE"""),0.6854)</f>
        <v>0.68540000000000001</v>
      </c>
      <c r="Q23" s="15" t="str">
        <f ca="1">IFERROR(__xludf.DUMMYFUNCTION("""COMPUTED_VALUE"""),"Information Disclosure: Sensitive Data Leakage")</f>
        <v>Information Disclosure: Sensitive Data Leakage</v>
      </c>
      <c r="R23" s="2">
        <f ca="1">IFERROR(__xludf.DUMMYFUNCTION("""COMPUTED_VALUE"""),3)</f>
        <v>3</v>
      </c>
      <c r="Z23" s="18"/>
    </row>
    <row r="24" spans="1:26" ht="15.75" customHeight="1">
      <c r="A24" s="10" t="s">
        <v>25</v>
      </c>
      <c r="B24" s="11" t="s">
        <v>76</v>
      </c>
      <c r="C24" s="12">
        <v>1</v>
      </c>
      <c r="D24" s="12">
        <v>0.72009999999999996</v>
      </c>
      <c r="E24" s="12">
        <v>0</v>
      </c>
      <c r="F24" s="12">
        <v>5.6487999999999996</v>
      </c>
      <c r="G24" s="13">
        <v>0.72009999999999996</v>
      </c>
      <c r="I24" s="15" t="str">
        <f ca="1">IFERROR(__xludf.DUMMYFUNCTION("""COMPUTED_VALUE"""),"Information Disclosure: Data Breach By Cloud Application")</f>
        <v>Information Disclosure: Data Breach By Cloud Application</v>
      </c>
      <c r="J24" s="2" t="str">
        <f ca="1">IFERROR(__xludf.DUMMYFUNCTION("""COMPUTED_VALUE"""),"LoadBalancer (ALB) - km_lb_target")</f>
        <v>LoadBalancer (ALB) - km_lb_target</v>
      </c>
      <c r="K24" s="2">
        <f ca="1">IFERROR(__xludf.DUMMYFUNCTION("""COMPUTED_VALUE"""),1)</f>
        <v>1</v>
      </c>
      <c r="L24" s="2">
        <f ca="1">IFERROR(__xludf.DUMMYFUNCTION("""COMPUTED_VALUE"""),0.7122)</f>
        <v>0.71220000000000006</v>
      </c>
      <c r="M24" s="2">
        <f ca="1">IFERROR(__xludf.DUMMYFUNCTION("""COMPUTED_VALUE"""),0.0001)</f>
        <v>1E-4</v>
      </c>
      <c r="N24" s="2">
        <f ca="1">IFERROR(__xludf.DUMMYFUNCTION("""COMPUTED_VALUE"""),5.1582)</f>
        <v>5.1581999999999999</v>
      </c>
      <c r="O24" s="18">
        <f ca="1">IFERROR(__xludf.DUMMYFUNCTION("""COMPUTED_VALUE"""),0.7122)</f>
        <v>0.71220000000000006</v>
      </c>
      <c r="Q24" s="15" t="str">
        <f ca="1">IFERROR(__xludf.DUMMYFUNCTION("""COMPUTED_VALUE"""),"Other: Cloud Application Abuse")</f>
        <v>Other: Cloud Application Abuse</v>
      </c>
      <c r="R24" s="2">
        <f ca="1">IFERROR(__xludf.DUMMYFUNCTION("""COMPUTED_VALUE"""),3)</f>
        <v>3</v>
      </c>
      <c r="Z24" s="18"/>
    </row>
    <row r="25" spans="1:26" ht="12.5">
      <c r="A25" s="10" t="s">
        <v>40</v>
      </c>
      <c r="B25" s="11" t="s">
        <v>77</v>
      </c>
      <c r="C25" s="12">
        <v>1</v>
      </c>
      <c r="D25" s="12">
        <v>0.76239999999999997</v>
      </c>
      <c r="E25" s="12">
        <v>0</v>
      </c>
      <c r="F25" s="12">
        <v>5.2004000000000001</v>
      </c>
      <c r="G25" s="13">
        <v>0.76239999999999997</v>
      </c>
      <c r="I25" s="15" t="str">
        <f ca="1">IFERROR(__xludf.DUMMYFUNCTION("""COMPUTED_VALUE"""),"Information Disclosure: Data Breach By Cloud Application")</f>
        <v>Information Disclosure: Data Breach By Cloud Application</v>
      </c>
      <c r="J25" s="2" t="str">
        <f ca="1">IFERROR(__xludf.DUMMYFUNCTION("""COMPUTED_VALUE"""),"VirtualFirewall (SecurityGroup) - km_alb_sg")</f>
        <v>VirtualFirewall (SecurityGroup) - km_alb_sg</v>
      </c>
      <c r="K25" s="2">
        <f ca="1">IFERROR(__xludf.DUMMYFUNCTION("""COMPUTED_VALUE"""),1)</f>
        <v>1</v>
      </c>
      <c r="L25" s="2">
        <f ca="1">IFERROR(__xludf.DUMMYFUNCTION("""COMPUTED_VALUE"""),0.7291)</f>
        <v>0.72909999999999997</v>
      </c>
      <c r="M25" s="2">
        <f ca="1">IFERROR(__xludf.DUMMYFUNCTION("""COMPUTED_VALUE"""),0)</f>
        <v>0</v>
      </c>
      <c r="N25" s="2">
        <f ca="1">IFERROR(__xludf.DUMMYFUNCTION("""COMPUTED_VALUE"""),5.0131)</f>
        <v>5.0130999999999997</v>
      </c>
      <c r="O25" s="18">
        <f ca="1">IFERROR(__xludf.DUMMYFUNCTION("""COMPUTED_VALUE"""),0.7291)</f>
        <v>0.72909999999999997</v>
      </c>
      <c r="Q25" s="15" t="str">
        <f ca="1">IFERROR(__xludf.DUMMYFUNCTION("""COMPUTED_VALUE"""),"Other: Network Attacks To Cloud Application")</f>
        <v>Other: Network Attacks To Cloud Application</v>
      </c>
      <c r="R25" s="2">
        <f ca="1">IFERROR(__xludf.DUMMYFUNCTION("""COMPUTED_VALUE"""),3)</f>
        <v>3</v>
      </c>
      <c r="Z25" s="18"/>
    </row>
    <row r="26" spans="1:26" ht="12.5">
      <c r="A26" s="10" t="s">
        <v>48</v>
      </c>
      <c r="B26" s="11" t="s">
        <v>61</v>
      </c>
      <c r="C26" s="12">
        <v>1</v>
      </c>
      <c r="D26" s="12">
        <v>0.75860000000000005</v>
      </c>
      <c r="E26" s="12">
        <v>1E-4</v>
      </c>
      <c r="F26" s="12">
        <v>5.1615000000000002</v>
      </c>
      <c r="G26" s="13">
        <v>0.75860000000000005</v>
      </c>
      <c r="I26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26" s="2" t="str">
        <f ca="1">IFERROR(__xludf.DUMMYFUNCTION("""COMPUTED_VALUE"""),"IAM (IAM) - km_ecs_task_execution_role")</f>
        <v>IAM (IAM) - km_ecs_task_execution_role</v>
      </c>
      <c r="K26" s="2">
        <f ca="1">IFERROR(__xludf.DUMMYFUNCTION("""COMPUTED_VALUE"""),1)</f>
        <v>1</v>
      </c>
      <c r="L26" s="2">
        <f ca="1">IFERROR(__xludf.DUMMYFUNCTION("""COMPUTED_VALUE"""),0.7507)</f>
        <v>0.75070000000000003</v>
      </c>
      <c r="M26" s="2">
        <f ca="1">IFERROR(__xludf.DUMMYFUNCTION("""COMPUTED_VALUE"""),0)</f>
        <v>0</v>
      </c>
      <c r="N26" s="2">
        <f ca="1">IFERROR(__xludf.DUMMYFUNCTION("""COMPUTED_VALUE"""),4.5858)</f>
        <v>4.5857999999999999</v>
      </c>
      <c r="O26" s="18">
        <f ca="1">IFERROR(__xludf.DUMMYFUNCTION("""COMPUTED_VALUE"""),0.7507)</f>
        <v>0.75070000000000003</v>
      </c>
      <c r="Q26" s="15" t="str">
        <f ca="1">IFERROR(__xludf.DUMMYFUNCTION("""COMPUTED_VALUE"""),"Repudiation: Attacking the Logs")</f>
        <v>Repudiation: Attacking the Logs</v>
      </c>
      <c r="R26" s="2">
        <f ca="1">IFERROR(__xludf.DUMMYFUNCTION("""COMPUTED_VALUE"""),3)</f>
        <v>3</v>
      </c>
      <c r="Z26" s="18"/>
    </row>
    <row r="27" spans="1:26" ht="12.5">
      <c r="A27" s="10" t="s">
        <v>48</v>
      </c>
      <c r="B27" s="11" t="s">
        <v>63</v>
      </c>
      <c r="C27" s="12">
        <v>1</v>
      </c>
      <c r="D27" s="12">
        <v>0.67879999999999996</v>
      </c>
      <c r="E27" s="12">
        <v>1E-4</v>
      </c>
      <c r="F27" s="12">
        <v>4.9682000000000004</v>
      </c>
      <c r="G27" s="13">
        <v>0.67879999999999996</v>
      </c>
      <c r="I27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27" s="2" t="str">
        <f ca="1">IFERROR(__xludf.DUMMYFUNCTION("""COMPUTED_VALUE"""),"VirtualFirewall (SecurityGroup) - km_alb_sg")</f>
        <v>VirtualFirewall (SecurityGroup) - km_alb_sg</v>
      </c>
      <c r="K27" s="2">
        <f ca="1">IFERROR(__xludf.DUMMYFUNCTION("""COMPUTED_VALUE"""),1)</f>
        <v>1</v>
      </c>
      <c r="L27" s="2">
        <f ca="1">IFERROR(__xludf.DUMMYFUNCTION("""COMPUTED_VALUE"""),0.7421)</f>
        <v>0.74209999999999998</v>
      </c>
      <c r="M27" s="2">
        <f ca="1">IFERROR(__xludf.DUMMYFUNCTION("""COMPUTED_VALUE"""),0.0001)</f>
        <v>1E-4</v>
      </c>
      <c r="N27" s="2">
        <f ca="1">IFERROR(__xludf.DUMMYFUNCTION("""COMPUTED_VALUE"""),4.9625)</f>
        <v>4.9625000000000004</v>
      </c>
      <c r="O27" s="18">
        <f ca="1">IFERROR(__xludf.DUMMYFUNCTION("""COMPUTED_VALUE"""),0.7421)</f>
        <v>0.74209999999999998</v>
      </c>
      <c r="Q27" s="33" t="str">
        <f ca="1">IFERROR(__xludf.DUMMYFUNCTION("""COMPUTED_VALUE"""),"Tampering: Unauthorized Modification of the Data Stores")</f>
        <v>Tampering: Unauthorized Modification of the Data Stores</v>
      </c>
      <c r="R27" s="34">
        <f ca="1">IFERROR(__xludf.DUMMYFUNCTION("""COMPUTED_VALUE"""),3)</f>
        <v>3</v>
      </c>
      <c r="S27" s="34"/>
      <c r="T27" s="34"/>
      <c r="U27" s="34"/>
      <c r="V27" s="34"/>
      <c r="W27" s="34"/>
      <c r="X27" s="34"/>
      <c r="Y27" s="34"/>
      <c r="Z27" s="35"/>
    </row>
    <row r="28" spans="1:26" ht="12.5">
      <c r="A28" s="10" t="s">
        <v>44</v>
      </c>
      <c r="B28" s="11" t="s">
        <v>75</v>
      </c>
      <c r="C28" s="12">
        <v>1</v>
      </c>
      <c r="D28" s="12">
        <v>0.7571</v>
      </c>
      <c r="E28" s="12">
        <v>0</v>
      </c>
      <c r="F28" s="12">
        <v>5.7430000000000003</v>
      </c>
      <c r="G28" s="13">
        <v>0.7571</v>
      </c>
      <c r="I28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28" s="2" t="str">
        <f ca="1">IFERROR(__xludf.DUMMYFUNCTION("""COMPUTED_VALUE"""),"VirtualFirewall (SecurityGroup) - km_rds_sg")</f>
        <v>VirtualFirewall (SecurityGroup) - km_rds_sg</v>
      </c>
      <c r="K28" s="2">
        <f ca="1">IFERROR(__xludf.DUMMYFUNCTION("""COMPUTED_VALUE"""),1)</f>
        <v>1</v>
      </c>
      <c r="L28" s="2">
        <f ca="1">IFERROR(__xludf.DUMMYFUNCTION("""COMPUTED_VALUE"""),0.7767)</f>
        <v>0.77669999999999995</v>
      </c>
      <c r="M28" s="2">
        <f ca="1">IFERROR(__xludf.DUMMYFUNCTION("""COMPUTED_VALUE"""),0.0002)</f>
        <v>2.0000000000000001E-4</v>
      </c>
      <c r="N28" s="2">
        <f ca="1">IFERROR(__xludf.DUMMYFUNCTION("""COMPUTED_VALUE"""),5.3731)</f>
        <v>5.3731</v>
      </c>
      <c r="O28" s="18">
        <f ca="1">IFERROR(__xludf.DUMMYFUNCTION("""COMPUTED_VALUE"""),0.7767)</f>
        <v>0.77669999999999995</v>
      </c>
    </row>
    <row r="29" spans="1:26" ht="12.5">
      <c r="A29" s="10" t="s">
        <v>44</v>
      </c>
      <c r="B29" s="11" t="s">
        <v>76</v>
      </c>
      <c r="C29" s="12">
        <v>1</v>
      </c>
      <c r="D29" s="12">
        <v>0.68959999999999999</v>
      </c>
      <c r="E29" s="12">
        <v>1E-4</v>
      </c>
      <c r="F29" s="12">
        <v>5.4997999999999996</v>
      </c>
      <c r="G29" s="13">
        <v>0.68959999999999999</v>
      </c>
      <c r="I29" s="15" t="str">
        <f ca="1">IFERROR(__xludf.DUMMYFUNCTION("""COMPUTED_VALUE"""),"Information Disclosure: Logs Of Cloud Application Stolen")</f>
        <v>Information Disclosure: Logs Of Cloud Application Stolen</v>
      </c>
      <c r="J29" s="2" t="str">
        <f ca="1">IFERROR(__xludf.DUMMYFUNCTION("""COMPUTED_VALUE"""),"LoadBalancer (ALB) - km_lb_target")</f>
        <v>LoadBalancer (ALB) - km_lb_target</v>
      </c>
      <c r="K29" s="2">
        <f ca="1">IFERROR(__xludf.DUMMYFUNCTION("""COMPUTED_VALUE"""),1)</f>
        <v>1</v>
      </c>
      <c r="L29" s="2">
        <f ca="1">IFERROR(__xludf.DUMMYFUNCTION("""COMPUTED_VALUE"""),0.7461)</f>
        <v>0.74609999999999999</v>
      </c>
      <c r="M29" s="2">
        <f ca="1">IFERROR(__xludf.DUMMYFUNCTION("""COMPUTED_VALUE"""),0.0001)</f>
        <v>1E-4</v>
      </c>
      <c r="N29" s="2">
        <f ca="1">IFERROR(__xludf.DUMMYFUNCTION("""COMPUTED_VALUE"""),5.062)</f>
        <v>5.0620000000000003</v>
      </c>
      <c r="O29" s="18">
        <f ca="1">IFERROR(__xludf.DUMMYFUNCTION("""COMPUTED_VALUE"""),0.7461)</f>
        <v>0.74609999999999999</v>
      </c>
      <c r="Q29" s="2" t="str">
        <f ca="1">"TOTAL: " &amp; TEXT(COUNTA(Q2:Q27), "0")</f>
        <v>TOTAL: 26</v>
      </c>
    </row>
    <row r="30" spans="1:26" ht="12.5">
      <c r="A30" s="10" t="s">
        <v>23</v>
      </c>
      <c r="B30" s="11" t="s">
        <v>61</v>
      </c>
      <c r="C30" s="12">
        <v>1</v>
      </c>
      <c r="D30" s="12">
        <v>0.73709999999999998</v>
      </c>
      <c r="E30" s="12">
        <v>0</v>
      </c>
      <c r="F30" s="12">
        <v>5.4130000000000003</v>
      </c>
      <c r="G30" s="13">
        <v>0.73709999999999998</v>
      </c>
      <c r="I30" s="15" t="str">
        <f ca="1">IFERROR(__xludf.DUMMYFUNCTION("""COMPUTED_VALUE"""),"Information Disclosure: Logs Of Cloud Application Stolen")</f>
        <v>Information Disclosure: Logs Of Cloud Application Stolen</v>
      </c>
      <c r="J30" s="2" t="str">
        <f ca="1">IFERROR(__xludf.DUMMYFUNCTION("""COMPUTED_VALUE"""),"VirtualFirewall (SecurityGroup) - km_alb_sg")</f>
        <v>VirtualFirewall (SecurityGroup) - km_alb_sg</v>
      </c>
      <c r="K30" s="2">
        <f ca="1">IFERROR(__xludf.DUMMYFUNCTION("""COMPUTED_VALUE"""),1)</f>
        <v>1</v>
      </c>
      <c r="L30" s="2">
        <f ca="1">IFERROR(__xludf.DUMMYFUNCTION("""COMPUTED_VALUE"""),0.707)</f>
        <v>0.70699999999999996</v>
      </c>
      <c r="M30" s="2">
        <f ca="1">IFERROR(__xludf.DUMMYFUNCTION("""COMPUTED_VALUE"""),0.0001)</f>
        <v>1E-4</v>
      </c>
      <c r="N30" s="2">
        <f ca="1">IFERROR(__xludf.DUMMYFUNCTION("""COMPUTED_VALUE"""),4.4116)</f>
        <v>4.4116</v>
      </c>
      <c r="O30" s="18">
        <f ca="1">IFERROR(__xludf.DUMMYFUNCTION("""COMPUTED_VALUE"""),0.707)</f>
        <v>0.70699999999999996</v>
      </c>
    </row>
    <row r="31" spans="1:26" ht="12.5">
      <c r="A31" s="10" t="s">
        <v>23</v>
      </c>
      <c r="B31" s="11" t="s">
        <v>63</v>
      </c>
      <c r="C31" s="12">
        <v>1</v>
      </c>
      <c r="D31" s="12">
        <v>0.71140000000000003</v>
      </c>
      <c r="E31" s="12">
        <v>1E-4</v>
      </c>
      <c r="F31" s="12">
        <v>5.0877999999999997</v>
      </c>
      <c r="G31" s="13">
        <v>0.71140000000000003</v>
      </c>
      <c r="I31" s="15" t="str">
        <f ca="1">IFERROR(__xludf.DUMMYFUNCTION("""COMPUTED_VALUE"""),"Information Disclosure: Malware From Cloud Application")</f>
        <v>Information Disclosure: Malware From Cloud Application</v>
      </c>
      <c r="J31" s="2" t="str">
        <f ca="1">IFERROR(__xludf.DUMMYFUNCTION("""COMPUTED_VALUE"""),"User")</f>
        <v>User</v>
      </c>
      <c r="K31" s="2">
        <f ca="1">IFERROR(__xludf.DUMMYFUNCTION("""COMPUTED_VALUE"""),1)</f>
        <v>1</v>
      </c>
      <c r="L31" s="2">
        <f ca="1">IFERROR(__xludf.DUMMYFUNCTION("""COMPUTED_VALUE"""),0.731266666666666)</f>
        <v>0.73126666666666595</v>
      </c>
      <c r="M31" s="2">
        <f ca="1">IFERROR(__xludf.DUMMYFUNCTION("""COMPUTED_VALUE"""),0)</f>
        <v>0</v>
      </c>
      <c r="N31" s="2">
        <f ca="1">IFERROR(__xludf.DUMMYFUNCTION("""COMPUTED_VALUE"""),5.09893333333333)</f>
        <v>5.0989333333333304</v>
      </c>
      <c r="O31" s="18">
        <f ca="1">IFERROR(__xludf.DUMMYFUNCTION("""COMPUTED_VALUE"""),0.731266666666666)</f>
        <v>0.73126666666666595</v>
      </c>
    </row>
    <row r="32" spans="1:26" ht="12.5">
      <c r="A32" s="10" t="s">
        <v>28</v>
      </c>
      <c r="B32" s="11" t="s">
        <v>61</v>
      </c>
      <c r="C32" s="12">
        <v>1</v>
      </c>
      <c r="D32" s="12">
        <v>0.72909999999999997</v>
      </c>
      <c r="E32" s="12">
        <v>0</v>
      </c>
      <c r="F32" s="12">
        <v>5.0130999999999997</v>
      </c>
      <c r="G32" s="13">
        <v>0.72909999999999997</v>
      </c>
      <c r="I32" s="15" t="str">
        <f ca="1">IFERROR(__xludf.DUMMYFUNCTION("""COMPUTED_VALUE"""),"Information Disclosure: Public Network Access To Cloud Application")</f>
        <v>Information Disclosure: Public Network Access To Cloud Application</v>
      </c>
      <c r="J32" s="2" t="str">
        <f ca="1">IFERROR(__xludf.DUMMYFUNCTION("""COMPUTED_VALUE"""),"User")</f>
        <v>User</v>
      </c>
      <c r="K32" s="2">
        <f ca="1">IFERROR(__xludf.DUMMYFUNCTION("""COMPUTED_VALUE"""),1)</f>
        <v>1</v>
      </c>
      <c r="L32" s="2">
        <f ca="1">IFERROR(__xludf.DUMMYFUNCTION("""COMPUTED_VALUE"""),0.7157)</f>
        <v>0.7157</v>
      </c>
      <c r="M32" s="2">
        <f ca="1">IFERROR(__xludf.DUMMYFUNCTION("""COMPUTED_VALUE"""),0.0000333333333333333)</f>
        <v>3.3333333333333301E-5</v>
      </c>
      <c r="N32" s="2">
        <f ca="1">IFERROR(__xludf.DUMMYFUNCTION("""COMPUTED_VALUE"""),5.0165)</f>
        <v>5.0164999999999997</v>
      </c>
      <c r="O32" s="18">
        <f ca="1">IFERROR(__xludf.DUMMYFUNCTION("""COMPUTED_VALUE"""),0.7157)</f>
        <v>0.7157</v>
      </c>
    </row>
    <row r="33" spans="1:15" ht="12.5">
      <c r="A33" s="10" t="s">
        <v>28</v>
      </c>
      <c r="B33" s="11" t="s">
        <v>63</v>
      </c>
      <c r="C33" s="12">
        <v>1</v>
      </c>
      <c r="D33" s="12">
        <v>0.71220000000000006</v>
      </c>
      <c r="E33" s="12">
        <v>1E-4</v>
      </c>
      <c r="F33" s="12">
        <v>5.1581999999999999</v>
      </c>
      <c r="G33" s="13">
        <v>0.71220000000000006</v>
      </c>
      <c r="I33" s="15" t="str">
        <f ca="1">IFERROR(__xludf.DUMMYFUNCTION("""COMPUTED_VALUE"""),"Information Disclosure: Sensitive Data Leakage")</f>
        <v>Information Disclosure: Sensitive Data Leakage</v>
      </c>
      <c r="J33" s="2" t="str">
        <f ca="1">IFERROR(__xludf.DUMMYFUNCTION("""COMPUTED_VALUE"""),"Database (RDS) - km_db")</f>
        <v>Database (RDS) - km_db</v>
      </c>
      <c r="K33" s="2">
        <f ca="1">IFERROR(__xludf.DUMMYFUNCTION("""COMPUTED_VALUE"""),1)</f>
        <v>1</v>
      </c>
      <c r="L33" s="2">
        <f ca="1">IFERROR(__xludf.DUMMYFUNCTION("""COMPUTED_VALUE"""),0.7541)</f>
        <v>0.75409999999999999</v>
      </c>
      <c r="M33" s="2">
        <f ca="1">IFERROR(__xludf.DUMMYFUNCTION("""COMPUTED_VALUE"""),0)</f>
        <v>0</v>
      </c>
      <c r="N33" s="2">
        <f ca="1">IFERROR(__xludf.DUMMYFUNCTION("""COMPUTED_VALUE"""),4.844)</f>
        <v>4.8440000000000003</v>
      </c>
      <c r="O33" s="18">
        <f ca="1">IFERROR(__xludf.DUMMYFUNCTION("""COMPUTED_VALUE"""),0.7541)</f>
        <v>0.75409999999999999</v>
      </c>
    </row>
    <row r="34" spans="1:15" ht="12.5">
      <c r="A34" s="10" t="s">
        <v>43</v>
      </c>
      <c r="B34" s="11" t="s">
        <v>61</v>
      </c>
      <c r="C34" s="12">
        <v>1</v>
      </c>
      <c r="D34" s="12">
        <v>0.68540000000000001</v>
      </c>
      <c r="E34" s="12">
        <v>1E-4</v>
      </c>
      <c r="F34" s="12">
        <v>5.3787000000000003</v>
      </c>
      <c r="G34" s="13">
        <v>0.68540000000000001</v>
      </c>
      <c r="I34" s="15" t="str">
        <f ca="1">IFERROR(__xludf.DUMMYFUNCTION("""COMPUTED_VALUE"""),"Information Disclosure: Sensitive Data Leakage")</f>
        <v>Information Disclosure: Sensitive Data Leakage</v>
      </c>
      <c r="J34" s="2" t="str">
        <f ca="1">IFERROR(__xludf.DUMMYFUNCTION("""COMPUTED_VALUE"""),"FileStorage (S3) - km_blob_storage")</f>
        <v>FileStorage (S3) - km_blob_storage</v>
      </c>
      <c r="K34" s="2">
        <f ca="1">IFERROR(__xludf.DUMMYFUNCTION("""COMPUTED_VALUE"""),1)</f>
        <v>1</v>
      </c>
      <c r="L34" s="2">
        <f ca="1">IFERROR(__xludf.DUMMYFUNCTION("""COMPUTED_VALUE"""),0.7201)</f>
        <v>0.72009999999999996</v>
      </c>
      <c r="M34" s="2">
        <f ca="1">IFERROR(__xludf.DUMMYFUNCTION("""COMPUTED_VALUE"""),0)</f>
        <v>0</v>
      </c>
      <c r="N34" s="2">
        <f ca="1">IFERROR(__xludf.DUMMYFUNCTION("""COMPUTED_VALUE"""),5.6488)</f>
        <v>5.6487999999999996</v>
      </c>
      <c r="O34" s="18">
        <f ca="1">IFERROR(__xludf.DUMMYFUNCTION("""COMPUTED_VALUE"""),0.7201)</f>
        <v>0.72009999999999996</v>
      </c>
    </row>
    <row r="35" spans="1:15" ht="12.5">
      <c r="A35" s="10" t="s">
        <v>43</v>
      </c>
      <c r="B35" s="11" t="s">
        <v>63</v>
      </c>
      <c r="C35" s="12">
        <v>1</v>
      </c>
      <c r="D35" s="12">
        <v>0.76939999999999997</v>
      </c>
      <c r="E35" s="12">
        <v>1E-4</v>
      </c>
      <c r="F35" s="12">
        <v>5.3921999999999999</v>
      </c>
      <c r="G35" s="13">
        <v>0.76939999999999997</v>
      </c>
      <c r="I35" s="15" t="str">
        <f ca="1">IFERROR(__xludf.DUMMYFUNCTION("""COMPUTED_VALUE"""),"Information Disclosure: Sensitive Data Leakage")</f>
        <v>Information Disclosure: Sensitive Data Leakage</v>
      </c>
      <c r="J35" s="2" t="str">
        <f ca="1">IFERROR(__xludf.DUMMYFUNCTION("""COMPUTED_VALUE"""),"FileStorage (S3) - km_public_blob")</f>
        <v>FileStorage (S3) - km_public_blob</v>
      </c>
      <c r="K35" s="2">
        <f ca="1">IFERROR(__xludf.DUMMYFUNCTION("""COMPUTED_VALUE"""),1)</f>
        <v>1</v>
      </c>
      <c r="L35" s="2">
        <f ca="1">IFERROR(__xludf.DUMMYFUNCTION("""COMPUTED_VALUE"""),0.7492)</f>
        <v>0.74919999999999998</v>
      </c>
      <c r="M35" s="2">
        <f ca="1">IFERROR(__xludf.DUMMYFUNCTION("""COMPUTED_VALUE"""),0)</f>
        <v>0</v>
      </c>
      <c r="N35" s="2">
        <f ca="1">IFERROR(__xludf.DUMMYFUNCTION("""COMPUTED_VALUE"""),5.2719)</f>
        <v>5.2718999999999996</v>
      </c>
      <c r="O35" s="18">
        <f ca="1">IFERROR(__xludf.DUMMYFUNCTION("""COMPUTED_VALUE"""),0.7492)</f>
        <v>0.74919999999999998</v>
      </c>
    </row>
    <row r="36" spans="1:15" ht="12.5">
      <c r="A36" s="10" t="s">
        <v>55</v>
      </c>
      <c r="B36" s="11" t="s">
        <v>61</v>
      </c>
      <c r="C36" s="12">
        <v>1</v>
      </c>
      <c r="D36" s="12">
        <v>0.76270000000000004</v>
      </c>
      <c r="E36" s="12">
        <v>1E-4</v>
      </c>
      <c r="F36" s="12">
        <v>4.9623999999999997</v>
      </c>
      <c r="G36" s="13">
        <v>0.76270000000000004</v>
      </c>
      <c r="I36" s="15" t="str">
        <f ca="1">IFERROR(__xludf.DUMMYFUNCTION("""COMPUTED_VALUE"""),"Information Disclosure: Social Engineering Against Remote User")</f>
        <v>Information Disclosure: Social Engineering Against Remote User</v>
      </c>
      <c r="J36" s="2" t="str">
        <f ca="1">IFERROR(__xludf.DUMMYFUNCTION("""COMPUTED_VALUE"""),"User")</f>
        <v>User</v>
      </c>
      <c r="K36" s="2">
        <f ca="1">IFERROR(__xludf.DUMMYFUNCTION("""COMPUTED_VALUE"""),1)</f>
        <v>1</v>
      </c>
      <c r="L36" s="2">
        <f ca="1">IFERROR(__xludf.DUMMYFUNCTION("""COMPUTED_VALUE"""),0.7265)</f>
        <v>0.72650000000000003</v>
      </c>
      <c r="M36" s="2">
        <f ca="1">IFERROR(__xludf.DUMMYFUNCTION("""COMPUTED_VALUE"""),0.0000333333333333333)</f>
        <v>3.3333333333333301E-5</v>
      </c>
      <c r="N36" s="2">
        <f ca="1">IFERROR(__xludf.DUMMYFUNCTION("""COMPUTED_VALUE"""),5.17376666666666)</f>
        <v>5.1737666666666602</v>
      </c>
      <c r="O36" s="18">
        <f ca="1">IFERROR(__xludf.DUMMYFUNCTION("""COMPUTED_VALUE"""),0.7265)</f>
        <v>0.72650000000000003</v>
      </c>
    </row>
    <row r="37" spans="1:15" ht="12.5">
      <c r="A37" s="10" t="s">
        <v>55</v>
      </c>
      <c r="B37" s="11" t="s">
        <v>63</v>
      </c>
      <c r="C37" s="12">
        <v>1</v>
      </c>
      <c r="D37" s="12">
        <v>0.73270000000000002</v>
      </c>
      <c r="E37" s="12">
        <v>0</v>
      </c>
      <c r="F37" s="12">
        <v>4.5933999999999999</v>
      </c>
      <c r="G37" s="13">
        <v>0.73270000000000002</v>
      </c>
      <c r="I37" s="15" t="str">
        <f ca="1">IFERROR(__xludf.DUMMYFUNCTION("""COMPUTED_VALUE"""),"Other: Cloud Application Abuse")</f>
        <v>Other: Cloud Application Abuse</v>
      </c>
      <c r="J37" s="2" t="str">
        <f ca="1">IFERROR(__xludf.DUMMYFUNCTION("""COMPUTED_VALUE"""),"IAM (IAM) - km_ecs_task_execution_role")</f>
        <v>IAM (IAM) - km_ecs_task_execution_role</v>
      </c>
      <c r="K37" s="2">
        <f ca="1">IFERROR(__xludf.DUMMYFUNCTION("""COMPUTED_VALUE"""),1)</f>
        <v>1</v>
      </c>
      <c r="L37" s="2">
        <f ca="1">IFERROR(__xludf.DUMMYFUNCTION("""COMPUTED_VALUE"""),0.7361)</f>
        <v>0.73609999999999998</v>
      </c>
      <c r="M37" s="2">
        <f ca="1">IFERROR(__xludf.DUMMYFUNCTION("""COMPUTED_VALUE"""),0.0001)</f>
        <v>1E-4</v>
      </c>
      <c r="N37" s="2">
        <f ca="1">IFERROR(__xludf.DUMMYFUNCTION("""COMPUTED_VALUE"""),5.4213)</f>
        <v>5.4212999999999996</v>
      </c>
      <c r="O37" s="18">
        <f ca="1">IFERROR(__xludf.DUMMYFUNCTION("""COMPUTED_VALUE"""),0.7361)</f>
        <v>0.73609999999999998</v>
      </c>
    </row>
    <row r="38" spans="1:15" ht="12.5">
      <c r="A38" s="10" t="s">
        <v>24</v>
      </c>
      <c r="B38" s="11" t="s">
        <v>2</v>
      </c>
      <c r="C38" s="12">
        <v>1</v>
      </c>
      <c r="D38" s="12">
        <v>0.75919999999999999</v>
      </c>
      <c r="E38" s="12">
        <v>0</v>
      </c>
      <c r="F38" s="12">
        <v>5.5534999999999997</v>
      </c>
      <c r="G38" s="13">
        <v>0.75919999999999999</v>
      </c>
      <c r="I38" s="15" t="str">
        <f ca="1">IFERROR(__xludf.DUMMYFUNCTION("""COMPUTED_VALUE"""),"Other: Cloud Application Abuse")</f>
        <v>Other: Cloud Application Abuse</v>
      </c>
      <c r="J38" s="2" t="str">
        <f ca="1">IFERROR(__xludf.DUMMYFUNCTION("""COMPUTED_VALUE"""),"VirtualFirewall (SecurityGroup) - km_alb_sg")</f>
        <v>VirtualFirewall (SecurityGroup) - km_alb_sg</v>
      </c>
      <c r="K38" s="2">
        <f ca="1">IFERROR(__xludf.DUMMYFUNCTION("""COMPUTED_VALUE"""),1)</f>
        <v>1</v>
      </c>
      <c r="L38" s="2">
        <f ca="1">IFERROR(__xludf.DUMMYFUNCTION("""COMPUTED_VALUE"""),0.7874)</f>
        <v>0.78739999999999999</v>
      </c>
      <c r="M38" s="2">
        <f ca="1">IFERROR(__xludf.DUMMYFUNCTION("""COMPUTED_VALUE"""),0.0001)</f>
        <v>1E-4</v>
      </c>
      <c r="N38" s="2">
        <f ca="1">IFERROR(__xludf.DUMMYFUNCTION("""COMPUTED_VALUE"""),5.1477)</f>
        <v>5.1477000000000004</v>
      </c>
      <c r="O38" s="18">
        <f ca="1">IFERROR(__xludf.DUMMYFUNCTION("""COMPUTED_VALUE"""),0.7874)</f>
        <v>0.78739999999999999</v>
      </c>
    </row>
    <row r="39" spans="1:15" ht="12.5">
      <c r="A39" s="10" t="s">
        <v>24</v>
      </c>
      <c r="B39" s="11" t="s">
        <v>2</v>
      </c>
      <c r="C39" s="12">
        <v>1</v>
      </c>
      <c r="D39" s="12">
        <v>0.70069999999999999</v>
      </c>
      <c r="E39" s="12">
        <v>0</v>
      </c>
      <c r="F39" s="12">
        <v>5.1169000000000002</v>
      </c>
      <c r="G39" s="13">
        <v>0.70069999999999999</v>
      </c>
      <c r="I39" s="15" t="str">
        <f ca="1">IFERROR(__xludf.DUMMYFUNCTION("""COMPUTED_VALUE"""),"Other: Cloud Application Abuse")</f>
        <v>Other: Cloud Application Abuse</v>
      </c>
      <c r="J39" s="2" t="str">
        <f ca="1">IFERROR(__xludf.DUMMYFUNCTION("""COMPUTED_VALUE"""),"VirtualFirewall (SecurityGroup) - km_rds_sg")</f>
        <v>VirtualFirewall (SecurityGroup) - km_rds_sg</v>
      </c>
      <c r="K39" s="2">
        <f ca="1">IFERROR(__xludf.DUMMYFUNCTION("""COMPUTED_VALUE"""),1)</f>
        <v>1</v>
      </c>
      <c r="L39" s="2">
        <f ca="1">IFERROR(__xludf.DUMMYFUNCTION("""COMPUTED_VALUE"""),0.7243)</f>
        <v>0.72430000000000005</v>
      </c>
      <c r="M39" s="2">
        <f ca="1">IFERROR(__xludf.DUMMYFUNCTION("""COMPUTED_VALUE"""),0)</f>
        <v>0</v>
      </c>
      <c r="N39" s="2">
        <f ca="1">IFERROR(__xludf.DUMMYFUNCTION("""COMPUTED_VALUE"""),5.5866)</f>
        <v>5.5865999999999998</v>
      </c>
      <c r="O39" s="18">
        <f ca="1">IFERROR(__xludf.DUMMYFUNCTION("""COMPUTED_VALUE"""),0.7243)</f>
        <v>0.72430000000000005</v>
      </c>
    </row>
    <row r="40" spans="1:15" ht="12.5">
      <c r="A40" s="10" t="s">
        <v>24</v>
      </c>
      <c r="B40" s="11" t="s">
        <v>2</v>
      </c>
      <c r="C40" s="12">
        <v>1</v>
      </c>
      <c r="D40" s="12">
        <v>0.76029999999999998</v>
      </c>
      <c r="E40" s="12">
        <v>1E-4</v>
      </c>
      <c r="F40" s="12">
        <v>5.1455000000000002</v>
      </c>
      <c r="G40" s="13">
        <v>0.76029999999999998</v>
      </c>
      <c r="I40" s="15" t="str">
        <f ca="1">IFERROR(__xludf.DUMMYFUNCTION("""COMPUTED_VALUE"""),"Other: Network Attacks To Cloud Application")</f>
        <v>Other: Network Attacks To Cloud Application</v>
      </c>
      <c r="J40" s="2" t="str">
        <f ca="1">IFERROR(__xludf.DUMMYFUNCTION("""COMPUTED_VALUE"""),"IAM (IAM) - km_ecs_task_execution_role")</f>
        <v>IAM (IAM) - km_ecs_task_execution_role</v>
      </c>
      <c r="K40" s="2">
        <f ca="1">IFERROR(__xludf.DUMMYFUNCTION("""COMPUTED_VALUE"""),1)</f>
        <v>1</v>
      </c>
      <c r="L40" s="2">
        <f ca="1">IFERROR(__xludf.DUMMYFUNCTION("""COMPUTED_VALUE"""),0.705)</f>
        <v>0.70499999999999996</v>
      </c>
      <c r="M40" s="2">
        <f ca="1">IFERROR(__xludf.DUMMYFUNCTION("""COMPUTED_VALUE"""),0)</f>
        <v>0</v>
      </c>
      <c r="N40" s="2">
        <f ca="1">IFERROR(__xludf.DUMMYFUNCTION("""COMPUTED_VALUE"""),5.0586)</f>
        <v>5.0586000000000002</v>
      </c>
      <c r="O40" s="18">
        <f ca="1">IFERROR(__xludf.DUMMYFUNCTION("""COMPUTED_VALUE"""),0.705)</f>
        <v>0.70499999999999996</v>
      </c>
    </row>
    <row r="41" spans="1:15" ht="12.5">
      <c r="A41" s="10" t="s">
        <v>42</v>
      </c>
      <c r="B41" s="11" t="s">
        <v>61</v>
      </c>
      <c r="C41" s="12">
        <v>1</v>
      </c>
      <c r="D41" s="12">
        <v>0.72809999999999997</v>
      </c>
      <c r="E41" s="12">
        <v>0</v>
      </c>
      <c r="F41" s="12">
        <v>4.9332000000000003</v>
      </c>
      <c r="G41" s="13">
        <v>0.72809999999999997</v>
      </c>
      <c r="I41" s="15" t="str">
        <f ca="1">IFERROR(__xludf.DUMMYFUNCTION("""COMPUTED_VALUE"""),"Other: Network Attacks To Cloud Application")</f>
        <v>Other: Network Attacks To Cloud Application</v>
      </c>
      <c r="J41" s="2" t="str">
        <f ca="1">IFERROR(__xludf.DUMMYFUNCTION("""COMPUTED_VALUE"""),"VirtualFirewall (SecurityGroup) - km_alb_sg")</f>
        <v>VirtualFirewall (SecurityGroup) - km_alb_sg</v>
      </c>
      <c r="K41" s="2">
        <f ca="1">IFERROR(__xludf.DUMMYFUNCTION("""COMPUTED_VALUE"""),1)</f>
        <v>1</v>
      </c>
      <c r="L41" s="2">
        <f ca="1">IFERROR(__xludf.DUMMYFUNCTION("""COMPUTED_VALUE"""),0.7517)</f>
        <v>0.75170000000000003</v>
      </c>
      <c r="M41" s="2">
        <f ca="1">IFERROR(__xludf.DUMMYFUNCTION("""COMPUTED_VALUE"""),0)</f>
        <v>0</v>
      </c>
      <c r="N41" s="2">
        <f ca="1">IFERROR(__xludf.DUMMYFUNCTION("""COMPUTED_VALUE"""),4.7498)</f>
        <v>4.7497999999999996</v>
      </c>
      <c r="O41" s="18">
        <f ca="1">IFERROR(__xludf.DUMMYFUNCTION("""COMPUTED_VALUE"""),0.7517)</f>
        <v>0.75170000000000003</v>
      </c>
    </row>
    <row r="42" spans="1:15" ht="12.5">
      <c r="A42" s="10" t="s">
        <v>42</v>
      </c>
      <c r="B42" s="11" t="s">
        <v>63</v>
      </c>
      <c r="C42" s="12">
        <v>1</v>
      </c>
      <c r="D42" s="12">
        <v>0.74370000000000003</v>
      </c>
      <c r="E42" s="12">
        <v>1E-4</v>
      </c>
      <c r="F42" s="12">
        <v>5.0152999999999999</v>
      </c>
      <c r="G42" s="13">
        <v>0.74370000000000003</v>
      </c>
      <c r="I42" s="15" t="str">
        <f ca="1">IFERROR(__xludf.DUMMYFUNCTION("""COMPUTED_VALUE"""),"Other: Network Attacks To Cloud Application")</f>
        <v>Other: Network Attacks To Cloud Application</v>
      </c>
      <c r="J42" s="2" t="str">
        <f ca="1">IFERROR(__xludf.DUMMYFUNCTION("""COMPUTED_VALUE"""),"VirtualFirewall (SecurityGroup) - km_rds_sg")</f>
        <v>VirtualFirewall (SecurityGroup) - km_rds_sg</v>
      </c>
      <c r="K42" s="2">
        <f ca="1">IFERROR(__xludf.DUMMYFUNCTION("""COMPUTED_VALUE"""),1)</f>
        <v>1</v>
      </c>
      <c r="L42" s="2">
        <f ca="1">IFERROR(__xludf.DUMMYFUNCTION("""COMPUTED_VALUE"""),0.7548)</f>
        <v>0.75480000000000003</v>
      </c>
      <c r="M42" s="2">
        <f ca="1">IFERROR(__xludf.DUMMYFUNCTION("""COMPUTED_VALUE"""),0)</f>
        <v>0</v>
      </c>
      <c r="N42" s="2">
        <f ca="1">IFERROR(__xludf.DUMMYFUNCTION("""COMPUTED_VALUE"""),5.1716)</f>
        <v>5.1715999999999998</v>
      </c>
      <c r="O42" s="18">
        <f ca="1">IFERROR(__xludf.DUMMYFUNCTION("""COMPUTED_VALUE"""),0.7548)</f>
        <v>0.75480000000000003</v>
      </c>
    </row>
    <row r="43" spans="1:15" ht="12.5">
      <c r="A43" s="10" t="s">
        <v>29</v>
      </c>
      <c r="B43" s="11" t="s">
        <v>61</v>
      </c>
      <c r="C43" s="12">
        <v>1</v>
      </c>
      <c r="D43" s="12">
        <v>0.77880000000000005</v>
      </c>
      <c r="E43" s="12">
        <v>1E-4</v>
      </c>
      <c r="F43" s="12">
        <v>5.1208</v>
      </c>
      <c r="G43" s="13">
        <v>0.77880000000000005</v>
      </c>
      <c r="I43" s="15" t="str">
        <f ca="1">IFERROR(__xludf.DUMMYFUNCTION("""COMPUTED_VALUE"""),"Repudiation: Attacking the Logs")</f>
        <v>Repudiation: Attacking the Logs</v>
      </c>
      <c r="J43" s="2" t="str">
        <f ca="1">IFERROR(__xludf.DUMMYFUNCTION("""COMPUTED_VALUE"""),"Database (RDS) - km_db")</f>
        <v>Database (RDS) - km_db</v>
      </c>
      <c r="K43" s="2">
        <f ca="1">IFERROR(__xludf.DUMMYFUNCTION("""COMPUTED_VALUE"""),1)</f>
        <v>1</v>
      </c>
      <c r="L43" s="2">
        <f ca="1">IFERROR(__xludf.DUMMYFUNCTION("""COMPUTED_VALUE"""),0.7624)</f>
        <v>0.76239999999999997</v>
      </c>
      <c r="M43" s="2">
        <f ca="1">IFERROR(__xludf.DUMMYFUNCTION("""COMPUTED_VALUE"""),0)</f>
        <v>0</v>
      </c>
      <c r="N43" s="2">
        <f ca="1">IFERROR(__xludf.DUMMYFUNCTION("""COMPUTED_VALUE"""),5.2004)</f>
        <v>5.2004000000000001</v>
      </c>
      <c r="O43" s="18">
        <f ca="1">IFERROR(__xludf.DUMMYFUNCTION("""COMPUTED_VALUE"""),0.7624)</f>
        <v>0.76239999999999997</v>
      </c>
    </row>
    <row r="44" spans="1:15" ht="12.5">
      <c r="A44" s="10" t="s">
        <v>29</v>
      </c>
      <c r="B44" s="11" t="s">
        <v>78</v>
      </c>
      <c r="C44" s="12">
        <v>1</v>
      </c>
      <c r="D44" s="12">
        <v>0.74819999999999998</v>
      </c>
      <c r="E44" s="12">
        <v>1E-4</v>
      </c>
      <c r="F44" s="12">
        <v>4.4104999999999999</v>
      </c>
      <c r="G44" s="13">
        <v>0.74819999999999998</v>
      </c>
      <c r="I44" s="15" t="str">
        <f ca="1">IFERROR(__xludf.DUMMYFUNCTION("""COMPUTED_VALUE"""),"Repudiation: Attacking the Logs")</f>
        <v>Repudiation: Attacking the Logs</v>
      </c>
      <c r="J44" s="2" t="str">
        <f ca="1">IFERROR(__xludf.DUMMYFUNCTION("""COMPUTED_VALUE"""),"FileStorage (S3) - km_blob_storage")</f>
        <v>FileStorage (S3) - km_blob_storage</v>
      </c>
      <c r="K44" s="2">
        <f ca="1">IFERROR(__xludf.DUMMYFUNCTION("""COMPUTED_VALUE"""),1)</f>
        <v>1</v>
      </c>
      <c r="L44" s="2">
        <f ca="1">IFERROR(__xludf.DUMMYFUNCTION("""COMPUTED_VALUE"""),0.7483)</f>
        <v>0.74829999999999997</v>
      </c>
      <c r="M44" s="2">
        <f ca="1">IFERROR(__xludf.DUMMYFUNCTION("""COMPUTED_VALUE"""),0)</f>
        <v>0</v>
      </c>
      <c r="N44" s="2">
        <f ca="1">IFERROR(__xludf.DUMMYFUNCTION("""COMPUTED_VALUE"""),4.924)</f>
        <v>4.9240000000000004</v>
      </c>
      <c r="O44" s="18">
        <f ca="1">IFERROR(__xludf.DUMMYFUNCTION("""COMPUTED_VALUE"""),0.7483)</f>
        <v>0.74829999999999997</v>
      </c>
    </row>
    <row r="45" spans="1:15" ht="12.5">
      <c r="A45" s="10" t="s">
        <v>29</v>
      </c>
      <c r="B45" s="11" t="s">
        <v>79</v>
      </c>
      <c r="C45" s="12">
        <v>1</v>
      </c>
      <c r="D45" s="12">
        <v>0.73809999999999998</v>
      </c>
      <c r="E45" s="12">
        <v>1E-4</v>
      </c>
      <c r="F45" s="12">
        <v>5.5551000000000004</v>
      </c>
      <c r="G45" s="13">
        <v>0.73809999999999998</v>
      </c>
      <c r="I45" s="15" t="str">
        <f ca="1">IFERROR(__xludf.DUMMYFUNCTION("""COMPUTED_VALUE"""),"Repudiation: Attacking the Logs")</f>
        <v>Repudiation: Attacking the Logs</v>
      </c>
      <c r="J45" s="2" t="str">
        <f ca="1">IFERROR(__xludf.DUMMYFUNCTION("""COMPUTED_VALUE"""),"FileStorage (S3) - km_public_blob")</f>
        <v>FileStorage (S3) - km_public_blob</v>
      </c>
      <c r="K45" s="2">
        <f ca="1">IFERROR(__xludf.DUMMYFUNCTION("""COMPUTED_VALUE"""),1)</f>
        <v>1</v>
      </c>
      <c r="L45" s="2">
        <f ca="1">IFERROR(__xludf.DUMMYFUNCTION("""COMPUTED_VALUE"""),0.7646)</f>
        <v>0.76459999999999995</v>
      </c>
      <c r="M45" s="2">
        <f ca="1">IFERROR(__xludf.DUMMYFUNCTION("""COMPUTED_VALUE"""),0)</f>
        <v>0</v>
      </c>
      <c r="N45" s="2">
        <f ca="1">IFERROR(__xludf.DUMMYFUNCTION("""COMPUTED_VALUE"""),5.0958)</f>
        <v>5.0957999999999997</v>
      </c>
      <c r="O45" s="18">
        <f ca="1">IFERROR(__xludf.DUMMYFUNCTION("""COMPUTED_VALUE"""),0.7646)</f>
        <v>0.76459999999999995</v>
      </c>
    </row>
    <row r="46" spans="1:15" ht="12.5">
      <c r="A46" s="10" t="s">
        <v>47</v>
      </c>
      <c r="B46" s="11" t="s">
        <v>2</v>
      </c>
      <c r="C46" s="12">
        <v>1</v>
      </c>
      <c r="D46" s="12">
        <v>0.71660000000000001</v>
      </c>
      <c r="E46" s="12">
        <v>0</v>
      </c>
      <c r="F46" s="12">
        <v>5.0780000000000003</v>
      </c>
      <c r="G46" s="13">
        <v>0.71660000000000001</v>
      </c>
      <c r="I46" s="15" t="str">
        <f ca="1">IFERROR(__xludf.DUMMYFUNCTION("""COMPUTED_VALUE"""),"Repudiation: Logs Of Cloud Application Lost")</f>
        <v>Repudiation: Logs Of Cloud Application Lost</v>
      </c>
      <c r="J46" s="2" t="str">
        <f ca="1">IFERROR(__xludf.DUMMYFUNCTION("""COMPUTED_VALUE"""),"LoadBalancer (ALB) - km_lb_target")</f>
        <v>LoadBalancer (ALB) - km_lb_target</v>
      </c>
      <c r="K46" s="2">
        <f ca="1">IFERROR(__xludf.DUMMYFUNCTION("""COMPUTED_VALUE"""),1)</f>
        <v>1</v>
      </c>
      <c r="L46" s="2">
        <f ca="1">IFERROR(__xludf.DUMMYFUNCTION("""COMPUTED_VALUE"""),0.6788)</f>
        <v>0.67879999999999996</v>
      </c>
      <c r="M46" s="2">
        <f ca="1">IFERROR(__xludf.DUMMYFUNCTION("""COMPUTED_VALUE"""),0.0001)</f>
        <v>1E-4</v>
      </c>
      <c r="N46" s="2">
        <f ca="1">IFERROR(__xludf.DUMMYFUNCTION("""COMPUTED_VALUE"""),4.9682)</f>
        <v>4.9682000000000004</v>
      </c>
      <c r="O46" s="18">
        <f ca="1">IFERROR(__xludf.DUMMYFUNCTION("""COMPUTED_VALUE"""),0.6788)</f>
        <v>0.67879999999999996</v>
      </c>
    </row>
    <row r="47" spans="1:15" ht="12.5">
      <c r="A47" s="10" t="s">
        <v>47</v>
      </c>
      <c r="B47" s="11" t="s">
        <v>2</v>
      </c>
      <c r="C47" s="12">
        <v>1</v>
      </c>
      <c r="D47" s="12">
        <v>0.76590000000000003</v>
      </c>
      <c r="E47" s="12">
        <v>0</v>
      </c>
      <c r="F47" s="12">
        <v>4.9492000000000003</v>
      </c>
      <c r="G47" s="13">
        <v>0.76590000000000003</v>
      </c>
      <c r="I47" s="15" t="str">
        <f ca="1">IFERROR(__xludf.DUMMYFUNCTION("""COMPUTED_VALUE"""),"Repudiation: Logs Of Cloud Application Lost")</f>
        <v>Repudiation: Logs Of Cloud Application Lost</v>
      </c>
      <c r="J47" s="2" t="str">
        <f ca="1">IFERROR(__xludf.DUMMYFUNCTION("""COMPUTED_VALUE"""),"VirtualFirewall (SecurityGroup) - km_alb_sg")</f>
        <v>VirtualFirewall (SecurityGroup) - km_alb_sg</v>
      </c>
      <c r="K47" s="2">
        <f ca="1">IFERROR(__xludf.DUMMYFUNCTION("""COMPUTED_VALUE"""),1)</f>
        <v>1</v>
      </c>
      <c r="L47" s="2">
        <f ca="1">IFERROR(__xludf.DUMMYFUNCTION("""COMPUTED_VALUE"""),0.7586)</f>
        <v>0.75860000000000005</v>
      </c>
      <c r="M47" s="2">
        <f ca="1">IFERROR(__xludf.DUMMYFUNCTION("""COMPUTED_VALUE"""),0.0001)</f>
        <v>1E-4</v>
      </c>
      <c r="N47" s="2">
        <f ca="1">IFERROR(__xludf.DUMMYFUNCTION("""COMPUTED_VALUE"""),5.1615)</f>
        <v>5.1615000000000002</v>
      </c>
      <c r="O47" s="18">
        <f ca="1">IFERROR(__xludf.DUMMYFUNCTION("""COMPUTED_VALUE"""),0.7586)</f>
        <v>0.75860000000000005</v>
      </c>
    </row>
    <row r="48" spans="1:15" ht="12.5">
      <c r="A48" s="10" t="s">
        <v>47</v>
      </c>
      <c r="B48" s="11" t="s">
        <v>2</v>
      </c>
      <c r="C48" s="12">
        <v>1</v>
      </c>
      <c r="D48" s="12">
        <v>0.76500000000000001</v>
      </c>
      <c r="E48" s="12">
        <v>0</v>
      </c>
      <c r="F48" s="12">
        <v>4.8459000000000003</v>
      </c>
      <c r="G48" s="13">
        <v>0.76500000000000001</v>
      </c>
      <c r="I48" s="15" t="str">
        <f ca="1">IFERROR(__xludf.DUMMYFUNCTION("""COMPUTED_VALUE"""),"Spoofing: Broken Authentication")</f>
        <v>Spoofing: Broken Authentication</v>
      </c>
      <c r="J48" s="2" t="str">
        <f ca="1">IFERROR(__xludf.DUMMYFUNCTION("""COMPUTED_VALUE"""),"LoadBalancer (ALB) - km_lb_target")</f>
        <v>LoadBalancer (ALB) - km_lb_target</v>
      </c>
      <c r="K48" s="2">
        <f ca="1">IFERROR(__xludf.DUMMYFUNCTION("""COMPUTED_VALUE"""),1)</f>
        <v>1</v>
      </c>
      <c r="L48" s="2">
        <f ca="1">IFERROR(__xludf.DUMMYFUNCTION("""COMPUTED_VALUE"""),0.6695)</f>
        <v>0.66949999999999998</v>
      </c>
      <c r="M48" s="2">
        <f ca="1">IFERROR(__xludf.DUMMYFUNCTION("""COMPUTED_VALUE"""),0.0001)</f>
        <v>1E-4</v>
      </c>
      <c r="N48" s="2">
        <f ca="1">IFERROR(__xludf.DUMMYFUNCTION("""COMPUTED_VALUE"""),4.6787)</f>
        <v>4.6787000000000001</v>
      </c>
      <c r="O48" s="18">
        <f ca="1">IFERROR(__xludf.DUMMYFUNCTION("""COMPUTED_VALUE"""),0.6695)</f>
        <v>0.66949999999999998</v>
      </c>
    </row>
    <row r="49" spans="1:15" ht="12.5">
      <c r="A49" s="10" t="s">
        <v>25</v>
      </c>
      <c r="B49" s="11" t="s">
        <v>77</v>
      </c>
      <c r="C49" s="12">
        <v>1</v>
      </c>
      <c r="D49" s="12">
        <v>0.75409999999999999</v>
      </c>
      <c r="E49" s="12">
        <v>0</v>
      </c>
      <c r="F49" s="12">
        <v>4.8440000000000003</v>
      </c>
      <c r="G49" s="13">
        <v>0.75409999999999999</v>
      </c>
      <c r="I49" s="15" t="str">
        <f ca="1">IFERROR(__xludf.DUMMYFUNCTION("""COMPUTED_VALUE"""),"Spoofing: Broken Authentication")</f>
        <v>Spoofing: Broken Authentication</v>
      </c>
      <c r="J49" s="2" t="str">
        <f ca="1">IFERROR(__xludf.DUMMYFUNCTION("""COMPUTED_VALUE"""),"VirtualFirewall (SecurityGroup) - km_alb_sg")</f>
        <v>VirtualFirewall (SecurityGroup) - km_alb_sg</v>
      </c>
      <c r="K49" s="2">
        <f ca="1">IFERROR(__xludf.DUMMYFUNCTION("""COMPUTED_VALUE"""),1)</f>
        <v>1</v>
      </c>
      <c r="L49" s="2">
        <f ca="1">IFERROR(__xludf.DUMMYFUNCTION("""COMPUTED_VALUE"""),0.7704)</f>
        <v>0.77039999999999997</v>
      </c>
      <c r="M49" s="2">
        <f ca="1">IFERROR(__xludf.DUMMYFUNCTION("""COMPUTED_VALUE"""),0)</f>
        <v>0</v>
      </c>
      <c r="N49" s="2">
        <f ca="1">IFERROR(__xludf.DUMMYFUNCTION("""COMPUTED_VALUE"""),4.9825)</f>
        <v>4.9824999999999999</v>
      </c>
      <c r="O49" s="18">
        <f ca="1">IFERROR(__xludf.DUMMYFUNCTION("""COMPUTED_VALUE"""),0.7704)</f>
        <v>0.77039999999999997</v>
      </c>
    </row>
    <row r="50" spans="1:15" ht="12.5">
      <c r="A50" s="10" t="s">
        <v>52</v>
      </c>
      <c r="B50" s="11" t="s">
        <v>61</v>
      </c>
      <c r="C50" s="12">
        <v>1</v>
      </c>
      <c r="D50" s="12">
        <v>0.74019999999999997</v>
      </c>
      <c r="E50" s="12">
        <v>0</v>
      </c>
      <c r="F50" s="12">
        <v>4.7969999999999997</v>
      </c>
      <c r="G50" s="13">
        <v>0.74019999999999997</v>
      </c>
      <c r="I50" s="15" t="str">
        <f ca="1">IFERROR(__xludf.DUMMYFUNCTION("""COMPUTED_VALUE"""),"Spoofing: Social Engineering Against Remote User")</f>
        <v>Spoofing: Social Engineering Against Remote User</v>
      </c>
      <c r="J50" s="2" t="str">
        <f ca="1">IFERROR(__xludf.DUMMYFUNCTION("""COMPUTED_VALUE"""),"User")</f>
        <v>User</v>
      </c>
      <c r="K50" s="2">
        <f ca="1">IFERROR(__xludf.DUMMYFUNCTION("""COMPUTED_VALUE"""),1)</f>
        <v>1</v>
      </c>
      <c r="L50" s="2">
        <f ca="1">IFERROR(__xludf.DUMMYFUNCTION("""COMPUTED_VALUE"""),0.740066666666666)</f>
        <v>0.74006666666666598</v>
      </c>
      <c r="M50" s="2">
        <f ca="1">IFERROR(__xludf.DUMMYFUNCTION("""COMPUTED_VALUE"""),0.0000333333333333333)</f>
        <v>3.3333333333333301E-5</v>
      </c>
      <c r="N50" s="2">
        <f ca="1">IFERROR(__xludf.DUMMYFUNCTION("""COMPUTED_VALUE"""),5.27196666666666)</f>
        <v>5.2719666666666596</v>
      </c>
      <c r="O50" s="18">
        <f ca="1">IFERROR(__xludf.DUMMYFUNCTION("""COMPUTED_VALUE"""),0.740066666666666)</f>
        <v>0.74006666666666598</v>
      </c>
    </row>
    <row r="51" spans="1:15" ht="12.5">
      <c r="A51" s="10" t="s">
        <v>52</v>
      </c>
      <c r="B51" s="11" t="s">
        <v>78</v>
      </c>
      <c r="C51" s="12">
        <v>1</v>
      </c>
      <c r="D51" s="12">
        <v>0.72989999999999999</v>
      </c>
      <c r="E51" s="12">
        <v>0</v>
      </c>
      <c r="F51" s="12">
        <v>5.1680000000000001</v>
      </c>
      <c r="G51" s="13">
        <v>0.72989999999999999</v>
      </c>
      <c r="I51" s="15" t="str">
        <f ca="1">IFERROR(__xludf.DUMMYFUNCTION("""COMPUTED_VALUE"""),"Tampering: Data Loss By Cloud Application")</f>
        <v>Tampering: Data Loss By Cloud Application</v>
      </c>
      <c r="J51" s="2" t="str">
        <f ca="1">IFERROR(__xludf.DUMMYFUNCTION("""COMPUTED_VALUE"""),"LoadBalancer (ALB) - km_lb_target")</f>
        <v>LoadBalancer (ALB) - km_lb_target</v>
      </c>
      <c r="K51" s="2">
        <f ca="1">IFERROR(__xludf.DUMMYFUNCTION("""COMPUTED_VALUE"""),1)</f>
        <v>1</v>
      </c>
      <c r="L51" s="2">
        <f ca="1">IFERROR(__xludf.DUMMYFUNCTION("""COMPUTED_VALUE"""),0.7437)</f>
        <v>0.74370000000000003</v>
      </c>
      <c r="M51" s="2">
        <f ca="1">IFERROR(__xludf.DUMMYFUNCTION("""COMPUTED_VALUE"""),0.0001)</f>
        <v>1E-4</v>
      </c>
      <c r="N51" s="2">
        <f ca="1">IFERROR(__xludf.DUMMYFUNCTION("""COMPUTED_VALUE"""),5.0153)</f>
        <v>5.0152999999999999</v>
      </c>
      <c r="O51" s="18">
        <f ca="1">IFERROR(__xludf.DUMMYFUNCTION("""COMPUTED_VALUE"""),0.7437)</f>
        <v>0.74370000000000003</v>
      </c>
    </row>
    <row r="52" spans="1:15" ht="12.5">
      <c r="A52" s="10" t="s">
        <v>52</v>
      </c>
      <c r="B52" s="11" t="s">
        <v>79</v>
      </c>
      <c r="C52" s="12">
        <v>1</v>
      </c>
      <c r="D52" s="12">
        <v>0.74390000000000001</v>
      </c>
      <c r="E52" s="12">
        <v>0</v>
      </c>
      <c r="F52" s="12">
        <v>5.2556000000000003</v>
      </c>
      <c r="G52" s="13">
        <v>0.74390000000000001</v>
      </c>
      <c r="I52" s="15" t="str">
        <f ca="1">IFERROR(__xludf.DUMMYFUNCTION("""COMPUTED_VALUE"""),"Tampering: Data Loss By Cloud Application")</f>
        <v>Tampering: Data Loss By Cloud Application</v>
      </c>
      <c r="J52" s="2" t="str">
        <f ca="1">IFERROR(__xludf.DUMMYFUNCTION("""COMPUTED_VALUE"""),"VirtualFirewall (SecurityGroup) - km_alb_sg")</f>
        <v>VirtualFirewall (SecurityGroup) - km_alb_sg</v>
      </c>
      <c r="K52" s="2">
        <f ca="1">IFERROR(__xludf.DUMMYFUNCTION("""COMPUTED_VALUE"""),1)</f>
        <v>1</v>
      </c>
      <c r="L52" s="2">
        <f ca="1">IFERROR(__xludf.DUMMYFUNCTION("""COMPUTED_VALUE"""),0.7281)</f>
        <v>0.72809999999999997</v>
      </c>
      <c r="M52" s="2">
        <f ca="1">IFERROR(__xludf.DUMMYFUNCTION("""COMPUTED_VALUE"""),0)</f>
        <v>0</v>
      </c>
      <c r="N52" s="2">
        <f ca="1">IFERROR(__xludf.DUMMYFUNCTION("""COMPUTED_VALUE"""),4.9332)</f>
        <v>4.9332000000000003</v>
      </c>
      <c r="O52" s="18">
        <f ca="1">IFERROR(__xludf.DUMMYFUNCTION("""COMPUTED_VALUE"""),0.7281)</f>
        <v>0.72809999999999997</v>
      </c>
    </row>
    <row r="53" spans="1:15" ht="12.5">
      <c r="A53" s="10" t="s">
        <v>50</v>
      </c>
      <c r="B53" s="11" t="s">
        <v>61</v>
      </c>
      <c r="C53" s="12">
        <v>1</v>
      </c>
      <c r="D53" s="12">
        <v>0.74209999999999998</v>
      </c>
      <c r="E53" s="12">
        <v>1E-4</v>
      </c>
      <c r="F53" s="12">
        <v>4.9625000000000004</v>
      </c>
      <c r="G53" s="13">
        <v>0.74209999999999998</v>
      </c>
      <c r="I53" s="15" t="str">
        <f ca="1">IFERROR(__xludf.DUMMYFUNCTION("""COMPUTED_VALUE"""),"Tampering: Malware From Cloud Application")</f>
        <v>Tampering: Malware From Cloud Application</v>
      </c>
      <c r="J53" s="2" t="str">
        <f ca="1">IFERROR(__xludf.DUMMYFUNCTION("""COMPUTED_VALUE"""),"User")</f>
        <v>User</v>
      </c>
      <c r="K53" s="2">
        <f ca="1">IFERROR(__xludf.DUMMYFUNCTION("""COMPUTED_VALUE"""),1)</f>
        <v>1</v>
      </c>
      <c r="L53" s="2">
        <f ca="1">IFERROR(__xludf.DUMMYFUNCTION("""COMPUTED_VALUE"""),0.749166666666666)</f>
        <v>0.74916666666666598</v>
      </c>
      <c r="M53" s="2">
        <f ca="1">IFERROR(__xludf.DUMMYFUNCTION("""COMPUTED_VALUE"""),0)</f>
        <v>0</v>
      </c>
      <c r="N53" s="2">
        <f ca="1">IFERROR(__xludf.DUMMYFUNCTION("""COMPUTED_VALUE"""),4.9577)</f>
        <v>4.9577</v>
      </c>
      <c r="O53" s="18">
        <f ca="1">IFERROR(__xludf.DUMMYFUNCTION("""COMPUTED_VALUE"""),0.749166666666666)</f>
        <v>0.74916666666666598</v>
      </c>
    </row>
    <row r="54" spans="1:15" ht="12.5">
      <c r="A54" s="10" t="s">
        <v>50</v>
      </c>
      <c r="B54" s="11" t="s">
        <v>78</v>
      </c>
      <c r="C54" s="12">
        <v>1</v>
      </c>
      <c r="D54" s="12">
        <v>0.75070000000000003</v>
      </c>
      <c r="E54" s="12">
        <v>0</v>
      </c>
      <c r="F54" s="12">
        <v>4.5857999999999999</v>
      </c>
      <c r="G54" s="13">
        <v>0.75070000000000003</v>
      </c>
      <c r="I54" s="15" t="str">
        <f ca="1">IFERROR(__xludf.DUMMYFUNCTION("""COMPUTED_VALUE"""),"Tampering: Public Network Access To Cloud Application")</f>
        <v>Tampering: Public Network Access To Cloud Application</v>
      </c>
      <c r="J54" s="2" t="str">
        <f ca="1">IFERROR(__xludf.DUMMYFUNCTION("""COMPUTED_VALUE"""),"User")</f>
        <v>User</v>
      </c>
      <c r="K54" s="2">
        <f ca="1">IFERROR(__xludf.DUMMYFUNCTION("""COMPUTED_VALUE"""),1)</f>
        <v>1</v>
      </c>
      <c r="L54" s="2">
        <f ca="1">IFERROR(__xludf.DUMMYFUNCTION("""COMPUTED_VALUE"""),0.733166666666666)</f>
        <v>0.73316666666666597</v>
      </c>
      <c r="M54" s="2">
        <f ca="1">IFERROR(__xludf.DUMMYFUNCTION("""COMPUTED_VALUE"""),0.0000666666666666666)</f>
        <v>6.6666666666666602E-5</v>
      </c>
      <c r="N54" s="2">
        <f ca="1">IFERROR(__xludf.DUMMYFUNCTION("""COMPUTED_VALUE"""),4.97993333333333)</f>
        <v>4.9799333333333298</v>
      </c>
      <c r="O54" s="18">
        <f ca="1">IFERROR(__xludf.DUMMYFUNCTION("""COMPUTED_VALUE"""),0.733166666666666)</f>
        <v>0.73316666666666597</v>
      </c>
    </row>
    <row r="55" spans="1:15" ht="12.5">
      <c r="A55" s="10" t="s">
        <v>50</v>
      </c>
      <c r="B55" s="11" t="s">
        <v>79</v>
      </c>
      <c r="C55" s="12">
        <v>1</v>
      </c>
      <c r="D55" s="12">
        <v>0.77669999999999995</v>
      </c>
      <c r="E55" s="12">
        <v>2.0000000000000001E-4</v>
      </c>
      <c r="F55" s="12">
        <v>5.3731</v>
      </c>
      <c r="G55" s="13">
        <v>0.77669999999999995</v>
      </c>
      <c r="I55" s="15" t="str">
        <f ca="1">IFERROR(__xludf.DUMMYFUNCTION("""COMPUTED_VALUE"""),"Tampering: Unauthorized Modification of the Data Stores")</f>
        <v>Tampering: Unauthorized Modification of the Data Stores</v>
      </c>
      <c r="J55" s="2" t="str">
        <f ca="1">IFERROR(__xludf.DUMMYFUNCTION("""COMPUTED_VALUE"""),"Database (RDS) - km_db")</f>
        <v>Database (RDS) - km_db</v>
      </c>
      <c r="K55" s="2">
        <f ca="1">IFERROR(__xludf.DUMMYFUNCTION("""COMPUTED_VALUE"""),1)</f>
        <v>1</v>
      </c>
      <c r="L55" s="2">
        <f ca="1">IFERROR(__xludf.DUMMYFUNCTION("""COMPUTED_VALUE"""),0.7275)</f>
        <v>0.72750000000000004</v>
      </c>
      <c r="M55" s="2">
        <f ca="1">IFERROR(__xludf.DUMMYFUNCTION("""COMPUTED_VALUE"""),0)</f>
        <v>0</v>
      </c>
      <c r="N55" s="2">
        <f ca="1">IFERROR(__xludf.DUMMYFUNCTION("""COMPUTED_VALUE"""),5.1114)</f>
        <v>5.1113999999999997</v>
      </c>
      <c r="O55" s="18">
        <f ca="1">IFERROR(__xludf.DUMMYFUNCTION("""COMPUTED_VALUE"""),0.7275)</f>
        <v>0.72750000000000004</v>
      </c>
    </row>
    <row r="56" spans="1:15" ht="12.5">
      <c r="A56" s="10" t="s">
        <v>44</v>
      </c>
      <c r="B56" s="11" t="s">
        <v>77</v>
      </c>
      <c r="C56" s="12">
        <v>1</v>
      </c>
      <c r="D56" s="12">
        <v>0.75060000000000004</v>
      </c>
      <c r="E56" s="12">
        <v>0</v>
      </c>
      <c r="F56" s="12">
        <v>4.9947999999999997</v>
      </c>
      <c r="G56" s="13">
        <v>0.75060000000000004</v>
      </c>
      <c r="I56" s="15" t="str">
        <f ca="1">IFERROR(__xludf.DUMMYFUNCTION("""COMPUTED_VALUE"""),"Tampering: Unauthorized Modification of the Data Stores")</f>
        <v>Tampering: Unauthorized Modification of the Data Stores</v>
      </c>
      <c r="J56" s="2" t="str">
        <f ca="1">IFERROR(__xludf.DUMMYFUNCTION("""COMPUTED_VALUE"""),"FileStorage (S3) - km_blob_storage")</f>
        <v>FileStorage (S3) - km_blob_storage</v>
      </c>
      <c r="K56" s="2">
        <f ca="1">IFERROR(__xludf.DUMMYFUNCTION("""COMPUTED_VALUE"""),1)</f>
        <v>1</v>
      </c>
      <c r="L56" s="2">
        <f ca="1">IFERROR(__xludf.DUMMYFUNCTION("""COMPUTED_VALUE"""),0.7777)</f>
        <v>0.77769999999999995</v>
      </c>
      <c r="M56" s="2">
        <f ca="1">IFERROR(__xludf.DUMMYFUNCTION("""COMPUTED_VALUE"""),0.0001)</f>
        <v>1E-4</v>
      </c>
      <c r="N56" s="2">
        <f ca="1">IFERROR(__xludf.DUMMYFUNCTION("""COMPUTED_VALUE"""),4.3823)</f>
        <v>4.3822999999999999</v>
      </c>
      <c r="O56" s="18">
        <f ca="1">IFERROR(__xludf.DUMMYFUNCTION("""COMPUTED_VALUE"""),0.7777)</f>
        <v>0.77769999999999995</v>
      </c>
    </row>
    <row r="57" spans="1:15" ht="12.5">
      <c r="A57" s="10" t="s">
        <v>53</v>
      </c>
      <c r="B57" s="11" t="s">
        <v>2</v>
      </c>
      <c r="C57" s="12">
        <v>1</v>
      </c>
      <c r="D57" s="12">
        <v>0.72850000000000004</v>
      </c>
      <c r="E57" s="12">
        <v>1E-4</v>
      </c>
      <c r="F57" s="12">
        <v>5.2123999999999997</v>
      </c>
      <c r="G57" s="13">
        <v>0.72850000000000004</v>
      </c>
      <c r="I57" s="33" t="str">
        <f ca="1">IFERROR(__xludf.DUMMYFUNCTION("""COMPUTED_VALUE"""),"Tampering: Unauthorized Modification of the Data Stores")</f>
        <v>Tampering: Unauthorized Modification of the Data Stores</v>
      </c>
      <c r="J57" s="34" t="str">
        <f ca="1">IFERROR(__xludf.DUMMYFUNCTION("""COMPUTED_VALUE"""),"FileStorage (S3) - km_public_blob")</f>
        <v>FileStorage (S3) - km_public_blob</v>
      </c>
      <c r="K57" s="34">
        <f ca="1">IFERROR(__xludf.DUMMYFUNCTION("""COMPUTED_VALUE"""),1)</f>
        <v>1</v>
      </c>
      <c r="L57" s="34">
        <f ca="1">IFERROR(__xludf.DUMMYFUNCTION("""COMPUTED_VALUE"""),0.7394)</f>
        <v>0.73939999999999995</v>
      </c>
      <c r="M57" s="34">
        <f ca="1">IFERROR(__xludf.DUMMYFUNCTION("""COMPUTED_VALUE"""),0)</f>
        <v>0</v>
      </c>
      <c r="N57" s="34">
        <f ca="1">IFERROR(__xludf.DUMMYFUNCTION("""COMPUTED_VALUE"""),4.4457)</f>
        <v>4.4457000000000004</v>
      </c>
      <c r="O57" s="35">
        <f ca="1">IFERROR(__xludf.DUMMYFUNCTION("""COMPUTED_VALUE"""),0.7394)</f>
        <v>0.73939999999999995</v>
      </c>
    </row>
    <row r="58" spans="1:15" ht="12.5">
      <c r="A58" s="10" t="s">
        <v>53</v>
      </c>
      <c r="B58" s="11" t="s">
        <v>2</v>
      </c>
      <c r="C58" s="12">
        <v>1</v>
      </c>
      <c r="D58" s="12">
        <v>0.69669999999999999</v>
      </c>
      <c r="E58" s="12">
        <v>0</v>
      </c>
      <c r="F58" s="12">
        <v>4.5094000000000003</v>
      </c>
      <c r="G58" s="13">
        <v>0.69669999999999999</v>
      </c>
    </row>
    <row r="59" spans="1:15" ht="12.5">
      <c r="A59" s="10" t="s">
        <v>53</v>
      </c>
      <c r="B59" s="11" t="s">
        <v>2</v>
      </c>
      <c r="C59" s="12">
        <v>1</v>
      </c>
      <c r="D59" s="12">
        <v>0.77429999999999999</v>
      </c>
      <c r="E59" s="12">
        <v>1E-4</v>
      </c>
      <c r="F59" s="12">
        <v>5.218</v>
      </c>
      <c r="G59" s="13">
        <v>0.77429999999999999</v>
      </c>
      <c r="I59" s="2" t="str">
        <f ca="1">"TOTAL: " &amp; TEXT(COUNTA($I$2:$I$57), "0")</f>
        <v>TOTAL: 56</v>
      </c>
    </row>
    <row r="60" spans="1:15" ht="12.5">
      <c r="A60" s="10" t="s">
        <v>46</v>
      </c>
      <c r="B60" s="11" t="s">
        <v>61</v>
      </c>
      <c r="C60" s="12">
        <v>1</v>
      </c>
      <c r="D60" s="12">
        <v>0.75170000000000003</v>
      </c>
      <c r="E60" s="12">
        <v>0</v>
      </c>
      <c r="F60" s="12">
        <v>4.7497999999999996</v>
      </c>
      <c r="G60" s="13">
        <v>0.75170000000000003</v>
      </c>
    </row>
    <row r="61" spans="1:15" ht="12.5">
      <c r="A61" s="10" t="s">
        <v>46</v>
      </c>
      <c r="B61" s="11" t="s">
        <v>78</v>
      </c>
      <c r="C61" s="12">
        <v>1</v>
      </c>
      <c r="D61" s="12">
        <v>0.70499999999999996</v>
      </c>
      <c r="E61" s="12">
        <v>0</v>
      </c>
      <c r="F61" s="12">
        <v>5.0586000000000002</v>
      </c>
      <c r="G61" s="13">
        <v>0.70499999999999996</v>
      </c>
    </row>
    <row r="62" spans="1:15" ht="12.5">
      <c r="A62" s="10" t="s">
        <v>46</v>
      </c>
      <c r="B62" s="11" t="s">
        <v>79</v>
      </c>
      <c r="C62" s="12">
        <v>1</v>
      </c>
      <c r="D62" s="12">
        <v>0.75480000000000003</v>
      </c>
      <c r="E62" s="12">
        <v>0</v>
      </c>
      <c r="F62" s="12">
        <v>5.1715999999999998</v>
      </c>
      <c r="G62" s="13">
        <v>0.75480000000000003</v>
      </c>
    </row>
    <row r="63" spans="1:15" ht="12.5">
      <c r="A63" s="10" t="s">
        <v>38</v>
      </c>
      <c r="B63" s="11" t="s">
        <v>61</v>
      </c>
      <c r="C63" s="12">
        <v>1</v>
      </c>
      <c r="D63" s="12">
        <v>0.70189999999999997</v>
      </c>
      <c r="E63" s="12">
        <v>0</v>
      </c>
      <c r="F63" s="12">
        <v>4.8535000000000004</v>
      </c>
      <c r="G63" s="13">
        <v>0.70189999999999997</v>
      </c>
    </row>
    <row r="64" spans="1:15" ht="12.5">
      <c r="A64" s="10" t="s">
        <v>38</v>
      </c>
      <c r="B64" s="11" t="s">
        <v>78</v>
      </c>
      <c r="C64" s="12">
        <v>1</v>
      </c>
      <c r="D64" s="12">
        <v>0.77400000000000002</v>
      </c>
      <c r="E64" s="12">
        <v>1E-4</v>
      </c>
      <c r="F64" s="12">
        <v>4.4518000000000004</v>
      </c>
      <c r="G64" s="13">
        <v>0.77400000000000002</v>
      </c>
    </row>
    <row r="65" spans="1:7" ht="12.5">
      <c r="A65" s="10" t="s">
        <v>38</v>
      </c>
      <c r="B65" s="11" t="s">
        <v>79</v>
      </c>
      <c r="C65" s="12">
        <v>1</v>
      </c>
      <c r="D65" s="12">
        <v>0.74439999999999995</v>
      </c>
      <c r="E65" s="12">
        <v>0</v>
      </c>
      <c r="F65" s="12">
        <v>5.1603000000000003</v>
      </c>
      <c r="G65" s="13">
        <v>0.74439999999999995</v>
      </c>
    </row>
    <row r="66" spans="1:7" ht="12.5">
      <c r="A66" s="10" t="s">
        <v>51</v>
      </c>
      <c r="B66" s="11" t="s">
        <v>75</v>
      </c>
      <c r="C66" s="12">
        <v>1</v>
      </c>
      <c r="D66" s="12">
        <v>0.73939999999999995</v>
      </c>
      <c r="E66" s="12">
        <v>0</v>
      </c>
      <c r="F66" s="12">
        <v>4.4457000000000004</v>
      </c>
      <c r="G66" s="13">
        <v>0.73939999999999995</v>
      </c>
    </row>
    <row r="67" spans="1:7" ht="12.5">
      <c r="A67" s="10" t="s">
        <v>51</v>
      </c>
      <c r="B67" s="11" t="s">
        <v>76</v>
      </c>
      <c r="C67" s="12">
        <v>1</v>
      </c>
      <c r="D67" s="12">
        <v>0.77769999999999995</v>
      </c>
      <c r="E67" s="12">
        <v>1E-4</v>
      </c>
      <c r="F67" s="12">
        <v>4.3822999999999999</v>
      </c>
      <c r="G67" s="13">
        <v>0.77769999999999995</v>
      </c>
    </row>
    <row r="68" spans="1:7" ht="12.5">
      <c r="A68" s="10" t="s">
        <v>45</v>
      </c>
      <c r="B68" s="11" t="s">
        <v>61</v>
      </c>
      <c r="C68" s="12">
        <v>1</v>
      </c>
      <c r="D68" s="12">
        <v>0.77039999999999997</v>
      </c>
      <c r="E68" s="12">
        <v>0</v>
      </c>
      <c r="F68" s="12">
        <v>4.9824999999999999</v>
      </c>
      <c r="G68" s="13">
        <v>0.77039999999999997</v>
      </c>
    </row>
    <row r="69" spans="1:7" ht="12.5">
      <c r="A69" s="22" t="s">
        <v>45</v>
      </c>
      <c r="B69" s="23" t="s">
        <v>63</v>
      </c>
      <c r="C69" s="24">
        <v>1</v>
      </c>
      <c r="D69" s="24">
        <v>0.66949999999999998</v>
      </c>
      <c r="E69" s="24">
        <v>1E-4</v>
      </c>
      <c r="F69" s="24">
        <v>4.6787000000000001</v>
      </c>
      <c r="G69" s="25">
        <v>0.66949999999999998</v>
      </c>
    </row>
    <row r="71" spans="1:7" ht="12.5">
      <c r="A71" s="2" t="str">
        <f>"TOTAL: " &amp; TEXT(COUNTA($A$2:$A$69), "0")</f>
        <v>TOTAL: 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outlinePr summaryBelow="0" summaryRight="0"/>
  </sheetPr>
  <dimension ref="A1:AB187"/>
  <sheetViews>
    <sheetView topLeftCell="P1" workbookViewId="0">
      <selection activeCell="W33" sqref="W33"/>
    </sheetView>
  </sheetViews>
  <sheetFormatPr defaultColWidth="12.6328125" defaultRowHeight="15.75" customHeight="1"/>
  <cols>
    <col min="1" max="1" width="61.90625" customWidth="1"/>
    <col min="2" max="2" width="41.453125" customWidth="1"/>
    <col min="3" max="3" width="11" customWidth="1"/>
    <col min="4" max="4" width="6.08984375" customWidth="1"/>
    <col min="5" max="5" width="10.453125" customWidth="1"/>
    <col min="6" max="6" width="10.7265625" customWidth="1"/>
    <col min="7" max="7" width="13.08984375" customWidth="1"/>
    <col min="9" max="9" width="61.90625" customWidth="1"/>
    <col min="10" max="10" width="41.453125" customWidth="1"/>
    <col min="11" max="11" width="4.36328125" customWidth="1"/>
    <col min="12" max="12" width="11.7265625" customWidth="1"/>
    <col min="13" max="13" width="15.36328125" customWidth="1"/>
    <col min="14" max="14" width="10.7265625" customWidth="1"/>
    <col min="15" max="15" width="11.7265625" customWidth="1"/>
    <col min="17" max="17" width="61.90625" customWidth="1"/>
    <col min="18" max="18" width="6" customWidth="1"/>
    <col min="28" max="28" width="30.08984375" customWidth="1"/>
  </cols>
  <sheetData>
    <row r="1" spans="1:28" ht="13">
      <c r="A1" s="26" t="s">
        <v>3</v>
      </c>
      <c r="B1" s="27" t="s">
        <v>4</v>
      </c>
      <c r="C1" s="27" t="s">
        <v>1</v>
      </c>
      <c r="D1" s="27" t="s">
        <v>5</v>
      </c>
      <c r="E1" s="27" t="s">
        <v>6</v>
      </c>
      <c r="F1" s="27" t="s">
        <v>7</v>
      </c>
      <c r="G1" s="28" t="s">
        <v>8</v>
      </c>
      <c r="H1" s="29"/>
      <c r="I1" s="30" t="str">
        <f ca="1">IFERROR(__xludf.DUMMYFUNCTION("QUERY($A$2:$G$185, ""select A, B, avg(C), avg(D), avg(E), avg(F), avg(G) group by A,B"")"),"")</f>
        <v/>
      </c>
      <c r="J1" s="31" t="str">
        <f ca="1">IFERROR(__xludf.DUMMYFUNCTION("""COMPUTED_VALUE"""),"")</f>
        <v/>
      </c>
      <c r="K1" s="31" t="str">
        <f ca="1">IFERROR(__xludf.DUMMYFUNCTION("""COMPUTED_VALUE"""),"avg ")</f>
        <v xml:space="preserve">avg </v>
      </c>
      <c r="L1" s="31" t="str">
        <f ca="1">IFERROR(__xludf.DUMMYFUNCTION("""COMPUTED_VALUE"""),"avg ")</f>
        <v xml:space="preserve">avg </v>
      </c>
      <c r="M1" s="31" t="str">
        <f ca="1">IFERROR(__xludf.DUMMYFUNCTION("""COMPUTED_VALUE"""),"avg ")</f>
        <v xml:space="preserve">avg </v>
      </c>
      <c r="N1" s="31" t="str">
        <f ca="1">IFERROR(__xludf.DUMMYFUNCTION("""COMPUTED_VALUE"""),"avg ")</f>
        <v xml:space="preserve">avg </v>
      </c>
      <c r="O1" s="32" t="str">
        <f ca="1">IFERROR(__xludf.DUMMYFUNCTION("""COMPUTED_VALUE"""),"avg ")</f>
        <v xml:space="preserve">avg </v>
      </c>
      <c r="P1" s="29"/>
      <c r="Q1" s="30" t="str">
        <f ca="1">IFERROR(__xludf.DUMMYFUNCTION("QUERY($I$2:$I$125, ""select I, count(I) group by I order by count(I)"")"),"")</f>
        <v/>
      </c>
      <c r="R1" s="31" t="str">
        <f ca="1">IFERROR(__xludf.DUMMYFUNCTION("""COMPUTED_VALUE"""),"count ")</f>
        <v xml:space="preserve">count </v>
      </c>
      <c r="S1" s="31" t="s">
        <v>9</v>
      </c>
      <c r="T1" s="31" t="s">
        <v>10</v>
      </c>
      <c r="U1" s="31" t="s">
        <v>56</v>
      </c>
      <c r="V1" s="31" t="s">
        <v>57</v>
      </c>
      <c r="W1" s="31" t="s">
        <v>58</v>
      </c>
      <c r="X1" s="31" t="s">
        <v>59</v>
      </c>
      <c r="Y1" s="32" t="s">
        <v>11</v>
      </c>
      <c r="Z1" s="29"/>
      <c r="AA1" s="29" t="s">
        <v>12</v>
      </c>
      <c r="AB1" s="29" t="s">
        <v>1</v>
      </c>
    </row>
    <row r="2" spans="1:28" ht="15.75" customHeight="1">
      <c r="A2" s="10" t="s">
        <v>49</v>
      </c>
      <c r="B2" s="11" t="s">
        <v>80</v>
      </c>
      <c r="C2" s="12">
        <v>1</v>
      </c>
      <c r="D2" s="12">
        <v>0.76670000000000005</v>
      </c>
      <c r="E2" s="12">
        <v>0</v>
      </c>
      <c r="F2" s="12">
        <v>4.6696999999999997</v>
      </c>
      <c r="G2" s="13">
        <v>0.76670000000000005</v>
      </c>
      <c r="I2" s="15" t="str">
        <f ca="1">IFERROR(__xludf.DUMMYFUNCTION("""COMPUTED_VALUE"""),"Denial of Service: Backup Of Cloud Application Lost")</f>
        <v>Denial of Service: Backup Of Cloud Application Lost</v>
      </c>
      <c r="J2" s="2" t="str">
        <f ca="1">IFERROR(__xludf.DUMMYFUNCTION("""COMPUTED_VALUE"""),"IAM (IAM) - blog_app_lambda")</f>
        <v>IAM (IAM) - blog_app_lambda</v>
      </c>
      <c r="K2" s="2">
        <f ca="1">IFERROR(__xludf.DUMMYFUNCTION("""COMPUTED_VALUE"""),1)</f>
        <v>1</v>
      </c>
      <c r="L2" s="2">
        <f ca="1">IFERROR(__xludf.DUMMYFUNCTION("""COMPUTED_VALUE"""),0.7313)</f>
        <v>0.73129999999999995</v>
      </c>
      <c r="M2" s="2">
        <f ca="1">IFERROR(__xludf.DUMMYFUNCTION("""COMPUTED_VALUE"""),0.0001)</f>
        <v>1E-4</v>
      </c>
      <c r="N2" s="2">
        <f ca="1">IFERROR(__xludf.DUMMYFUNCTION("""COMPUTED_VALUE"""),4.794)</f>
        <v>4.7939999999999996</v>
      </c>
      <c r="O2" s="18">
        <f ca="1">IFERROR(__xludf.DUMMYFUNCTION("""COMPUTED_VALUE"""),0.7313)</f>
        <v>0.73129999999999995</v>
      </c>
      <c r="Q2" s="15" t="str">
        <f ca="1">IFERROR(__xludf.DUMMYFUNCTION("""COMPUTED_VALUE"""),"Information Disclosure: Malware From Cloud Application")</f>
        <v>Information Disclosure: Malware From Cloud Application</v>
      </c>
      <c r="R2" s="2">
        <f ca="1">IFERROR(__xludf.DUMMYFUNCTION("""COMPUTED_VALUE"""),1)</f>
        <v>1</v>
      </c>
      <c r="Y2" s="18"/>
      <c r="AA2" s="2" t="s">
        <v>15</v>
      </c>
      <c r="AB2" s="2" t="s">
        <v>81</v>
      </c>
    </row>
    <row r="3" spans="1:28" ht="15.75" customHeight="1">
      <c r="A3" s="10" t="s">
        <v>49</v>
      </c>
      <c r="B3" s="11" t="s">
        <v>82</v>
      </c>
      <c r="C3" s="12">
        <v>1</v>
      </c>
      <c r="D3" s="12">
        <v>0.72019999999999995</v>
      </c>
      <c r="E3" s="12">
        <v>1E-4</v>
      </c>
      <c r="F3" s="12">
        <v>4.8857999999999997</v>
      </c>
      <c r="G3" s="13">
        <v>0.72019999999999995</v>
      </c>
      <c r="I3" s="15" t="str">
        <f ca="1">IFERROR(__xludf.DUMMYFUNCTION("""COMPUTED_VALUE"""),"Denial of Service: Backup Of Cloud Application Lost")</f>
        <v>Denial of Service: Backup Of Cloud Application Lost</v>
      </c>
      <c r="J3" s="2" t="str">
        <f ca="1">IFERROR(__xludf.DUMMYFUNCTION("""COMPUTED_VALUE"""),"IAM (IAM) - goat_role")</f>
        <v>IAM (IAM) - goat_role</v>
      </c>
      <c r="K3" s="2">
        <f ca="1">IFERROR(__xludf.DUMMYFUNCTION("""COMPUTED_VALUE"""),1)</f>
        <v>1</v>
      </c>
      <c r="L3" s="2">
        <f ca="1">IFERROR(__xludf.DUMMYFUNCTION("""COMPUTED_VALUE"""),0.6855)</f>
        <v>0.6855</v>
      </c>
      <c r="M3" s="2">
        <f ca="1">IFERROR(__xludf.DUMMYFUNCTION("""COMPUTED_VALUE"""),0)</f>
        <v>0</v>
      </c>
      <c r="N3" s="2">
        <f ca="1">IFERROR(__xludf.DUMMYFUNCTION("""COMPUTED_VALUE"""),5.0406)</f>
        <v>5.0406000000000004</v>
      </c>
      <c r="O3" s="18">
        <f ca="1">IFERROR(__xludf.DUMMYFUNCTION("""COMPUTED_VALUE"""),0.6855)</f>
        <v>0.6855</v>
      </c>
      <c r="Q3" s="15" t="str">
        <f ca="1">IFERROR(__xludf.DUMMYFUNCTION("""COMPUTED_VALUE"""),"Information Disclosure: Public Network Access To Cloud Application")</f>
        <v>Information Disclosure: Public Network Access To Cloud Application</v>
      </c>
      <c r="R3" s="2">
        <f ca="1">IFERROR(__xludf.DUMMYFUNCTION("""COMPUTED_VALUE"""),1)</f>
        <v>1</v>
      </c>
      <c r="Y3" s="18"/>
      <c r="AA3" s="2" t="s">
        <v>18</v>
      </c>
      <c r="AB3" s="36" t="s">
        <v>83</v>
      </c>
    </row>
    <row r="4" spans="1:28" ht="15.75" customHeight="1">
      <c r="A4" s="10" t="s">
        <v>49</v>
      </c>
      <c r="B4" s="11" t="s">
        <v>84</v>
      </c>
      <c r="C4" s="12">
        <v>1</v>
      </c>
      <c r="D4" s="12">
        <v>0.7742</v>
      </c>
      <c r="E4" s="12">
        <v>1E-4</v>
      </c>
      <c r="F4" s="12">
        <v>4.8982000000000001</v>
      </c>
      <c r="G4" s="13">
        <v>0.7742</v>
      </c>
      <c r="I4" s="15" t="str">
        <f ca="1">IFERROR(__xludf.DUMMYFUNCTION("""COMPUTED_VALUE"""),"Denial of Service: Backup Of Cloud Application Lost")</f>
        <v>Denial of Service: Backup Of Cloud Application Lost</v>
      </c>
      <c r="J4" s="2" t="str">
        <f ca="1">IFERROR(__xludf.DUMMYFUNCTION("""COMPUTED_VALUE"""),"LoadBalancer (APIGateway) - api")</f>
        <v>LoadBalancer (APIGateway) - api</v>
      </c>
      <c r="K4" s="2">
        <f ca="1">IFERROR(__xludf.DUMMYFUNCTION("""COMPUTED_VALUE"""),1)</f>
        <v>1</v>
      </c>
      <c r="L4" s="2">
        <f ca="1">IFERROR(__xludf.DUMMYFUNCTION("""COMPUTED_VALUE"""),0.77)</f>
        <v>0.77</v>
      </c>
      <c r="M4" s="2">
        <f ca="1">IFERROR(__xludf.DUMMYFUNCTION("""COMPUTED_VALUE"""),0)</f>
        <v>0</v>
      </c>
      <c r="N4" s="2">
        <f ca="1">IFERROR(__xludf.DUMMYFUNCTION("""COMPUTED_VALUE"""),5.8537)</f>
        <v>5.8536999999999999</v>
      </c>
      <c r="O4" s="18">
        <f ca="1">IFERROR(__xludf.DUMMYFUNCTION("""COMPUTED_VALUE"""),0.77)</f>
        <v>0.77</v>
      </c>
      <c r="Q4" s="15" t="str">
        <f ca="1">IFERROR(__xludf.DUMMYFUNCTION("""COMPUTED_VALUE"""),"Information Disclosure: Social Engineering Against Remote User")</f>
        <v>Information Disclosure: Social Engineering Against Remote User</v>
      </c>
      <c r="R4" s="2">
        <f ca="1">IFERROR(__xludf.DUMMYFUNCTION("""COMPUTED_VALUE"""),1)</f>
        <v>1</v>
      </c>
      <c r="Y4" s="18"/>
      <c r="AA4" s="2" t="s">
        <v>65</v>
      </c>
      <c r="AB4" s="36" t="s">
        <v>85</v>
      </c>
    </row>
    <row r="5" spans="1:28" ht="15.75" customHeight="1">
      <c r="A5" s="10" t="s">
        <v>49</v>
      </c>
      <c r="B5" s="11" t="s">
        <v>86</v>
      </c>
      <c r="C5" s="12">
        <v>1</v>
      </c>
      <c r="D5" s="12">
        <v>0.73240000000000005</v>
      </c>
      <c r="E5" s="12">
        <v>1E-4</v>
      </c>
      <c r="F5" s="12">
        <v>4.9123999999999999</v>
      </c>
      <c r="G5" s="13">
        <v>0.73240000000000005</v>
      </c>
      <c r="I5" s="15" t="str">
        <f ca="1">IFERROR(__xludf.DUMMYFUNCTION("""COMPUTED_VALUE"""),"Denial of Service: Backup Of Cloud Application Lost")</f>
        <v>Denial of Service: Backup Of Cloud Application Lost</v>
      </c>
      <c r="J5" s="2" t="str">
        <f ca="1">IFERROR(__xludf.DUMMYFUNCTION("""COMPUTED_VALUE"""),"LoadBalancer (APIGateway) - apiLambda_ba")</f>
        <v>LoadBalancer (APIGateway) - apiLambda_ba</v>
      </c>
      <c r="K5" s="2">
        <f ca="1">IFERROR(__xludf.DUMMYFUNCTION("""COMPUTED_VALUE"""),1)</f>
        <v>1</v>
      </c>
      <c r="L5" s="2">
        <f ca="1">IFERROR(__xludf.DUMMYFUNCTION("""COMPUTED_VALUE"""),0.7595)</f>
        <v>0.75949999999999995</v>
      </c>
      <c r="M5" s="2">
        <f ca="1">IFERROR(__xludf.DUMMYFUNCTION("""COMPUTED_VALUE"""),0)</f>
        <v>0</v>
      </c>
      <c r="N5" s="2">
        <f ca="1">IFERROR(__xludf.DUMMYFUNCTION("""COMPUTED_VALUE"""),5.0127)</f>
        <v>5.0126999999999997</v>
      </c>
      <c r="O5" s="18">
        <f ca="1">IFERROR(__xludf.DUMMYFUNCTION("""COMPUTED_VALUE"""),0.7595)</f>
        <v>0.75949999999999995</v>
      </c>
      <c r="Q5" s="15" t="str">
        <f ca="1">IFERROR(__xludf.DUMMYFUNCTION("""COMPUTED_VALUE"""),"Spoofing: Social Engineering Against Remote User")</f>
        <v>Spoofing: Social Engineering Against Remote User</v>
      </c>
      <c r="R5" s="2">
        <f ca="1">IFERROR(__xludf.DUMMYFUNCTION("""COMPUTED_VALUE"""),1)</f>
        <v>1</v>
      </c>
      <c r="Y5" s="18"/>
      <c r="AA5" s="2" t="s">
        <v>67</v>
      </c>
      <c r="AB5" s="36" t="s">
        <v>87</v>
      </c>
    </row>
    <row r="6" spans="1:28" ht="15.75" customHeight="1">
      <c r="A6" s="10" t="s">
        <v>49</v>
      </c>
      <c r="B6" s="11" t="s">
        <v>86</v>
      </c>
      <c r="C6" s="12">
        <v>1</v>
      </c>
      <c r="D6" s="12">
        <v>0.72840000000000005</v>
      </c>
      <c r="E6" s="12">
        <v>0</v>
      </c>
      <c r="F6" s="12">
        <v>5.7115</v>
      </c>
      <c r="G6" s="13">
        <v>0.72840000000000005</v>
      </c>
      <c r="I6" s="15" t="str">
        <f ca="1">IFERROR(__xludf.DUMMYFUNCTION("""COMPUTED_VALUE"""),"Denial of Service: Backup Of Cloud Application Lost")</f>
        <v>Denial of Service: Backup Of Cloud Application Lost</v>
      </c>
      <c r="J6" s="2" t="str">
        <f ca="1">IFERROR(__xludf.DUMMYFUNCTION("""COMPUTED_VALUE"""),"ServerlessFunction (AwsLambda) - lambda_ba_data")</f>
        <v>ServerlessFunction (AwsLambda) - lambda_ba_data</v>
      </c>
      <c r="K6" s="2">
        <f ca="1">IFERROR(__xludf.DUMMYFUNCTION("""COMPUTED_VALUE"""),1)</f>
        <v>1</v>
      </c>
      <c r="L6" s="2">
        <f ca="1">IFERROR(__xludf.DUMMYFUNCTION("""COMPUTED_VALUE"""),0.73425)</f>
        <v>0.73424999999999996</v>
      </c>
      <c r="M6" s="2">
        <f ca="1">IFERROR(__xludf.DUMMYFUNCTION("""COMPUTED_VALUE"""),0)</f>
        <v>0</v>
      </c>
      <c r="N6" s="2">
        <f ca="1">IFERROR(__xludf.DUMMYFUNCTION("""COMPUTED_VALUE"""),4.88225)</f>
        <v>4.88225</v>
      </c>
      <c r="O6" s="18">
        <f ca="1">IFERROR(__xludf.DUMMYFUNCTION("""COMPUTED_VALUE"""),0.73425)</f>
        <v>0.73424999999999996</v>
      </c>
      <c r="Q6" s="15" t="str">
        <f ca="1">IFERROR(__xludf.DUMMYFUNCTION("""COMPUTED_VALUE"""),"Tampering: Malware From Cloud Application")</f>
        <v>Tampering: Malware From Cloud Application</v>
      </c>
      <c r="R6" s="2">
        <f ca="1">IFERROR(__xludf.DUMMYFUNCTION("""COMPUTED_VALUE"""),1)</f>
        <v>1</v>
      </c>
      <c r="Y6" s="18"/>
      <c r="AA6" s="2" t="s">
        <v>69</v>
      </c>
      <c r="AB6" s="2" t="s">
        <v>88</v>
      </c>
    </row>
    <row r="7" spans="1:28" ht="15.75" customHeight="1">
      <c r="A7" s="10" t="s">
        <v>49</v>
      </c>
      <c r="B7" s="11" t="s">
        <v>89</v>
      </c>
      <c r="C7" s="12">
        <v>1</v>
      </c>
      <c r="D7" s="12">
        <v>0.72660000000000002</v>
      </c>
      <c r="E7" s="12">
        <v>1E-4</v>
      </c>
      <c r="F7" s="12">
        <v>4.9108000000000001</v>
      </c>
      <c r="G7" s="13">
        <v>0.72660000000000002</v>
      </c>
      <c r="I7" s="15" t="str">
        <f ca="1">IFERROR(__xludf.DUMMYFUNCTION("""COMPUTED_VALUE"""),"Denial of Service: Backup Of Cloud Application Lost")</f>
        <v>Denial of Service: Backup Of Cloud Application Lost</v>
      </c>
      <c r="J7" s="2" t="str">
        <f ca="1">IFERROR(__xludf.DUMMYFUNCTION("""COMPUTED_VALUE"""),"ServerlessFunction (AwsLambda) - react_lambda_app")</f>
        <v>ServerlessFunction (AwsLambda) - react_lambda_app</v>
      </c>
      <c r="K7" s="2">
        <f ca="1">IFERROR(__xludf.DUMMYFUNCTION("""COMPUTED_VALUE"""),1)</f>
        <v>1</v>
      </c>
      <c r="L7" s="2">
        <f ca="1">IFERROR(__xludf.DUMMYFUNCTION("""COMPUTED_VALUE"""),0.75235)</f>
        <v>0.75234999999999996</v>
      </c>
      <c r="M7" s="2">
        <f ca="1">IFERROR(__xludf.DUMMYFUNCTION("""COMPUTED_VALUE"""),0.00005)</f>
        <v>5.0000000000000002E-5</v>
      </c>
      <c r="N7" s="2">
        <f ca="1">IFERROR(__xludf.DUMMYFUNCTION("""COMPUTED_VALUE"""),4.6675)</f>
        <v>4.6675000000000004</v>
      </c>
      <c r="O7" s="18">
        <f ca="1">IFERROR(__xludf.DUMMYFUNCTION("""COMPUTED_VALUE"""),0.75235)</f>
        <v>0.75234999999999996</v>
      </c>
      <c r="Q7" s="15" t="str">
        <f ca="1">IFERROR(__xludf.DUMMYFUNCTION("""COMPUTED_VALUE"""),"Tampering: Public Network Access To Cloud Application")</f>
        <v>Tampering: Public Network Access To Cloud Application</v>
      </c>
      <c r="R7" s="2">
        <f ca="1">IFERROR(__xludf.DUMMYFUNCTION("""COMPUTED_VALUE"""),1)</f>
        <v>1</v>
      </c>
      <c r="Y7" s="18"/>
      <c r="AA7" s="2" t="s">
        <v>71</v>
      </c>
      <c r="AB7" s="36" t="s">
        <v>90</v>
      </c>
    </row>
    <row r="8" spans="1:28" ht="15.75" customHeight="1">
      <c r="A8" s="10" t="s">
        <v>49</v>
      </c>
      <c r="B8" s="11" t="s">
        <v>82</v>
      </c>
      <c r="C8" s="12">
        <v>1</v>
      </c>
      <c r="D8" s="12">
        <v>0.72550000000000003</v>
      </c>
      <c r="E8" s="12">
        <v>2.9999999999999997E-4</v>
      </c>
      <c r="F8" s="12">
        <v>4.9101999999999997</v>
      </c>
      <c r="G8" s="13">
        <v>0.72550000000000003</v>
      </c>
      <c r="I8" s="15" t="str">
        <f ca="1">IFERROR(__xludf.DUMMYFUNCTION("""COMPUTED_VALUE"""),"Denial of Service: Block Shared Resources Of Cloud Application")</f>
        <v>Denial of Service: Block Shared Resources Of Cloud Application</v>
      </c>
      <c r="J8" s="2" t="str">
        <f ca="1">IFERROR(__xludf.DUMMYFUNCTION("""COMPUTED_VALUE"""),"IAM (IAM) - blog_app_lambda")</f>
        <v>IAM (IAM) - blog_app_lambda</v>
      </c>
      <c r="K8" s="2">
        <f ca="1">IFERROR(__xludf.DUMMYFUNCTION("""COMPUTED_VALUE"""),1)</f>
        <v>1</v>
      </c>
      <c r="L8" s="2">
        <f ca="1">IFERROR(__xludf.DUMMYFUNCTION("""COMPUTED_VALUE"""),0.759)</f>
        <v>0.75900000000000001</v>
      </c>
      <c r="M8" s="2">
        <f ca="1">IFERROR(__xludf.DUMMYFUNCTION("""COMPUTED_VALUE"""),0.0001)</f>
        <v>1E-4</v>
      </c>
      <c r="N8" s="2">
        <f ca="1">IFERROR(__xludf.DUMMYFUNCTION("""COMPUTED_VALUE"""),5.6711)</f>
        <v>5.6711</v>
      </c>
      <c r="O8" s="18">
        <f ca="1">IFERROR(__xludf.DUMMYFUNCTION("""COMPUTED_VALUE"""),0.759)</f>
        <v>0.75900000000000001</v>
      </c>
      <c r="Q8" s="15" t="str">
        <f ca="1">IFERROR(__xludf.DUMMYFUNCTION("""COMPUTED_VALUE"""),"Denial of Service: Denial of Service against a Data Store")</f>
        <v>Denial of Service: Denial of Service against a Data Store</v>
      </c>
      <c r="R8" s="2">
        <f ca="1">IFERROR(__xludf.DUMMYFUNCTION("""COMPUTED_VALUE"""),4)</f>
        <v>4</v>
      </c>
      <c r="Y8" s="18"/>
    </row>
    <row r="9" spans="1:28" ht="15.75" customHeight="1">
      <c r="A9" s="10" t="s">
        <v>49</v>
      </c>
      <c r="B9" s="11" t="s">
        <v>91</v>
      </c>
      <c r="C9" s="12">
        <v>1</v>
      </c>
      <c r="D9" s="12">
        <v>0.73870000000000002</v>
      </c>
      <c r="E9" s="12">
        <v>1E-4</v>
      </c>
      <c r="F9" s="12">
        <v>4.5907</v>
      </c>
      <c r="G9" s="13">
        <v>0.73870000000000002</v>
      </c>
      <c r="I9" s="15" t="str">
        <f ca="1">IFERROR(__xludf.DUMMYFUNCTION("""COMPUTED_VALUE"""),"Denial of Service: Block Shared Resources Of Cloud Application")</f>
        <v>Denial of Service: Block Shared Resources Of Cloud Application</v>
      </c>
      <c r="J9" s="2" t="str">
        <f ca="1">IFERROR(__xludf.DUMMYFUNCTION("""COMPUTED_VALUE"""),"IAM (IAM) - goat_role")</f>
        <v>IAM (IAM) - goat_role</v>
      </c>
      <c r="K9" s="2">
        <f ca="1">IFERROR(__xludf.DUMMYFUNCTION("""COMPUTED_VALUE"""),1)</f>
        <v>1</v>
      </c>
      <c r="L9" s="2">
        <f ca="1">IFERROR(__xludf.DUMMYFUNCTION("""COMPUTED_VALUE"""),0.7341)</f>
        <v>0.73409999999999997</v>
      </c>
      <c r="M9" s="2">
        <f ca="1">IFERROR(__xludf.DUMMYFUNCTION("""COMPUTED_VALUE"""),0.0001)</f>
        <v>1E-4</v>
      </c>
      <c r="N9" s="2">
        <f ca="1">IFERROR(__xludf.DUMMYFUNCTION("""COMPUTED_VALUE"""),5.0088)</f>
        <v>5.0087999999999999</v>
      </c>
      <c r="O9" s="18">
        <f ca="1">IFERROR(__xludf.DUMMYFUNCTION("""COMPUTED_VALUE"""),0.7341)</f>
        <v>0.73409999999999997</v>
      </c>
      <c r="Q9" s="15" t="str">
        <f ca="1">IFERROR(__xludf.DUMMYFUNCTION("""COMPUTED_VALUE"""),"Information Disclosure: Sensitive Data Leakage")</f>
        <v>Information Disclosure: Sensitive Data Leakage</v>
      </c>
      <c r="R9" s="2">
        <f ca="1">IFERROR(__xludf.DUMMYFUNCTION("""COMPUTED_VALUE"""),4)</f>
        <v>4</v>
      </c>
      <c r="Y9" s="18"/>
    </row>
    <row r="10" spans="1:28" ht="15.75" customHeight="1">
      <c r="A10" s="10" t="s">
        <v>41</v>
      </c>
      <c r="B10" s="11" t="s">
        <v>91</v>
      </c>
      <c r="C10" s="12">
        <v>1</v>
      </c>
      <c r="D10" s="12">
        <v>0.75549999999999995</v>
      </c>
      <c r="E10" s="12">
        <v>1E-4</v>
      </c>
      <c r="F10" s="12">
        <v>5.1531000000000002</v>
      </c>
      <c r="G10" s="13">
        <v>0.75549999999999995</v>
      </c>
      <c r="I10" s="15" t="str">
        <f ca="1">IFERROR(__xludf.DUMMYFUNCTION("""COMPUTED_VALUE"""),"Denial of Service: Block Shared Resources Of Cloud Application")</f>
        <v>Denial of Service: Block Shared Resources Of Cloud Application</v>
      </c>
      <c r="J10" s="2" t="str">
        <f ca="1">IFERROR(__xludf.DUMMYFUNCTION("""COMPUTED_VALUE"""),"LoadBalancer (APIGateway) - api")</f>
        <v>LoadBalancer (APIGateway) - api</v>
      </c>
      <c r="K10" s="2">
        <f ca="1">IFERROR(__xludf.DUMMYFUNCTION("""COMPUTED_VALUE"""),1)</f>
        <v>1</v>
      </c>
      <c r="L10" s="2">
        <f ca="1">IFERROR(__xludf.DUMMYFUNCTION("""COMPUTED_VALUE"""),0.7579)</f>
        <v>0.75790000000000002</v>
      </c>
      <c r="M10" s="2">
        <f ca="1">IFERROR(__xludf.DUMMYFUNCTION("""COMPUTED_VALUE"""),0)</f>
        <v>0</v>
      </c>
      <c r="N10" s="2">
        <f ca="1">IFERROR(__xludf.DUMMYFUNCTION("""COMPUTED_VALUE"""),4.9634)</f>
        <v>4.9634</v>
      </c>
      <c r="O10" s="18">
        <f ca="1">IFERROR(__xludf.DUMMYFUNCTION("""COMPUTED_VALUE"""),0.7579)</f>
        <v>0.75790000000000002</v>
      </c>
      <c r="Q10" s="15" t="str">
        <f ca="1">IFERROR(__xludf.DUMMYFUNCTION("""COMPUTED_VALUE"""),"Repudiation: Attacking the Logs")</f>
        <v>Repudiation: Attacking the Logs</v>
      </c>
      <c r="R10" s="2">
        <f ca="1">IFERROR(__xludf.DUMMYFUNCTION("""COMPUTED_VALUE"""),4)</f>
        <v>4</v>
      </c>
      <c r="Y10" s="18"/>
    </row>
    <row r="11" spans="1:28" ht="15.75" customHeight="1">
      <c r="A11" s="10" t="s">
        <v>41</v>
      </c>
      <c r="B11" s="11" t="s">
        <v>86</v>
      </c>
      <c r="C11" s="12">
        <v>1</v>
      </c>
      <c r="D11" s="12">
        <v>0.75590000000000002</v>
      </c>
      <c r="E11" s="12">
        <v>0</v>
      </c>
      <c r="F11" s="12">
        <v>5.0707000000000004</v>
      </c>
      <c r="G11" s="13">
        <v>0.75590000000000002</v>
      </c>
      <c r="I11" s="15" t="str">
        <f ca="1">IFERROR(__xludf.DUMMYFUNCTION("""COMPUTED_VALUE"""),"Denial of Service: Block Shared Resources Of Cloud Application")</f>
        <v>Denial of Service: Block Shared Resources Of Cloud Application</v>
      </c>
      <c r="J11" s="2" t="str">
        <f ca="1">IFERROR(__xludf.DUMMYFUNCTION("""COMPUTED_VALUE"""),"LoadBalancer (APIGateway) - apiLambda_ba")</f>
        <v>LoadBalancer (APIGateway) - apiLambda_ba</v>
      </c>
      <c r="K11" s="2">
        <f ca="1">IFERROR(__xludf.DUMMYFUNCTION("""COMPUTED_VALUE"""),1)</f>
        <v>1</v>
      </c>
      <c r="L11" s="2">
        <f ca="1">IFERROR(__xludf.DUMMYFUNCTION("""COMPUTED_VALUE"""),0.7596)</f>
        <v>0.75960000000000005</v>
      </c>
      <c r="M11" s="2">
        <f ca="1">IFERROR(__xludf.DUMMYFUNCTION("""COMPUTED_VALUE"""),0.0001)</f>
        <v>1E-4</v>
      </c>
      <c r="N11" s="2">
        <f ca="1">IFERROR(__xludf.DUMMYFUNCTION("""COMPUTED_VALUE"""),4.8613)</f>
        <v>4.8613</v>
      </c>
      <c r="O11" s="18">
        <f ca="1">IFERROR(__xludf.DUMMYFUNCTION("""COMPUTED_VALUE"""),0.7596)</f>
        <v>0.75960000000000005</v>
      </c>
      <c r="Q11" s="15" t="str">
        <f ca="1">IFERROR(__xludf.DUMMYFUNCTION("""COMPUTED_VALUE"""),"Tampering: Unauthorized Modification of the Data Stores")</f>
        <v>Tampering: Unauthorized Modification of the Data Stores</v>
      </c>
      <c r="R11" s="2">
        <f ca="1">IFERROR(__xludf.DUMMYFUNCTION("""COMPUTED_VALUE"""),4)</f>
        <v>4</v>
      </c>
      <c r="Y11" s="18"/>
    </row>
    <row r="12" spans="1:28" ht="15.75" customHeight="1">
      <c r="A12" s="10" t="s">
        <v>41</v>
      </c>
      <c r="B12" s="11" t="s">
        <v>82</v>
      </c>
      <c r="C12" s="12">
        <v>1</v>
      </c>
      <c r="D12" s="12">
        <v>0.74529999999999996</v>
      </c>
      <c r="E12" s="12">
        <v>1E-4</v>
      </c>
      <c r="F12" s="12">
        <v>5.9584000000000001</v>
      </c>
      <c r="G12" s="13">
        <v>0.74529999999999996</v>
      </c>
      <c r="I12" s="15" t="str">
        <f ca="1">IFERROR(__xludf.DUMMYFUNCTION("""COMPUTED_VALUE"""),"Denial of Service: Block Shared Resources Of Cloud Application")</f>
        <v>Denial of Service: Block Shared Resources Of Cloud Application</v>
      </c>
      <c r="J12" s="2" t="str">
        <f ca="1">IFERROR(__xludf.DUMMYFUNCTION("""COMPUTED_VALUE"""),"ServerlessFunction (AwsLambda) - lambda_ba_data")</f>
        <v>ServerlessFunction (AwsLambda) - lambda_ba_data</v>
      </c>
      <c r="K12" s="2">
        <f ca="1">IFERROR(__xludf.DUMMYFUNCTION("""COMPUTED_VALUE"""),1)</f>
        <v>1</v>
      </c>
      <c r="L12" s="2">
        <f ca="1">IFERROR(__xludf.DUMMYFUNCTION("""COMPUTED_VALUE"""),0.738)</f>
        <v>0.73799999999999999</v>
      </c>
      <c r="M12" s="2">
        <f ca="1">IFERROR(__xludf.DUMMYFUNCTION("""COMPUTED_VALUE"""),0)</f>
        <v>0</v>
      </c>
      <c r="N12" s="2">
        <f ca="1">IFERROR(__xludf.DUMMYFUNCTION("""COMPUTED_VALUE"""),4.7424)</f>
        <v>4.7423999999999999</v>
      </c>
      <c r="O12" s="18">
        <f ca="1">IFERROR(__xludf.DUMMYFUNCTION("""COMPUTED_VALUE"""),0.738)</f>
        <v>0.73799999999999999</v>
      </c>
      <c r="Q12" s="15" t="str">
        <f ca="1">IFERROR(__xludf.DUMMYFUNCTION("""COMPUTED_VALUE"""),"Denial of Service: Backup Of Cloud Application Lost")</f>
        <v>Denial of Service: Backup Of Cloud Application Lost</v>
      </c>
      <c r="R12" s="2">
        <f ca="1">IFERROR(__xludf.DUMMYFUNCTION("""COMPUTED_VALUE"""),6)</f>
        <v>6</v>
      </c>
      <c r="Y12" s="18"/>
    </row>
    <row r="13" spans="1:28" ht="15.75" customHeight="1">
      <c r="A13" s="10" t="s">
        <v>41</v>
      </c>
      <c r="B13" s="11" t="s">
        <v>92</v>
      </c>
      <c r="C13" s="12">
        <v>1</v>
      </c>
      <c r="D13" s="12">
        <v>0.7883</v>
      </c>
      <c r="E13" s="12">
        <v>0</v>
      </c>
      <c r="F13" s="12">
        <v>4.8</v>
      </c>
      <c r="G13" s="13">
        <v>0.7883</v>
      </c>
      <c r="I13" s="15" t="str">
        <f ca="1">IFERROR(__xludf.DUMMYFUNCTION("""COMPUTED_VALUE"""),"Denial of Service: Block Shared Resources Of Cloud Application")</f>
        <v>Denial of Service: Block Shared Resources Of Cloud Application</v>
      </c>
      <c r="J13" s="2" t="str">
        <f ca="1">IFERROR(__xludf.DUMMYFUNCTION("""COMPUTED_VALUE"""),"ServerlessFunction (AwsLambda) - react_lambda_app")</f>
        <v>ServerlessFunction (AwsLambda) - react_lambda_app</v>
      </c>
      <c r="K13" s="2">
        <f ca="1">IFERROR(__xludf.DUMMYFUNCTION("""COMPUTED_VALUE"""),1)</f>
        <v>1</v>
      </c>
      <c r="L13" s="2">
        <f ca="1">IFERROR(__xludf.DUMMYFUNCTION("""COMPUTED_VALUE"""),0.693)</f>
        <v>0.69299999999999995</v>
      </c>
      <c r="M13" s="2">
        <f ca="1">IFERROR(__xludf.DUMMYFUNCTION("""COMPUTED_VALUE"""),0)</f>
        <v>0</v>
      </c>
      <c r="N13" s="2">
        <f ca="1">IFERROR(__xludf.DUMMYFUNCTION("""COMPUTED_VALUE"""),4.9336)</f>
        <v>4.9336000000000002</v>
      </c>
      <c r="O13" s="18">
        <f ca="1">IFERROR(__xludf.DUMMYFUNCTION("""COMPUTED_VALUE"""),0.693)</f>
        <v>0.69299999999999995</v>
      </c>
      <c r="Q13" s="15" t="str">
        <f ca="1">IFERROR(__xludf.DUMMYFUNCTION("""COMPUTED_VALUE"""),"Denial of Service: Connection Lost To Cloud Application")</f>
        <v>Denial of Service: Connection Lost To Cloud Application</v>
      </c>
      <c r="R13" s="2">
        <f ca="1">IFERROR(__xludf.DUMMYFUNCTION("""COMPUTED_VALUE"""),6)</f>
        <v>6</v>
      </c>
      <c r="Y13" s="18"/>
    </row>
    <row r="14" spans="1:28" ht="15.75" customHeight="1">
      <c r="A14" s="10" t="s">
        <v>41</v>
      </c>
      <c r="B14" s="11" t="s">
        <v>84</v>
      </c>
      <c r="C14" s="12">
        <v>1</v>
      </c>
      <c r="D14" s="12">
        <v>0.7369</v>
      </c>
      <c r="E14" s="12">
        <v>2.9999999999999997E-4</v>
      </c>
      <c r="F14" s="12">
        <v>4.8771000000000004</v>
      </c>
      <c r="G14" s="13">
        <v>0.7369</v>
      </c>
      <c r="I14" s="15" t="str">
        <f ca="1">IFERROR(__xludf.DUMMYFUNCTION("""COMPUTED_VALUE"""),"Denial of Service: Block Shared Resources Of Cloud Application")</f>
        <v>Denial of Service: Block Shared Resources Of Cloud Application</v>
      </c>
      <c r="J14" s="2" t="str">
        <f ca="1">IFERROR(__xludf.DUMMYFUNCTION("""COMPUTED_VALUE"""),"VirtualFirewall (SecurityGroup) - goat_sg")</f>
        <v>VirtualFirewall (SecurityGroup) - goat_sg</v>
      </c>
      <c r="K14" s="2">
        <f ca="1">IFERROR(__xludf.DUMMYFUNCTION("""COMPUTED_VALUE"""),1)</f>
        <v>1</v>
      </c>
      <c r="L14" s="2">
        <f ca="1">IFERROR(__xludf.DUMMYFUNCTION("""COMPUTED_VALUE"""),0.7463)</f>
        <v>0.74629999999999996</v>
      </c>
      <c r="M14" s="2">
        <f ca="1">IFERROR(__xludf.DUMMYFUNCTION("""COMPUTED_VALUE"""),0.0001)</f>
        <v>1E-4</v>
      </c>
      <c r="N14" s="2">
        <f ca="1">IFERROR(__xludf.DUMMYFUNCTION("""COMPUTED_VALUE"""),4.9283)</f>
        <v>4.9283000000000001</v>
      </c>
      <c r="O14" s="18">
        <f ca="1">IFERROR(__xludf.DUMMYFUNCTION("""COMPUTED_VALUE"""),0.7463)</f>
        <v>0.74629999999999996</v>
      </c>
      <c r="Q14" s="15" t="str">
        <f ca="1">IFERROR(__xludf.DUMMYFUNCTION("""COMPUTED_VALUE"""),"Denial of Service: Failure Of Cloud Application")</f>
        <v>Denial of Service: Failure Of Cloud Application</v>
      </c>
      <c r="R14" s="2">
        <f ca="1">IFERROR(__xludf.DUMMYFUNCTION("""COMPUTED_VALUE"""),6)</f>
        <v>6</v>
      </c>
      <c r="Y14" s="18"/>
    </row>
    <row r="15" spans="1:28" ht="15.75" customHeight="1">
      <c r="A15" s="10" t="s">
        <v>41</v>
      </c>
      <c r="B15" s="11" t="s">
        <v>89</v>
      </c>
      <c r="C15" s="12">
        <v>1</v>
      </c>
      <c r="D15" s="12">
        <v>0.73939999999999995</v>
      </c>
      <c r="E15" s="12">
        <v>0</v>
      </c>
      <c r="F15" s="12">
        <v>4.7656999999999998</v>
      </c>
      <c r="G15" s="13">
        <v>0.73939999999999995</v>
      </c>
      <c r="I15" s="15" t="str">
        <f ca="1">IFERROR(__xludf.DUMMYFUNCTION("""COMPUTED_VALUE"""),"Denial of Service: Connection Lost To Cloud Application")</f>
        <v>Denial of Service: Connection Lost To Cloud Application</v>
      </c>
      <c r="J15" s="2" t="str">
        <f ca="1">IFERROR(__xludf.DUMMYFUNCTION("""COMPUTED_VALUE"""),"IAM (IAM) - blog_app_lambda")</f>
        <v>IAM (IAM) - blog_app_lambda</v>
      </c>
      <c r="K15" s="2">
        <f ca="1">IFERROR(__xludf.DUMMYFUNCTION("""COMPUTED_VALUE"""),1)</f>
        <v>1</v>
      </c>
      <c r="L15" s="2">
        <f ca="1">IFERROR(__xludf.DUMMYFUNCTION("""COMPUTED_VALUE"""),0.7401)</f>
        <v>0.74009999999999998</v>
      </c>
      <c r="M15" s="2">
        <f ca="1">IFERROR(__xludf.DUMMYFUNCTION("""COMPUTED_VALUE"""),0.0001)</f>
        <v>1E-4</v>
      </c>
      <c r="N15" s="2">
        <f ca="1">IFERROR(__xludf.DUMMYFUNCTION("""COMPUTED_VALUE"""),4.3797)</f>
        <v>4.3796999999999997</v>
      </c>
      <c r="O15" s="18">
        <f ca="1">IFERROR(__xludf.DUMMYFUNCTION("""COMPUTED_VALUE"""),0.7401)</f>
        <v>0.74009999999999998</v>
      </c>
      <c r="Q15" s="15" t="str">
        <f ca="1">IFERROR(__xludf.DUMMYFUNCTION("""COMPUTED_VALUE"""),"Elevation of Privilege: Broken Access Control")</f>
        <v>Elevation of Privilege: Broken Access Control</v>
      </c>
      <c r="R15" s="2">
        <f ca="1">IFERROR(__xludf.DUMMYFUNCTION("""COMPUTED_VALUE"""),6)</f>
        <v>6</v>
      </c>
      <c r="Y15" s="18"/>
    </row>
    <row r="16" spans="1:28" ht="15.75" customHeight="1">
      <c r="A16" s="10" t="s">
        <v>41</v>
      </c>
      <c r="B16" s="11" t="s">
        <v>80</v>
      </c>
      <c r="C16" s="12">
        <v>1</v>
      </c>
      <c r="D16" s="12">
        <v>0.74880000000000002</v>
      </c>
      <c r="E16" s="12">
        <v>4.0000000000000002E-4</v>
      </c>
      <c r="F16" s="12">
        <v>5.2656999999999998</v>
      </c>
      <c r="G16" s="13">
        <v>0.74880000000000002</v>
      </c>
      <c r="I16" s="15" t="str">
        <f ca="1">IFERROR(__xludf.DUMMYFUNCTION("""COMPUTED_VALUE"""),"Denial of Service: Connection Lost To Cloud Application")</f>
        <v>Denial of Service: Connection Lost To Cloud Application</v>
      </c>
      <c r="J16" s="2" t="str">
        <f ca="1">IFERROR(__xludf.DUMMYFUNCTION("""COMPUTED_VALUE"""),"IAM (IAM) - goat_role")</f>
        <v>IAM (IAM) - goat_role</v>
      </c>
      <c r="K16" s="2">
        <f ca="1">IFERROR(__xludf.DUMMYFUNCTION("""COMPUTED_VALUE"""),1)</f>
        <v>1</v>
      </c>
      <c r="L16" s="2">
        <f ca="1">IFERROR(__xludf.DUMMYFUNCTION("""COMPUTED_VALUE"""),0.7409)</f>
        <v>0.7409</v>
      </c>
      <c r="M16" s="2">
        <f ca="1">IFERROR(__xludf.DUMMYFUNCTION("""COMPUTED_VALUE"""),0)</f>
        <v>0</v>
      </c>
      <c r="N16" s="2">
        <f ca="1">IFERROR(__xludf.DUMMYFUNCTION("""COMPUTED_VALUE"""),4.5273)</f>
        <v>4.5273000000000003</v>
      </c>
      <c r="O16" s="18">
        <f ca="1">IFERROR(__xludf.DUMMYFUNCTION("""COMPUTED_VALUE"""),0.7409)</f>
        <v>0.7409</v>
      </c>
      <c r="Q16" s="15" t="str">
        <f ca="1">IFERROR(__xludf.DUMMYFUNCTION("""COMPUTED_VALUE"""),"Information Disclosure: Backup Of Cloud Application Stolen")</f>
        <v>Information Disclosure: Backup Of Cloud Application Stolen</v>
      </c>
      <c r="R16" s="2">
        <f ca="1">IFERROR(__xludf.DUMMYFUNCTION("""COMPUTED_VALUE"""),6)</f>
        <v>6</v>
      </c>
      <c r="Y16" s="18"/>
    </row>
    <row r="17" spans="1:25" ht="15.75" customHeight="1">
      <c r="A17" s="10" t="s">
        <v>29</v>
      </c>
      <c r="B17" s="11" t="s">
        <v>91</v>
      </c>
      <c r="C17" s="12">
        <v>1</v>
      </c>
      <c r="D17" s="12">
        <v>0.7782</v>
      </c>
      <c r="E17" s="12">
        <v>1E-4</v>
      </c>
      <c r="F17" s="12">
        <v>4.9225000000000003</v>
      </c>
      <c r="G17" s="13">
        <v>0.7782</v>
      </c>
      <c r="I17" s="15" t="str">
        <f ca="1">IFERROR(__xludf.DUMMYFUNCTION("""COMPUTED_VALUE"""),"Denial of Service: Connection Lost To Cloud Application")</f>
        <v>Denial of Service: Connection Lost To Cloud Application</v>
      </c>
      <c r="J17" s="2" t="str">
        <f ca="1">IFERROR(__xludf.DUMMYFUNCTION("""COMPUTED_VALUE"""),"LoadBalancer (APIGateway) - api")</f>
        <v>LoadBalancer (APIGateway) - api</v>
      </c>
      <c r="K17" s="2">
        <f ca="1">IFERROR(__xludf.DUMMYFUNCTION("""COMPUTED_VALUE"""),1)</f>
        <v>1</v>
      </c>
      <c r="L17" s="2">
        <f ca="1">IFERROR(__xludf.DUMMYFUNCTION("""COMPUTED_VALUE"""),0.7199)</f>
        <v>0.71989999999999998</v>
      </c>
      <c r="M17" s="2">
        <f ca="1">IFERROR(__xludf.DUMMYFUNCTION("""COMPUTED_VALUE"""),0.0001)</f>
        <v>1E-4</v>
      </c>
      <c r="N17" s="2">
        <f ca="1">IFERROR(__xludf.DUMMYFUNCTION("""COMPUTED_VALUE"""),5.2124)</f>
        <v>5.2123999999999997</v>
      </c>
      <c r="O17" s="18">
        <f ca="1">IFERROR(__xludf.DUMMYFUNCTION("""COMPUTED_VALUE"""),0.7199)</f>
        <v>0.71989999999999998</v>
      </c>
      <c r="Q17" s="15" t="str">
        <f ca="1">IFERROR(__xludf.DUMMYFUNCTION("""COMPUTED_VALUE"""),"Information Disclosure: Data Breach By Cloud Application")</f>
        <v>Information Disclosure: Data Breach By Cloud Application</v>
      </c>
      <c r="R17" s="2">
        <f ca="1">IFERROR(__xludf.DUMMYFUNCTION("""COMPUTED_VALUE"""),6)</f>
        <v>6</v>
      </c>
      <c r="Y17" s="18"/>
    </row>
    <row r="18" spans="1:25" ht="15.75" customHeight="1">
      <c r="A18" s="10" t="s">
        <v>29</v>
      </c>
      <c r="B18" s="11" t="s">
        <v>86</v>
      </c>
      <c r="C18" s="12">
        <v>1</v>
      </c>
      <c r="D18" s="12">
        <v>0.69740000000000002</v>
      </c>
      <c r="E18" s="12">
        <v>0</v>
      </c>
      <c r="F18" s="12">
        <v>5.2194000000000003</v>
      </c>
      <c r="G18" s="13">
        <v>0.69740000000000002</v>
      </c>
      <c r="I18" s="15" t="str">
        <f ca="1">IFERROR(__xludf.DUMMYFUNCTION("""COMPUTED_VALUE"""),"Denial of Service: Connection Lost To Cloud Application")</f>
        <v>Denial of Service: Connection Lost To Cloud Application</v>
      </c>
      <c r="J18" s="2" t="str">
        <f ca="1">IFERROR(__xludf.DUMMYFUNCTION("""COMPUTED_VALUE"""),"LoadBalancer (APIGateway) - apiLambda_ba")</f>
        <v>LoadBalancer (APIGateway) - apiLambda_ba</v>
      </c>
      <c r="K18" s="2">
        <f ca="1">IFERROR(__xludf.DUMMYFUNCTION("""COMPUTED_VALUE"""),1)</f>
        <v>1</v>
      </c>
      <c r="L18" s="2">
        <f ca="1">IFERROR(__xludf.DUMMYFUNCTION("""COMPUTED_VALUE"""),0.7001)</f>
        <v>0.70009999999999994</v>
      </c>
      <c r="M18" s="2">
        <f ca="1">IFERROR(__xludf.DUMMYFUNCTION("""COMPUTED_VALUE"""),0.0002)</f>
        <v>2.0000000000000001E-4</v>
      </c>
      <c r="N18" s="2">
        <f ca="1">IFERROR(__xludf.DUMMYFUNCTION("""COMPUTED_VALUE"""),5.2216)</f>
        <v>5.2215999999999996</v>
      </c>
      <c r="O18" s="18">
        <f ca="1">IFERROR(__xludf.DUMMYFUNCTION("""COMPUTED_VALUE"""),0.7001)</f>
        <v>0.70009999999999994</v>
      </c>
      <c r="Q18" s="15" t="str">
        <f ca="1">IFERROR(__xludf.DUMMYFUNCTION("""COMPUTED_VALUE"""),"Information Disclosure: Logs Of Cloud Application Stolen")</f>
        <v>Information Disclosure: Logs Of Cloud Application Stolen</v>
      </c>
      <c r="R18" s="2">
        <f ca="1">IFERROR(__xludf.DUMMYFUNCTION("""COMPUTED_VALUE"""),6)</f>
        <v>6</v>
      </c>
      <c r="Y18" s="18"/>
    </row>
    <row r="19" spans="1:25" ht="15.75" customHeight="1">
      <c r="A19" s="10" t="s">
        <v>29</v>
      </c>
      <c r="B19" s="11" t="s">
        <v>82</v>
      </c>
      <c r="C19" s="12">
        <v>1</v>
      </c>
      <c r="D19" s="12">
        <v>0.78010000000000002</v>
      </c>
      <c r="E19" s="12">
        <v>0</v>
      </c>
      <c r="F19" s="12">
        <v>5.1026999999999996</v>
      </c>
      <c r="G19" s="13">
        <v>0.78010000000000002</v>
      </c>
      <c r="I19" s="15" t="str">
        <f ca="1">IFERROR(__xludf.DUMMYFUNCTION("""COMPUTED_VALUE"""),"Denial of Service: Connection Lost To Cloud Application")</f>
        <v>Denial of Service: Connection Lost To Cloud Application</v>
      </c>
      <c r="J19" s="2" t="str">
        <f ca="1">IFERROR(__xludf.DUMMYFUNCTION("""COMPUTED_VALUE"""),"ServerlessFunction (AwsLambda) - lambda_ba_data")</f>
        <v>ServerlessFunction (AwsLambda) - lambda_ba_data</v>
      </c>
      <c r="K19" s="2">
        <f ca="1">IFERROR(__xludf.DUMMYFUNCTION("""COMPUTED_VALUE"""),1)</f>
        <v>1</v>
      </c>
      <c r="L19" s="2">
        <f ca="1">IFERROR(__xludf.DUMMYFUNCTION("""COMPUTED_VALUE"""),0.75185)</f>
        <v>0.75185000000000002</v>
      </c>
      <c r="M19" s="2">
        <f ca="1">IFERROR(__xludf.DUMMYFUNCTION("""COMPUTED_VALUE"""),0.0001)</f>
        <v>1E-4</v>
      </c>
      <c r="N19" s="2">
        <f ca="1">IFERROR(__xludf.DUMMYFUNCTION("""COMPUTED_VALUE"""),5.06814999999999)</f>
        <v>5.0681499999999904</v>
      </c>
      <c r="O19" s="18">
        <f ca="1">IFERROR(__xludf.DUMMYFUNCTION("""COMPUTED_VALUE"""),0.75185)</f>
        <v>0.75185000000000002</v>
      </c>
      <c r="Q19" s="15" t="str">
        <f ca="1">IFERROR(__xludf.DUMMYFUNCTION("""COMPUTED_VALUE"""),"Repudiation: Logs Of Cloud Application Lost")</f>
        <v>Repudiation: Logs Of Cloud Application Lost</v>
      </c>
      <c r="R19" s="2">
        <f ca="1">IFERROR(__xludf.DUMMYFUNCTION("""COMPUTED_VALUE"""),6)</f>
        <v>6</v>
      </c>
      <c r="Y19" s="18"/>
    </row>
    <row r="20" spans="1:25" ht="15.75" customHeight="1">
      <c r="A20" s="10" t="s">
        <v>29</v>
      </c>
      <c r="B20" s="11" t="s">
        <v>92</v>
      </c>
      <c r="C20" s="12">
        <v>1</v>
      </c>
      <c r="D20" s="12">
        <v>0.76190000000000002</v>
      </c>
      <c r="E20" s="12">
        <v>0</v>
      </c>
      <c r="F20" s="12">
        <v>5.1351000000000004</v>
      </c>
      <c r="G20" s="13">
        <v>0.76190000000000002</v>
      </c>
      <c r="I20" s="15" t="str">
        <f ca="1">IFERROR(__xludf.DUMMYFUNCTION("""COMPUTED_VALUE"""),"Denial of Service: Connection Lost To Cloud Application")</f>
        <v>Denial of Service: Connection Lost To Cloud Application</v>
      </c>
      <c r="J20" s="2" t="str">
        <f ca="1">IFERROR(__xludf.DUMMYFUNCTION("""COMPUTED_VALUE"""),"ServerlessFunction (AwsLambda) - react_lambda_app")</f>
        <v>ServerlessFunction (AwsLambda) - react_lambda_app</v>
      </c>
      <c r="K20" s="2">
        <f ca="1">IFERROR(__xludf.DUMMYFUNCTION("""COMPUTED_VALUE"""),1)</f>
        <v>1</v>
      </c>
      <c r="L20" s="2">
        <f ca="1">IFERROR(__xludf.DUMMYFUNCTION("""COMPUTED_VALUE"""),0.7426)</f>
        <v>0.74260000000000004</v>
      </c>
      <c r="M20" s="2">
        <f ca="1">IFERROR(__xludf.DUMMYFUNCTION("""COMPUTED_VALUE"""),0)</f>
        <v>0</v>
      </c>
      <c r="N20" s="2">
        <f ca="1">IFERROR(__xludf.DUMMYFUNCTION("""COMPUTED_VALUE"""),4.68195)</f>
        <v>4.6819499999999996</v>
      </c>
      <c r="O20" s="18">
        <f ca="1">IFERROR(__xludf.DUMMYFUNCTION("""COMPUTED_VALUE"""),0.7426)</f>
        <v>0.74260000000000004</v>
      </c>
      <c r="Q20" s="15" t="str">
        <f ca="1">IFERROR(__xludf.DUMMYFUNCTION("""COMPUTED_VALUE"""),"Spoofing: Broken Authentication")</f>
        <v>Spoofing: Broken Authentication</v>
      </c>
      <c r="R20" s="2">
        <f ca="1">IFERROR(__xludf.DUMMYFUNCTION("""COMPUTED_VALUE"""),6)</f>
        <v>6</v>
      </c>
      <c r="Y20" s="18"/>
    </row>
    <row r="21" spans="1:25" ht="15.75" customHeight="1">
      <c r="A21" s="10" t="s">
        <v>29</v>
      </c>
      <c r="B21" s="11" t="s">
        <v>84</v>
      </c>
      <c r="C21" s="12">
        <v>1</v>
      </c>
      <c r="D21" s="12">
        <v>0.73309999999999997</v>
      </c>
      <c r="E21" s="12">
        <v>1E-4</v>
      </c>
      <c r="F21" s="12">
        <v>5.0353000000000003</v>
      </c>
      <c r="G21" s="13">
        <v>0.73309999999999997</v>
      </c>
      <c r="I21" s="15" t="str">
        <f ca="1">IFERROR(__xludf.DUMMYFUNCTION("""COMPUTED_VALUE"""),"Denial of Service: DDoS Attack To Cloud Application")</f>
        <v>Denial of Service: DDoS Attack To Cloud Application</v>
      </c>
      <c r="J21" s="2" t="str">
        <f ca="1">IFERROR(__xludf.DUMMYFUNCTION("""COMPUTED_VALUE"""),"IAM (IAM) - blog_app_lambda")</f>
        <v>IAM (IAM) - blog_app_lambda</v>
      </c>
      <c r="K21" s="2">
        <f ca="1">IFERROR(__xludf.DUMMYFUNCTION("""COMPUTED_VALUE"""),1)</f>
        <v>1</v>
      </c>
      <c r="L21" s="2">
        <f ca="1">IFERROR(__xludf.DUMMYFUNCTION("""COMPUTED_VALUE"""),0.7525)</f>
        <v>0.75249999999999995</v>
      </c>
      <c r="M21" s="2">
        <f ca="1">IFERROR(__xludf.DUMMYFUNCTION("""COMPUTED_VALUE"""),0.0001)</f>
        <v>1E-4</v>
      </c>
      <c r="N21" s="2">
        <f ca="1">IFERROR(__xludf.DUMMYFUNCTION("""COMPUTED_VALUE"""),4.6603)</f>
        <v>4.6603000000000003</v>
      </c>
      <c r="O21" s="18">
        <f ca="1">IFERROR(__xludf.DUMMYFUNCTION("""COMPUTED_VALUE"""),0.7525)</f>
        <v>0.75249999999999995</v>
      </c>
      <c r="Q21" s="15" t="str">
        <f ca="1">IFERROR(__xludf.DUMMYFUNCTION("""COMPUTED_VALUE"""),"Tampering: Data Loss By Cloud Application")</f>
        <v>Tampering: Data Loss By Cloud Application</v>
      </c>
      <c r="R21" s="2">
        <f ca="1">IFERROR(__xludf.DUMMYFUNCTION("""COMPUTED_VALUE"""),6)</f>
        <v>6</v>
      </c>
      <c r="Y21" s="18"/>
    </row>
    <row r="22" spans="1:25" ht="15.75" customHeight="1">
      <c r="A22" s="10" t="s">
        <v>29</v>
      </c>
      <c r="B22" s="11" t="s">
        <v>89</v>
      </c>
      <c r="C22" s="12">
        <v>1</v>
      </c>
      <c r="D22" s="12">
        <v>0.76080000000000003</v>
      </c>
      <c r="E22" s="12">
        <v>0</v>
      </c>
      <c r="F22" s="12">
        <v>5.1820000000000004</v>
      </c>
      <c r="G22" s="13">
        <v>0.76080000000000003</v>
      </c>
      <c r="I22" s="15" t="str">
        <f ca="1">IFERROR(__xludf.DUMMYFUNCTION("""COMPUTED_VALUE"""),"Denial of Service: DDoS Attack To Cloud Application")</f>
        <v>Denial of Service: DDoS Attack To Cloud Application</v>
      </c>
      <c r="J22" s="2" t="str">
        <f ca="1">IFERROR(__xludf.DUMMYFUNCTION("""COMPUTED_VALUE"""),"IAM (IAM) - goat_role")</f>
        <v>IAM (IAM) - goat_role</v>
      </c>
      <c r="K22" s="2">
        <f ca="1">IFERROR(__xludf.DUMMYFUNCTION("""COMPUTED_VALUE"""),1)</f>
        <v>1</v>
      </c>
      <c r="L22" s="2">
        <f ca="1">IFERROR(__xludf.DUMMYFUNCTION("""COMPUTED_VALUE"""),0.7153)</f>
        <v>0.71530000000000005</v>
      </c>
      <c r="M22" s="2">
        <f ca="1">IFERROR(__xludf.DUMMYFUNCTION("""COMPUTED_VALUE"""),0)</f>
        <v>0</v>
      </c>
      <c r="N22" s="2">
        <f ca="1">IFERROR(__xludf.DUMMYFUNCTION("""COMPUTED_VALUE"""),4.4978)</f>
        <v>4.4977999999999998</v>
      </c>
      <c r="O22" s="18">
        <f ca="1">IFERROR(__xludf.DUMMYFUNCTION("""COMPUTED_VALUE"""),0.7153)</f>
        <v>0.71530000000000005</v>
      </c>
      <c r="Q22" s="15" t="str">
        <f ca="1">IFERROR(__xludf.DUMMYFUNCTION("""COMPUTED_VALUE"""),"Denial of Service: Block Shared Resources Of Cloud Application")</f>
        <v>Denial of Service: Block Shared Resources Of Cloud Application</v>
      </c>
      <c r="R22" s="2">
        <f ca="1">IFERROR(__xludf.DUMMYFUNCTION("""COMPUTED_VALUE"""),7)</f>
        <v>7</v>
      </c>
      <c r="Y22" s="18"/>
    </row>
    <row r="23" spans="1:25" ht="15.75" customHeight="1">
      <c r="A23" s="10" t="s">
        <v>29</v>
      </c>
      <c r="B23" s="11" t="s">
        <v>80</v>
      </c>
      <c r="C23" s="12">
        <v>1</v>
      </c>
      <c r="D23" s="12">
        <v>0.74750000000000005</v>
      </c>
      <c r="E23" s="12">
        <v>2.0000000000000001E-4</v>
      </c>
      <c r="F23" s="12">
        <v>4.7659000000000002</v>
      </c>
      <c r="G23" s="13">
        <v>0.74750000000000005</v>
      </c>
      <c r="I23" s="15" t="str">
        <f ca="1">IFERROR(__xludf.DUMMYFUNCTION("""COMPUTED_VALUE"""),"Denial of Service: DDoS Attack To Cloud Application")</f>
        <v>Denial of Service: DDoS Attack To Cloud Application</v>
      </c>
      <c r="J23" s="2" t="str">
        <f ca="1">IFERROR(__xludf.DUMMYFUNCTION("""COMPUTED_VALUE"""),"LoadBalancer (APIGateway) - api")</f>
        <v>LoadBalancer (APIGateway) - api</v>
      </c>
      <c r="K23" s="2">
        <f ca="1">IFERROR(__xludf.DUMMYFUNCTION("""COMPUTED_VALUE"""),1)</f>
        <v>1</v>
      </c>
      <c r="L23" s="2">
        <f ca="1">IFERROR(__xludf.DUMMYFUNCTION("""COMPUTED_VALUE"""),0.7706)</f>
        <v>0.77059999999999995</v>
      </c>
      <c r="M23" s="2">
        <f ca="1">IFERROR(__xludf.DUMMYFUNCTION("""COMPUTED_VALUE"""),0.0001)</f>
        <v>1E-4</v>
      </c>
      <c r="N23" s="2">
        <f ca="1">IFERROR(__xludf.DUMMYFUNCTION("""COMPUTED_VALUE"""),5.2999)</f>
        <v>5.2999000000000001</v>
      </c>
      <c r="O23" s="18">
        <f ca="1">IFERROR(__xludf.DUMMYFUNCTION("""COMPUTED_VALUE"""),0.7706)</f>
        <v>0.77059999999999995</v>
      </c>
      <c r="Q23" s="15" t="str">
        <f ca="1">IFERROR(__xludf.DUMMYFUNCTION("""COMPUTED_VALUE"""),"Denial of Service: DDoS Attack To Cloud Application")</f>
        <v>Denial of Service: DDoS Attack To Cloud Application</v>
      </c>
      <c r="R23" s="2">
        <f ca="1">IFERROR(__xludf.DUMMYFUNCTION("""COMPUTED_VALUE"""),7)</f>
        <v>7</v>
      </c>
      <c r="Y23" s="18"/>
    </row>
    <row r="24" spans="1:25" ht="15.75" customHeight="1">
      <c r="A24" s="10" t="s">
        <v>38</v>
      </c>
      <c r="B24" s="11" t="s">
        <v>91</v>
      </c>
      <c r="C24" s="12">
        <v>1</v>
      </c>
      <c r="D24" s="12">
        <v>0.75790000000000002</v>
      </c>
      <c r="E24" s="12">
        <v>0</v>
      </c>
      <c r="F24" s="12">
        <v>4.9634</v>
      </c>
      <c r="G24" s="13">
        <v>0.75790000000000002</v>
      </c>
      <c r="I24" s="15" t="str">
        <f ca="1">IFERROR(__xludf.DUMMYFUNCTION("""COMPUTED_VALUE"""),"Denial of Service: DDoS Attack To Cloud Application")</f>
        <v>Denial of Service: DDoS Attack To Cloud Application</v>
      </c>
      <c r="J24" s="2" t="str">
        <f ca="1">IFERROR(__xludf.DUMMYFUNCTION("""COMPUTED_VALUE"""),"LoadBalancer (APIGateway) - apiLambda_ba")</f>
        <v>LoadBalancer (APIGateway) - apiLambda_ba</v>
      </c>
      <c r="K24" s="2">
        <f ca="1">IFERROR(__xludf.DUMMYFUNCTION("""COMPUTED_VALUE"""),1)</f>
        <v>1</v>
      </c>
      <c r="L24" s="2">
        <f ca="1">IFERROR(__xludf.DUMMYFUNCTION("""COMPUTED_VALUE"""),0.7839)</f>
        <v>0.78390000000000004</v>
      </c>
      <c r="M24" s="2">
        <f ca="1">IFERROR(__xludf.DUMMYFUNCTION("""COMPUTED_VALUE"""),0)</f>
        <v>0</v>
      </c>
      <c r="N24" s="2">
        <f ca="1">IFERROR(__xludf.DUMMYFUNCTION("""COMPUTED_VALUE"""),5.1621)</f>
        <v>5.1620999999999997</v>
      </c>
      <c r="O24" s="18">
        <f ca="1">IFERROR(__xludf.DUMMYFUNCTION("""COMPUTED_VALUE"""),0.7839)</f>
        <v>0.78390000000000004</v>
      </c>
      <c r="Q24" s="15" t="str">
        <f ca="1">IFERROR(__xludf.DUMMYFUNCTION("""COMPUTED_VALUE"""),"Denial of Service: EDoS Attack To Cloud Application")</f>
        <v>Denial of Service: EDoS Attack To Cloud Application</v>
      </c>
      <c r="R24" s="2">
        <f ca="1">IFERROR(__xludf.DUMMYFUNCTION("""COMPUTED_VALUE"""),7)</f>
        <v>7</v>
      </c>
      <c r="Y24" s="18"/>
    </row>
    <row r="25" spans="1:25" ht="12.5">
      <c r="A25" s="10" t="s">
        <v>38</v>
      </c>
      <c r="B25" s="11" t="s">
        <v>86</v>
      </c>
      <c r="C25" s="12">
        <v>1</v>
      </c>
      <c r="D25" s="12">
        <v>0.73799999999999999</v>
      </c>
      <c r="E25" s="12">
        <v>0</v>
      </c>
      <c r="F25" s="12">
        <v>4.7423999999999999</v>
      </c>
      <c r="G25" s="13">
        <v>0.73799999999999999</v>
      </c>
      <c r="I25" s="15" t="str">
        <f ca="1">IFERROR(__xludf.DUMMYFUNCTION("""COMPUTED_VALUE"""),"Denial of Service: DDoS Attack To Cloud Application")</f>
        <v>Denial of Service: DDoS Attack To Cloud Application</v>
      </c>
      <c r="J25" s="2" t="str">
        <f ca="1">IFERROR(__xludf.DUMMYFUNCTION("""COMPUTED_VALUE"""),"ServerlessFunction (AwsLambda) - lambda_ba_data")</f>
        <v>ServerlessFunction (AwsLambda) - lambda_ba_data</v>
      </c>
      <c r="K25" s="2">
        <f ca="1">IFERROR(__xludf.DUMMYFUNCTION("""COMPUTED_VALUE"""),1)</f>
        <v>1</v>
      </c>
      <c r="L25" s="2">
        <f ca="1">IFERROR(__xludf.DUMMYFUNCTION("""COMPUTED_VALUE"""),0.7213)</f>
        <v>0.72130000000000005</v>
      </c>
      <c r="M25" s="2">
        <f ca="1">IFERROR(__xludf.DUMMYFUNCTION("""COMPUTED_VALUE"""),0)</f>
        <v>0</v>
      </c>
      <c r="N25" s="2">
        <f ca="1">IFERROR(__xludf.DUMMYFUNCTION("""COMPUTED_VALUE"""),5.2442)</f>
        <v>5.2442000000000002</v>
      </c>
      <c r="O25" s="18">
        <f ca="1">IFERROR(__xludf.DUMMYFUNCTION("""COMPUTED_VALUE"""),0.7213)</f>
        <v>0.72130000000000005</v>
      </c>
      <c r="Q25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R25" s="2">
        <f ca="1">IFERROR(__xludf.DUMMYFUNCTION("""COMPUTED_VALUE"""),7)</f>
        <v>7</v>
      </c>
      <c r="Y25" s="18"/>
    </row>
    <row r="26" spans="1:25" ht="12.5">
      <c r="A26" s="10" t="s">
        <v>38</v>
      </c>
      <c r="B26" s="11" t="s">
        <v>82</v>
      </c>
      <c r="C26" s="12">
        <v>1</v>
      </c>
      <c r="D26" s="12">
        <v>0.69299999999999995</v>
      </c>
      <c r="E26" s="12">
        <v>0</v>
      </c>
      <c r="F26" s="12">
        <v>4.9336000000000002</v>
      </c>
      <c r="G26" s="13">
        <v>0.69299999999999995</v>
      </c>
      <c r="I26" s="15" t="str">
        <f ca="1">IFERROR(__xludf.DUMMYFUNCTION("""COMPUTED_VALUE"""),"Denial of Service: DDoS Attack To Cloud Application")</f>
        <v>Denial of Service: DDoS Attack To Cloud Application</v>
      </c>
      <c r="J26" s="2" t="str">
        <f ca="1">IFERROR(__xludf.DUMMYFUNCTION("""COMPUTED_VALUE"""),"ServerlessFunction (AwsLambda) - react_lambda_app")</f>
        <v>ServerlessFunction (AwsLambda) - react_lambda_app</v>
      </c>
      <c r="K26" s="2">
        <f ca="1">IFERROR(__xludf.DUMMYFUNCTION("""COMPUTED_VALUE"""),1)</f>
        <v>1</v>
      </c>
      <c r="L26" s="2">
        <f ca="1">IFERROR(__xludf.DUMMYFUNCTION("""COMPUTED_VALUE"""),0.7239)</f>
        <v>0.72389999999999999</v>
      </c>
      <c r="M26" s="2">
        <f ca="1">IFERROR(__xludf.DUMMYFUNCTION("""COMPUTED_VALUE"""),0)</f>
        <v>0</v>
      </c>
      <c r="N26" s="2">
        <f ca="1">IFERROR(__xludf.DUMMYFUNCTION("""COMPUTED_VALUE"""),5.3144)</f>
        <v>5.3144</v>
      </c>
      <c r="O26" s="18">
        <f ca="1">IFERROR(__xludf.DUMMYFUNCTION("""COMPUTED_VALUE"""),0.7239)</f>
        <v>0.72389999999999999</v>
      </c>
      <c r="Q26" s="15" t="str">
        <f ca="1">IFERROR(__xludf.DUMMYFUNCTION("""COMPUTED_VALUE"""),"Other: Cloud Application Abuse")</f>
        <v>Other: Cloud Application Abuse</v>
      </c>
      <c r="R26" s="2">
        <f ca="1">IFERROR(__xludf.DUMMYFUNCTION("""COMPUTED_VALUE"""),7)</f>
        <v>7</v>
      </c>
      <c r="Y26" s="18"/>
    </row>
    <row r="27" spans="1:25" ht="12.5">
      <c r="A27" s="10" t="s">
        <v>38</v>
      </c>
      <c r="B27" s="11" t="s">
        <v>84</v>
      </c>
      <c r="C27" s="12">
        <v>1</v>
      </c>
      <c r="D27" s="12">
        <v>0.73409999999999997</v>
      </c>
      <c r="E27" s="12">
        <v>1E-4</v>
      </c>
      <c r="F27" s="12">
        <v>5.0087999999999999</v>
      </c>
      <c r="G27" s="13">
        <v>0.73409999999999997</v>
      </c>
      <c r="I27" s="15" t="str">
        <f ca="1">IFERROR(__xludf.DUMMYFUNCTION("""COMPUTED_VALUE"""),"Denial of Service: DDoS Attack To Cloud Application")</f>
        <v>Denial of Service: DDoS Attack To Cloud Application</v>
      </c>
      <c r="J27" s="2" t="str">
        <f ca="1">IFERROR(__xludf.DUMMYFUNCTION("""COMPUTED_VALUE"""),"VirtualFirewall (SecurityGroup) - goat_sg")</f>
        <v>VirtualFirewall (SecurityGroup) - goat_sg</v>
      </c>
      <c r="K27" s="2">
        <f ca="1">IFERROR(__xludf.DUMMYFUNCTION("""COMPUTED_VALUE"""),1)</f>
        <v>1</v>
      </c>
      <c r="L27" s="2">
        <f ca="1">IFERROR(__xludf.DUMMYFUNCTION("""COMPUTED_VALUE"""),0.7521)</f>
        <v>0.75209999999999999</v>
      </c>
      <c r="M27" s="2">
        <f ca="1">IFERROR(__xludf.DUMMYFUNCTION("""COMPUTED_VALUE"""),0)</f>
        <v>0</v>
      </c>
      <c r="N27" s="2">
        <f ca="1">IFERROR(__xludf.DUMMYFUNCTION("""COMPUTED_VALUE"""),4.9661)</f>
        <v>4.9661</v>
      </c>
      <c r="O27" s="18">
        <f ca="1">IFERROR(__xludf.DUMMYFUNCTION("""COMPUTED_VALUE"""),0.7521)</f>
        <v>0.75209999999999999</v>
      </c>
      <c r="Q27" s="33" t="str">
        <f ca="1">IFERROR(__xludf.DUMMYFUNCTION("""COMPUTED_VALUE"""),"Other: Network Attacks To Cloud Application")</f>
        <v>Other: Network Attacks To Cloud Application</v>
      </c>
      <c r="R27" s="34">
        <f ca="1">IFERROR(__xludf.DUMMYFUNCTION("""COMPUTED_VALUE"""),7)</f>
        <v>7</v>
      </c>
      <c r="S27" s="34"/>
      <c r="T27" s="34"/>
      <c r="U27" s="34"/>
      <c r="V27" s="34"/>
      <c r="W27" s="34"/>
      <c r="X27" s="34"/>
      <c r="Y27" s="35"/>
    </row>
    <row r="28" spans="1:25" ht="12.5">
      <c r="A28" s="10" t="s">
        <v>38</v>
      </c>
      <c r="B28" s="11" t="s">
        <v>92</v>
      </c>
      <c r="C28" s="12">
        <v>1</v>
      </c>
      <c r="D28" s="12">
        <v>0.74629999999999996</v>
      </c>
      <c r="E28" s="12">
        <v>1E-4</v>
      </c>
      <c r="F28" s="12">
        <v>4.9283000000000001</v>
      </c>
      <c r="G28" s="13">
        <v>0.74629999999999996</v>
      </c>
      <c r="I28" s="15" t="str">
        <f ca="1">IFERROR(__xludf.DUMMYFUNCTION("""COMPUTED_VALUE"""),"Denial of Service: Denial of Service against a Data Store")</f>
        <v>Denial of Service: Denial of Service against a Data Store</v>
      </c>
      <c r="J28" s="2" t="str">
        <f ca="1">IFERROR(__xludf.DUMMYFUNCTION("""COMPUTED_VALUE"""),"FileStorage (S3) - bucket_temp")</f>
        <v>FileStorage (S3) - bucket_temp</v>
      </c>
      <c r="K28" s="2">
        <f ca="1">IFERROR(__xludf.DUMMYFUNCTION("""COMPUTED_VALUE"""),1)</f>
        <v>1</v>
      </c>
      <c r="L28" s="2">
        <f ca="1">IFERROR(__xludf.DUMMYFUNCTION("""COMPUTED_VALUE"""),0.723)</f>
        <v>0.72299999999999998</v>
      </c>
      <c r="M28" s="2">
        <f ca="1">IFERROR(__xludf.DUMMYFUNCTION("""COMPUTED_VALUE"""),0)</f>
        <v>0</v>
      </c>
      <c r="N28" s="2">
        <f ca="1">IFERROR(__xludf.DUMMYFUNCTION("""COMPUTED_VALUE"""),5.12665)</f>
        <v>5.1266499999999997</v>
      </c>
      <c r="O28" s="18">
        <f ca="1">IFERROR(__xludf.DUMMYFUNCTION("""COMPUTED_VALUE"""),0.723)</f>
        <v>0.72299999999999998</v>
      </c>
    </row>
    <row r="29" spans="1:25" ht="12.5">
      <c r="A29" s="10" t="s">
        <v>38</v>
      </c>
      <c r="B29" s="11" t="s">
        <v>80</v>
      </c>
      <c r="C29" s="12">
        <v>1</v>
      </c>
      <c r="D29" s="12">
        <v>0.75960000000000005</v>
      </c>
      <c r="E29" s="12">
        <v>1E-4</v>
      </c>
      <c r="F29" s="12">
        <v>4.8613</v>
      </c>
      <c r="G29" s="13">
        <v>0.75960000000000005</v>
      </c>
      <c r="I29" s="15" t="str">
        <f ca="1">IFERROR(__xludf.DUMMYFUNCTION("""COMPUTED_VALUE"""),"Denial of Service: Denial of Service against a Data Store")</f>
        <v>Denial of Service: Denial of Service against a Data Store</v>
      </c>
      <c r="J29" s="2" t="str">
        <f ca="1">IFERROR(__xludf.DUMMYFUNCTION("""COMPUTED_VALUE"""),"FileStorage (S3) - bucket_tf_files")</f>
        <v>FileStorage (S3) - bucket_tf_files</v>
      </c>
      <c r="K29" s="2">
        <f ca="1">IFERROR(__xludf.DUMMYFUNCTION("""COMPUTED_VALUE"""),1)</f>
        <v>1</v>
      </c>
      <c r="L29" s="2">
        <f ca="1">IFERROR(__xludf.DUMMYFUNCTION("""COMPUTED_VALUE"""),0.7138)</f>
        <v>0.71379999999999999</v>
      </c>
      <c r="M29" s="2">
        <f ca="1">IFERROR(__xludf.DUMMYFUNCTION("""COMPUTED_VALUE"""),0)</f>
        <v>0</v>
      </c>
      <c r="N29" s="2">
        <f ca="1">IFERROR(__xludf.DUMMYFUNCTION("""COMPUTED_VALUE"""),4.3632)</f>
        <v>4.3632</v>
      </c>
      <c r="O29" s="18">
        <f ca="1">IFERROR(__xludf.DUMMYFUNCTION("""COMPUTED_VALUE"""),0.7138)</f>
        <v>0.71379999999999999</v>
      </c>
      <c r="Q29" s="2" t="str">
        <f ca="1">"TOTAL: " &amp; TEXT(COUNTA(Q2:Q27), "0")</f>
        <v>TOTAL: 26</v>
      </c>
    </row>
    <row r="30" spans="1:25" ht="12.5">
      <c r="A30" s="10" t="s">
        <v>38</v>
      </c>
      <c r="B30" s="11" t="s">
        <v>89</v>
      </c>
      <c r="C30" s="12">
        <v>1</v>
      </c>
      <c r="D30" s="12">
        <v>0.75900000000000001</v>
      </c>
      <c r="E30" s="12">
        <v>1E-4</v>
      </c>
      <c r="F30" s="12">
        <v>5.6711</v>
      </c>
      <c r="G30" s="13">
        <v>0.75900000000000001</v>
      </c>
      <c r="I30" s="15" t="str">
        <f ca="1">IFERROR(__xludf.DUMMYFUNCTION("""COMPUTED_VALUE"""),"Denial of Service: Denial of Service against a Data Store")</f>
        <v>Denial of Service: Denial of Service against a Data Store</v>
      </c>
      <c r="J30" s="2" t="str">
        <f ca="1">IFERROR(__xludf.DUMMYFUNCTION("""COMPUTED_VALUE"""),"FileStorage (S3) - bucket_upload")</f>
        <v>FileStorage (S3) - bucket_upload</v>
      </c>
      <c r="K30" s="2">
        <f ca="1">IFERROR(__xludf.DUMMYFUNCTION("""COMPUTED_VALUE"""),1)</f>
        <v>1</v>
      </c>
      <c r="L30" s="2">
        <f ca="1">IFERROR(__xludf.DUMMYFUNCTION("""COMPUTED_VALUE"""),0.7033)</f>
        <v>0.70330000000000004</v>
      </c>
      <c r="M30" s="2">
        <f ca="1">IFERROR(__xludf.DUMMYFUNCTION("""COMPUTED_VALUE"""),0)</f>
        <v>0</v>
      </c>
      <c r="N30" s="2">
        <f ca="1">IFERROR(__xludf.DUMMYFUNCTION("""COMPUTED_VALUE"""),5.5017)</f>
        <v>5.5016999999999996</v>
      </c>
      <c r="O30" s="18">
        <f ca="1">IFERROR(__xludf.DUMMYFUNCTION("""COMPUTED_VALUE"""),0.7033)</f>
        <v>0.70330000000000004</v>
      </c>
    </row>
    <row r="31" spans="1:25" ht="12.5">
      <c r="A31" s="10" t="s">
        <v>53</v>
      </c>
      <c r="B31" s="11" t="s">
        <v>2</v>
      </c>
      <c r="C31" s="12">
        <v>1</v>
      </c>
      <c r="D31" s="12">
        <v>0.74860000000000004</v>
      </c>
      <c r="E31" s="12">
        <v>0</v>
      </c>
      <c r="F31" s="12">
        <v>4.9077000000000002</v>
      </c>
      <c r="G31" s="13">
        <v>0.74860000000000004</v>
      </c>
      <c r="I31" s="15" t="str">
        <f ca="1">IFERROR(__xludf.DUMMYFUNCTION("""COMPUTED_VALUE"""),"Denial of Service: Denial of Service against a Data Store")</f>
        <v>Denial of Service: Denial of Service against a Data Store</v>
      </c>
      <c r="J31" s="2" t="str">
        <f ca="1">IFERROR(__xludf.DUMMYFUNCTION("""COMPUTED_VALUE"""),"FileStorage (S3) - dev")</f>
        <v>FileStorage (S3) - dev</v>
      </c>
      <c r="K31" s="2">
        <f ca="1">IFERROR(__xludf.DUMMYFUNCTION("""COMPUTED_VALUE"""),1)</f>
        <v>1</v>
      </c>
      <c r="L31" s="2">
        <f ca="1">IFERROR(__xludf.DUMMYFUNCTION("""COMPUTED_VALUE"""),0.7581)</f>
        <v>0.7581</v>
      </c>
      <c r="M31" s="2">
        <f ca="1">IFERROR(__xludf.DUMMYFUNCTION("""COMPUTED_VALUE"""),0)</f>
        <v>0</v>
      </c>
      <c r="N31" s="2">
        <f ca="1">IFERROR(__xludf.DUMMYFUNCTION("""COMPUTED_VALUE"""),4.7444)</f>
        <v>4.7443999999999997</v>
      </c>
      <c r="O31" s="18">
        <f ca="1">IFERROR(__xludf.DUMMYFUNCTION("""COMPUTED_VALUE"""),0.7581)</f>
        <v>0.7581</v>
      </c>
    </row>
    <row r="32" spans="1:25" ht="12.5">
      <c r="A32" s="10" t="s">
        <v>53</v>
      </c>
      <c r="B32" s="11" t="s">
        <v>2</v>
      </c>
      <c r="C32" s="12">
        <v>1</v>
      </c>
      <c r="D32" s="12">
        <v>0.74629999999999996</v>
      </c>
      <c r="E32" s="12">
        <v>0</v>
      </c>
      <c r="F32" s="12">
        <v>5.0842999999999998</v>
      </c>
      <c r="G32" s="13">
        <v>0.74629999999999996</v>
      </c>
      <c r="I32" s="15" t="str">
        <f ca="1">IFERROR(__xludf.DUMMYFUNCTION("""COMPUTED_VALUE"""),"Denial of Service: EDoS Attack To Cloud Application")</f>
        <v>Denial of Service: EDoS Attack To Cloud Application</v>
      </c>
      <c r="J32" s="2" t="str">
        <f ca="1">IFERROR(__xludf.DUMMYFUNCTION("""COMPUTED_VALUE"""),"IAM (IAM) - blog_app_lambda")</f>
        <v>IAM (IAM) - blog_app_lambda</v>
      </c>
      <c r="K32" s="2">
        <f ca="1">IFERROR(__xludf.DUMMYFUNCTION("""COMPUTED_VALUE"""),1)</f>
        <v>1</v>
      </c>
      <c r="L32" s="2">
        <f ca="1">IFERROR(__xludf.DUMMYFUNCTION("""COMPUTED_VALUE"""),0.7608)</f>
        <v>0.76080000000000003</v>
      </c>
      <c r="M32" s="2">
        <f ca="1">IFERROR(__xludf.DUMMYFUNCTION("""COMPUTED_VALUE"""),0)</f>
        <v>0</v>
      </c>
      <c r="N32" s="2">
        <f ca="1">IFERROR(__xludf.DUMMYFUNCTION("""COMPUTED_VALUE"""),5.182)</f>
        <v>5.1820000000000004</v>
      </c>
      <c r="O32" s="18">
        <f ca="1">IFERROR(__xludf.DUMMYFUNCTION("""COMPUTED_VALUE"""),0.7608)</f>
        <v>0.76080000000000003</v>
      </c>
    </row>
    <row r="33" spans="1:15" ht="12.5">
      <c r="A33" s="10" t="s">
        <v>53</v>
      </c>
      <c r="B33" s="11" t="s">
        <v>2</v>
      </c>
      <c r="C33" s="12">
        <v>1</v>
      </c>
      <c r="D33" s="12">
        <v>0.76219999999999999</v>
      </c>
      <c r="E33" s="12">
        <v>0</v>
      </c>
      <c r="F33" s="12">
        <v>4.6822999999999997</v>
      </c>
      <c r="G33" s="13">
        <v>0.76219999999999999</v>
      </c>
      <c r="I33" s="15" t="str">
        <f ca="1">IFERROR(__xludf.DUMMYFUNCTION("""COMPUTED_VALUE"""),"Denial of Service: EDoS Attack To Cloud Application")</f>
        <v>Denial of Service: EDoS Attack To Cloud Application</v>
      </c>
      <c r="J33" s="2" t="str">
        <f ca="1">IFERROR(__xludf.DUMMYFUNCTION("""COMPUTED_VALUE"""),"IAM (IAM) - goat_role")</f>
        <v>IAM (IAM) - goat_role</v>
      </c>
      <c r="K33" s="2">
        <f ca="1">IFERROR(__xludf.DUMMYFUNCTION("""COMPUTED_VALUE"""),1)</f>
        <v>1</v>
      </c>
      <c r="L33" s="2">
        <f ca="1">IFERROR(__xludf.DUMMYFUNCTION("""COMPUTED_VALUE"""),0.7331)</f>
        <v>0.73309999999999997</v>
      </c>
      <c r="M33" s="2">
        <f ca="1">IFERROR(__xludf.DUMMYFUNCTION("""COMPUTED_VALUE"""),0.0001)</f>
        <v>1E-4</v>
      </c>
      <c r="N33" s="2">
        <f ca="1">IFERROR(__xludf.DUMMYFUNCTION("""COMPUTED_VALUE"""),5.0353)</f>
        <v>5.0353000000000003</v>
      </c>
      <c r="O33" s="18">
        <f ca="1">IFERROR(__xludf.DUMMYFUNCTION("""COMPUTED_VALUE"""),0.7331)</f>
        <v>0.73309999999999997</v>
      </c>
    </row>
    <row r="34" spans="1:15" ht="12.5">
      <c r="A34" s="10" t="s">
        <v>53</v>
      </c>
      <c r="B34" s="11" t="s">
        <v>2</v>
      </c>
      <c r="C34" s="12">
        <v>1</v>
      </c>
      <c r="D34" s="12">
        <v>0.74229999999999996</v>
      </c>
      <c r="E34" s="12">
        <v>1E-4</v>
      </c>
      <c r="F34" s="12">
        <v>4.6135999999999999</v>
      </c>
      <c r="G34" s="13">
        <v>0.74229999999999996</v>
      </c>
      <c r="I34" s="15" t="str">
        <f ca="1">IFERROR(__xludf.DUMMYFUNCTION("""COMPUTED_VALUE"""),"Denial of Service: EDoS Attack To Cloud Application")</f>
        <v>Denial of Service: EDoS Attack To Cloud Application</v>
      </c>
      <c r="J34" s="2" t="str">
        <f ca="1">IFERROR(__xludf.DUMMYFUNCTION("""COMPUTED_VALUE"""),"LoadBalancer (APIGateway) - api")</f>
        <v>LoadBalancer (APIGateway) - api</v>
      </c>
      <c r="K34" s="2">
        <f ca="1">IFERROR(__xludf.DUMMYFUNCTION("""COMPUTED_VALUE"""),1)</f>
        <v>1</v>
      </c>
      <c r="L34" s="2">
        <f ca="1">IFERROR(__xludf.DUMMYFUNCTION("""COMPUTED_VALUE"""),0.7782)</f>
        <v>0.7782</v>
      </c>
      <c r="M34" s="2">
        <f ca="1">IFERROR(__xludf.DUMMYFUNCTION("""COMPUTED_VALUE"""),0.0001)</f>
        <v>1E-4</v>
      </c>
      <c r="N34" s="2">
        <f ca="1">IFERROR(__xludf.DUMMYFUNCTION("""COMPUTED_VALUE"""),4.9225)</f>
        <v>4.9225000000000003</v>
      </c>
      <c r="O34" s="18">
        <f ca="1">IFERROR(__xludf.DUMMYFUNCTION("""COMPUTED_VALUE"""),0.7782)</f>
        <v>0.7782</v>
      </c>
    </row>
    <row r="35" spans="1:15" ht="12.5">
      <c r="A35" s="10" t="s">
        <v>53</v>
      </c>
      <c r="B35" s="11" t="s">
        <v>2</v>
      </c>
      <c r="C35" s="12">
        <v>1</v>
      </c>
      <c r="D35" s="12">
        <v>0.70840000000000003</v>
      </c>
      <c r="E35" s="12">
        <v>0</v>
      </c>
      <c r="F35" s="12">
        <v>4.5843999999999996</v>
      </c>
      <c r="G35" s="13">
        <v>0.70840000000000003</v>
      </c>
      <c r="I35" s="15" t="str">
        <f ca="1">IFERROR(__xludf.DUMMYFUNCTION("""COMPUTED_VALUE"""),"Denial of Service: EDoS Attack To Cloud Application")</f>
        <v>Denial of Service: EDoS Attack To Cloud Application</v>
      </c>
      <c r="J35" s="2" t="str">
        <f ca="1">IFERROR(__xludf.DUMMYFUNCTION("""COMPUTED_VALUE"""),"LoadBalancer (APIGateway) - apiLambda_ba")</f>
        <v>LoadBalancer (APIGateway) - apiLambda_ba</v>
      </c>
      <c r="K35" s="2">
        <f ca="1">IFERROR(__xludf.DUMMYFUNCTION("""COMPUTED_VALUE"""),1)</f>
        <v>1</v>
      </c>
      <c r="L35" s="2">
        <f ca="1">IFERROR(__xludf.DUMMYFUNCTION("""COMPUTED_VALUE"""),0.7475)</f>
        <v>0.74750000000000005</v>
      </c>
      <c r="M35" s="2">
        <f ca="1">IFERROR(__xludf.DUMMYFUNCTION("""COMPUTED_VALUE"""),0.0002)</f>
        <v>2.0000000000000001E-4</v>
      </c>
      <c r="N35" s="2">
        <f ca="1">IFERROR(__xludf.DUMMYFUNCTION("""COMPUTED_VALUE"""),4.7659)</f>
        <v>4.7659000000000002</v>
      </c>
      <c r="O35" s="18">
        <f ca="1">IFERROR(__xludf.DUMMYFUNCTION("""COMPUTED_VALUE"""),0.7475)</f>
        <v>0.74750000000000005</v>
      </c>
    </row>
    <row r="36" spans="1:15" ht="12.5">
      <c r="A36" s="10" t="s">
        <v>53</v>
      </c>
      <c r="B36" s="11" t="s">
        <v>2</v>
      </c>
      <c r="C36" s="12">
        <v>1</v>
      </c>
      <c r="D36" s="12">
        <v>0.75380000000000003</v>
      </c>
      <c r="E36" s="12">
        <v>1E-4</v>
      </c>
      <c r="F36" s="12">
        <v>4.9177</v>
      </c>
      <c r="G36" s="13">
        <v>0.75380000000000003</v>
      </c>
      <c r="I36" s="15" t="str">
        <f ca="1">IFERROR(__xludf.DUMMYFUNCTION("""COMPUTED_VALUE"""),"Denial of Service: EDoS Attack To Cloud Application")</f>
        <v>Denial of Service: EDoS Attack To Cloud Application</v>
      </c>
      <c r="J36" s="2" t="str">
        <f ca="1">IFERROR(__xludf.DUMMYFUNCTION("""COMPUTED_VALUE"""),"ServerlessFunction (AwsLambda) - lambda_ba_data")</f>
        <v>ServerlessFunction (AwsLambda) - lambda_ba_data</v>
      </c>
      <c r="K36" s="2">
        <f ca="1">IFERROR(__xludf.DUMMYFUNCTION("""COMPUTED_VALUE"""),1)</f>
        <v>1</v>
      </c>
      <c r="L36" s="2">
        <f ca="1">IFERROR(__xludf.DUMMYFUNCTION("""COMPUTED_VALUE"""),0.6974)</f>
        <v>0.69740000000000002</v>
      </c>
      <c r="M36" s="2">
        <f ca="1">IFERROR(__xludf.DUMMYFUNCTION("""COMPUTED_VALUE"""),0)</f>
        <v>0</v>
      </c>
      <c r="N36" s="2">
        <f ca="1">IFERROR(__xludf.DUMMYFUNCTION("""COMPUTED_VALUE"""),5.2194)</f>
        <v>5.2194000000000003</v>
      </c>
      <c r="O36" s="18">
        <f ca="1">IFERROR(__xludf.DUMMYFUNCTION("""COMPUTED_VALUE"""),0.6974)</f>
        <v>0.69740000000000002</v>
      </c>
    </row>
    <row r="37" spans="1:15" ht="12.5">
      <c r="A37" s="10" t="s">
        <v>53</v>
      </c>
      <c r="B37" s="11" t="s">
        <v>2</v>
      </c>
      <c r="C37" s="12">
        <v>1</v>
      </c>
      <c r="D37" s="12">
        <v>0.70840000000000003</v>
      </c>
      <c r="E37" s="12">
        <v>0</v>
      </c>
      <c r="F37" s="12">
        <v>4.3455000000000004</v>
      </c>
      <c r="G37" s="13">
        <v>0.70840000000000003</v>
      </c>
      <c r="I37" s="15" t="str">
        <f ca="1">IFERROR(__xludf.DUMMYFUNCTION("""COMPUTED_VALUE"""),"Denial of Service: EDoS Attack To Cloud Application")</f>
        <v>Denial of Service: EDoS Attack To Cloud Application</v>
      </c>
      <c r="J37" s="2" t="str">
        <f ca="1">IFERROR(__xludf.DUMMYFUNCTION("""COMPUTED_VALUE"""),"ServerlessFunction (AwsLambda) - react_lambda_app")</f>
        <v>ServerlessFunction (AwsLambda) - react_lambda_app</v>
      </c>
      <c r="K37" s="2">
        <f ca="1">IFERROR(__xludf.DUMMYFUNCTION("""COMPUTED_VALUE"""),1)</f>
        <v>1</v>
      </c>
      <c r="L37" s="2">
        <f ca="1">IFERROR(__xludf.DUMMYFUNCTION("""COMPUTED_VALUE"""),0.7801)</f>
        <v>0.78010000000000002</v>
      </c>
      <c r="M37" s="2">
        <f ca="1">IFERROR(__xludf.DUMMYFUNCTION("""COMPUTED_VALUE"""),0)</f>
        <v>0</v>
      </c>
      <c r="N37" s="2">
        <f ca="1">IFERROR(__xludf.DUMMYFUNCTION("""COMPUTED_VALUE"""),5.1027)</f>
        <v>5.1026999999999996</v>
      </c>
      <c r="O37" s="18">
        <f ca="1">IFERROR(__xludf.DUMMYFUNCTION("""COMPUTED_VALUE"""),0.7801)</f>
        <v>0.78010000000000002</v>
      </c>
    </row>
    <row r="38" spans="1:15" ht="12.5">
      <c r="A38" s="10" t="s">
        <v>25</v>
      </c>
      <c r="B38" s="11" t="s">
        <v>93</v>
      </c>
      <c r="C38" s="12">
        <v>1</v>
      </c>
      <c r="D38" s="12">
        <v>0.72840000000000005</v>
      </c>
      <c r="E38" s="12">
        <v>1E-4</v>
      </c>
      <c r="F38" s="12">
        <v>5.1139999999999999</v>
      </c>
      <c r="G38" s="13">
        <v>0.72840000000000005</v>
      </c>
      <c r="I38" s="15" t="str">
        <f ca="1">IFERROR(__xludf.DUMMYFUNCTION("""COMPUTED_VALUE"""),"Denial of Service: EDoS Attack To Cloud Application")</f>
        <v>Denial of Service: EDoS Attack To Cloud Application</v>
      </c>
      <c r="J38" s="2" t="str">
        <f ca="1">IFERROR(__xludf.DUMMYFUNCTION("""COMPUTED_VALUE"""),"VirtualFirewall (SecurityGroup) - goat_sg")</f>
        <v>VirtualFirewall (SecurityGroup) - goat_sg</v>
      </c>
      <c r="K38" s="2">
        <f ca="1">IFERROR(__xludf.DUMMYFUNCTION("""COMPUTED_VALUE"""),1)</f>
        <v>1</v>
      </c>
      <c r="L38" s="2">
        <f ca="1">IFERROR(__xludf.DUMMYFUNCTION("""COMPUTED_VALUE"""),0.7619)</f>
        <v>0.76190000000000002</v>
      </c>
      <c r="M38" s="2">
        <f ca="1">IFERROR(__xludf.DUMMYFUNCTION("""COMPUTED_VALUE"""),0)</f>
        <v>0</v>
      </c>
      <c r="N38" s="2">
        <f ca="1">IFERROR(__xludf.DUMMYFUNCTION("""COMPUTED_VALUE"""),5.1351)</f>
        <v>5.1351000000000004</v>
      </c>
      <c r="O38" s="18">
        <f ca="1">IFERROR(__xludf.DUMMYFUNCTION("""COMPUTED_VALUE"""),0.7619)</f>
        <v>0.76190000000000002</v>
      </c>
    </row>
    <row r="39" spans="1:15" ht="12.5">
      <c r="A39" s="10" t="s">
        <v>44</v>
      </c>
      <c r="B39" s="11" t="s">
        <v>94</v>
      </c>
      <c r="C39" s="12">
        <v>1</v>
      </c>
      <c r="D39" s="12">
        <v>0.71379999999999999</v>
      </c>
      <c r="E39" s="12">
        <v>0</v>
      </c>
      <c r="F39" s="12">
        <v>4.3632</v>
      </c>
      <c r="G39" s="13">
        <v>0.71379999999999999</v>
      </c>
      <c r="I39" s="15" t="str">
        <f ca="1">IFERROR(__xludf.DUMMYFUNCTION("""COMPUTED_VALUE"""),"Denial of Service: Failure Of Cloud Application")</f>
        <v>Denial of Service: Failure Of Cloud Application</v>
      </c>
      <c r="J39" s="2" t="str">
        <f ca="1">IFERROR(__xludf.DUMMYFUNCTION("""COMPUTED_VALUE"""),"IAM (IAM) - blog_app_lambda")</f>
        <v>IAM (IAM) - blog_app_lambda</v>
      </c>
      <c r="K39" s="2">
        <f ca="1">IFERROR(__xludf.DUMMYFUNCTION("""COMPUTED_VALUE"""),1)</f>
        <v>1</v>
      </c>
      <c r="L39" s="2">
        <f ca="1">IFERROR(__xludf.DUMMYFUNCTION("""COMPUTED_VALUE"""),0.6993)</f>
        <v>0.69930000000000003</v>
      </c>
      <c r="M39" s="2">
        <f ca="1">IFERROR(__xludf.DUMMYFUNCTION("""COMPUTED_VALUE"""),0)</f>
        <v>0</v>
      </c>
      <c r="N39" s="2">
        <f ca="1">IFERROR(__xludf.DUMMYFUNCTION("""COMPUTED_VALUE"""),4.9976)</f>
        <v>4.9976000000000003</v>
      </c>
      <c r="O39" s="18">
        <f ca="1">IFERROR(__xludf.DUMMYFUNCTION("""COMPUTED_VALUE"""),0.6993)</f>
        <v>0.69930000000000003</v>
      </c>
    </row>
    <row r="40" spans="1:15" ht="12.5">
      <c r="A40" s="10" t="s">
        <v>44</v>
      </c>
      <c r="B40" s="11" t="s">
        <v>95</v>
      </c>
      <c r="C40" s="12">
        <v>1</v>
      </c>
      <c r="D40" s="12">
        <v>0.7581</v>
      </c>
      <c r="E40" s="12">
        <v>0</v>
      </c>
      <c r="F40" s="12">
        <v>4.7443999999999997</v>
      </c>
      <c r="G40" s="13">
        <v>0.7581</v>
      </c>
      <c r="I40" s="15" t="str">
        <f ca="1">IFERROR(__xludf.DUMMYFUNCTION("""COMPUTED_VALUE"""),"Denial of Service: Failure Of Cloud Application")</f>
        <v>Denial of Service: Failure Of Cloud Application</v>
      </c>
      <c r="J40" s="2" t="str">
        <f ca="1">IFERROR(__xludf.DUMMYFUNCTION("""COMPUTED_VALUE"""),"IAM (IAM) - goat_role")</f>
        <v>IAM (IAM) - goat_role</v>
      </c>
      <c r="K40" s="2">
        <f ca="1">IFERROR(__xludf.DUMMYFUNCTION("""COMPUTED_VALUE"""),1)</f>
        <v>1</v>
      </c>
      <c r="L40" s="2">
        <f ca="1">IFERROR(__xludf.DUMMYFUNCTION("""COMPUTED_VALUE"""),0.7637)</f>
        <v>0.76370000000000005</v>
      </c>
      <c r="M40" s="2">
        <f ca="1">IFERROR(__xludf.DUMMYFUNCTION("""COMPUTED_VALUE"""),0)</f>
        <v>0</v>
      </c>
      <c r="N40" s="2">
        <f ca="1">IFERROR(__xludf.DUMMYFUNCTION("""COMPUTED_VALUE"""),4.5601)</f>
        <v>4.5601000000000003</v>
      </c>
      <c r="O40" s="18">
        <f ca="1">IFERROR(__xludf.DUMMYFUNCTION("""COMPUTED_VALUE"""),0.7637)</f>
        <v>0.76370000000000005</v>
      </c>
    </row>
    <row r="41" spans="1:15" ht="12.5">
      <c r="A41" s="10" t="s">
        <v>44</v>
      </c>
      <c r="B41" s="11" t="s">
        <v>93</v>
      </c>
      <c r="C41" s="12">
        <v>1</v>
      </c>
      <c r="D41" s="12">
        <v>0.74450000000000005</v>
      </c>
      <c r="E41" s="12">
        <v>0</v>
      </c>
      <c r="F41" s="12">
        <v>5.7385999999999999</v>
      </c>
      <c r="G41" s="13">
        <v>0.74450000000000005</v>
      </c>
      <c r="I41" s="15" t="str">
        <f ca="1">IFERROR(__xludf.DUMMYFUNCTION("""COMPUTED_VALUE"""),"Denial of Service: Failure Of Cloud Application")</f>
        <v>Denial of Service: Failure Of Cloud Application</v>
      </c>
      <c r="J41" s="2" t="str">
        <f ca="1">IFERROR(__xludf.DUMMYFUNCTION("""COMPUTED_VALUE"""),"LoadBalancer (APIGateway) - api")</f>
        <v>LoadBalancer (APIGateway) - api</v>
      </c>
      <c r="K41" s="2">
        <f ca="1">IFERROR(__xludf.DUMMYFUNCTION("""COMPUTED_VALUE"""),1)</f>
        <v>1</v>
      </c>
      <c r="L41" s="2">
        <f ca="1">IFERROR(__xludf.DUMMYFUNCTION("""COMPUTED_VALUE"""),0.7077)</f>
        <v>0.7077</v>
      </c>
      <c r="M41" s="2">
        <f ca="1">IFERROR(__xludf.DUMMYFUNCTION("""COMPUTED_VALUE"""),0)</f>
        <v>0</v>
      </c>
      <c r="N41" s="2">
        <f ca="1">IFERROR(__xludf.DUMMYFUNCTION("""COMPUTED_VALUE"""),4.7318)</f>
        <v>4.7317999999999998</v>
      </c>
      <c r="O41" s="18">
        <f ca="1">IFERROR(__xludf.DUMMYFUNCTION("""COMPUTED_VALUE"""),0.7077)</f>
        <v>0.7077</v>
      </c>
    </row>
    <row r="42" spans="1:15" ht="12.5">
      <c r="A42" s="10" t="s">
        <v>44</v>
      </c>
      <c r="B42" s="11" t="s">
        <v>96</v>
      </c>
      <c r="C42" s="12">
        <v>1</v>
      </c>
      <c r="D42" s="12">
        <v>0.70330000000000004</v>
      </c>
      <c r="E42" s="12">
        <v>0</v>
      </c>
      <c r="F42" s="12">
        <v>5.5016999999999996</v>
      </c>
      <c r="G42" s="13">
        <v>0.70330000000000004</v>
      </c>
      <c r="I42" s="15" t="str">
        <f ca="1">IFERROR(__xludf.DUMMYFUNCTION("""COMPUTED_VALUE"""),"Denial of Service: Failure Of Cloud Application")</f>
        <v>Denial of Service: Failure Of Cloud Application</v>
      </c>
      <c r="J42" s="2" t="str">
        <f ca="1">IFERROR(__xludf.DUMMYFUNCTION("""COMPUTED_VALUE"""),"LoadBalancer (APIGateway) - apiLambda_ba")</f>
        <v>LoadBalancer (APIGateway) - apiLambda_ba</v>
      </c>
      <c r="K42" s="2">
        <f ca="1">IFERROR(__xludf.DUMMYFUNCTION("""COMPUTED_VALUE"""),1)</f>
        <v>1</v>
      </c>
      <c r="L42" s="2">
        <f ca="1">IFERROR(__xludf.DUMMYFUNCTION("""COMPUTED_VALUE"""),0.7134)</f>
        <v>0.71340000000000003</v>
      </c>
      <c r="M42" s="2">
        <f ca="1">IFERROR(__xludf.DUMMYFUNCTION("""COMPUTED_VALUE"""),0.0001)</f>
        <v>1E-4</v>
      </c>
      <c r="N42" s="2">
        <f ca="1">IFERROR(__xludf.DUMMYFUNCTION("""COMPUTED_VALUE"""),5.1497)</f>
        <v>5.1497000000000002</v>
      </c>
      <c r="O42" s="18">
        <f ca="1">IFERROR(__xludf.DUMMYFUNCTION("""COMPUTED_VALUE"""),0.7134)</f>
        <v>0.71340000000000003</v>
      </c>
    </row>
    <row r="43" spans="1:15" ht="12.5">
      <c r="A43" s="10" t="s">
        <v>45</v>
      </c>
      <c r="B43" s="11" t="s">
        <v>80</v>
      </c>
      <c r="C43" s="12">
        <v>1</v>
      </c>
      <c r="D43" s="12">
        <v>0.70499999999999996</v>
      </c>
      <c r="E43" s="12">
        <v>0</v>
      </c>
      <c r="F43" s="12">
        <v>4.7259000000000002</v>
      </c>
      <c r="G43" s="13">
        <v>0.70499999999999996</v>
      </c>
      <c r="I43" s="15" t="str">
        <f ca="1">IFERROR(__xludf.DUMMYFUNCTION("""COMPUTED_VALUE"""),"Denial of Service: Failure Of Cloud Application")</f>
        <v>Denial of Service: Failure Of Cloud Application</v>
      </c>
      <c r="J43" s="2" t="str">
        <f ca="1">IFERROR(__xludf.DUMMYFUNCTION("""COMPUTED_VALUE"""),"ServerlessFunction (AwsLambda) - lambda_ba_data")</f>
        <v>ServerlessFunction (AwsLambda) - lambda_ba_data</v>
      </c>
      <c r="K43" s="2">
        <f ca="1">IFERROR(__xludf.DUMMYFUNCTION("""COMPUTED_VALUE"""),1)</f>
        <v>1</v>
      </c>
      <c r="L43" s="2">
        <f ca="1">IFERROR(__xludf.DUMMYFUNCTION("""COMPUTED_VALUE"""),0.726399999999999)</f>
        <v>0.72639999999999905</v>
      </c>
      <c r="M43" s="2">
        <f ca="1">IFERROR(__xludf.DUMMYFUNCTION("""COMPUTED_VALUE"""),0)</f>
        <v>0</v>
      </c>
      <c r="N43" s="2">
        <f ca="1">IFERROR(__xludf.DUMMYFUNCTION("""COMPUTED_VALUE"""),4.7941)</f>
        <v>4.7941000000000003</v>
      </c>
      <c r="O43" s="18">
        <f ca="1">IFERROR(__xludf.DUMMYFUNCTION("""COMPUTED_VALUE"""),0.726399999999999)</f>
        <v>0.72639999999999905</v>
      </c>
    </row>
    <row r="44" spans="1:15" ht="12.5">
      <c r="A44" s="10" t="s">
        <v>45</v>
      </c>
      <c r="B44" s="11" t="s">
        <v>82</v>
      </c>
      <c r="C44" s="12">
        <v>1</v>
      </c>
      <c r="D44" s="12">
        <v>0.70640000000000003</v>
      </c>
      <c r="E44" s="12">
        <v>1E-4</v>
      </c>
      <c r="F44" s="12">
        <v>5.0526999999999997</v>
      </c>
      <c r="G44" s="13">
        <v>0.70640000000000003</v>
      </c>
      <c r="I44" s="15" t="str">
        <f ca="1">IFERROR(__xludf.DUMMYFUNCTION("""COMPUTED_VALUE"""),"Denial of Service: Failure Of Cloud Application")</f>
        <v>Denial of Service: Failure Of Cloud Application</v>
      </c>
      <c r="J44" s="2" t="str">
        <f ca="1">IFERROR(__xludf.DUMMYFUNCTION("""COMPUTED_VALUE"""),"ServerlessFunction (AwsLambda) - react_lambda_app")</f>
        <v>ServerlessFunction (AwsLambda) - react_lambda_app</v>
      </c>
      <c r="K44" s="2">
        <f ca="1">IFERROR(__xludf.DUMMYFUNCTION("""COMPUTED_VALUE"""),1)</f>
        <v>1</v>
      </c>
      <c r="L44" s="2">
        <f ca="1">IFERROR(__xludf.DUMMYFUNCTION("""COMPUTED_VALUE"""),0.75305)</f>
        <v>0.75305</v>
      </c>
      <c r="M44" s="2">
        <f ca="1">IFERROR(__xludf.DUMMYFUNCTION("""COMPUTED_VALUE"""),0)</f>
        <v>0</v>
      </c>
      <c r="N44" s="2">
        <f ca="1">IFERROR(__xludf.DUMMYFUNCTION("""COMPUTED_VALUE"""),4.84025)</f>
        <v>4.8402500000000002</v>
      </c>
      <c r="O44" s="18">
        <f ca="1">IFERROR(__xludf.DUMMYFUNCTION("""COMPUTED_VALUE"""),0.75305)</f>
        <v>0.75305</v>
      </c>
    </row>
    <row r="45" spans="1:15" ht="12.5">
      <c r="A45" s="10" t="s">
        <v>45</v>
      </c>
      <c r="B45" s="11" t="s">
        <v>84</v>
      </c>
      <c r="C45" s="12">
        <v>1</v>
      </c>
      <c r="D45" s="12">
        <v>0.78620000000000001</v>
      </c>
      <c r="E45" s="12">
        <v>0</v>
      </c>
      <c r="F45" s="12">
        <v>5.1006999999999998</v>
      </c>
      <c r="G45" s="13">
        <v>0.78620000000000001</v>
      </c>
      <c r="I45" s="15" t="str">
        <f ca="1">IFERROR(__xludf.DUMMYFUNCTION("""COMPUTED_VALUE"""),"Elevation of Privilege: Broken Access Control")</f>
        <v>Elevation of Privilege: Broken Access Control</v>
      </c>
      <c r="J45" s="2" t="str">
        <f ca="1">IFERROR(__xludf.DUMMYFUNCTION("""COMPUTED_VALUE"""),"IAM (IAM) - blog_app_lambda")</f>
        <v>IAM (IAM) - blog_app_lambda</v>
      </c>
      <c r="K45" s="2">
        <f ca="1">IFERROR(__xludf.DUMMYFUNCTION("""COMPUTED_VALUE"""),1)</f>
        <v>1</v>
      </c>
      <c r="L45" s="2">
        <f ca="1">IFERROR(__xludf.DUMMYFUNCTION("""COMPUTED_VALUE"""),0.7357)</f>
        <v>0.73570000000000002</v>
      </c>
      <c r="M45" s="2">
        <f ca="1">IFERROR(__xludf.DUMMYFUNCTION("""COMPUTED_VALUE"""),0)</f>
        <v>0</v>
      </c>
      <c r="N45" s="2">
        <f ca="1">IFERROR(__xludf.DUMMYFUNCTION("""COMPUTED_VALUE"""),5.0578)</f>
        <v>5.0578000000000003</v>
      </c>
      <c r="O45" s="18">
        <f ca="1">IFERROR(__xludf.DUMMYFUNCTION("""COMPUTED_VALUE"""),0.7357)</f>
        <v>0.73570000000000002</v>
      </c>
    </row>
    <row r="46" spans="1:15" ht="12.5">
      <c r="A46" s="10" t="s">
        <v>45</v>
      </c>
      <c r="B46" s="11" t="s">
        <v>86</v>
      </c>
      <c r="C46" s="12">
        <v>1</v>
      </c>
      <c r="D46" s="12">
        <v>0.80730000000000002</v>
      </c>
      <c r="E46" s="12">
        <v>0</v>
      </c>
      <c r="F46" s="12">
        <v>5.3170000000000002</v>
      </c>
      <c r="G46" s="13">
        <v>0.80730000000000002</v>
      </c>
      <c r="I46" s="15" t="str">
        <f ca="1">IFERROR(__xludf.DUMMYFUNCTION("""COMPUTED_VALUE"""),"Elevation of Privilege: Broken Access Control")</f>
        <v>Elevation of Privilege: Broken Access Control</v>
      </c>
      <c r="J46" s="2" t="str">
        <f ca="1">IFERROR(__xludf.DUMMYFUNCTION("""COMPUTED_VALUE"""),"IAM (IAM) - goat_role")</f>
        <v>IAM (IAM) - goat_role</v>
      </c>
      <c r="K46" s="2">
        <f ca="1">IFERROR(__xludf.DUMMYFUNCTION("""COMPUTED_VALUE"""),1)</f>
        <v>1</v>
      </c>
      <c r="L46" s="2">
        <f ca="1">IFERROR(__xludf.DUMMYFUNCTION("""COMPUTED_VALUE"""),0.7287)</f>
        <v>0.72870000000000001</v>
      </c>
      <c r="M46" s="2">
        <f ca="1">IFERROR(__xludf.DUMMYFUNCTION("""COMPUTED_VALUE"""),0)</f>
        <v>0</v>
      </c>
      <c r="N46" s="2">
        <f ca="1">IFERROR(__xludf.DUMMYFUNCTION("""COMPUTED_VALUE"""),4.8575)</f>
        <v>4.8574999999999999</v>
      </c>
      <c r="O46" s="18">
        <f ca="1">IFERROR(__xludf.DUMMYFUNCTION("""COMPUTED_VALUE"""),0.7287)</f>
        <v>0.72870000000000001</v>
      </c>
    </row>
    <row r="47" spans="1:15" ht="12.5">
      <c r="A47" s="10" t="s">
        <v>45</v>
      </c>
      <c r="B47" s="11" t="s">
        <v>86</v>
      </c>
      <c r="C47" s="12">
        <v>1</v>
      </c>
      <c r="D47" s="12">
        <v>0.76070000000000004</v>
      </c>
      <c r="E47" s="12">
        <v>0</v>
      </c>
      <c r="F47" s="12">
        <v>4.4534000000000002</v>
      </c>
      <c r="G47" s="13">
        <v>0.76070000000000004</v>
      </c>
      <c r="I47" s="15" t="str">
        <f ca="1">IFERROR(__xludf.DUMMYFUNCTION("""COMPUTED_VALUE"""),"Elevation of Privilege: Broken Access Control")</f>
        <v>Elevation of Privilege: Broken Access Control</v>
      </c>
      <c r="J47" s="2" t="str">
        <f ca="1">IFERROR(__xludf.DUMMYFUNCTION("""COMPUTED_VALUE"""),"LoadBalancer (APIGateway) - api")</f>
        <v>LoadBalancer (APIGateway) - api</v>
      </c>
      <c r="K47" s="2">
        <f ca="1">IFERROR(__xludf.DUMMYFUNCTION("""COMPUTED_VALUE"""),1)</f>
        <v>1</v>
      </c>
      <c r="L47" s="2">
        <f ca="1">IFERROR(__xludf.DUMMYFUNCTION("""COMPUTED_VALUE"""),0.7185)</f>
        <v>0.71850000000000003</v>
      </c>
      <c r="M47" s="2">
        <f ca="1">IFERROR(__xludf.DUMMYFUNCTION("""COMPUTED_VALUE"""),0.0001)</f>
        <v>1E-4</v>
      </c>
      <c r="N47" s="2">
        <f ca="1">IFERROR(__xludf.DUMMYFUNCTION("""COMPUTED_VALUE"""),4.3032)</f>
        <v>4.3032000000000004</v>
      </c>
      <c r="O47" s="18">
        <f ca="1">IFERROR(__xludf.DUMMYFUNCTION("""COMPUTED_VALUE"""),0.7185)</f>
        <v>0.71850000000000003</v>
      </c>
    </row>
    <row r="48" spans="1:15" ht="12.5">
      <c r="A48" s="10" t="s">
        <v>45</v>
      </c>
      <c r="B48" s="11" t="s">
        <v>89</v>
      </c>
      <c r="C48" s="12">
        <v>1</v>
      </c>
      <c r="D48" s="12">
        <v>0.73019999999999996</v>
      </c>
      <c r="E48" s="12">
        <v>1E-4</v>
      </c>
      <c r="F48" s="12">
        <v>5.1624999999999996</v>
      </c>
      <c r="G48" s="13">
        <v>0.73019999999999996</v>
      </c>
      <c r="I48" s="15" t="str">
        <f ca="1">IFERROR(__xludf.DUMMYFUNCTION("""COMPUTED_VALUE"""),"Elevation of Privilege: Broken Access Control")</f>
        <v>Elevation of Privilege: Broken Access Control</v>
      </c>
      <c r="J48" s="2" t="str">
        <f ca="1">IFERROR(__xludf.DUMMYFUNCTION("""COMPUTED_VALUE"""),"LoadBalancer (APIGateway) - apiLambda_ba")</f>
        <v>LoadBalancer (APIGateway) - apiLambda_ba</v>
      </c>
      <c r="K48" s="2">
        <f ca="1">IFERROR(__xludf.DUMMYFUNCTION("""COMPUTED_VALUE"""),1)</f>
        <v>1</v>
      </c>
      <c r="L48" s="2">
        <f ca="1">IFERROR(__xludf.DUMMYFUNCTION("""COMPUTED_VALUE"""),0.7527)</f>
        <v>0.75270000000000004</v>
      </c>
      <c r="M48" s="2">
        <f ca="1">IFERROR(__xludf.DUMMYFUNCTION("""COMPUTED_VALUE"""),0)</f>
        <v>0</v>
      </c>
      <c r="N48" s="2">
        <f ca="1">IFERROR(__xludf.DUMMYFUNCTION("""COMPUTED_VALUE"""),5.0891)</f>
        <v>5.0891000000000002</v>
      </c>
      <c r="O48" s="18">
        <f ca="1">IFERROR(__xludf.DUMMYFUNCTION("""COMPUTED_VALUE"""),0.7527)</f>
        <v>0.75270000000000004</v>
      </c>
    </row>
    <row r="49" spans="1:15" ht="12.5">
      <c r="A49" s="10" t="s">
        <v>45</v>
      </c>
      <c r="B49" s="11" t="s">
        <v>82</v>
      </c>
      <c r="C49" s="12">
        <v>1</v>
      </c>
      <c r="D49" s="12">
        <v>0.74839999999999995</v>
      </c>
      <c r="E49" s="12">
        <v>0</v>
      </c>
      <c r="F49" s="12">
        <v>4.5907</v>
      </c>
      <c r="G49" s="13">
        <v>0.74839999999999995</v>
      </c>
      <c r="I49" s="15" t="str">
        <f ca="1">IFERROR(__xludf.DUMMYFUNCTION("""COMPUTED_VALUE"""),"Elevation of Privilege: Broken Access Control")</f>
        <v>Elevation of Privilege: Broken Access Control</v>
      </c>
      <c r="J49" s="2" t="str">
        <f ca="1">IFERROR(__xludf.DUMMYFUNCTION("""COMPUTED_VALUE"""),"ServerlessFunction (AwsLambda) - lambda_ba_data")</f>
        <v>ServerlessFunction (AwsLambda) - lambda_ba_data</v>
      </c>
      <c r="K49" s="2">
        <f ca="1">IFERROR(__xludf.DUMMYFUNCTION("""COMPUTED_VALUE"""),1)</f>
        <v>1</v>
      </c>
      <c r="L49" s="2">
        <f ca="1">IFERROR(__xludf.DUMMYFUNCTION("""COMPUTED_VALUE"""),0.75815)</f>
        <v>0.75814999999999999</v>
      </c>
      <c r="M49" s="2">
        <f ca="1">IFERROR(__xludf.DUMMYFUNCTION("""COMPUTED_VALUE"""),0.0001)</f>
        <v>1E-4</v>
      </c>
      <c r="N49" s="2">
        <f ca="1">IFERROR(__xludf.DUMMYFUNCTION("""COMPUTED_VALUE"""),4.72605)</f>
        <v>4.7260499999999999</v>
      </c>
      <c r="O49" s="18">
        <f ca="1">IFERROR(__xludf.DUMMYFUNCTION("""COMPUTED_VALUE"""),0.75815)</f>
        <v>0.75814999999999999</v>
      </c>
    </row>
    <row r="50" spans="1:15" ht="12.5">
      <c r="A50" s="10" t="s">
        <v>45</v>
      </c>
      <c r="B50" s="11" t="s">
        <v>91</v>
      </c>
      <c r="C50" s="12">
        <v>1</v>
      </c>
      <c r="D50" s="12">
        <v>0.72929999999999995</v>
      </c>
      <c r="E50" s="12">
        <v>0</v>
      </c>
      <c r="F50" s="12">
        <v>4.7900999999999998</v>
      </c>
      <c r="G50" s="13">
        <v>0.72929999999999995</v>
      </c>
      <c r="I50" s="15" t="str">
        <f ca="1">IFERROR(__xludf.DUMMYFUNCTION("""COMPUTED_VALUE"""),"Elevation of Privilege: Broken Access Control")</f>
        <v>Elevation of Privilege: Broken Access Control</v>
      </c>
      <c r="J50" s="2" t="str">
        <f ca="1">IFERROR(__xludf.DUMMYFUNCTION("""COMPUTED_VALUE"""),"ServerlessFunction (AwsLambda) - react_lambda_app")</f>
        <v>ServerlessFunction (AwsLambda) - react_lambda_app</v>
      </c>
      <c r="K50" s="2">
        <f ca="1">IFERROR(__xludf.DUMMYFUNCTION("""COMPUTED_VALUE"""),1)</f>
        <v>1</v>
      </c>
      <c r="L50" s="2">
        <f ca="1">IFERROR(__xludf.DUMMYFUNCTION("""COMPUTED_VALUE"""),0.7161)</f>
        <v>0.71609999999999996</v>
      </c>
      <c r="M50" s="2">
        <f ca="1">IFERROR(__xludf.DUMMYFUNCTION("""COMPUTED_VALUE"""),0)</f>
        <v>0</v>
      </c>
      <c r="N50" s="2">
        <f ca="1">IFERROR(__xludf.DUMMYFUNCTION("""COMPUTED_VALUE"""),4.95055)</f>
        <v>4.9505499999999998</v>
      </c>
      <c r="O50" s="18">
        <f ca="1">IFERROR(__xludf.DUMMYFUNCTION("""COMPUTED_VALUE"""),0.7161)</f>
        <v>0.71609999999999996</v>
      </c>
    </row>
    <row r="51" spans="1:15" ht="12.5">
      <c r="A51" s="10" t="s">
        <v>44</v>
      </c>
      <c r="B51" s="11" t="s">
        <v>93</v>
      </c>
      <c r="C51" s="12">
        <v>1</v>
      </c>
      <c r="D51" s="12">
        <v>0.70150000000000001</v>
      </c>
      <c r="E51" s="12">
        <v>0</v>
      </c>
      <c r="F51" s="12">
        <v>4.5147000000000004</v>
      </c>
      <c r="G51" s="13">
        <v>0.70150000000000001</v>
      </c>
      <c r="I51" s="15" t="str">
        <f ca="1">IFERROR(__xludf.DUMMYFUNCTION("""COMPUTED_VALUE"""),"Information Disclosure: Backup Of Cloud Application Stolen")</f>
        <v>Information Disclosure: Backup Of Cloud Application Stolen</v>
      </c>
      <c r="J51" s="2" t="str">
        <f ca="1">IFERROR(__xludf.DUMMYFUNCTION("""COMPUTED_VALUE"""),"IAM (IAM) - blog_app_lambda")</f>
        <v>IAM (IAM) - blog_app_lambda</v>
      </c>
      <c r="K51" s="2">
        <f ca="1">IFERROR(__xludf.DUMMYFUNCTION("""COMPUTED_VALUE"""),1)</f>
        <v>1</v>
      </c>
      <c r="L51" s="2">
        <f ca="1">IFERROR(__xludf.DUMMYFUNCTION("""COMPUTED_VALUE"""),0.746)</f>
        <v>0.746</v>
      </c>
      <c r="M51" s="2">
        <f ca="1">IFERROR(__xludf.DUMMYFUNCTION("""COMPUTED_VALUE"""),0.0001)</f>
        <v>1E-4</v>
      </c>
      <c r="N51" s="2">
        <f ca="1">IFERROR(__xludf.DUMMYFUNCTION("""COMPUTED_VALUE"""),5.027)</f>
        <v>5.0270000000000001</v>
      </c>
      <c r="O51" s="18">
        <f ca="1">IFERROR(__xludf.DUMMYFUNCTION("""COMPUTED_VALUE"""),0.746)</f>
        <v>0.746</v>
      </c>
    </row>
    <row r="52" spans="1:15" ht="12.5">
      <c r="A52" s="10" t="s">
        <v>50</v>
      </c>
      <c r="B52" s="11" t="s">
        <v>91</v>
      </c>
      <c r="C52" s="12">
        <v>1</v>
      </c>
      <c r="D52" s="12">
        <v>0.73929999999999996</v>
      </c>
      <c r="E52" s="12">
        <v>1E-4</v>
      </c>
      <c r="F52" s="12">
        <v>5.5685000000000002</v>
      </c>
      <c r="G52" s="13">
        <v>0.73929999999999996</v>
      </c>
      <c r="I52" s="15" t="str">
        <f ca="1">IFERROR(__xludf.DUMMYFUNCTION("""COMPUTED_VALUE"""),"Information Disclosure: Backup Of Cloud Application Stolen")</f>
        <v>Information Disclosure: Backup Of Cloud Application Stolen</v>
      </c>
      <c r="J52" s="2" t="str">
        <f ca="1">IFERROR(__xludf.DUMMYFUNCTION("""COMPUTED_VALUE"""),"IAM (IAM) - goat_role")</f>
        <v>IAM (IAM) - goat_role</v>
      </c>
      <c r="K52" s="2">
        <f ca="1">IFERROR(__xludf.DUMMYFUNCTION("""COMPUTED_VALUE"""),1)</f>
        <v>1</v>
      </c>
      <c r="L52" s="2">
        <f ca="1">IFERROR(__xludf.DUMMYFUNCTION("""COMPUTED_VALUE"""),0.7802)</f>
        <v>0.7802</v>
      </c>
      <c r="M52" s="2">
        <f ca="1">IFERROR(__xludf.DUMMYFUNCTION("""COMPUTED_VALUE"""),0)</f>
        <v>0</v>
      </c>
      <c r="N52" s="2">
        <f ca="1">IFERROR(__xludf.DUMMYFUNCTION("""COMPUTED_VALUE"""),5.0874)</f>
        <v>5.0873999999999997</v>
      </c>
      <c r="O52" s="18">
        <f ca="1">IFERROR(__xludf.DUMMYFUNCTION("""COMPUTED_VALUE"""),0.7802)</f>
        <v>0.7802</v>
      </c>
    </row>
    <row r="53" spans="1:15" ht="12.5">
      <c r="A53" s="10" t="s">
        <v>50</v>
      </c>
      <c r="B53" s="11" t="s">
        <v>86</v>
      </c>
      <c r="C53" s="12">
        <v>1</v>
      </c>
      <c r="D53" s="12">
        <v>0.75549999999999995</v>
      </c>
      <c r="E53" s="12">
        <v>0</v>
      </c>
      <c r="F53" s="12">
        <v>4.9660000000000002</v>
      </c>
      <c r="G53" s="13">
        <v>0.75549999999999995</v>
      </c>
      <c r="I53" s="15" t="str">
        <f ca="1">IFERROR(__xludf.DUMMYFUNCTION("""COMPUTED_VALUE"""),"Information Disclosure: Backup Of Cloud Application Stolen")</f>
        <v>Information Disclosure: Backup Of Cloud Application Stolen</v>
      </c>
      <c r="J53" s="2" t="str">
        <f ca="1">IFERROR(__xludf.DUMMYFUNCTION("""COMPUTED_VALUE"""),"LoadBalancer (APIGateway) - api")</f>
        <v>LoadBalancer (APIGateway) - api</v>
      </c>
      <c r="K53" s="2">
        <f ca="1">IFERROR(__xludf.DUMMYFUNCTION("""COMPUTED_VALUE"""),1)</f>
        <v>1</v>
      </c>
      <c r="L53" s="2">
        <f ca="1">IFERROR(__xludf.DUMMYFUNCTION("""COMPUTED_VALUE"""),0.7549)</f>
        <v>0.75490000000000002</v>
      </c>
      <c r="M53" s="2">
        <f ca="1">IFERROR(__xludf.DUMMYFUNCTION("""COMPUTED_VALUE"""),0.0001)</f>
        <v>1E-4</v>
      </c>
      <c r="N53" s="2">
        <f ca="1">IFERROR(__xludf.DUMMYFUNCTION("""COMPUTED_VALUE"""),4.9848)</f>
        <v>4.9847999999999999</v>
      </c>
      <c r="O53" s="18">
        <f ca="1">IFERROR(__xludf.DUMMYFUNCTION("""COMPUTED_VALUE"""),0.7549)</f>
        <v>0.75490000000000002</v>
      </c>
    </row>
    <row r="54" spans="1:15" ht="12.5">
      <c r="A54" s="10" t="s">
        <v>50</v>
      </c>
      <c r="B54" s="11" t="s">
        <v>82</v>
      </c>
      <c r="C54" s="12">
        <v>1</v>
      </c>
      <c r="D54" s="12">
        <v>0.68520000000000003</v>
      </c>
      <c r="E54" s="12">
        <v>0</v>
      </c>
      <c r="F54" s="12">
        <v>4.7366999999999999</v>
      </c>
      <c r="G54" s="13">
        <v>0.68520000000000003</v>
      </c>
      <c r="I54" s="15" t="str">
        <f ca="1">IFERROR(__xludf.DUMMYFUNCTION("""COMPUTED_VALUE"""),"Information Disclosure: Backup Of Cloud Application Stolen")</f>
        <v>Information Disclosure: Backup Of Cloud Application Stolen</v>
      </c>
      <c r="J54" s="2" t="str">
        <f ca="1">IFERROR(__xludf.DUMMYFUNCTION("""COMPUTED_VALUE"""),"LoadBalancer (APIGateway) - apiLambda_ba")</f>
        <v>LoadBalancer (APIGateway) - apiLambda_ba</v>
      </c>
      <c r="K54" s="2">
        <f ca="1">IFERROR(__xludf.DUMMYFUNCTION("""COMPUTED_VALUE"""),1)</f>
        <v>1</v>
      </c>
      <c r="L54" s="2">
        <f ca="1">IFERROR(__xludf.DUMMYFUNCTION("""COMPUTED_VALUE"""),0.7705)</f>
        <v>0.77049999999999996</v>
      </c>
      <c r="M54" s="2">
        <f ca="1">IFERROR(__xludf.DUMMYFUNCTION("""COMPUTED_VALUE"""),0)</f>
        <v>0</v>
      </c>
      <c r="N54" s="2">
        <f ca="1">IFERROR(__xludf.DUMMYFUNCTION("""COMPUTED_VALUE"""),4.9651)</f>
        <v>4.9650999999999996</v>
      </c>
      <c r="O54" s="18">
        <f ca="1">IFERROR(__xludf.DUMMYFUNCTION("""COMPUTED_VALUE"""),0.7705)</f>
        <v>0.77049999999999996</v>
      </c>
    </row>
    <row r="55" spans="1:15" ht="12.5">
      <c r="A55" s="10" t="s">
        <v>50</v>
      </c>
      <c r="B55" s="11" t="s">
        <v>84</v>
      </c>
      <c r="C55" s="12">
        <v>1</v>
      </c>
      <c r="D55" s="12">
        <v>0.75309999999999999</v>
      </c>
      <c r="E55" s="12">
        <v>1E-4</v>
      </c>
      <c r="F55" s="12">
        <v>5.1684000000000001</v>
      </c>
      <c r="G55" s="13">
        <v>0.75309999999999999</v>
      </c>
      <c r="I55" s="15" t="str">
        <f ca="1">IFERROR(__xludf.DUMMYFUNCTION("""COMPUTED_VALUE"""),"Information Disclosure: Backup Of Cloud Application Stolen")</f>
        <v>Information Disclosure: Backup Of Cloud Application Stolen</v>
      </c>
      <c r="J55" s="2" t="str">
        <f ca="1">IFERROR(__xludf.DUMMYFUNCTION("""COMPUTED_VALUE"""),"ServerlessFunction (AwsLambda) - lambda_ba_data")</f>
        <v>ServerlessFunction (AwsLambda) - lambda_ba_data</v>
      </c>
      <c r="K55" s="2">
        <f ca="1">IFERROR(__xludf.DUMMYFUNCTION("""COMPUTED_VALUE"""),1)</f>
        <v>1</v>
      </c>
      <c r="L55" s="2">
        <f ca="1">IFERROR(__xludf.DUMMYFUNCTION("""COMPUTED_VALUE"""),0.7438)</f>
        <v>0.74380000000000002</v>
      </c>
      <c r="M55" s="2">
        <f ca="1">IFERROR(__xludf.DUMMYFUNCTION("""COMPUTED_VALUE"""),0.00005)</f>
        <v>5.0000000000000002E-5</v>
      </c>
      <c r="N55" s="2">
        <f ca="1">IFERROR(__xludf.DUMMYFUNCTION("""COMPUTED_VALUE"""),4.90525)</f>
        <v>4.9052499999999997</v>
      </c>
      <c r="O55" s="18">
        <f ca="1">IFERROR(__xludf.DUMMYFUNCTION("""COMPUTED_VALUE"""),0.7438)</f>
        <v>0.74380000000000002</v>
      </c>
    </row>
    <row r="56" spans="1:15" ht="12.5">
      <c r="A56" s="10" t="s">
        <v>50</v>
      </c>
      <c r="B56" s="11" t="s">
        <v>92</v>
      </c>
      <c r="C56" s="12">
        <v>1</v>
      </c>
      <c r="D56" s="12">
        <v>0.73429999999999995</v>
      </c>
      <c r="E56" s="12">
        <v>0</v>
      </c>
      <c r="F56" s="12">
        <v>5.5286</v>
      </c>
      <c r="G56" s="13">
        <v>0.73429999999999995</v>
      </c>
      <c r="I56" s="15" t="str">
        <f ca="1">IFERROR(__xludf.DUMMYFUNCTION("""COMPUTED_VALUE"""),"Information Disclosure: Backup Of Cloud Application Stolen")</f>
        <v>Information Disclosure: Backup Of Cloud Application Stolen</v>
      </c>
      <c r="J56" s="2" t="str">
        <f ca="1">IFERROR(__xludf.DUMMYFUNCTION("""COMPUTED_VALUE"""),"ServerlessFunction (AwsLambda) - react_lambda_app")</f>
        <v>ServerlessFunction (AwsLambda) - react_lambda_app</v>
      </c>
      <c r="K56" s="2">
        <f ca="1">IFERROR(__xludf.DUMMYFUNCTION("""COMPUTED_VALUE"""),1)</f>
        <v>1</v>
      </c>
      <c r="L56" s="2">
        <f ca="1">IFERROR(__xludf.DUMMYFUNCTION("""COMPUTED_VALUE"""),0.74055)</f>
        <v>0.74055000000000004</v>
      </c>
      <c r="M56" s="2">
        <f ca="1">IFERROR(__xludf.DUMMYFUNCTION("""COMPUTED_VALUE"""),0)</f>
        <v>0</v>
      </c>
      <c r="N56" s="2">
        <f ca="1">IFERROR(__xludf.DUMMYFUNCTION("""COMPUTED_VALUE"""),5.28115)</f>
        <v>5.2811500000000002</v>
      </c>
      <c r="O56" s="18">
        <f ca="1">IFERROR(__xludf.DUMMYFUNCTION("""COMPUTED_VALUE"""),0.74055)</f>
        <v>0.74055000000000004</v>
      </c>
    </row>
    <row r="57" spans="1:15" ht="12.5">
      <c r="A57" s="10" t="s">
        <v>50</v>
      </c>
      <c r="B57" s="11" t="s">
        <v>80</v>
      </c>
      <c r="C57" s="12">
        <v>1</v>
      </c>
      <c r="D57" s="12">
        <v>0.71040000000000003</v>
      </c>
      <c r="E57" s="12">
        <v>0</v>
      </c>
      <c r="F57" s="12">
        <v>4.5403000000000002</v>
      </c>
      <c r="G57" s="13">
        <v>0.71040000000000003</v>
      </c>
      <c r="I57" s="15" t="str">
        <f ca="1">IFERROR(__xludf.DUMMYFUNCTION("""COMPUTED_VALUE"""),"Information Disclosure: Data Breach By Cloud Application")</f>
        <v>Information Disclosure: Data Breach By Cloud Application</v>
      </c>
      <c r="J57" s="2" t="str">
        <f ca="1">IFERROR(__xludf.DUMMYFUNCTION("""COMPUTED_VALUE"""),"IAM (IAM) - blog_app_lambda")</f>
        <v>IAM (IAM) - blog_app_lambda</v>
      </c>
      <c r="K57" s="2">
        <f ca="1">IFERROR(__xludf.DUMMYFUNCTION("""COMPUTED_VALUE"""),1)</f>
        <v>1</v>
      </c>
      <c r="L57" s="2">
        <f ca="1">IFERROR(__xludf.DUMMYFUNCTION("""COMPUTED_VALUE"""),0.7718)</f>
        <v>0.77180000000000004</v>
      </c>
      <c r="M57" s="2">
        <f ca="1">IFERROR(__xludf.DUMMYFUNCTION("""COMPUTED_VALUE"""),0)</f>
        <v>0</v>
      </c>
      <c r="N57" s="2">
        <f ca="1">IFERROR(__xludf.DUMMYFUNCTION("""COMPUTED_VALUE"""),4.9229)</f>
        <v>4.9229000000000003</v>
      </c>
      <c r="O57" s="18">
        <f ca="1">IFERROR(__xludf.DUMMYFUNCTION("""COMPUTED_VALUE"""),0.7718)</f>
        <v>0.77180000000000004</v>
      </c>
    </row>
    <row r="58" spans="1:15" ht="12.5">
      <c r="A58" s="10" t="s">
        <v>50</v>
      </c>
      <c r="B58" s="11" t="s">
        <v>89</v>
      </c>
      <c r="C58" s="12">
        <v>1</v>
      </c>
      <c r="D58" s="12">
        <v>0.72729999999999995</v>
      </c>
      <c r="E58" s="12">
        <v>0</v>
      </c>
      <c r="F58" s="12">
        <v>4.9425999999999997</v>
      </c>
      <c r="G58" s="13">
        <v>0.72729999999999995</v>
      </c>
      <c r="I58" s="15" t="str">
        <f ca="1">IFERROR(__xludf.DUMMYFUNCTION("""COMPUTED_VALUE"""),"Information Disclosure: Data Breach By Cloud Application")</f>
        <v>Information Disclosure: Data Breach By Cloud Application</v>
      </c>
      <c r="J58" s="2" t="str">
        <f ca="1">IFERROR(__xludf.DUMMYFUNCTION("""COMPUTED_VALUE"""),"IAM (IAM) - goat_role")</f>
        <v>IAM (IAM) - goat_role</v>
      </c>
      <c r="K58" s="2">
        <f ca="1">IFERROR(__xludf.DUMMYFUNCTION("""COMPUTED_VALUE"""),1)</f>
        <v>1</v>
      </c>
      <c r="L58" s="2">
        <f ca="1">IFERROR(__xludf.DUMMYFUNCTION("""COMPUTED_VALUE"""),0.6753)</f>
        <v>0.67530000000000001</v>
      </c>
      <c r="M58" s="2">
        <f ca="1">IFERROR(__xludf.DUMMYFUNCTION("""COMPUTED_VALUE"""),0.0001)</f>
        <v>1E-4</v>
      </c>
      <c r="N58" s="2">
        <f ca="1">IFERROR(__xludf.DUMMYFUNCTION("""COMPUTED_VALUE"""),4.9699)</f>
        <v>4.9699</v>
      </c>
      <c r="O58" s="18">
        <f ca="1">IFERROR(__xludf.DUMMYFUNCTION("""COMPUTED_VALUE"""),0.6753)</f>
        <v>0.67530000000000001</v>
      </c>
    </row>
    <row r="59" spans="1:15" ht="12.5">
      <c r="A59" s="10" t="s">
        <v>23</v>
      </c>
      <c r="B59" s="11" t="s">
        <v>80</v>
      </c>
      <c r="C59" s="12">
        <v>1</v>
      </c>
      <c r="D59" s="12">
        <v>0.71340000000000003</v>
      </c>
      <c r="E59" s="12">
        <v>1E-4</v>
      </c>
      <c r="F59" s="12">
        <v>5.1497000000000002</v>
      </c>
      <c r="G59" s="13">
        <v>0.71340000000000003</v>
      </c>
      <c r="I59" s="15" t="str">
        <f ca="1">IFERROR(__xludf.DUMMYFUNCTION("""COMPUTED_VALUE"""),"Information Disclosure: Data Breach By Cloud Application")</f>
        <v>Information Disclosure: Data Breach By Cloud Application</v>
      </c>
      <c r="J59" s="2" t="str">
        <f ca="1">IFERROR(__xludf.DUMMYFUNCTION("""COMPUTED_VALUE"""),"LoadBalancer (APIGateway) - api")</f>
        <v>LoadBalancer (APIGateway) - api</v>
      </c>
      <c r="K59" s="2">
        <f ca="1">IFERROR(__xludf.DUMMYFUNCTION("""COMPUTED_VALUE"""),1)</f>
        <v>1</v>
      </c>
      <c r="L59" s="2">
        <f ca="1">IFERROR(__xludf.DUMMYFUNCTION("""COMPUTED_VALUE"""),0.721)</f>
        <v>0.72099999999999997</v>
      </c>
      <c r="M59" s="2">
        <f ca="1">IFERROR(__xludf.DUMMYFUNCTION("""COMPUTED_VALUE"""),0.0002)</f>
        <v>2.0000000000000001E-4</v>
      </c>
      <c r="N59" s="2">
        <f ca="1">IFERROR(__xludf.DUMMYFUNCTION("""COMPUTED_VALUE"""),4.9915)</f>
        <v>4.9915000000000003</v>
      </c>
      <c r="O59" s="18">
        <f ca="1">IFERROR(__xludf.DUMMYFUNCTION("""COMPUTED_VALUE"""),0.721)</f>
        <v>0.72099999999999997</v>
      </c>
    </row>
    <row r="60" spans="1:15" ht="12.5">
      <c r="A60" s="10" t="s">
        <v>23</v>
      </c>
      <c r="B60" s="11" t="s">
        <v>82</v>
      </c>
      <c r="C60" s="12">
        <v>1</v>
      </c>
      <c r="D60" s="12">
        <v>0.7228</v>
      </c>
      <c r="E60" s="12">
        <v>0</v>
      </c>
      <c r="F60" s="12">
        <v>4.7805</v>
      </c>
      <c r="G60" s="13">
        <v>0.7228</v>
      </c>
      <c r="I60" s="15" t="str">
        <f ca="1">IFERROR(__xludf.DUMMYFUNCTION("""COMPUTED_VALUE"""),"Information Disclosure: Data Breach By Cloud Application")</f>
        <v>Information Disclosure: Data Breach By Cloud Application</v>
      </c>
      <c r="J60" s="2" t="str">
        <f ca="1">IFERROR(__xludf.DUMMYFUNCTION("""COMPUTED_VALUE"""),"LoadBalancer (APIGateway) - apiLambda_ba")</f>
        <v>LoadBalancer (APIGateway) - apiLambda_ba</v>
      </c>
      <c r="K60" s="2">
        <f ca="1">IFERROR(__xludf.DUMMYFUNCTION("""COMPUTED_VALUE"""),1)</f>
        <v>1</v>
      </c>
      <c r="L60" s="2">
        <f ca="1">IFERROR(__xludf.DUMMYFUNCTION("""COMPUTED_VALUE"""),0.751)</f>
        <v>0.751</v>
      </c>
      <c r="M60" s="2">
        <f ca="1">IFERROR(__xludf.DUMMYFUNCTION("""COMPUTED_VALUE"""),0.0001)</f>
        <v>1E-4</v>
      </c>
      <c r="N60" s="2">
        <f ca="1">IFERROR(__xludf.DUMMYFUNCTION("""COMPUTED_VALUE"""),5.3209)</f>
        <v>5.3209</v>
      </c>
      <c r="O60" s="18">
        <f ca="1">IFERROR(__xludf.DUMMYFUNCTION("""COMPUTED_VALUE"""),0.751)</f>
        <v>0.751</v>
      </c>
    </row>
    <row r="61" spans="1:15" ht="12.5">
      <c r="A61" s="10" t="s">
        <v>23</v>
      </c>
      <c r="B61" s="11" t="s">
        <v>84</v>
      </c>
      <c r="C61" s="12">
        <v>1</v>
      </c>
      <c r="D61" s="12">
        <v>0.76370000000000005</v>
      </c>
      <c r="E61" s="12">
        <v>0</v>
      </c>
      <c r="F61" s="12">
        <v>4.5601000000000003</v>
      </c>
      <c r="G61" s="13">
        <v>0.76370000000000005</v>
      </c>
      <c r="I61" s="15" t="str">
        <f ca="1">IFERROR(__xludf.DUMMYFUNCTION("""COMPUTED_VALUE"""),"Information Disclosure: Data Breach By Cloud Application")</f>
        <v>Information Disclosure: Data Breach By Cloud Application</v>
      </c>
      <c r="J61" s="2" t="str">
        <f ca="1">IFERROR(__xludf.DUMMYFUNCTION("""COMPUTED_VALUE"""),"ServerlessFunction (AwsLambda) - lambda_ba_data")</f>
        <v>ServerlessFunction (AwsLambda) - lambda_ba_data</v>
      </c>
      <c r="K61" s="2">
        <f ca="1">IFERROR(__xludf.DUMMYFUNCTION("""COMPUTED_VALUE"""),1)</f>
        <v>1</v>
      </c>
      <c r="L61" s="2">
        <f ca="1">IFERROR(__xludf.DUMMYFUNCTION("""COMPUTED_VALUE"""),0.74695)</f>
        <v>0.74695</v>
      </c>
      <c r="M61" s="2">
        <f ca="1">IFERROR(__xludf.DUMMYFUNCTION("""COMPUTED_VALUE"""),0.0001)</f>
        <v>1E-4</v>
      </c>
      <c r="N61" s="2">
        <f ca="1">IFERROR(__xludf.DUMMYFUNCTION("""COMPUTED_VALUE"""),5.16835)</f>
        <v>5.1683500000000002</v>
      </c>
      <c r="O61" s="18">
        <f ca="1">IFERROR(__xludf.DUMMYFUNCTION("""COMPUTED_VALUE"""),0.74695)</f>
        <v>0.74695</v>
      </c>
    </row>
    <row r="62" spans="1:15" ht="12.5">
      <c r="A62" s="10" t="s">
        <v>23</v>
      </c>
      <c r="B62" s="11" t="s">
        <v>86</v>
      </c>
      <c r="C62" s="12">
        <v>1</v>
      </c>
      <c r="D62" s="12">
        <v>0.74890000000000001</v>
      </c>
      <c r="E62" s="12">
        <v>0</v>
      </c>
      <c r="F62" s="12">
        <v>4.9295</v>
      </c>
      <c r="G62" s="13">
        <v>0.74890000000000001</v>
      </c>
      <c r="I62" s="15" t="str">
        <f ca="1">IFERROR(__xludf.DUMMYFUNCTION("""COMPUTED_VALUE"""),"Information Disclosure: Data Breach By Cloud Application")</f>
        <v>Information Disclosure: Data Breach By Cloud Application</v>
      </c>
      <c r="J62" s="2" t="str">
        <f ca="1">IFERROR(__xludf.DUMMYFUNCTION("""COMPUTED_VALUE"""),"ServerlessFunction (AwsLambda) - react_lambda_app")</f>
        <v>ServerlessFunction (AwsLambda) - react_lambda_app</v>
      </c>
      <c r="K62" s="2">
        <f ca="1">IFERROR(__xludf.DUMMYFUNCTION("""COMPUTED_VALUE"""),1)</f>
        <v>1</v>
      </c>
      <c r="L62" s="2">
        <f ca="1">IFERROR(__xludf.DUMMYFUNCTION("""COMPUTED_VALUE"""),0.7677)</f>
        <v>0.76770000000000005</v>
      </c>
      <c r="M62" s="2">
        <f ca="1">IFERROR(__xludf.DUMMYFUNCTION("""COMPUTED_VALUE"""),0.0001)</f>
        <v>1E-4</v>
      </c>
      <c r="N62" s="2">
        <f ca="1">IFERROR(__xludf.DUMMYFUNCTION("""COMPUTED_VALUE"""),5.2486)</f>
        <v>5.2485999999999997</v>
      </c>
      <c r="O62" s="18">
        <f ca="1">IFERROR(__xludf.DUMMYFUNCTION("""COMPUTED_VALUE"""),0.7677)</f>
        <v>0.76770000000000005</v>
      </c>
    </row>
    <row r="63" spans="1:15" ht="12.5">
      <c r="A63" s="10" t="s">
        <v>23</v>
      </c>
      <c r="B63" s="11" t="s">
        <v>86</v>
      </c>
      <c r="C63" s="12">
        <v>1</v>
      </c>
      <c r="D63" s="12">
        <v>0.70389999999999997</v>
      </c>
      <c r="E63" s="12">
        <v>0</v>
      </c>
      <c r="F63" s="12">
        <v>4.6586999999999996</v>
      </c>
      <c r="G63" s="13">
        <v>0.70389999999999997</v>
      </c>
      <c r="I63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3" s="2" t="str">
        <f ca="1">IFERROR(__xludf.DUMMYFUNCTION("""COMPUTED_VALUE"""),"IAM (IAM) - blog_app_lambda")</f>
        <v>IAM (IAM) - blog_app_lambda</v>
      </c>
      <c r="K63" s="2">
        <f ca="1">IFERROR(__xludf.DUMMYFUNCTION("""COMPUTED_VALUE"""),1)</f>
        <v>1</v>
      </c>
      <c r="L63" s="2">
        <f ca="1">IFERROR(__xludf.DUMMYFUNCTION("""COMPUTED_VALUE"""),0.7273)</f>
        <v>0.72729999999999995</v>
      </c>
      <c r="M63" s="2">
        <f ca="1">IFERROR(__xludf.DUMMYFUNCTION("""COMPUTED_VALUE"""),0)</f>
        <v>0</v>
      </c>
      <c r="N63" s="2">
        <f ca="1">IFERROR(__xludf.DUMMYFUNCTION("""COMPUTED_VALUE"""),4.9426)</f>
        <v>4.9425999999999997</v>
      </c>
      <c r="O63" s="18">
        <f ca="1">IFERROR(__xludf.DUMMYFUNCTION("""COMPUTED_VALUE"""),0.7273)</f>
        <v>0.72729999999999995</v>
      </c>
    </row>
    <row r="64" spans="1:15" ht="12.5">
      <c r="A64" s="10" t="s">
        <v>23</v>
      </c>
      <c r="B64" s="11" t="s">
        <v>89</v>
      </c>
      <c r="C64" s="12">
        <v>1</v>
      </c>
      <c r="D64" s="12">
        <v>0.69930000000000003</v>
      </c>
      <c r="E64" s="12">
        <v>0</v>
      </c>
      <c r="F64" s="12">
        <v>4.9976000000000003</v>
      </c>
      <c r="G64" s="13">
        <v>0.69930000000000003</v>
      </c>
      <c r="I64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4" s="2" t="str">
        <f ca="1">IFERROR(__xludf.DUMMYFUNCTION("""COMPUTED_VALUE"""),"IAM (IAM) - goat_role")</f>
        <v>IAM (IAM) - goat_role</v>
      </c>
      <c r="K64" s="2">
        <f ca="1">IFERROR(__xludf.DUMMYFUNCTION("""COMPUTED_VALUE"""),1)</f>
        <v>1</v>
      </c>
      <c r="L64" s="2">
        <f ca="1">IFERROR(__xludf.DUMMYFUNCTION("""COMPUTED_VALUE"""),0.7531)</f>
        <v>0.75309999999999999</v>
      </c>
      <c r="M64" s="2">
        <f ca="1">IFERROR(__xludf.DUMMYFUNCTION("""COMPUTED_VALUE"""),0.0001)</f>
        <v>1E-4</v>
      </c>
      <c r="N64" s="2">
        <f ca="1">IFERROR(__xludf.DUMMYFUNCTION("""COMPUTED_VALUE"""),5.1684)</f>
        <v>5.1684000000000001</v>
      </c>
      <c r="O64" s="18">
        <f ca="1">IFERROR(__xludf.DUMMYFUNCTION("""COMPUTED_VALUE"""),0.7531)</f>
        <v>0.75309999999999999</v>
      </c>
    </row>
    <row r="65" spans="1:15" ht="12.5">
      <c r="A65" s="10" t="s">
        <v>23</v>
      </c>
      <c r="B65" s="11" t="s">
        <v>82</v>
      </c>
      <c r="C65" s="12">
        <v>1</v>
      </c>
      <c r="D65" s="12">
        <v>0.7833</v>
      </c>
      <c r="E65" s="12">
        <v>0</v>
      </c>
      <c r="F65" s="12">
        <v>4.9000000000000004</v>
      </c>
      <c r="G65" s="13">
        <v>0.7833</v>
      </c>
      <c r="I65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5" s="2" t="str">
        <f ca="1">IFERROR(__xludf.DUMMYFUNCTION("""COMPUTED_VALUE"""),"LoadBalancer (APIGateway) - api")</f>
        <v>LoadBalancer (APIGateway) - api</v>
      </c>
      <c r="K65" s="2">
        <f ca="1">IFERROR(__xludf.DUMMYFUNCTION("""COMPUTED_VALUE"""),1)</f>
        <v>1</v>
      </c>
      <c r="L65" s="2">
        <f ca="1">IFERROR(__xludf.DUMMYFUNCTION("""COMPUTED_VALUE"""),0.7393)</f>
        <v>0.73929999999999996</v>
      </c>
      <c r="M65" s="2">
        <f ca="1">IFERROR(__xludf.DUMMYFUNCTION("""COMPUTED_VALUE"""),0.0001)</f>
        <v>1E-4</v>
      </c>
      <c r="N65" s="2">
        <f ca="1">IFERROR(__xludf.DUMMYFUNCTION("""COMPUTED_VALUE"""),5.5685)</f>
        <v>5.5685000000000002</v>
      </c>
      <c r="O65" s="18">
        <f ca="1">IFERROR(__xludf.DUMMYFUNCTION("""COMPUTED_VALUE"""),0.7393)</f>
        <v>0.73929999999999996</v>
      </c>
    </row>
    <row r="66" spans="1:15" ht="12.5">
      <c r="A66" s="10" t="s">
        <v>23</v>
      </c>
      <c r="B66" s="11" t="s">
        <v>91</v>
      </c>
      <c r="C66" s="12">
        <v>1</v>
      </c>
      <c r="D66" s="12">
        <v>0.7077</v>
      </c>
      <c r="E66" s="12">
        <v>0</v>
      </c>
      <c r="F66" s="12">
        <v>4.7317999999999998</v>
      </c>
      <c r="G66" s="13">
        <v>0.7077</v>
      </c>
      <c r="I66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6" s="2" t="str">
        <f ca="1">IFERROR(__xludf.DUMMYFUNCTION("""COMPUTED_VALUE"""),"LoadBalancer (APIGateway) - apiLambda_ba")</f>
        <v>LoadBalancer (APIGateway) - apiLambda_ba</v>
      </c>
      <c r="K66" s="2">
        <f ca="1">IFERROR(__xludf.DUMMYFUNCTION("""COMPUTED_VALUE"""),1)</f>
        <v>1</v>
      </c>
      <c r="L66" s="2">
        <f ca="1">IFERROR(__xludf.DUMMYFUNCTION("""COMPUTED_VALUE"""),0.7104)</f>
        <v>0.71040000000000003</v>
      </c>
      <c r="M66" s="2">
        <f ca="1">IFERROR(__xludf.DUMMYFUNCTION("""COMPUTED_VALUE"""),0)</f>
        <v>0</v>
      </c>
      <c r="N66" s="2">
        <f ca="1">IFERROR(__xludf.DUMMYFUNCTION("""COMPUTED_VALUE"""),4.5403)</f>
        <v>4.5403000000000002</v>
      </c>
      <c r="O66" s="18">
        <f ca="1">IFERROR(__xludf.DUMMYFUNCTION("""COMPUTED_VALUE"""),0.7104)</f>
        <v>0.71040000000000003</v>
      </c>
    </row>
    <row r="67" spans="1:15" ht="12.5">
      <c r="A67" s="10" t="s">
        <v>25</v>
      </c>
      <c r="B67" s="11" t="s">
        <v>94</v>
      </c>
      <c r="C67" s="12">
        <v>1</v>
      </c>
      <c r="D67" s="12">
        <v>0.7077</v>
      </c>
      <c r="E67" s="12">
        <v>0</v>
      </c>
      <c r="F67" s="12">
        <v>5.7163000000000004</v>
      </c>
      <c r="G67" s="13">
        <v>0.7077</v>
      </c>
      <c r="I67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7" s="2" t="str">
        <f ca="1">IFERROR(__xludf.DUMMYFUNCTION("""COMPUTED_VALUE"""),"ServerlessFunction (AwsLambda) - lambda_ba_data")</f>
        <v>ServerlessFunction (AwsLambda) - lambda_ba_data</v>
      </c>
      <c r="K67" s="2">
        <f ca="1">IFERROR(__xludf.DUMMYFUNCTION("""COMPUTED_VALUE"""),1)</f>
        <v>1</v>
      </c>
      <c r="L67" s="2">
        <f ca="1">IFERROR(__xludf.DUMMYFUNCTION("""COMPUTED_VALUE"""),0.7555)</f>
        <v>0.75549999999999995</v>
      </c>
      <c r="M67" s="2">
        <f ca="1">IFERROR(__xludf.DUMMYFUNCTION("""COMPUTED_VALUE"""),0)</f>
        <v>0</v>
      </c>
      <c r="N67" s="2">
        <f ca="1">IFERROR(__xludf.DUMMYFUNCTION("""COMPUTED_VALUE"""),4.966)</f>
        <v>4.9660000000000002</v>
      </c>
      <c r="O67" s="18">
        <f ca="1">IFERROR(__xludf.DUMMYFUNCTION("""COMPUTED_VALUE"""),0.7555)</f>
        <v>0.75549999999999995</v>
      </c>
    </row>
    <row r="68" spans="1:15" ht="12.5">
      <c r="A68" s="10" t="s">
        <v>25</v>
      </c>
      <c r="B68" s="11" t="s">
        <v>95</v>
      </c>
      <c r="C68" s="12">
        <v>1</v>
      </c>
      <c r="D68" s="12">
        <v>0.77590000000000003</v>
      </c>
      <c r="E68" s="12">
        <v>0</v>
      </c>
      <c r="F68" s="12">
        <v>5.5296000000000003</v>
      </c>
      <c r="G68" s="13">
        <v>0.77590000000000003</v>
      </c>
      <c r="I68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8" s="2" t="str">
        <f ca="1">IFERROR(__xludf.DUMMYFUNCTION("""COMPUTED_VALUE"""),"ServerlessFunction (AwsLambda) - react_lambda_app")</f>
        <v>ServerlessFunction (AwsLambda) - react_lambda_app</v>
      </c>
      <c r="K68" s="2">
        <f ca="1">IFERROR(__xludf.DUMMYFUNCTION("""COMPUTED_VALUE"""),1)</f>
        <v>1</v>
      </c>
      <c r="L68" s="2">
        <f ca="1">IFERROR(__xludf.DUMMYFUNCTION("""COMPUTED_VALUE"""),0.6852)</f>
        <v>0.68520000000000003</v>
      </c>
      <c r="M68" s="2">
        <f ca="1">IFERROR(__xludf.DUMMYFUNCTION("""COMPUTED_VALUE"""),0)</f>
        <v>0</v>
      </c>
      <c r="N68" s="2">
        <f ca="1">IFERROR(__xludf.DUMMYFUNCTION("""COMPUTED_VALUE"""),4.7367)</f>
        <v>4.7366999999999999</v>
      </c>
      <c r="O68" s="18">
        <f ca="1">IFERROR(__xludf.DUMMYFUNCTION("""COMPUTED_VALUE"""),0.6852)</f>
        <v>0.68520000000000003</v>
      </c>
    </row>
    <row r="69" spans="1:15" ht="12.5">
      <c r="A69" s="10" t="s">
        <v>25</v>
      </c>
      <c r="B69" s="11" t="s">
        <v>93</v>
      </c>
      <c r="C69" s="12">
        <v>1</v>
      </c>
      <c r="D69" s="12">
        <v>0.69489999999999996</v>
      </c>
      <c r="E69" s="12">
        <v>0</v>
      </c>
      <c r="F69" s="12">
        <v>5.5890000000000004</v>
      </c>
      <c r="G69" s="13">
        <v>0.69489999999999996</v>
      </c>
      <c r="I69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69" s="2" t="str">
        <f ca="1">IFERROR(__xludf.DUMMYFUNCTION("""COMPUTED_VALUE"""),"VirtualFirewall (SecurityGroup) - goat_sg")</f>
        <v>VirtualFirewall (SecurityGroup) - goat_sg</v>
      </c>
      <c r="K69" s="2">
        <f ca="1">IFERROR(__xludf.DUMMYFUNCTION("""COMPUTED_VALUE"""),1)</f>
        <v>1</v>
      </c>
      <c r="L69" s="2">
        <f ca="1">IFERROR(__xludf.DUMMYFUNCTION("""COMPUTED_VALUE"""),0.7343)</f>
        <v>0.73429999999999995</v>
      </c>
      <c r="M69" s="2">
        <f ca="1">IFERROR(__xludf.DUMMYFUNCTION("""COMPUTED_VALUE"""),0)</f>
        <v>0</v>
      </c>
      <c r="N69" s="2">
        <f ca="1">IFERROR(__xludf.DUMMYFUNCTION("""COMPUTED_VALUE"""),5.5286)</f>
        <v>5.5286</v>
      </c>
      <c r="O69" s="18">
        <f ca="1">IFERROR(__xludf.DUMMYFUNCTION("""COMPUTED_VALUE"""),0.7343)</f>
        <v>0.73429999999999995</v>
      </c>
    </row>
    <row r="70" spans="1:15" ht="12.5">
      <c r="A70" s="10" t="s">
        <v>25</v>
      </c>
      <c r="B70" s="11" t="s">
        <v>96</v>
      </c>
      <c r="C70" s="12">
        <v>1</v>
      </c>
      <c r="D70" s="12">
        <v>0.73089999999999999</v>
      </c>
      <c r="E70" s="12">
        <v>0</v>
      </c>
      <c r="F70" s="12">
        <v>5.5724999999999998</v>
      </c>
      <c r="G70" s="13">
        <v>0.73089999999999999</v>
      </c>
      <c r="I70" s="15" t="str">
        <f ca="1">IFERROR(__xludf.DUMMYFUNCTION("""COMPUTED_VALUE"""),"Information Disclosure: Logs Of Cloud Application Stolen")</f>
        <v>Information Disclosure: Logs Of Cloud Application Stolen</v>
      </c>
      <c r="J70" s="2" t="str">
        <f ca="1">IFERROR(__xludf.DUMMYFUNCTION("""COMPUTED_VALUE"""),"IAM (IAM) - blog_app_lambda")</f>
        <v>IAM (IAM) - blog_app_lambda</v>
      </c>
      <c r="K70" s="2">
        <f ca="1">IFERROR(__xludf.DUMMYFUNCTION("""COMPUTED_VALUE"""),1)</f>
        <v>1</v>
      </c>
      <c r="L70" s="2">
        <f ca="1">IFERROR(__xludf.DUMMYFUNCTION("""COMPUTED_VALUE"""),0.7266)</f>
        <v>0.72660000000000002</v>
      </c>
      <c r="M70" s="2">
        <f ca="1">IFERROR(__xludf.DUMMYFUNCTION("""COMPUTED_VALUE"""),0.0001)</f>
        <v>1E-4</v>
      </c>
      <c r="N70" s="2">
        <f ca="1">IFERROR(__xludf.DUMMYFUNCTION("""COMPUTED_VALUE"""),4.9108)</f>
        <v>4.9108000000000001</v>
      </c>
      <c r="O70" s="18">
        <f ca="1">IFERROR(__xludf.DUMMYFUNCTION("""COMPUTED_VALUE"""),0.7266)</f>
        <v>0.72660000000000002</v>
      </c>
    </row>
    <row r="71" spans="1:15" ht="12.5">
      <c r="A71" s="10" t="s">
        <v>51</v>
      </c>
      <c r="B71" s="11" t="s">
        <v>93</v>
      </c>
      <c r="C71" s="12">
        <v>1</v>
      </c>
      <c r="D71" s="12">
        <v>0.76959999999999995</v>
      </c>
      <c r="E71" s="12">
        <v>1E-4</v>
      </c>
      <c r="F71" s="12">
        <v>5.2720000000000002</v>
      </c>
      <c r="G71" s="13">
        <v>0.76959999999999995</v>
      </c>
      <c r="I71" s="15" t="str">
        <f ca="1">IFERROR(__xludf.DUMMYFUNCTION("""COMPUTED_VALUE"""),"Information Disclosure: Logs Of Cloud Application Stolen")</f>
        <v>Information Disclosure: Logs Of Cloud Application Stolen</v>
      </c>
      <c r="J71" s="2" t="str">
        <f ca="1">IFERROR(__xludf.DUMMYFUNCTION("""COMPUTED_VALUE"""),"IAM (IAM) - goat_role")</f>
        <v>IAM (IAM) - goat_role</v>
      </c>
      <c r="K71" s="2">
        <f ca="1">IFERROR(__xludf.DUMMYFUNCTION("""COMPUTED_VALUE"""),1)</f>
        <v>1</v>
      </c>
      <c r="L71" s="2">
        <f ca="1">IFERROR(__xludf.DUMMYFUNCTION("""COMPUTED_VALUE"""),0.7742)</f>
        <v>0.7742</v>
      </c>
      <c r="M71" s="2">
        <f ca="1">IFERROR(__xludf.DUMMYFUNCTION("""COMPUTED_VALUE"""),0.0001)</f>
        <v>1E-4</v>
      </c>
      <c r="N71" s="2">
        <f ca="1">IFERROR(__xludf.DUMMYFUNCTION("""COMPUTED_VALUE"""),4.8982)</f>
        <v>4.8982000000000001</v>
      </c>
      <c r="O71" s="18">
        <f ca="1">IFERROR(__xludf.DUMMYFUNCTION("""COMPUTED_VALUE"""),0.7742)</f>
        <v>0.7742</v>
      </c>
    </row>
    <row r="72" spans="1:15" ht="12.5">
      <c r="A72" s="10" t="s">
        <v>43</v>
      </c>
      <c r="B72" s="11" t="s">
        <v>80</v>
      </c>
      <c r="C72" s="12">
        <v>1</v>
      </c>
      <c r="D72" s="12">
        <v>0.77049999999999996</v>
      </c>
      <c r="E72" s="12">
        <v>0</v>
      </c>
      <c r="F72" s="12">
        <v>4.9650999999999996</v>
      </c>
      <c r="G72" s="13">
        <v>0.77049999999999996</v>
      </c>
      <c r="I72" s="15" t="str">
        <f ca="1">IFERROR(__xludf.DUMMYFUNCTION("""COMPUTED_VALUE"""),"Information Disclosure: Logs Of Cloud Application Stolen")</f>
        <v>Information Disclosure: Logs Of Cloud Application Stolen</v>
      </c>
      <c r="J72" s="2" t="str">
        <f ca="1">IFERROR(__xludf.DUMMYFUNCTION("""COMPUTED_VALUE"""),"LoadBalancer (APIGateway) - api")</f>
        <v>LoadBalancer (APIGateway) - api</v>
      </c>
      <c r="K72" s="2">
        <f ca="1">IFERROR(__xludf.DUMMYFUNCTION("""COMPUTED_VALUE"""),1)</f>
        <v>1</v>
      </c>
      <c r="L72" s="2">
        <f ca="1">IFERROR(__xludf.DUMMYFUNCTION("""COMPUTED_VALUE"""),0.7387)</f>
        <v>0.73870000000000002</v>
      </c>
      <c r="M72" s="2">
        <f ca="1">IFERROR(__xludf.DUMMYFUNCTION("""COMPUTED_VALUE"""),0.0001)</f>
        <v>1E-4</v>
      </c>
      <c r="N72" s="2">
        <f ca="1">IFERROR(__xludf.DUMMYFUNCTION("""COMPUTED_VALUE"""),4.5907)</f>
        <v>4.5907</v>
      </c>
      <c r="O72" s="18">
        <f ca="1">IFERROR(__xludf.DUMMYFUNCTION("""COMPUTED_VALUE"""),0.7387)</f>
        <v>0.73870000000000002</v>
      </c>
    </row>
    <row r="73" spans="1:15" ht="12.5">
      <c r="A73" s="10" t="s">
        <v>43</v>
      </c>
      <c r="B73" s="11" t="s">
        <v>82</v>
      </c>
      <c r="C73" s="12">
        <v>1</v>
      </c>
      <c r="D73" s="12">
        <v>0.75729999999999997</v>
      </c>
      <c r="E73" s="12">
        <v>0</v>
      </c>
      <c r="F73" s="12">
        <v>5.3869999999999996</v>
      </c>
      <c r="G73" s="13">
        <v>0.75729999999999997</v>
      </c>
      <c r="I73" s="15" t="str">
        <f ca="1">IFERROR(__xludf.DUMMYFUNCTION("""COMPUTED_VALUE"""),"Information Disclosure: Logs Of Cloud Application Stolen")</f>
        <v>Information Disclosure: Logs Of Cloud Application Stolen</v>
      </c>
      <c r="J73" s="2" t="str">
        <f ca="1">IFERROR(__xludf.DUMMYFUNCTION("""COMPUTED_VALUE"""),"LoadBalancer (APIGateway) - apiLambda_ba")</f>
        <v>LoadBalancer (APIGateway) - apiLambda_ba</v>
      </c>
      <c r="K73" s="2">
        <f ca="1">IFERROR(__xludf.DUMMYFUNCTION("""COMPUTED_VALUE"""),1)</f>
        <v>1</v>
      </c>
      <c r="L73" s="2">
        <f ca="1">IFERROR(__xludf.DUMMYFUNCTION("""COMPUTED_VALUE"""),0.7667)</f>
        <v>0.76670000000000005</v>
      </c>
      <c r="M73" s="2">
        <f ca="1">IFERROR(__xludf.DUMMYFUNCTION("""COMPUTED_VALUE"""),0)</f>
        <v>0</v>
      </c>
      <c r="N73" s="2">
        <f ca="1">IFERROR(__xludf.DUMMYFUNCTION("""COMPUTED_VALUE"""),4.6697)</f>
        <v>4.6696999999999997</v>
      </c>
      <c r="O73" s="18">
        <f ca="1">IFERROR(__xludf.DUMMYFUNCTION("""COMPUTED_VALUE"""),0.7667)</f>
        <v>0.76670000000000005</v>
      </c>
    </row>
    <row r="74" spans="1:15" ht="12.5">
      <c r="A74" s="10" t="s">
        <v>43</v>
      </c>
      <c r="B74" s="11" t="s">
        <v>84</v>
      </c>
      <c r="C74" s="12">
        <v>1</v>
      </c>
      <c r="D74" s="12">
        <v>0.7802</v>
      </c>
      <c r="E74" s="12">
        <v>0</v>
      </c>
      <c r="F74" s="12">
        <v>5.0873999999999997</v>
      </c>
      <c r="G74" s="13">
        <v>0.7802</v>
      </c>
      <c r="I74" s="15" t="str">
        <f ca="1">IFERROR(__xludf.DUMMYFUNCTION("""COMPUTED_VALUE"""),"Information Disclosure: Logs Of Cloud Application Stolen")</f>
        <v>Information Disclosure: Logs Of Cloud Application Stolen</v>
      </c>
      <c r="J74" s="2" t="str">
        <f ca="1">IFERROR(__xludf.DUMMYFUNCTION("""COMPUTED_VALUE"""),"ServerlessFunction (AwsLambda) - lambda_ba_data")</f>
        <v>ServerlessFunction (AwsLambda) - lambda_ba_data</v>
      </c>
      <c r="K74" s="2">
        <f ca="1">IFERROR(__xludf.DUMMYFUNCTION("""COMPUTED_VALUE"""),1)</f>
        <v>1</v>
      </c>
      <c r="L74" s="2">
        <f ca="1">IFERROR(__xludf.DUMMYFUNCTION("""COMPUTED_VALUE"""),0.7304)</f>
        <v>0.73040000000000005</v>
      </c>
      <c r="M74" s="2">
        <f ca="1">IFERROR(__xludf.DUMMYFUNCTION("""COMPUTED_VALUE"""),0.00005)</f>
        <v>5.0000000000000002E-5</v>
      </c>
      <c r="N74" s="2">
        <f ca="1">IFERROR(__xludf.DUMMYFUNCTION("""COMPUTED_VALUE"""),5.31194999999999)</f>
        <v>5.3119499999999897</v>
      </c>
      <c r="O74" s="18">
        <f ca="1">IFERROR(__xludf.DUMMYFUNCTION("""COMPUTED_VALUE"""),0.7304)</f>
        <v>0.73040000000000005</v>
      </c>
    </row>
    <row r="75" spans="1:15" ht="12.5">
      <c r="A75" s="10" t="s">
        <v>43</v>
      </c>
      <c r="B75" s="11" t="s">
        <v>86</v>
      </c>
      <c r="C75" s="12">
        <v>1</v>
      </c>
      <c r="D75" s="12">
        <v>0.74970000000000003</v>
      </c>
      <c r="E75" s="12">
        <v>0</v>
      </c>
      <c r="F75" s="12">
        <v>4.8944999999999999</v>
      </c>
      <c r="G75" s="13">
        <v>0.74970000000000003</v>
      </c>
      <c r="I75" s="15" t="str">
        <f ca="1">IFERROR(__xludf.DUMMYFUNCTION("""COMPUTED_VALUE"""),"Information Disclosure: Logs Of Cloud Application Stolen")</f>
        <v>Information Disclosure: Logs Of Cloud Application Stolen</v>
      </c>
      <c r="J75" s="2" t="str">
        <f ca="1">IFERROR(__xludf.DUMMYFUNCTION("""COMPUTED_VALUE"""),"ServerlessFunction (AwsLambda) - react_lambda_app")</f>
        <v>ServerlessFunction (AwsLambda) - react_lambda_app</v>
      </c>
      <c r="K75" s="2">
        <f ca="1">IFERROR(__xludf.DUMMYFUNCTION("""COMPUTED_VALUE"""),1)</f>
        <v>1</v>
      </c>
      <c r="L75" s="2">
        <f ca="1">IFERROR(__xludf.DUMMYFUNCTION("""COMPUTED_VALUE"""),0.72285)</f>
        <v>0.72284999999999999</v>
      </c>
      <c r="M75" s="2">
        <f ca="1">IFERROR(__xludf.DUMMYFUNCTION("""COMPUTED_VALUE"""),0.000199999999999999)</f>
        <v>1.9999999999999901E-4</v>
      </c>
      <c r="N75" s="2">
        <f ca="1">IFERROR(__xludf.DUMMYFUNCTION("""COMPUTED_VALUE"""),4.898)</f>
        <v>4.8979999999999997</v>
      </c>
      <c r="O75" s="18">
        <f ca="1">IFERROR(__xludf.DUMMYFUNCTION("""COMPUTED_VALUE"""),0.72285)</f>
        <v>0.72284999999999999</v>
      </c>
    </row>
    <row r="76" spans="1:15" ht="12.5">
      <c r="A76" s="10" t="s">
        <v>43</v>
      </c>
      <c r="B76" s="11" t="s">
        <v>86</v>
      </c>
      <c r="C76" s="12">
        <v>1</v>
      </c>
      <c r="D76" s="12">
        <v>0.7379</v>
      </c>
      <c r="E76" s="12">
        <v>1E-4</v>
      </c>
      <c r="F76" s="12">
        <v>4.9160000000000004</v>
      </c>
      <c r="G76" s="13">
        <v>0.7379</v>
      </c>
      <c r="I76" s="15" t="str">
        <f ca="1">IFERROR(__xludf.DUMMYFUNCTION("""COMPUTED_VALUE"""),"Information Disclosure: Malware From Cloud Application")</f>
        <v>Information Disclosure: Malware From Cloud Application</v>
      </c>
      <c r="J76" s="2" t="str">
        <f ca="1">IFERROR(__xludf.DUMMYFUNCTION("""COMPUTED_VALUE"""),"User")</f>
        <v>User</v>
      </c>
      <c r="K76" s="2">
        <f ca="1">IFERROR(__xludf.DUMMYFUNCTION("""COMPUTED_VALUE"""),1)</f>
        <v>1</v>
      </c>
      <c r="L76" s="2">
        <f ca="1">IFERROR(__xludf.DUMMYFUNCTION("""COMPUTED_VALUE"""),0.733985714285714)</f>
        <v>0.73398571428571402</v>
      </c>
      <c r="M76" s="2">
        <f ca="1">IFERROR(__xludf.DUMMYFUNCTION("""COMPUTED_VALUE"""),0.0000428571428571428)</f>
        <v>4.2857142857142802E-5</v>
      </c>
      <c r="N76" s="2">
        <f ca="1">IFERROR(__xludf.DUMMYFUNCTION("""COMPUTED_VALUE"""),5.26262857142857)</f>
        <v>5.2626285714285697</v>
      </c>
      <c r="O76" s="18">
        <f ca="1">IFERROR(__xludf.DUMMYFUNCTION("""COMPUTED_VALUE"""),0.733985714285714)</f>
        <v>0.73398571428571402</v>
      </c>
    </row>
    <row r="77" spans="1:15" ht="12.5">
      <c r="A77" s="10" t="s">
        <v>43</v>
      </c>
      <c r="B77" s="11" t="s">
        <v>89</v>
      </c>
      <c r="C77" s="12">
        <v>1</v>
      </c>
      <c r="D77" s="12">
        <v>0.746</v>
      </c>
      <c r="E77" s="12">
        <v>1E-4</v>
      </c>
      <c r="F77" s="12">
        <v>5.0270000000000001</v>
      </c>
      <c r="G77" s="13">
        <v>0.746</v>
      </c>
      <c r="I77" s="15" t="str">
        <f ca="1">IFERROR(__xludf.DUMMYFUNCTION("""COMPUTED_VALUE"""),"Information Disclosure: Public Network Access To Cloud Application")</f>
        <v>Information Disclosure: Public Network Access To Cloud Application</v>
      </c>
      <c r="J77" s="2" t="str">
        <f ca="1">IFERROR(__xludf.DUMMYFUNCTION("""COMPUTED_VALUE"""),"User")</f>
        <v>User</v>
      </c>
      <c r="K77" s="2">
        <f ca="1">IFERROR(__xludf.DUMMYFUNCTION("""COMPUTED_VALUE"""),1)</f>
        <v>1</v>
      </c>
      <c r="L77" s="2">
        <f ca="1">IFERROR(__xludf.DUMMYFUNCTION("""COMPUTED_VALUE"""),0.741585714285714)</f>
        <v>0.74158571428571396</v>
      </c>
      <c r="M77" s="2">
        <f ca="1">IFERROR(__xludf.DUMMYFUNCTION("""COMPUTED_VALUE"""),0.0000428571428571428)</f>
        <v>4.2857142857142802E-5</v>
      </c>
      <c r="N77" s="2">
        <f ca="1">IFERROR(__xludf.DUMMYFUNCTION("""COMPUTED_VALUE"""),5.20511428571428)</f>
        <v>5.2051142857142798</v>
      </c>
      <c r="O77" s="18">
        <f ca="1">IFERROR(__xludf.DUMMYFUNCTION("""COMPUTED_VALUE"""),0.741585714285714)</f>
        <v>0.74158571428571396</v>
      </c>
    </row>
    <row r="78" spans="1:15" ht="12.5">
      <c r="A78" s="10" t="s">
        <v>43</v>
      </c>
      <c r="B78" s="11" t="s">
        <v>82</v>
      </c>
      <c r="C78" s="12">
        <v>1</v>
      </c>
      <c r="D78" s="12">
        <v>0.7238</v>
      </c>
      <c r="E78" s="12">
        <v>0</v>
      </c>
      <c r="F78" s="12">
        <v>5.1753</v>
      </c>
      <c r="G78" s="13">
        <v>0.7238</v>
      </c>
      <c r="I78" s="15" t="str">
        <f ca="1">IFERROR(__xludf.DUMMYFUNCTION("""COMPUTED_VALUE"""),"Information Disclosure: Sensitive Data Leakage")</f>
        <v>Information Disclosure: Sensitive Data Leakage</v>
      </c>
      <c r="J78" s="2" t="str">
        <f ca="1">IFERROR(__xludf.DUMMYFUNCTION("""COMPUTED_VALUE"""),"FileStorage (S3) - bucket_temp")</f>
        <v>FileStorage (S3) - bucket_temp</v>
      </c>
      <c r="K78" s="2">
        <f ca="1">IFERROR(__xludf.DUMMYFUNCTION("""COMPUTED_VALUE"""),1)</f>
        <v>1</v>
      </c>
      <c r="L78" s="2">
        <f ca="1">IFERROR(__xludf.DUMMYFUNCTION("""COMPUTED_VALUE"""),0.71165)</f>
        <v>0.71165</v>
      </c>
      <c r="M78" s="2">
        <f ca="1">IFERROR(__xludf.DUMMYFUNCTION("""COMPUTED_VALUE"""),0.00005)</f>
        <v>5.0000000000000002E-5</v>
      </c>
      <c r="N78" s="2">
        <f ca="1">IFERROR(__xludf.DUMMYFUNCTION("""COMPUTED_VALUE"""),5.3515)</f>
        <v>5.3514999999999997</v>
      </c>
      <c r="O78" s="18">
        <f ca="1">IFERROR(__xludf.DUMMYFUNCTION("""COMPUTED_VALUE"""),0.71165)</f>
        <v>0.71165</v>
      </c>
    </row>
    <row r="79" spans="1:15" ht="12.5">
      <c r="A79" s="10" t="s">
        <v>43</v>
      </c>
      <c r="B79" s="11" t="s">
        <v>91</v>
      </c>
      <c r="C79" s="12">
        <v>1</v>
      </c>
      <c r="D79" s="12">
        <v>0.75490000000000002</v>
      </c>
      <c r="E79" s="12">
        <v>1E-4</v>
      </c>
      <c r="F79" s="12">
        <v>4.9847999999999999</v>
      </c>
      <c r="G79" s="13">
        <v>0.75490000000000002</v>
      </c>
      <c r="I79" s="15" t="str">
        <f ca="1">IFERROR(__xludf.DUMMYFUNCTION("""COMPUTED_VALUE"""),"Information Disclosure: Sensitive Data Leakage")</f>
        <v>Information Disclosure: Sensitive Data Leakage</v>
      </c>
      <c r="J79" s="2" t="str">
        <f ca="1">IFERROR(__xludf.DUMMYFUNCTION("""COMPUTED_VALUE"""),"FileStorage (S3) - bucket_tf_files")</f>
        <v>FileStorage (S3) - bucket_tf_files</v>
      </c>
      <c r="K79" s="2">
        <f ca="1">IFERROR(__xludf.DUMMYFUNCTION("""COMPUTED_VALUE"""),1)</f>
        <v>1</v>
      </c>
      <c r="L79" s="2">
        <f ca="1">IFERROR(__xludf.DUMMYFUNCTION("""COMPUTED_VALUE"""),0.7077)</f>
        <v>0.7077</v>
      </c>
      <c r="M79" s="2">
        <f ca="1">IFERROR(__xludf.DUMMYFUNCTION("""COMPUTED_VALUE"""),0)</f>
        <v>0</v>
      </c>
      <c r="N79" s="2">
        <f ca="1">IFERROR(__xludf.DUMMYFUNCTION("""COMPUTED_VALUE"""),5.7163)</f>
        <v>5.7163000000000004</v>
      </c>
      <c r="O79" s="18">
        <f ca="1">IFERROR(__xludf.DUMMYFUNCTION("""COMPUTED_VALUE"""),0.7077)</f>
        <v>0.7077</v>
      </c>
    </row>
    <row r="80" spans="1:15" ht="12.5">
      <c r="A80" s="10" t="s">
        <v>39</v>
      </c>
      <c r="B80" s="11" t="s">
        <v>80</v>
      </c>
      <c r="C80" s="12">
        <v>1</v>
      </c>
      <c r="D80" s="12">
        <v>0.70009999999999994</v>
      </c>
      <c r="E80" s="12">
        <v>2.0000000000000001E-4</v>
      </c>
      <c r="F80" s="12">
        <v>5.2215999999999996</v>
      </c>
      <c r="G80" s="13">
        <v>0.70009999999999994</v>
      </c>
      <c r="I80" s="15" t="str">
        <f ca="1">IFERROR(__xludf.DUMMYFUNCTION("""COMPUTED_VALUE"""),"Information Disclosure: Sensitive Data Leakage")</f>
        <v>Information Disclosure: Sensitive Data Leakage</v>
      </c>
      <c r="J80" s="2" t="str">
        <f ca="1">IFERROR(__xludf.DUMMYFUNCTION("""COMPUTED_VALUE"""),"FileStorage (S3) - bucket_upload")</f>
        <v>FileStorage (S3) - bucket_upload</v>
      </c>
      <c r="K80" s="2">
        <f ca="1">IFERROR(__xludf.DUMMYFUNCTION("""COMPUTED_VALUE"""),1)</f>
        <v>1</v>
      </c>
      <c r="L80" s="2">
        <f ca="1">IFERROR(__xludf.DUMMYFUNCTION("""COMPUTED_VALUE"""),0.7309)</f>
        <v>0.73089999999999999</v>
      </c>
      <c r="M80" s="2">
        <f ca="1">IFERROR(__xludf.DUMMYFUNCTION("""COMPUTED_VALUE"""),0)</f>
        <v>0</v>
      </c>
      <c r="N80" s="2">
        <f ca="1">IFERROR(__xludf.DUMMYFUNCTION("""COMPUTED_VALUE"""),5.5725)</f>
        <v>5.5724999999999998</v>
      </c>
      <c r="O80" s="18">
        <f ca="1">IFERROR(__xludf.DUMMYFUNCTION("""COMPUTED_VALUE"""),0.7309)</f>
        <v>0.73089999999999999</v>
      </c>
    </row>
    <row r="81" spans="1:15" ht="12.5">
      <c r="A81" s="10" t="s">
        <v>39</v>
      </c>
      <c r="B81" s="11" t="s">
        <v>82</v>
      </c>
      <c r="C81" s="12">
        <v>1</v>
      </c>
      <c r="D81" s="12">
        <v>0.74950000000000006</v>
      </c>
      <c r="E81" s="12">
        <v>0</v>
      </c>
      <c r="F81" s="12">
        <v>4.5263</v>
      </c>
      <c r="G81" s="13">
        <v>0.74950000000000006</v>
      </c>
      <c r="I81" s="15" t="str">
        <f ca="1">IFERROR(__xludf.DUMMYFUNCTION("""COMPUTED_VALUE"""),"Information Disclosure: Sensitive Data Leakage")</f>
        <v>Information Disclosure: Sensitive Data Leakage</v>
      </c>
      <c r="J81" s="2" t="str">
        <f ca="1">IFERROR(__xludf.DUMMYFUNCTION("""COMPUTED_VALUE"""),"FileStorage (S3) - dev")</f>
        <v>FileStorage (S3) - dev</v>
      </c>
      <c r="K81" s="2">
        <f ca="1">IFERROR(__xludf.DUMMYFUNCTION("""COMPUTED_VALUE"""),1)</f>
        <v>1</v>
      </c>
      <c r="L81" s="2">
        <f ca="1">IFERROR(__xludf.DUMMYFUNCTION("""COMPUTED_VALUE"""),0.7759)</f>
        <v>0.77590000000000003</v>
      </c>
      <c r="M81" s="2">
        <f ca="1">IFERROR(__xludf.DUMMYFUNCTION("""COMPUTED_VALUE"""),0)</f>
        <v>0</v>
      </c>
      <c r="N81" s="2">
        <f ca="1">IFERROR(__xludf.DUMMYFUNCTION("""COMPUTED_VALUE"""),5.5296)</f>
        <v>5.5296000000000003</v>
      </c>
      <c r="O81" s="18">
        <f ca="1">IFERROR(__xludf.DUMMYFUNCTION("""COMPUTED_VALUE"""),0.7759)</f>
        <v>0.77590000000000003</v>
      </c>
    </row>
    <row r="82" spans="1:15" ht="12.5">
      <c r="A82" s="10" t="s">
        <v>39</v>
      </c>
      <c r="B82" s="11" t="s">
        <v>84</v>
      </c>
      <c r="C82" s="12">
        <v>1</v>
      </c>
      <c r="D82" s="12">
        <v>0.7409</v>
      </c>
      <c r="E82" s="12">
        <v>0</v>
      </c>
      <c r="F82" s="12">
        <v>4.5273000000000003</v>
      </c>
      <c r="G82" s="13">
        <v>0.7409</v>
      </c>
      <c r="I82" s="15" t="str">
        <f ca="1">IFERROR(__xludf.DUMMYFUNCTION("""COMPUTED_VALUE"""),"Information Disclosure: Social Engineering Against Remote User")</f>
        <v>Information Disclosure: Social Engineering Against Remote User</v>
      </c>
      <c r="J82" s="2" t="str">
        <f ca="1">IFERROR(__xludf.DUMMYFUNCTION("""COMPUTED_VALUE"""),"User")</f>
        <v>User</v>
      </c>
      <c r="K82" s="2">
        <f ca="1">IFERROR(__xludf.DUMMYFUNCTION("""COMPUTED_VALUE"""),1)</f>
        <v>1</v>
      </c>
      <c r="L82" s="2">
        <f ca="1">IFERROR(__xludf.DUMMYFUNCTION("""COMPUTED_VALUE"""),0.750714285714285)</f>
        <v>0.750714285714285</v>
      </c>
      <c r="M82" s="2">
        <f ca="1">IFERROR(__xludf.DUMMYFUNCTION("""COMPUTED_VALUE"""),0.0000142857142857142)</f>
        <v>1.4285714285714201E-5</v>
      </c>
      <c r="N82" s="2">
        <f ca="1">IFERROR(__xludf.DUMMYFUNCTION("""COMPUTED_VALUE"""),4.99228571428571)</f>
        <v>4.9922857142857104</v>
      </c>
      <c r="O82" s="18">
        <f ca="1">IFERROR(__xludf.DUMMYFUNCTION("""COMPUTED_VALUE"""),0.750714285714285)</f>
        <v>0.750714285714285</v>
      </c>
    </row>
    <row r="83" spans="1:15" ht="12.5">
      <c r="A83" s="10" t="s">
        <v>39</v>
      </c>
      <c r="B83" s="11" t="s">
        <v>86</v>
      </c>
      <c r="C83" s="12">
        <v>1</v>
      </c>
      <c r="D83" s="12">
        <v>0.73340000000000005</v>
      </c>
      <c r="E83" s="12">
        <v>2.0000000000000001E-4</v>
      </c>
      <c r="F83" s="12">
        <v>5.2321999999999997</v>
      </c>
      <c r="G83" s="13">
        <v>0.73340000000000005</v>
      </c>
      <c r="I83" s="15" t="str">
        <f ca="1">IFERROR(__xludf.DUMMYFUNCTION("""COMPUTED_VALUE"""),"Other: Cloud Application Abuse")</f>
        <v>Other: Cloud Application Abuse</v>
      </c>
      <c r="J83" s="2" t="str">
        <f ca="1">IFERROR(__xludf.DUMMYFUNCTION("""COMPUTED_VALUE"""),"IAM (IAM) - blog_app_lambda")</f>
        <v>IAM (IAM) - blog_app_lambda</v>
      </c>
      <c r="K83" s="2">
        <f ca="1">IFERROR(__xludf.DUMMYFUNCTION("""COMPUTED_VALUE"""),1)</f>
        <v>1</v>
      </c>
      <c r="L83" s="2">
        <f ca="1">IFERROR(__xludf.DUMMYFUNCTION("""COMPUTED_VALUE"""),0.7394)</f>
        <v>0.73939999999999995</v>
      </c>
      <c r="M83" s="2">
        <f ca="1">IFERROR(__xludf.DUMMYFUNCTION("""COMPUTED_VALUE"""),0)</f>
        <v>0</v>
      </c>
      <c r="N83" s="2">
        <f ca="1">IFERROR(__xludf.DUMMYFUNCTION("""COMPUTED_VALUE"""),4.7657)</f>
        <v>4.7656999999999998</v>
      </c>
      <c r="O83" s="18">
        <f ca="1">IFERROR(__xludf.DUMMYFUNCTION("""COMPUTED_VALUE"""),0.7394)</f>
        <v>0.73939999999999995</v>
      </c>
    </row>
    <row r="84" spans="1:15" ht="12.5">
      <c r="A84" s="10" t="s">
        <v>39</v>
      </c>
      <c r="B84" s="11" t="s">
        <v>86</v>
      </c>
      <c r="C84" s="12">
        <v>1</v>
      </c>
      <c r="D84" s="12">
        <v>0.77029999999999998</v>
      </c>
      <c r="E84" s="12">
        <v>0</v>
      </c>
      <c r="F84" s="12">
        <v>4.9040999999999997</v>
      </c>
      <c r="G84" s="13">
        <v>0.77029999999999998</v>
      </c>
      <c r="I84" s="15" t="str">
        <f ca="1">IFERROR(__xludf.DUMMYFUNCTION("""COMPUTED_VALUE"""),"Other: Cloud Application Abuse")</f>
        <v>Other: Cloud Application Abuse</v>
      </c>
      <c r="J84" s="2" t="str">
        <f ca="1">IFERROR(__xludf.DUMMYFUNCTION("""COMPUTED_VALUE"""),"IAM (IAM) - goat_role")</f>
        <v>IAM (IAM) - goat_role</v>
      </c>
      <c r="K84" s="2">
        <f ca="1">IFERROR(__xludf.DUMMYFUNCTION("""COMPUTED_VALUE"""),1)</f>
        <v>1</v>
      </c>
      <c r="L84" s="2">
        <f ca="1">IFERROR(__xludf.DUMMYFUNCTION("""COMPUTED_VALUE"""),0.7369)</f>
        <v>0.7369</v>
      </c>
      <c r="M84" s="2">
        <f ca="1">IFERROR(__xludf.DUMMYFUNCTION("""COMPUTED_VALUE"""),0.0003)</f>
        <v>2.9999999999999997E-4</v>
      </c>
      <c r="N84" s="2">
        <f ca="1">IFERROR(__xludf.DUMMYFUNCTION("""COMPUTED_VALUE"""),4.8771)</f>
        <v>4.8771000000000004</v>
      </c>
      <c r="O84" s="18">
        <f ca="1">IFERROR(__xludf.DUMMYFUNCTION("""COMPUTED_VALUE"""),0.7369)</f>
        <v>0.7369</v>
      </c>
    </row>
    <row r="85" spans="1:15" ht="12.5">
      <c r="A85" s="10" t="s">
        <v>39</v>
      </c>
      <c r="B85" s="11" t="s">
        <v>89</v>
      </c>
      <c r="C85" s="12">
        <v>1</v>
      </c>
      <c r="D85" s="12">
        <v>0.74009999999999998</v>
      </c>
      <c r="E85" s="12">
        <v>1E-4</v>
      </c>
      <c r="F85" s="12">
        <v>4.3796999999999997</v>
      </c>
      <c r="G85" s="13">
        <v>0.74009999999999998</v>
      </c>
      <c r="I85" s="15" t="str">
        <f ca="1">IFERROR(__xludf.DUMMYFUNCTION("""COMPUTED_VALUE"""),"Other: Cloud Application Abuse")</f>
        <v>Other: Cloud Application Abuse</v>
      </c>
      <c r="J85" s="2" t="str">
        <f ca="1">IFERROR(__xludf.DUMMYFUNCTION("""COMPUTED_VALUE"""),"LoadBalancer (APIGateway) - api")</f>
        <v>LoadBalancer (APIGateway) - api</v>
      </c>
      <c r="K85" s="2">
        <f ca="1">IFERROR(__xludf.DUMMYFUNCTION("""COMPUTED_VALUE"""),1)</f>
        <v>1</v>
      </c>
      <c r="L85" s="2">
        <f ca="1">IFERROR(__xludf.DUMMYFUNCTION("""COMPUTED_VALUE"""),0.7555)</f>
        <v>0.75549999999999995</v>
      </c>
      <c r="M85" s="2">
        <f ca="1">IFERROR(__xludf.DUMMYFUNCTION("""COMPUTED_VALUE"""),0.0001)</f>
        <v>1E-4</v>
      </c>
      <c r="N85" s="2">
        <f ca="1">IFERROR(__xludf.DUMMYFUNCTION("""COMPUTED_VALUE"""),5.1531)</f>
        <v>5.1531000000000002</v>
      </c>
      <c r="O85" s="18">
        <f ca="1">IFERROR(__xludf.DUMMYFUNCTION("""COMPUTED_VALUE"""),0.7555)</f>
        <v>0.75549999999999995</v>
      </c>
    </row>
    <row r="86" spans="1:15" ht="12.5">
      <c r="A86" s="10" t="s">
        <v>39</v>
      </c>
      <c r="B86" s="11" t="s">
        <v>82</v>
      </c>
      <c r="C86" s="12">
        <v>1</v>
      </c>
      <c r="D86" s="12">
        <v>0.73570000000000002</v>
      </c>
      <c r="E86" s="12">
        <v>0</v>
      </c>
      <c r="F86" s="12">
        <v>4.8376000000000001</v>
      </c>
      <c r="G86" s="13">
        <v>0.73570000000000002</v>
      </c>
      <c r="I86" s="15" t="str">
        <f ca="1">IFERROR(__xludf.DUMMYFUNCTION("""COMPUTED_VALUE"""),"Other: Cloud Application Abuse")</f>
        <v>Other: Cloud Application Abuse</v>
      </c>
      <c r="J86" s="2" t="str">
        <f ca="1">IFERROR(__xludf.DUMMYFUNCTION("""COMPUTED_VALUE"""),"LoadBalancer (APIGateway) - apiLambda_ba")</f>
        <v>LoadBalancer (APIGateway) - apiLambda_ba</v>
      </c>
      <c r="K86" s="2">
        <f ca="1">IFERROR(__xludf.DUMMYFUNCTION("""COMPUTED_VALUE"""),1)</f>
        <v>1</v>
      </c>
      <c r="L86" s="2">
        <f ca="1">IFERROR(__xludf.DUMMYFUNCTION("""COMPUTED_VALUE"""),0.7488)</f>
        <v>0.74880000000000002</v>
      </c>
      <c r="M86" s="2">
        <f ca="1">IFERROR(__xludf.DUMMYFUNCTION("""COMPUTED_VALUE"""),0.0004)</f>
        <v>4.0000000000000002E-4</v>
      </c>
      <c r="N86" s="2">
        <f ca="1">IFERROR(__xludf.DUMMYFUNCTION("""COMPUTED_VALUE"""),5.2657)</f>
        <v>5.2656999999999998</v>
      </c>
      <c r="O86" s="18">
        <f ca="1">IFERROR(__xludf.DUMMYFUNCTION("""COMPUTED_VALUE"""),0.7488)</f>
        <v>0.74880000000000002</v>
      </c>
    </row>
    <row r="87" spans="1:15" ht="12.5">
      <c r="A87" s="10" t="s">
        <v>39</v>
      </c>
      <c r="B87" s="11" t="s">
        <v>91</v>
      </c>
      <c r="C87" s="12">
        <v>1</v>
      </c>
      <c r="D87" s="12">
        <v>0.71989999999999998</v>
      </c>
      <c r="E87" s="12">
        <v>1E-4</v>
      </c>
      <c r="F87" s="12">
        <v>5.2123999999999997</v>
      </c>
      <c r="G87" s="13">
        <v>0.71989999999999998</v>
      </c>
      <c r="I87" s="15" t="str">
        <f ca="1">IFERROR(__xludf.DUMMYFUNCTION("""COMPUTED_VALUE"""),"Other: Cloud Application Abuse")</f>
        <v>Other: Cloud Application Abuse</v>
      </c>
      <c r="J87" s="2" t="str">
        <f ca="1">IFERROR(__xludf.DUMMYFUNCTION("""COMPUTED_VALUE"""),"ServerlessFunction (AwsLambda) - lambda_ba_data")</f>
        <v>ServerlessFunction (AwsLambda) - lambda_ba_data</v>
      </c>
      <c r="K87" s="2">
        <f ca="1">IFERROR(__xludf.DUMMYFUNCTION("""COMPUTED_VALUE"""),1)</f>
        <v>1</v>
      </c>
      <c r="L87" s="2">
        <f ca="1">IFERROR(__xludf.DUMMYFUNCTION("""COMPUTED_VALUE"""),0.7559)</f>
        <v>0.75590000000000002</v>
      </c>
      <c r="M87" s="2">
        <f ca="1">IFERROR(__xludf.DUMMYFUNCTION("""COMPUTED_VALUE"""),0)</f>
        <v>0</v>
      </c>
      <c r="N87" s="2">
        <f ca="1">IFERROR(__xludf.DUMMYFUNCTION("""COMPUTED_VALUE"""),5.0707)</f>
        <v>5.0707000000000004</v>
      </c>
      <c r="O87" s="18">
        <f ca="1">IFERROR(__xludf.DUMMYFUNCTION("""COMPUTED_VALUE"""),0.7559)</f>
        <v>0.75590000000000002</v>
      </c>
    </row>
    <row r="88" spans="1:15" ht="12.5">
      <c r="A88" s="10" t="s">
        <v>40</v>
      </c>
      <c r="B88" s="11" t="s">
        <v>93</v>
      </c>
      <c r="C88" s="12">
        <v>1</v>
      </c>
      <c r="D88" s="12">
        <v>0.68879999999999997</v>
      </c>
      <c r="E88" s="12">
        <v>0</v>
      </c>
      <c r="F88" s="12">
        <v>4.7606999999999999</v>
      </c>
      <c r="G88" s="13">
        <v>0.68879999999999997</v>
      </c>
      <c r="I88" s="15" t="str">
        <f ca="1">IFERROR(__xludf.DUMMYFUNCTION("""COMPUTED_VALUE"""),"Other: Cloud Application Abuse")</f>
        <v>Other: Cloud Application Abuse</v>
      </c>
      <c r="J88" s="2" t="str">
        <f ca="1">IFERROR(__xludf.DUMMYFUNCTION("""COMPUTED_VALUE"""),"ServerlessFunction (AwsLambda) - react_lambda_app")</f>
        <v>ServerlessFunction (AwsLambda) - react_lambda_app</v>
      </c>
      <c r="K88" s="2">
        <f ca="1">IFERROR(__xludf.DUMMYFUNCTION("""COMPUTED_VALUE"""),1)</f>
        <v>1</v>
      </c>
      <c r="L88" s="2">
        <f ca="1">IFERROR(__xludf.DUMMYFUNCTION("""COMPUTED_VALUE"""),0.7453)</f>
        <v>0.74529999999999996</v>
      </c>
      <c r="M88" s="2">
        <f ca="1">IFERROR(__xludf.DUMMYFUNCTION("""COMPUTED_VALUE"""),0.0001)</f>
        <v>1E-4</v>
      </c>
      <c r="N88" s="2">
        <f ca="1">IFERROR(__xludf.DUMMYFUNCTION("""COMPUTED_VALUE"""),5.9584)</f>
        <v>5.9584000000000001</v>
      </c>
      <c r="O88" s="18">
        <f ca="1">IFERROR(__xludf.DUMMYFUNCTION("""COMPUTED_VALUE"""),0.7453)</f>
        <v>0.74529999999999996</v>
      </c>
    </row>
    <row r="89" spans="1:15" ht="12.5">
      <c r="A89" s="10" t="s">
        <v>13</v>
      </c>
      <c r="B89" s="11" t="s">
        <v>80</v>
      </c>
      <c r="C89" s="12">
        <v>1</v>
      </c>
      <c r="D89" s="12">
        <v>0.75949999999999995</v>
      </c>
      <c r="E89" s="12">
        <v>0</v>
      </c>
      <c r="F89" s="12">
        <v>5.0126999999999997</v>
      </c>
      <c r="G89" s="13">
        <v>0.75949999999999995</v>
      </c>
      <c r="I89" s="15" t="str">
        <f ca="1">IFERROR(__xludf.DUMMYFUNCTION("""COMPUTED_VALUE"""),"Other: Cloud Application Abuse")</f>
        <v>Other: Cloud Application Abuse</v>
      </c>
      <c r="J89" s="2" t="str">
        <f ca="1">IFERROR(__xludf.DUMMYFUNCTION("""COMPUTED_VALUE"""),"VirtualFirewall (SecurityGroup) - goat_sg")</f>
        <v>VirtualFirewall (SecurityGroup) - goat_sg</v>
      </c>
      <c r="K89" s="2">
        <f ca="1">IFERROR(__xludf.DUMMYFUNCTION("""COMPUTED_VALUE"""),1)</f>
        <v>1</v>
      </c>
      <c r="L89" s="2">
        <f ca="1">IFERROR(__xludf.DUMMYFUNCTION("""COMPUTED_VALUE"""),0.7883)</f>
        <v>0.7883</v>
      </c>
      <c r="M89" s="2">
        <f ca="1">IFERROR(__xludf.DUMMYFUNCTION("""COMPUTED_VALUE"""),0)</f>
        <v>0</v>
      </c>
      <c r="N89" s="2">
        <f ca="1">IFERROR(__xludf.DUMMYFUNCTION("""COMPUTED_VALUE"""),4.8)</f>
        <v>4.8</v>
      </c>
      <c r="O89" s="18">
        <f ca="1">IFERROR(__xludf.DUMMYFUNCTION("""COMPUTED_VALUE"""),0.7883)</f>
        <v>0.7883</v>
      </c>
    </row>
    <row r="90" spans="1:15" ht="12.5">
      <c r="A90" s="10" t="s">
        <v>13</v>
      </c>
      <c r="B90" s="11" t="s">
        <v>82</v>
      </c>
      <c r="C90" s="12">
        <v>1</v>
      </c>
      <c r="D90" s="12">
        <v>0.73560000000000003</v>
      </c>
      <c r="E90" s="12">
        <v>1E-4</v>
      </c>
      <c r="F90" s="12">
        <v>4.9400000000000004</v>
      </c>
      <c r="G90" s="13">
        <v>0.73560000000000003</v>
      </c>
      <c r="I90" s="15" t="str">
        <f ca="1">IFERROR(__xludf.DUMMYFUNCTION("""COMPUTED_VALUE"""),"Other: Network Attacks To Cloud Application")</f>
        <v>Other: Network Attacks To Cloud Application</v>
      </c>
      <c r="J90" s="2" t="str">
        <f ca="1">IFERROR(__xludf.DUMMYFUNCTION("""COMPUTED_VALUE"""),"IAM (IAM) - blog_app_lambda")</f>
        <v>IAM (IAM) - blog_app_lambda</v>
      </c>
      <c r="K90" s="2">
        <f ca="1">IFERROR(__xludf.DUMMYFUNCTION("""COMPUTED_VALUE"""),1)</f>
        <v>1</v>
      </c>
      <c r="L90" s="2">
        <f ca="1">IFERROR(__xludf.DUMMYFUNCTION("""COMPUTED_VALUE"""),0.7677)</f>
        <v>0.76770000000000005</v>
      </c>
      <c r="M90" s="2">
        <f ca="1">IFERROR(__xludf.DUMMYFUNCTION("""COMPUTED_VALUE"""),0.0001)</f>
        <v>1E-4</v>
      </c>
      <c r="N90" s="2">
        <f ca="1">IFERROR(__xludf.DUMMYFUNCTION("""COMPUTED_VALUE"""),5.2007)</f>
        <v>5.2007000000000003</v>
      </c>
      <c r="O90" s="18">
        <f ca="1">IFERROR(__xludf.DUMMYFUNCTION("""COMPUTED_VALUE"""),0.7677)</f>
        <v>0.76770000000000005</v>
      </c>
    </row>
    <row r="91" spans="1:15" ht="12.5">
      <c r="A91" s="10" t="s">
        <v>13</v>
      </c>
      <c r="B91" s="11" t="s">
        <v>84</v>
      </c>
      <c r="C91" s="12">
        <v>1</v>
      </c>
      <c r="D91" s="12">
        <v>0.6855</v>
      </c>
      <c r="E91" s="12">
        <v>0</v>
      </c>
      <c r="F91" s="12">
        <v>5.0406000000000004</v>
      </c>
      <c r="G91" s="13">
        <v>0.6855</v>
      </c>
      <c r="I91" s="15" t="str">
        <f ca="1">IFERROR(__xludf.DUMMYFUNCTION("""COMPUTED_VALUE"""),"Other: Network Attacks To Cloud Application")</f>
        <v>Other: Network Attacks To Cloud Application</v>
      </c>
      <c r="J91" s="2" t="str">
        <f ca="1">IFERROR(__xludf.DUMMYFUNCTION("""COMPUTED_VALUE"""),"IAM (IAM) - goat_role")</f>
        <v>IAM (IAM) - goat_role</v>
      </c>
      <c r="K91" s="2">
        <f ca="1">IFERROR(__xludf.DUMMYFUNCTION("""COMPUTED_VALUE"""),1)</f>
        <v>1</v>
      </c>
      <c r="L91" s="2">
        <f ca="1">IFERROR(__xludf.DUMMYFUNCTION("""COMPUTED_VALUE"""),0.7546)</f>
        <v>0.75460000000000005</v>
      </c>
      <c r="M91" s="2">
        <f ca="1">IFERROR(__xludf.DUMMYFUNCTION("""COMPUTED_VALUE"""),0)</f>
        <v>0</v>
      </c>
      <c r="N91" s="2">
        <f ca="1">IFERROR(__xludf.DUMMYFUNCTION("""COMPUTED_VALUE"""),5.7769)</f>
        <v>5.7769000000000004</v>
      </c>
      <c r="O91" s="18">
        <f ca="1">IFERROR(__xludf.DUMMYFUNCTION("""COMPUTED_VALUE"""),0.7546)</f>
        <v>0.75460000000000005</v>
      </c>
    </row>
    <row r="92" spans="1:15" ht="12.5">
      <c r="A92" s="10" t="s">
        <v>13</v>
      </c>
      <c r="B92" s="11" t="s">
        <v>86</v>
      </c>
      <c r="C92" s="12">
        <v>1</v>
      </c>
      <c r="D92" s="12">
        <v>0.77349999999999997</v>
      </c>
      <c r="E92" s="12">
        <v>0</v>
      </c>
      <c r="F92" s="12">
        <v>4.9273999999999996</v>
      </c>
      <c r="G92" s="13">
        <v>0.77349999999999997</v>
      </c>
      <c r="I92" s="15" t="str">
        <f ca="1">IFERROR(__xludf.DUMMYFUNCTION("""COMPUTED_VALUE"""),"Other: Network Attacks To Cloud Application")</f>
        <v>Other: Network Attacks To Cloud Application</v>
      </c>
      <c r="J92" s="2" t="str">
        <f ca="1">IFERROR(__xludf.DUMMYFUNCTION("""COMPUTED_VALUE"""),"LoadBalancer (APIGateway) - api")</f>
        <v>LoadBalancer (APIGateway) - api</v>
      </c>
      <c r="K92" s="2">
        <f ca="1">IFERROR(__xludf.DUMMYFUNCTION("""COMPUTED_VALUE"""),1)</f>
        <v>1</v>
      </c>
      <c r="L92" s="2">
        <f ca="1">IFERROR(__xludf.DUMMYFUNCTION("""COMPUTED_VALUE"""),0.7735)</f>
        <v>0.77349999999999997</v>
      </c>
      <c r="M92" s="2">
        <f ca="1">IFERROR(__xludf.DUMMYFUNCTION("""COMPUTED_VALUE"""),0.0001)</f>
        <v>1E-4</v>
      </c>
      <c r="N92" s="2">
        <f ca="1">IFERROR(__xludf.DUMMYFUNCTION("""COMPUTED_VALUE"""),4.7963)</f>
        <v>4.7962999999999996</v>
      </c>
      <c r="O92" s="18">
        <f ca="1">IFERROR(__xludf.DUMMYFUNCTION("""COMPUTED_VALUE"""),0.7735)</f>
        <v>0.77349999999999997</v>
      </c>
    </row>
    <row r="93" spans="1:15" ht="12.5">
      <c r="A93" s="10" t="s">
        <v>13</v>
      </c>
      <c r="B93" s="11" t="s">
        <v>86</v>
      </c>
      <c r="C93" s="12">
        <v>1</v>
      </c>
      <c r="D93" s="12">
        <v>0.69499999999999995</v>
      </c>
      <c r="E93" s="12">
        <v>0</v>
      </c>
      <c r="F93" s="12">
        <v>4.8371000000000004</v>
      </c>
      <c r="G93" s="13">
        <v>0.69499999999999995</v>
      </c>
      <c r="I93" s="15" t="str">
        <f ca="1">IFERROR(__xludf.DUMMYFUNCTION("""COMPUTED_VALUE"""),"Other: Network Attacks To Cloud Application")</f>
        <v>Other: Network Attacks To Cloud Application</v>
      </c>
      <c r="J93" s="2" t="str">
        <f ca="1">IFERROR(__xludf.DUMMYFUNCTION("""COMPUTED_VALUE"""),"LoadBalancer (APIGateway) - apiLambda_ba")</f>
        <v>LoadBalancer (APIGateway) - apiLambda_ba</v>
      </c>
      <c r="K93" s="2">
        <f ca="1">IFERROR(__xludf.DUMMYFUNCTION("""COMPUTED_VALUE"""),1)</f>
        <v>1</v>
      </c>
      <c r="L93" s="2">
        <f ca="1">IFERROR(__xludf.DUMMYFUNCTION("""COMPUTED_VALUE"""),0.6972)</f>
        <v>0.69720000000000004</v>
      </c>
      <c r="M93" s="2">
        <f ca="1">IFERROR(__xludf.DUMMYFUNCTION("""COMPUTED_VALUE"""),0)</f>
        <v>0</v>
      </c>
      <c r="N93" s="2">
        <f ca="1">IFERROR(__xludf.DUMMYFUNCTION("""COMPUTED_VALUE"""),4.9448)</f>
        <v>4.9447999999999999</v>
      </c>
      <c r="O93" s="18">
        <f ca="1">IFERROR(__xludf.DUMMYFUNCTION("""COMPUTED_VALUE"""),0.6972)</f>
        <v>0.69720000000000004</v>
      </c>
    </row>
    <row r="94" spans="1:15" ht="12.5">
      <c r="A94" s="10" t="s">
        <v>13</v>
      </c>
      <c r="B94" s="11" t="s">
        <v>89</v>
      </c>
      <c r="C94" s="12">
        <v>1</v>
      </c>
      <c r="D94" s="12">
        <v>0.73129999999999995</v>
      </c>
      <c r="E94" s="12">
        <v>1E-4</v>
      </c>
      <c r="F94" s="12">
        <v>4.7939999999999996</v>
      </c>
      <c r="G94" s="13">
        <v>0.73129999999999995</v>
      </c>
      <c r="I94" s="15" t="str">
        <f ca="1">IFERROR(__xludf.DUMMYFUNCTION("""COMPUTED_VALUE"""),"Other: Network Attacks To Cloud Application")</f>
        <v>Other: Network Attacks To Cloud Application</v>
      </c>
      <c r="J94" s="2" t="str">
        <f ca="1">IFERROR(__xludf.DUMMYFUNCTION("""COMPUTED_VALUE"""),"ServerlessFunction (AwsLambda) - lambda_ba_data")</f>
        <v>ServerlessFunction (AwsLambda) - lambda_ba_data</v>
      </c>
      <c r="K94" s="2">
        <f ca="1">IFERROR(__xludf.DUMMYFUNCTION("""COMPUTED_VALUE"""),1)</f>
        <v>1</v>
      </c>
      <c r="L94" s="2">
        <f ca="1">IFERROR(__xludf.DUMMYFUNCTION("""COMPUTED_VALUE"""),0.8267)</f>
        <v>0.82669999999999999</v>
      </c>
      <c r="M94" s="2">
        <f ca="1">IFERROR(__xludf.DUMMYFUNCTION("""COMPUTED_VALUE"""),0)</f>
        <v>0</v>
      </c>
      <c r="N94" s="2">
        <f ca="1">IFERROR(__xludf.DUMMYFUNCTION("""COMPUTED_VALUE"""),5.0494)</f>
        <v>5.0494000000000003</v>
      </c>
      <c r="O94" s="18">
        <f ca="1">IFERROR(__xludf.DUMMYFUNCTION("""COMPUTED_VALUE"""),0.8267)</f>
        <v>0.82669999999999999</v>
      </c>
    </row>
    <row r="95" spans="1:15" ht="12.5">
      <c r="A95" s="10" t="s">
        <v>13</v>
      </c>
      <c r="B95" s="11" t="s">
        <v>82</v>
      </c>
      <c r="C95" s="12">
        <v>1</v>
      </c>
      <c r="D95" s="12">
        <v>0.76910000000000001</v>
      </c>
      <c r="E95" s="12">
        <v>0</v>
      </c>
      <c r="F95" s="12">
        <v>4.3949999999999996</v>
      </c>
      <c r="G95" s="13">
        <v>0.76910000000000001</v>
      </c>
      <c r="I95" s="15" t="str">
        <f ca="1">IFERROR(__xludf.DUMMYFUNCTION("""COMPUTED_VALUE"""),"Other: Network Attacks To Cloud Application")</f>
        <v>Other: Network Attacks To Cloud Application</v>
      </c>
      <c r="J95" s="2" t="str">
        <f ca="1">IFERROR(__xludf.DUMMYFUNCTION("""COMPUTED_VALUE"""),"ServerlessFunction (AwsLambda) - react_lambda_app")</f>
        <v>ServerlessFunction (AwsLambda) - react_lambda_app</v>
      </c>
      <c r="K95" s="2">
        <f ca="1">IFERROR(__xludf.DUMMYFUNCTION("""COMPUTED_VALUE"""),1)</f>
        <v>1</v>
      </c>
      <c r="L95" s="2">
        <f ca="1">IFERROR(__xludf.DUMMYFUNCTION("""COMPUTED_VALUE"""),0.7648)</f>
        <v>0.76480000000000004</v>
      </c>
      <c r="M95" s="2">
        <f ca="1">IFERROR(__xludf.DUMMYFUNCTION("""COMPUTED_VALUE"""),0)</f>
        <v>0</v>
      </c>
      <c r="N95" s="2">
        <f ca="1">IFERROR(__xludf.DUMMYFUNCTION("""COMPUTED_VALUE"""),5.468)</f>
        <v>5.468</v>
      </c>
      <c r="O95" s="18">
        <f ca="1">IFERROR(__xludf.DUMMYFUNCTION("""COMPUTED_VALUE"""),0.7648)</f>
        <v>0.76480000000000004</v>
      </c>
    </row>
    <row r="96" spans="1:15" ht="12.5">
      <c r="A96" s="10" t="s">
        <v>13</v>
      </c>
      <c r="B96" s="11" t="s">
        <v>91</v>
      </c>
      <c r="C96" s="12">
        <v>1</v>
      </c>
      <c r="D96" s="12">
        <v>0.77</v>
      </c>
      <c r="E96" s="12">
        <v>0</v>
      </c>
      <c r="F96" s="12">
        <v>5.8536999999999999</v>
      </c>
      <c r="G96" s="13">
        <v>0.77</v>
      </c>
      <c r="I96" s="15" t="str">
        <f ca="1">IFERROR(__xludf.DUMMYFUNCTION("""COMPUTED_VALUE"""),"Other: Network Attacks To Cloud Application")</f>
        <v>Other: Network Attacks To Cloud Application</v>
      </c>
      <c r="J96" s="2" t="str">
        <f ca="1">IFERROR(__xludf.DUMMYFUNCTION("""COMPUTED_VALUE"""),"VirtualFirewall (SecurityGroup) - goat_sg")</f>
        <v>VirtualFirewall (SecurityGroup) - goat_sg</v>
      </c>
      <c r="K96" s="2">
        <f ca="1">IFERROR(__xludf.DUMMYFUNCTION("""COMPUTED_VALUE"""),1)</f>
        <v>1</v>
      </c>
      <c r="L96" s="2">
        <f ca="1">IFERROR(__xludf.DUMMYFUNCTION("""COMPUTED_VALUE"""),0.7215)</f>
        <v>0.72150000000000003</v>
      </c>
      <c r="M96" s="2">
        <f ca="1">IFERROR(__xludf.DUMMYFUNCTION("""COMPUTED_VALUE"""),0.0001)</f>
        <v>1E-4</v>
      </c>
      <c r="N96" s="2">
        <f ca="1">IFERROR(__xludf.DUMMYFUNCTION("""COMPUTED_VALUE"""),4.8937)</f>
        <v>4.8936999999999999</v>
      </c>
      <c r="O96" s="18">
        <f ca="1">IFERROR(__xludf.DUMMYFUNCTION("""COMPUTED_VALUE"""),0.7215)</f>
        <v>0.72150000000000003</v>
      </c>
    </row>
    <row r="97" spans="1:15" ht="12.5">
      <c r="A97" s="10" t="s">
        <v>48</v>
      </c>
      <c r="B97" s="11" t="s">
        <v>80</v>
      </c>
      <c r="C97" s="12">
        <v>1</v>
      </c>
      <c r="D97" s="12">
        <v>0.72670000000000001</v>
      </c>
      <c r="E97" s="12">
        <v>1E-4</v>
      </c>
      <c r="F97" s="12">
        <v>5.1929999999999996</v>
      </c>
      <c r="G97" s="13">
        <v>0.72670000000000001</v>
      </c>
      <c r="I97" s="15" t="str">
        <f ca="1">IFERROR(__xludf.DUMMYFUNCTION("""COMPUTED_VALUE"""),"Repudiation: Attacking the Logs")</f>
        <v>Repudiation: Attacking the Logs</v>
      </c>
      <c r="J97" s="2" t="str">
        <f ca="1">IFERROR(__xludf.DUMMYFUNCTION("""COMPUTED_VALUE"""),"FileStorage (S3) - bucket_temp")</f>
        <v>FileStorage (S3) - bucket_temp</v>
      </c>
      <c r="K97" s="2">
        <f ca="1">IFERROR(__xludf.DUMMYFUNCTION("""COMPUTED_VALUE"""),1)</f>
        <v>1</v>
      </c>
      <c r="L97" s="2">
        <f ca="1">IFERROR(__xludf.DUMMYFUNCTION("""COMPUTED_VALUE"""),0.71175)</f>
        <v>0.71174999999999999</v>
      </c>
      <c r="M97" s="2">
        <f ca="1">IFERROR(__xludf.DUMMYFUNCTION("""COMPUTED_VALUE"""),0)</f>
        <v>0</v>
      </c>
      <c r="N97" s="2">
        <f ca="1">IFERROR(__xludf.DUMMYFUNCTION("""COMPUTED_VALUE"""),4.63015)</f>
        <v>4.6301500000000004</v>
      </c>
      <c r="O97" s="18">
        <f ca="1">IFERROR(__xludf.DUMMYFUNCTION("""COMPUTED_VALUE"""),0.71175)</f>
        <v>0.71174999999999999</v>
      </c>
    </row>
    <row r="98" spans="1:15" ht="12.5">
      <c r="A98" s="10" t="s">
        <v>48</v>
      </c>
      <c r="B98" s="11" t="s">
        <v>82</v>
      </c>
      <c r="C98" s="12">
        <v>1</v>
      </c>
      <c r="D98" s="12">
        <v>0.75639999999999996</v>
      </c>
      <c r="E98" s="12">
        <v>0</v>
      </c>
      <c r="F98" s="12">
        <v>4.7892000000000001</v>
      </c>
      <c r="G98" s="13">
        <v>0.75639999999999996</v>
      </c>
      <c r="I98" s="15" t="str">
        <f ca="1">IFERROR(__xludf.DUMMYFUNCTION("""COMPUTED_VALUE"""),"Repudiation: Attacking the Logs")</f>
        <v>Repudiation: Attacking the Logs</v>
      </c>
      <c r="J98" s="2" t="str">
        <f ca="1">IFERROR(__xludf.DUMMYFUNCTION("""COMPUTED_VALUE"""),"FileStorage (S3) - bucket_tf_files")</f>
        <v>FileStorage (S3) - bucket_tf_files</v>
      </c>
      <c r="K98" s="2">
        <f ca="1">IFERROR(__xludf.DUMMYFUNCTION("""COMPUTED_VALUE"""),1)</f>
        <v>1</v>
      </c>
      <c r="L98" s="2">
        <f ca="1">IFERROR(__xludf.DUMMYFUNCTION("""COMPUTED_VALUE"""),0.7333)</f>
        <v>0.73329999999999995</v>
      </c>
      <c r="M98" s="2">
        <f ca="1">IFERROR(__xludf.DUMMYFUNCTION("""COMPUTED_VALUE"""),0)</f>
        <v>0</v>
      </c>
      <c r="N98" s="2">
        <f ca="1">IFERROR(__xludf.DUMMYFUNCTION("""COMPUTED_VALUE"""),5.5902)</f>
        <v>5.5902000000000003</v>
      </c>
      <c r="O98" s="18">
        <f ca="1">IFERROR(__xludf.DUMMYFUNCTION("""COMPUTED_VALUE"""),0.7333)</f>
        <v>0.73329999999999995</v>
      </c>
    </row>
    <row r="99" spans="1:15" ht="12.5">
      <c r="A99" s="10" t="s">
        <v>48</v>
      </c>
      <c r="B99" s="11" t="s">
        <v>84</v>
      </c>
      <c r="C99" s="12">
        <v>1</v>
      </c>
      <c r="D99" s="12">
        <v>0.74109999999999998</v>
      </c>
      <c r="E99" s="12">
        <v>0</v>
      </c>
      <c r="F99" s="12">
        <v>4.9848999999999997</v>
      </c>
      <c r="G99" s="13">
        <v>0.74109999999999998</v>
      </c>
      <c r="I99" s="15" t="str">
        <f ca="1">IFERROR(__xludf.DUMMYFUNCTION("""COMPUTED_VALUE"""),"Repudiation: Attacking the Logs")</f>
        <v>Repudiation: Attacking the Logs</v>
      </c>
      <c r="J99" s="2" t="str">
        <f ca="1">IFERROR(__xludf.DUMMYFUNCTION("""COMPUTED_VALUE"""),"FileStorage (S3) - bucket_upload")</f>
        <v>FileStorage (S3) - bucket_upload</v>
      </c>
      <c r="K99" s="2">
        <f ca="1">IFERROR(__xludf.DUMMYFUNCTION("""COMPUTED_VALUE"""),1)</f>
        <v>1</v>
      </c>
      <c r="L99" s="2">
        <f ca="1">IFERROR(__xludf.DUMMYFUNCTION("""COMPUTED_VALUE"""),0.7631)</f>
        <v>0.7631</v>
      </c>
      <c r="M99" s="2">
        <f ca="1">IFERROR(__xludf.DUMMYFUNCTION("""COMPUTED_VALUE"""),0.0001)</f>
        <v>1E-4</v>
      </c>
      <c r="N99" s="2">
        <f ca="1">IFERROR(__xludf.DUMMYFUNCTION("""COMPUTED_VALUE"""),5.1135)</f>
        <v>5.1135000000000002</v>
      </c>
      <c r="O99" s="18">
        <f ca="1">IFERROR(__xludf.DUMMYFUNCTION("""COMPUTED_VALUE"""),0.7631)</f>
        <v>0.7631</v>
      </c>
    </row>
    <row r="100" spans="1:15" ht="12.5">
      <c r="A100" s="10" t="s">
        <v>48</v>
      </c>
      <c r="B100" s="11" t="s">
        <v>86</v>
      </c>
      <c r="C100" s="12">
        <v>1</v>
      </c>
      <c r="D100" s="12">
        <v>0.73270000000000002</v>
      </c>
      <c r="E100" s="12">
        <v>1E-4</v>
      </c>
      <c r="F100" s="12">
        <v>4.5522</v>
      </c>
      <c r="G100" s="13">
        <v>0.73270000000000002</v>
      </c>
      <c r="I100" s="15" t="str">
        <f ca="1">IFERROR(__xludf.DUMMYFUNCTION("""COMPUTED_VALUE"""),"Repudiation: Attacking the Logs")</f>
        <v>Repudiation: Attacking the Logs</v>
      </c>
      <c r="J100" s="2" t="str">
        <f ca="1">IFERROR(__xludf.DUMMYFUNCTION("""COMPUTED_VALUE"""),"FileStorage (S3) - dev")</f>
        <v>FileStorage (S3) - dev</v>
      </c>
      <c r="K100" s="2">
        <f ca="1">IFERROR(__xludf.DUMMYFUNCTION("""COMPUTED_VALUE"""),1)</f>
        <v>1</v>
      </c>
      <c r="L100" s="2">
        <f ca="1">IFERROR(__xludf.DUMMYFUNCTION("""COMPUTED_VALUE"""),0.7715)</f>
        <v>0.77149999999999996</v>
      </c>
      <c r="M100" s="2">
        <f ca="1">IFERROR(__xludf.DUMMYFUNCTION("""COMPUTED_VALUE"""),0)</f>
        <v>0</v>
      </c>
      <c r="N100" s="2">
        <f ca="1">IFERROR(__xludf.DUMMYFUNCTION("""COMPUTED_VALUE"""),4.6162)</f>
        <v>4.6162000000000001</v>
      </c>
      <c r="O100" s="18">
        <f ca="1">IFERROR(__xludf.DUMMYFUNCTION("""COMPUTED_VALUE"""),0.7715)</f>
        <v>0.77149999999999996</v>
      </c>
    </row>
    <row r="101" spans="1:15" ht="12.5">
      <c r="A101" s="10" t="s">
        <v>48</v>
      </c>
      <c r="B101" s="11" t="s">
        <v>86</v>
      </c>
      <c r="C101" s="12">
        <v>1</v>
      </c>
      <c r="D101" s="12">
        <v>0.74870000000000003</v>
      </c>
      <c r="E101" s="12">
        <v>2.9999999999999997E-4</v>
      </c>
      <c r="F101" s="12">
        <v>5.0034000000000001</v>
      </c>
      <c r="G101" s="13">
        <v>0.74870000000000003</v>
      </c>
      <c r="I101" s="15" t="str">
        <f ca="1">IFERROR(__xludf.DUMMYFUNCTION("""COMPUTED_VALUE"""),"Repudiation: Logs Of Cloud Application Lost")</f>
        <v>Repudiation: Logs Of Cloud Application Lost</v>
      </c>
      <c r="J101" s="2" t="str">
        <f ca="1">IFERROR(__xludf.DUMMYFUNCTION("""COMPUTED_VALUE"""),"IAM (IAM) - blog_app_lambda")</f>
        <v>IAM (IAM) - blog_app_lambda</v>
      </c>
      <c r="K101" s="2">
        <f ca="1">IFERROR(__xludf.DUMMYFUNCTION("""COMPUTED_VALUE"""),1)</f>
        <v>1</v>
      </c>
      <c r="L101" s="2">
        <f ca="1">IFERROR(__xludf.DUMMYFUNCTION("""COMPUTED_VALUE"""),0.7062)</f>
        <v>0.70620000000000005</v>
      </c>
      <c r="M101" s="2">
        <f ca="1">IFERROR(__xludf.DUMMYFUNCTION("""COMPUTED_VALUE"""),0)</f>
        <v>0</v>
      </c>
      <c r="N101" s="2">
        <f ca="1">IFERROR(__xludf.DUMMYFUNCTION("""COMPUTED_VALUE"""),5.49)</f>
        <v>5.49</v>
      </c>
      <c r="O101" s="18">
        <f ca="1">IFERROR(__xludf.DUMMYFUNCTION("""COMPUTED_VALUE"""),0.7062)</f>
        <v>0.70620000000000005</v>
      </c>
    </row>
    <row r="102" spans="1:15" ht="12.5">
      <c r="A102" s="10" t="s">
        <v>48</v>
      </c>
      <c r="B102" s="11" t="s">
        <v>89</v>
      </c>
      <c r="C102" s="12">
        <v>1</v>
      </c>
      <c r="D102" s="12">
        <v>0.70620000000000005</v>
      </c>
      <c r="E102" s="12">
        <v>0</v>
      </c>
      <c r="F102" s="12">
        <v>5.49</v>
      </c>
      <c r="G102" s="13">
        <v>0.70620000000000005</v>
      </c>
      <c r="I102" s="15" t="str">
        <f ca="1">IFERROR(__xludf.DUMMYFUNCTION("""COMPUTED_VALUE"""),"Repudiation: Logs Of Cloud Application Lost")</f>
        <v>Repudiation: Logs Of Cloud Application Lost</v>
      </c>
      <c r="J102" s="2" t="str">
        <f ca="1">IFERROR(__xludf.DUMMYFUNCTION("""COMPUTED_VALUE"""),"IAM (IAM) - goat_role")</f>
        <v>IAM (IAM) - goat_role</v>
      </c>
      <c r="K102" s="2">
        <f ca="1">IFERROR(__xludf.DUMMYFUNCTION("""COMPUTED_VALUE"""),1)</f>
        <v>1</v>
      </c>
      <c r="L102" s="2">
        <f ca="1">IFERROR(__xludf.DUMMYFUNCTION("""COMPUTED_VALUE"""),0.7411)</f>
        <v>0.74109999999999998</v>
      </c>
      <c r="M102" s="2">
        <f ca="1">IFERROR(__xludf.DUMMYFUNCTION("""COMPUTED_VALUE"""),0)</f>
        <v>0</v>
      </c>
      <c r="N102" s="2">
        <f ca="1">IFERROR(__xludf.DUMMYFUNCTION("""COMPUTED_VALUE"""),4.9849)</f>
        <v>4.9848999999999997</v>
      </c>
      <c r="O102" s="18">
        <f ca="1">IFERROR(__xludf.DUMMYFUNCTION("""COMPUTED_VALUE"""),0.7411)</f>
        <v>0.74109999999999998</v>
      </c>
    </row>
    <row r="103" spans="1:15" ht="12.5">
      <c r="A103" s="10" t="s">
        <v>48</v>
      </c>
      <c r="B103" s="11" t="s">
        <v>82</v>
      </c>
      <c r="C103" s="12">
        <v>1</v>
      </c>
      <c r="D103" s="12">
        <v>0.74509999999999998</v>
      </c>
      <c r="E103" s="12">
        <v>0</v>
      </c>
      <c r="F103" s="12">
        <v>4.5903</v>
      </c>
      <c r="G103" s="13">
        <v>0.74509999999999998</v>
      </c>
      <c r="I103" s="15" t="str">
        <f ca="1">IFERROR(__xludf.DUMMYFUNCTION("""COMPUTED_VALUE"""),"Repudiation: Logs Of Cloud Application Lost")</f>
        <v>Repudiation: Logs Of Cloud Application Lost</v>
      </c>
      <c r="J103" s="2" t="str">
        <f ca="1">IFERROR(__xludf.DUMMYFUNCTION("""COMPUTED_VALUE"""),"LoadBalancer (APIGateway) - api")</f>
        <v>LoadBalancer (APIGateway) - api</v>
      </c>
      <c r="K103" s="2">
        <f ca="1">IFERROR(__xludf.DUMMYFUNCTION("""COMPUTED_VALUE"""),1)</f>
        <v>1</v>
      </c>
      <c r="L103" s="2">
        <f ca="1">IFERROR(__xludf.DUMMYFUNCTION("""COMPUTED_VALUE"""),0.7514)</f>
        <v>0.75139999999999996</v>
      </c>
      <c r="M103" s="2">
        <f ca="1">IFERROR(__xludf.DUMMYFUNCTION("""COMPUTED_VALUE"""),0.0002)</f>
        <v>2.0000000000000001E-4</v>
      </c>
      <c r="N103" s="2">
        <f ca="1">IFERROR(__xludf.DUMMYFUNCTION("""COMPUTED_VALUE"""),4.5545)</f>
        <v>4.5545</v>
      </c>
      <c r="O103" s="18">
        <f ca="1">IFERROR(__xludf.DUMMYFUNCTION("""COMPUTED_VALUE"""),0.7514)</f>
        <v>0.75139999999999996</v>
      </c>
    </row>
    <row r="104" spans="1:15" ht="12.5">
      <c r="A104" s="10" t="s">
        <v>48</v>
      </c>
      <c r="B104" s="11" t="s">
        <v>91</v>
      </c>
      <c r="C104" s="12">
        <v>1</v>
      </c>
      <c r="D104" s="12">
        <v>0.75139999999999996</v>
      </c>
      <c r="E104" s="12">
        <v>2.0000000000000001E-4</v>
      </c>
      <c r="F104" s="12">
        <v>4.5545</v>
      </c>
      <c r="G104" s="13">
        <v>0.75139999999999996</v>
      </c>
      <c r="I104" s="15" t="str">
        <f ca="1">IFERROR(__xludf.DUMMYFUNCTION("""COMPUTED_VALUE"""),"Repudiation: Logs Of Cloud Application Lost")</f>
        <v>Repudiation: Logs Of Cloud Application Lost</v>
      </c>
      <c r="J104" s="2" t="str">
        <f ca="1">IFERROR(__xludf.DUMMYFUNCTION("""COMPUTED_VALUE"""),"LoadBalancer (APIGateway) - apiLambda_ba")</f>
        <v>LoadBalancer (APIGateway) - apiLambda_ba</v>
      </c>
      <c r="K104" s="2">
        <f ca="1">IFERROR(__xludf.DUMMYFUNCTION("""COMPUTED_VALUE"""),1)</f>
        <v>1</v>
      </c>
      <c r="L104" s="2">
        <f ca="1">IFERROR(__xludf.DUMMYFUNCTION("""COMPUTED_VALUE"""),0.7267)</f>
        <v>0.72670000000000001</v>
      </c>
      <c r="M104" s="2">
        <f ca="1">IFERROR(__xludf.DUMMYFUNCTION("""COMPUTED_VALUE"""),0.0001)</f>
        <v>1E-4</v>
      </c>
      <c r="N104" s="2">
        <f ca="1">IFERROR(__xludf.DUMMYFUNCTION("""COMPUTED_VALUE"""),5.193)</f>
        <v>5.1929999999999996</v>
      </c>
      <c r="O104" s="18">
        <f ca="1">IFERROR(__xludf.DUMMYFUNCTION("""COMPUTED_VALUE"""),0.7267)</f>
        <v>0.72670000000000001</v>
      </c>
    </row>
    <row r="105" spans="1:15" ht="12.5">
      <c r="A105" s="10" t="s">
        <v>24</v>
      </c>
      <c r="B105" s="11" t="s">
        <v>2</v>
      </c>
      <c r="C105" s="12">
        <v>1</v>
      </c>
      <c r="D105" s="12">
        <v>0.71140000000000003</v>
      </c>
      <c r="E105" s="12">
        <v>0</v>
      </c>
      <c r="F105" s="12">
        <v>4.6997</v>
      </c>
      <c r="G105" s="13">
        <v>0.71140000000000003</v>
      </c>
      <c r="I105" s="15" t="str">
        <f ca="1">IFERROR(__xludf.DUMMYFUNCTION("""COMPUTED_VALUE"""),"Repudiation: Logs Of Cloud Application Lost")</f>
        <v>Repudiation: Logs Of Cloud Application Lost</v>
      </c>
      <c r="J105" s="2" t="str">
        <f ca="1">IFERROR(__xludf.DUMMYFUNCTION("""COMPUTED_VALUE"""),"ServerlessFunction (AwsLambda) - lambda_ba_data")</f>
        <v>ServerlessFunction (AwsLambda) - lambda_ba_data</v>
      </c>
      <c r="K105" s="2">
        <f ca="1">IFERROR(__xludf.DUMMYFUNCTION("""COMPUTED_VALUE"""),1)</f>
        <v>1</v>
      </c>
      <c r="L105" s="2">
        <f ca="1">IFERROR(__xludf.DUMMYFUNCTION("""COMPUTED_VALUE"""),0.7407)</f>
        <v>0.74070000000000003</v>
      </c>
      <c r="M105" s="2">
        <f ca="1">IFERROR(__xludf.DUMMYFUNCTION("""COMPUTED_VALUE"""),0.000199999999999999)</f>
        <v>1.9999999999999901E-4</v>
      </c>
      <c r="N105" s="2">
        <f ca="1">IFERROR(__xludf.DUMMYFUNCTION("""COMPUTED_VALUE"""),4.7778)</f>
        <v>4.7778</v>
      </c>
      <c r="O105" s="18">
        <f ca="1">IFERROR(__xludf.DUMMYFUNCTION("""COMPUTED_VALUE"""),0.7407)</f>
        <v>0.74070000000000003</v>
      </c>
    </row>
    <row r="106" spans="1:15" ht="12.5">
      <c r="A106" s="10" t="s">
        <v>24</v>
      </c>
      <c r="B106" s="11" t="s">
        <v>2</v>
      </c>
      <c r="C106" s="12">
        <v>1</v>
      </c>
      <c r="D106" s="12">
        <v>0.72599999999999998</v>
      </c>
      <c r="E106" s="12">
        <v>2.0000000000000001E-4</v>
      </c>
      <c r="F106" s="12">
        <v>5.0834000000000001</v>
      </c>
      <c r="G106" s="13">
        <v>0.72599999999999998</v>
      </c>
      <c r="I106" s="15" t="str">
        <f ca="1">IFERROR(__xludf.DUMMYFUNCTION("""COMPUTED_VALUE"""),"Repudiation: Logs Of Cloud Application Lost")</f>
        <v>Repudiation: Logs Of Cloud Application Lost</v>
      </c>
      <c r="J106" s="2" t="str">
        <f ca="1">IFERROR(__xludf.DUMMYFUNCTION("""COMPUTED_VALUE"""),"ServerlessFunction (AwsLambda) - react_lambda_app")</f>
        <v>ServerlessFunction (AwsLambda) - react_lambda_app</v>
      </c>
      <c r="K106" s="2">
        <f ca="1">IFERROR(__xludf.DUMMYFUNCTION("""COMPUTED_VALUE"""),1)</f>
        <v>1</v>
      </c>
      <c r="L106" s="2">
        <f ca="1">IFERROR(__xludf.DUMMYFUNCTION("""COMPUTED_VALUE"""),0.75075)</f>
        <v>0.75075000000000003</v>
      </c>
      <c r="M106" s="2">
        <f ca="1">IFERROR(__xludf.DUMMYFUNCTION("""COMPUTED_VALUE"""),0)</f>
        <v>0</v>
      </c>
      <c r="N106" s="2">
        <f ca="1">IFERROR(__xludf.DUMMYFUNCTION("""COMPUTED_VALUE"""),4.68975)</f>
        <v>4.6897500000000001</v>
      </c>
      <c r="O106" s="18">
        <f ca="1">IFERROR(__xludf.DUMMYFUNCTION("""COMPUTED_VALUE"""),0.75075)</f>
        <v>0.75075000000000003</v>
      </c>
    </row>
    <row r="107" spans="1:15" ht="12.5">
      <c r="A107" s="10" t="s">
        <v>24</v>
      </c>
      <c r="B107" s="11" t="s">
        <v>2</v>
      </c>
      <c r="C107" s="12">
        <v>1</v>
      </c>
      <c r="D107" s="12">
        <v>0.72570000000000001</v>
      </c>
      <c r="E107" s="12">
        <v>1E-4</v>
      </c>
      <c r="F107" s="12">
        <v>5.4691000000000001</v>
      </c>
      <c r="G107" s="13">
        <v>0.72570000000000001</v>
      </c>
      <c r="I107" s="15" t="str">
        <f ca="1">IFERROR(__xludf.DUMMYFUNCTION("""COMPUTED_VALUE"""),"Spoofing: Broken Authentication")</f>
        <v>Spoofing: Broken Authentication</v>
      </c>
      <c r="J107" s="2" t="str">
        <f ca="1">IFERROR(__xludf.DUMMYFUNCTION("""COMPUTED_VALUE"""),"IAM (IAM) - blog_app_lambda")</f>
        <v>IAM (IAM) - blog_app_lambda</v>
      </c>
      <c r="K107" s="2">
        <f ca="1">IFERROR(__xludf.DUMMYFUNCTION("""COMPUTED_VALUE"""),1)</f>
        <v>1</v>
      </c>
      <c r="L107" s="2">
        <f ca="1">IFERROR(__xludf.DUMMYFUNCTION("""COMPUTED_VALUE"""),0.7302)</f>
        <v>0.73019999999999996</v>
      </c>
      <c r="M107" s="2">
        <f ca="1">IFERROR(__xludf.DUMMYFUNCTION("""COMPUTED_VALUE"""),0.0001)</f>
        <v>1E-4</v>
      </c>
      <c r="N107" s="2">
        <f ca="1">IFERROR(__xludf.DUMMYFUNCTION("""COMPUTED_VALUE"""),5.1625)</f>
        <v>5.1624999999999996</v>
      </c>
      <c r="O107" s="18">
        <f ca="1">IFERROR(__xludf.DUMMYFUNCTION("""COMPUTED_VALUE"""),0.7302)</f>
        <v>0.73019999999999996</v>
      </c>
    </row>
    <row r="108" spans="1:15" ht="12.5">
      <c r="A108" s="10" t="s">
        <v>24</v>
      </c>
      <c r="B108" s="11" t="s">
        <v>2</v>
      </c>
      <c r="C108" s="12">
        <v>1</v>
      </c>
      <c r="D108" s="12">
        <v>0.74139999999999995</v>
      </c>
      <c r="E108" s="12">
        <v>1E-4</v>
      </c>
      <c r="F108" s="12">
        <v>4.6078000000000001</v>
      </c>
      <c r="G108" s="13">
        <v>0.74139999999999995</v>
      </c>
      <c r="I108" s="15" t="str">
        <f ca="1">IFERROR(__xludf.DUMMYFUNCTION("""COMPUTED_VALUE"""),"Spoofing: Broken Authentication")</f>
        <v>Spoofing: Broken Authentication</v>
      </c>
      <c r="J108" s="2" t="str">
        <f ca="1">IFERROR(__xludf.DUMMYFUNCTION("""COMPUTED_VALUE"""),"IAM (IAM) - goat_role")</f>
        <v>IAM (IAM) - goat_role</v>
      </c>
      <c r="K108" s="2">
        <f ca="1">IFERROR(__xludf.DUMMYFUNCTION("""COMPUTED_VALUE"""),1)</f>
        <v>1</v>
      </c>
      <c r="L108" s="2">
        <f ca="1">IFERROR(__xludf.DUMMYFUNCTION("""COMPUTED_VALUE"""),0.7862)</f>
        <v>0.78620000000000001</v>
      </c>
      <c r="M108" s="2">
        <f ca="1">IFERROR(__xludf.DUMMYFUNCTION("""COMPUTED_VALUE"""),0)</f>
        <v>0</v>
      </c>
      <c r="N108" s="2">
        <f ca="1">IFERROR(__xludf.DUMMYFUNCTION("""COMPUTED_VALUE"""),5.1007)</f>
        <v>5.1006999999999998</v>
      </c>
      <c r="O108" s="18">
        <f ca="1">IFERROR(__xludf.DUMMYFUNCTION("""COMPUTED_VALUE"""),0.7862)</f>
        <v>0.78620000000000001</v>
      </c>
    </row>
    <row r="109" spans="1:15" ht="12.5">
      <c r="A109" s="10" t="s">
        <v>24</v>
      </c>
      <c r="B109" s="11" t="s">
        <v>2</v>
      </c>
      <c r="C109" s="12">
        <v>1</v>
      </c>
      <c r="D109" s="12">
        <v>0.7127</v>
      </c>
      <c r="E109" s="12">
        <v>1E-4</v>
      </c>
      <c r="F109" s="12">
        <v>5.4019000000000004</v>
      </c>
      <c r="G109" s="13">
        <v>0.7127</v>
      </c>
      <c r="I109" s="15" t="str">
        <f ca="1">IFERROR(__xludf.DUMMYFUNCTION("""COMPUTED_VALUE"""),"Spoofing: Broken Authentication")</f>
        <v>Spoofing: Broken Authentication</v>
      </c>
      <c r="J109" s="2" t="str">
        <f ca="1">IFERROR(__xludf.DUMMYFUNCTION("""COMPUTED_VALUE"""),"LoadBalancer (APIGateway) - api")</f>
        <v>LoadBalancer (APIGateway) - api</v>
      </c>
      <c r="K109" s="2">
        <f ca="1">IFERROR(__xludf.DUMMYFUNCTION("""COMPUTED_VALUE"""),1)</f>
        <v>1</v>
      </c>
      <c r="L109" s="2">
        <f ca="1">IFERROR(__xludf.DUMMYFUNCTION("""COMPUTED_VALUE"""),0.7293)</f>
        <v>0.72929999999999995</v>
      </c>
      <c r="M109" s="2">
        <f ca="1">IFERROR(__xludf.DUMMYFUNCTION("""COMPUTED_VALUE"""),0)</f>
        <v>0</v>
      </c>
      <c r="N109" s="2">
        <f ca="1">IFERROR(__xludf.DUMMYFUNCTION("""COMPUTED_VALUE"""),4.7901)</f>
        <v>4.7900999999999998</v>
      </c>
      <c r="O109" s="18">
        <f ca="1">IFERROR(__xludf.DUMMYFUNCTION("""COMPUTED_VALUE"""),0.7293)</f>
        <v>0.72929999999999995</v>
      </c>
    </row>
    <row r="110" spans="1:15" ht="12.5">
      <c r="A110" s="10" t="s">
        <v>24</v>
      </c>
      <c r="B110" s="11" t="s">
        <v>2</v>
      </c>
      <c r="C110" s="12">
        <v>1</v>
      </c>
      <c r="D110" s="12">
        <v>0.73350000000000004</v>
      </c>
      <c r="E110" s="12">
        <v>0</v>
      </c>
      <c r="F110" s="12">
        <v>5.2602000000000002</v>
      </c>
      <c r="G110" s="13">
        <v>0.73350000000000004</v>
      </c>
      <c r="I110" s="15" t="str">
        <f ca="1">IFERROR(__xludf.DUMMYFUNCTION("""COMPUTED_VALUE"""),"Spoofing: Broken Authentication")</f>
        <v>Spoofing: Broken Authentication</v>
      </c>
      <c r="J110" s="2" t="str">
        <f ca="1">IFERROR(__xludf.DUMMYFUNCTION("""COMPUTED_VALUE"""),"LoadBalancer (APIGateway) - apiLambda_ba")</f>
        <v>LoadBalancer (APIGateway) - apiLambda_ba</v>
      </c>
      <c r="K110" s="2">
        <f ca="1">IFERROR(__xludf.DUMMYFUNCTION("""COMPUTED_VALUE"""),1)</f>
        <v>1</v>
      </c>
      <c r="L110" s="2">
        <f ca="1">IFERROR(__xludf.DUMMYFUNCTION("""COMPUTED_VALUE"""),0.705)</f>
        <v>0.70499999999999996</v>
      </c>
      <c r="M110" s="2">
        <f ca="1">IFERROR(__xludf.DUMMYFUNCTION("""COMPUTED_VALUE"""),0)</f>
        <v>0</v>
      </c>
      <c r="N110" s="2">
        <f ca="1">IFERROR(__xludf.DUMMYFUNCTION("""COMPUTED_VALUE"""),4.7259)</f>
        <v>4.7259000000000002</v>
      </c>
      <c r="O110" s="18">
        <f ca="1">IFERROR(__xludf.DUMMYFUNCTION("""COMPUTED_VALUE"""),0.705)</f>
        <v>0.70499999999999996</v>
      </c>
    </row>
    <row r="111" spans="1:15" ht="12.5">
      <c r="A111" s="10" t="s">
        <v>24</v>
      </c>
      <c r="B111" s="11" t="s">
        <v>2</v>
      </c>
      <c r="C111" s="12">
        <v>1</v>
      </c>
      <c r="D111" s="12">
        <v>0.74109999999999998</v>
      </c>
      <c r="E111" s="12">
        <v>1E-4</v>
      </c>
      <c r="F111" s="12">
        <v>4.7988999999999997</v>
      </c>
      <c r="G111" s="13">
        <v>0.74109999999999998</v>
      </c>
      <c r="I111" s="15" t="str">
        <f ca="1">IFERROR(__xludf.DUMMYFUNCTION("""COMPUTED_VALUE"""),"Spoofing: Broken Authentication")</f>
        <v>Spoofing: Broken Authentication</v>
      </c>
      <c r="J111" s="2" t="str">
        <f ca="1">IFERROR(__xludf.DUMMYFUNCTION("""COMPUTED_VALUE"""),"ServerlessFunction (AwsLambda) - lambda_ba_data")</f>
        <v>ServerlessFunction (AwsLambda) - lambda_ba_data</v>
      </c>
      <c r="K111" s="2">
        <f ca="1">IFERROR(__xludf.DUMMYFUNCTION("""COMPUTED_VALUE"""),1)</f>
        <v>1</v>
      </c>
      <c r="L111" s="2">
        <f ca="1">IFERROR(__xludf.DUMMYFUNCTION("""COMPUTED_VALUE"""),0.784)</f>
        <v>0.78400000000000003</v>
      </c>
      <c r="M111" s="2">
        <f ca="1">IFERROR(__xludf.DUMMYFUNCTION("""COMPUTED_VALUE"""),0)</f>
        <v>0</v>
      </c>
      <c r="N111" s="2">
        <f ca="1">IFERROR(__xludf.DUMMYFUNCTION("""COMPUTED_VALUE"""),4.8852)</f>
        <v>4.8852000000000002</v>
      </c>
      <c r="O111" s="18">
        <f ca="1">IFERROR(__xludf.DUMMYFUNCTION("""COMPUTED_VALUE"""),0.784)</f>
        <v>0.78400000000000003</v>
      </c>
    </row>
    <row r="112" spans="1:15" ht="12.5">
      <c r="A112" s="10" t="s">
        <v>37</v>
      </c>
      <c r="B112" s="11" t="s">
        <v>2</v>
      </c>
      <c r="C112" s="12">
        <v>1</v>
      </c>
      <c r="D112" s="12">
        <v>0.78029999999999999</v>
      </c>
      <c r="E112" s="12">
        <v>0</v>
      </c>
      <c r="F112" s="12">
        <v>4.9378000000000002</v>
      </c>
      <c r="G112" s="13">
        <v>0.78029999999999999</v>
      </c>
      <c r="I112" s="15" t="str">
        <f ca="1">IFERROR(__xludf.DUMMYFUNCTION("""COMPUTED_VALUE"""),"Spoofing: Broken Authentication")</f>
        <v>Spoofing: Broken Authentication</v>
      </c>
      <c r="J112" s="2" t="str">
        <f ca="1">IFERROR(__xludf.DUMMYFUNCTION("""COMPUTED_VALUE"""),"ServerlessFunction (AwsLambda) - react_lambda_app")</f>
        <v>ServerlessFunction (AwsLambda) - react_lambda_app</v>
      </c>
      <c r="K112" s="2">
        <f ca="1">IFERROR(__xludf.DUMMYFUNCTION("""COMPUTED_VALUE"""),1)</f>
        <v>1</v>
      </c>
      <c r="L112" s="2">
        <f ca="1">IFERROR(__xludf.DUMMYFUNCTION("""COMPUTED_VALUE"""),0.7274)</f>
        <v>0.72740000000000005</v>
      </c>
      <c r="M112" s="2">
        <f ca="1">IFERROR(__xludf.DUMMYFUNCTION("""COMPUTED_VALUE"""),0.00005)</f>
        <v>5.0000000000000002E-5</v>
      </c>
      <c r="N112" s="2">
        <f ca="1">IFERROR(__xludf.DUMMYFUNCTION("""COMPUTED_VALUE"""),4.8217)</f>
        <v>4.8216999999999999</v>
      </c>
      <c r="O112" s="18">
        <f ca="1">IFERROR(__xludf.DUMMYFUNCTION("""COMPUTED_VALUE"""),0.7274)</f>
        <v>0.72740000000000005</v>
      </c>
    </row>
    <row r="113" spans="1:15" ht="12.5">
      <c r="A113" s="10" t="s">
        <v>37</v>
      </c>
      <c r="B113" s="11" t="s">
        <v>2</v>
      </c>
      <c r="C113" s="12">
        <v>1</v>
      </c>
      <c r="D113" s="12">
        <v>0.78310000000000002</v>
      </c>
      <c r="E113" s="12">
        <v>0</v>
      </c>
      <c r="F113" s="12">
        <v>4.5259</v>
      </c>
      <c r="G113" s="13">
        <v>0.78310000000000002</v>
      </c>
      <c r="I113" s="15" t="str">
        <f ca="1">IFERROR(__xludf.DUMMYFUNCTION("""COMPUTED_VALUE"""),"Spoofing: Social Engineering Against Remote User")</f>
        <v>Spoofing: Social Engineering Against Remote User</v>
      </c>
      <c r="J113" s="2" t="str">
        <f ca="1">IFERROR(__xludf.DUMMYFUNCTION("""COMPUTED_VALUE"""),"User")</f>
        <v>User</v>
      </c>
      <c r="K113" s="2">
        <f ca="1">IFERROR(__xludf.DUMMYFUNCTION("""COMPUTED_VALUE"""),1)</f>
        <v>1</v>
      </c>
      <c r="L113" s="2">
        <f ca="1">IFERROR(__xludf.DUMMYFUNCTION("""COMPUTED_VALUE"""),0.7274)</f>
        <v>0.72740000000000005</v>
      </c>
      <c r="M113" s="2">
        <f ca="1">IFERROR(__xludf.DUMMYFUNCTION("""COMPUTED_VALUE"""),0.0000857142857142857)</f>
        <v>8.5714285714285699E-5</v>
      </c>
      <c r="N113" s="2">
        <f ca="1">IFERROR(__xludf.DUMMYFUNCTION("""COMPUTED_VALUE"""),5.04585714285714)</f>
        <v>5.0458571428571402</v>
      </c>
      <c r="O113" s="18">
        <f ca="1">IFERROR(__xludf.DUMMYFUNCTION("""COMPUTED_VALUE"""),0.7274)</f>
        <v>0.72740000000000005</v>
      </c>
    </row>
    <row r="114" spans="1:15" ht="12.5">
      <c r="A114" s="10" t="s">
        <v>37</v>
      </c>
      <c r="B114" s="11" t="s">
        <v>2</v>
      </c>
      <c r="C114" s="12">
        <v>1</v>
      </c>
      <c r="D114" s="12">
        <v>0.75119999999999998</v>
      </c>
      <c r="E114" s="12">
        <v>0</v>
      </c>
      <c r="F114" s="12">
        <v>5.2138999999999998</v>
      </c>
      <c r="G114" s="13">
        <v>0.75119999999999998</v>
      </c>
      <c r="I114" s="15" t="str">
        <f ca="1">IFERROR(__xludf.DUMMYFUNCTION("""COMPUTED_VALUE"""),"Tampering: Data Loss By Cloud Application")</f>
        <v>Tampering: Data Loss By Cloud Application</v>
      </c>
      <c r="J114" s="2" t="str">
        <f ca="1">IFERROR(__xludf.DUMMYFUNCTION("""COMPUTED_VALUE"""),"IAM (IAM) - blog_app_lambda")</f>
        <v>IAM (IAM) - blog_app_lambda</v>
      </c>
      <c r="K114" s="2">
        <f ca="1">IFERROR(__xludf.DUMMYFUNCTION("""COMPUTED_VALUE"""),1)</f>
        <v>1</v>
      </c>
      <c r="L114" s="2">
        <f ca="1">IFERROR(__xludf.DUMMYFUNCTION("""COMPUTED_VALUE"""),0.741)</f>
        <v>0.74099999999999999</v>
      </c>
      <c r="M114" s="2">
        <f ca="1">IFERROR(__xludf.DUMMYFUNCTION("""COMPUTED_VALUE"""),0)</f>
        <v>0</v>
      </c>
      <c r="N114" s="2">
        <f ca="1">IFERROR(__xludf.DUMMYFUNCTION("""COMPUTED_VALUE"""),5.9478)</f>
        <v>5.9478</v>
      </c>
      <c r="O114" s="18">
        <f ca="1">IFERROR(__xludf.DUMMYFUNCTION("""COMPUTED_VALUE"""),0.741)</f>
        <v>0.74099999999999999</v>
      </c>
    </row>
    <row r="115" spans="1:15" ht="12.5">
      <c r="A115" s="10" t="s">
        <v>37</v>
      </c>
      <c r="B115" s="11" t="s">
        <v>2</v>
      </c>
      <c r="C115" s="12">
        <v>1</v>
      </c>
      <c r="D115" s="12">
        <v>0.74590000000000001</v>
      </c>
      <c r="E115" s="12">
        <v>1E-4</v>
      </c>
      <c r="F115" s="12">
        <v>4.8799000000000001</v>
      </c>
      <c r="G115" s="13">
        <v>0.74590000000000001</v>
      </c>
      <c r="I115" s="15" t="str">
        <f ca="1">IFERROR(__xludf.DUMMYFUNCTION("""COMPUTED_VALUE"""),"Tampering: Data Loss By Cloud Application")</f>
        <v>Tampering: Data Loss By Cloud Application</v>
      </c>
      <c r="J115" s="2" t="str">
        <f ca="1">IFERROR(__xludf.DUMMYFUNCTION("""COMPUTED_VALUE"""),"IAM (IAM) - goat_role")</f>
        <v>IAM (IAM) - goat_role</v>
      </c>
      <c r="K115" s="2">
        <f ca="1">IFERROR(__xludf.DUMMYFUNCTION("""COMPUTED_VALUE"""),1)</f>
        <v>1</v>
      </c>
      <c r="L115" s="2">
        <f ca="1">IFERROR(__xludf.DUMMYFUNCTION("""COMPUTED_VALUE"""),0.7518)</f>
        <v>0.75180000000000002</v>
      </c>
      <c r="M115" s="2">
        <f ca="1">IFERROR(__xludf.DUMMYFUNCTION("""COMPUTED_VALUE"""),0)</f>
        <v>0</v>
      </c>
      <c r="N115" s="2">
        <f ca="1">IFERROR(__xludf.DUMMYFUNCTION("""COMPUTED_VALUE"""),5.1864)</f>
        <v>5.1863999999999999</v>
      </c>
      <c r="O115" s="18">
        <f ca="1">IFERROR(__xludf.DUMMYFUNCTION("""COMPUTED_VALUE"""),0.7518)</f>
        <v>0.75180000000000002</v>
      </c>
    </row>
    <row r="116" spans="1:15" ht="12.5">
      <c r="A116" s="10" t="s">
        <v>37</v>
      </c>
      <c r="B116" s="11" t="s">
        <v>2</v>
      </c>
      <c r="C116" s="12">
        <v>1</v>
      </c>
      <c r="D116" s="12">
        <v>0.72660000000000002</v>
      </c>
      <c r="E116" s="12">
        <v>0</v>
      </c>
      <c r="F116" s="12">
        <v>5.1002999999999998</v>
      </c>
      <c r="G116" s="13">
        <v>0.72660000000000002</v>
      </c>
      <c r="I116" s="15" t="str">
        <f ca="1">IFERROR(__xludf.DUMMYFUNCTION("""COMPUTED_VALUE"""),"Tampering: Data Loss By Cloud Application")</f>
        <v>Tampering: Data Loss By Cloud Application</v>
      </c>
      <c r="J116" s="2" t="str">
        <f ca="1">IFERROR(__xludf.DUMMYFUNCTION("""COMPUTED_VALUE"""),"LoadBalancer (APIGateway) - api")</f>
        <v>LoadBalancer (APIGateway) - api</v>
      </c>
      <c r="K116" s="2">
        <f ca="1">IFERROR(__xludf.DUMMYFUNCTION("""COMPUTED_VALUE"""),1)</f>
        <v>1</v>
      </c>
      <c r="L116" s="2">
        <f ca="1">IFERROR(__xludf.DUMMYFUNCTION("""COMPUTED_VALUE"""),0.7256)</f>
        <v>0.72560000000000002</v>
      </c>
      <c r="M116" s="2">
        <f ca="1">IFERROR(__xludf.DUMMYFUNCTION("""COMPUTED_VALUE"""),0)</f>
        <v>0</v>
      </c>
      <c r="N116" s="2">
        <f ca="1">IFERROR(__xludf.DUMMYFUNCTION("""COMPUTED_VALUE"""),5.0346)</f>
        <v>5.0346000000000002</v>
      </c>
      <c r="O116" s="18">
        <f ca="1">IFERROR(__xludf.DUMMYFUNCTION("""COMPUTED_VALUE"""),0.7256)</f>
        <v>0.72560000000000002</v>
      </c>
    </row>
    <row r="117" spans="1:15" ht="12.5">
      <c r="A117" s="10" t="s">
        <v>37</v>
      </c>
      <c r="B117" s="11" t="s">
        <v>2</v>
      </c>
      <c r="C117" s="12">
        <v>1</v>
      </c>
      <c r="D117" s="12">
        <v>0.73480000000000001</v>
      </c>
      <c r="E117" s="12">
        <v>0</v>
      </c>
      <c r="F117" s="12">
        <v>5.0648</v>
      </c>
      <c r="G117" s="13">
        <v>0.73480000000000001</v>
      </c>
      <c r="I117" s="15" t="str">
        <f ca="1">IFERROR(__xludf.DUMMYFUNCTION("""COMPUTED_VALUE"""),"Tampering: Data Loss By Cloud Application")</f>
        <v>Tampering: Data Loss By Cloud Application</v>
      </c>
      <c r="J117" s="2" t="str">
        <f ca="1">IFERROR(__xludf.DUMMYFUNCTION("""COMPUTED_VALUE"""),"LoadBalancer (APIGateway) - apiLambda_ba")</f>
        <v>LoadBalancer (APIGateway) - apiLambda_ba</v>
      </c>
      <c r="K117" s="2">
        <f ca="1">IFERROR(__xludf.DUMMYFUNCTION("""COMPUTED_VALUE"""),1)</f>
        <v>1</v>
      </c>
      <c r="L117" s="2">
        <f ca="1">IFERROR(__xludf.DUMMYFUNCTION("""COMPUTED_VALUE"""),0.7745)</f>
        <v>0.77449999999999997</v>
      </c>
      <c r="M117" s="2">
        <f ca="1">IFERROR(__xludf.DUMMYFUNCTION("""COMPUTED_VALUE"""),0.0002)</f>
        <v>2.0000000000000001E-4</v>
      </c>
      <c r="N117" s="2">
        <f ca="1">IFERROR(__xludf.DUMMYFUNCTION("""COMPUTED_VALUE"""),5.373)</f>
        <v>5.3730000000000002</v>
      </c>
      <c r="O117" s="18">
        <f ca="1">IFERROR(__xludf.DUMMYFUNCTION("""COMPUTED_VALUE"""),0.7745)</f>
        <v>0.77449999999999997</v>
      </c>
    </row>
    <row r="118" spans="1:15" ht="12.5">
      <c r="A118" s="10" t="s">
        <v>37</v>
      </c>
      <c r="B118" s="11" t="s">
        <v>2</v>
      </c>
      <c r="C118" s="12">
        <v>1</v>
      </c>
      <c r="D118" s="12">
        <v>0.73309999999999997</v>
      </c>
      <c r="E118" s="12">
        <v>0</v>
      </c>
      <c r="F118" s="12">
        <v>5.2233999999999998</v>
      </c>
      <c r="G118" s="13">
        <v>0.73309999999999997</v>
      </c>
      <c r="I118" s="15" t="str">
        <f ca="1">IFERROR(__xludf.DUMMYFUNCTION("""COMPUTED_VALUE"""),"Tampering: Data Loss By Cloud Application")</f>
        <v>Tampering: Data Loss By Cloud Application</v>
      </c>
      <c r="J118" s="2" t="str">
        <f ca="1">IFERROR(__xludf.DUMMYFUNCTION("""COMPUTED_VALUE"""),"ServerlessFunction (AwsLambda) - lambda_ba_data")</f>
        <v>ServerlessFunction (AwsLambda) - lambda_ba_data</v>
      </c>
      <c r="K118" s="2">
        <f ca="1">IFERROR(__xludf.DUMMYFUNCTION("""COMPUTED_VALUE"""),1)</f>
        <v>1</v>
      </c>
      <c r="L118" s="2">
        <f ca="1">IFERROR(__xludf.DUMMYFUNCTION("""COMPUTED_VALUE"""),0.7409)</f>
        <v>0.7409</v>
      </c>
      <c r="M118" s="2">
        <f ca="1">IFERROR(__xludf.DUMMYFUNCTION("""COMPUTED_VALUE"""),0)</f>
        <v>0</v>
      </c>
      <c r="N118" s="2">
        <f ca="1">IFERROR(__xludf.DUMMYFUNCTION("""COMPUTED_VALUE"""),5.4276)</f>
        <v>5.4276</v>
      </c>
      <c r="O118" s="18">
        <f ca="1">IFERROR(__xludf.DUMMYFUNCTION("""COMPUTED_VALUE"""),0.7409)</f>
        <v>0.7409</v>
      </c>
    </row>
    <row r="119" spans="1:15" ht="12.5">
      <c r="A119" s="10" t="s">
        <v>28</v>
      </c>
      <c r="B119" s="11" t="s">
        <v>80</v>
      </c>
      <c r="C119" s="12">
        <v>1</v>
      </c>
      <c r="D119" s="12">
        <v>0.751</v>
      </c>
      <c r="E119" s="12">
        <v>1E-4</v>
      </c>
      <c r="F119" s="12">
        <v>5.3209</v>
      </c>
      <c r="G119" s="13">
        <v>0.751</v>
      </c>
      <c r="I119" s="15" t="str">
        <f ca="1">IFERROR(__xludf.DUMMYFUNCTION("""COMPUTED_VALUE"""),"Tampering: Data Loss By Cloud Application")</f>
        <v>Tampering: Data Loss By Cloud Application</v>
      </c>
      <c r="J119" s="2" t="str">
        <f ca="1">IFERROR(__xludf.DUMMYFUNCTION("""COMPUTED_VALUE"""),"ServerlessFunction (AwsLambda) - react_lambda_app")</f>
        <v>ServerlessFunction (AwsLambda) - react_lambda_app</v>
      </c>
      <c r="K119" s="2">
        <f ca="1">IFERROR(__xludf.DUMMYFUNCTION("""COMPUTED_VALUE"""),1)</f>
        <v>1</v>
      </c>
      <c r="L119" s="2">
        <f ca="1">IFERROR(__xludf.DUMMYFUNCTION("""COMPUTED_VALUE"""),0.7352)</f>
        <v>0.73519999999999996</v>
      </c>
      <c r="M119" s="2">
        <f ca="1">IFERROR(__xludf.DUMMYFUNCTION("""COMPUTED_VALUE"""),0.0003)</f>
        <v>2.9999999999999997E-4</v>
      </c>
      <c r="N119" s="2">
        <f ca="1">IFERROR(__xludf.DUMMYFUNCTION("""COMPUTED_VALUE"""),4.92135)</f>
        <v>4.9213500000000003</v>
      </c>
      <c r="O119" s="18">
        <f ca="1">IFERROR(__xludf.DUMMYFUNCTION("""COMPUTED_VALUE"""),0.7352)</f>
        <v>0.73519999999999996</v>
      </c>
    </row>
    <row r="120" spans="1:15" ht="12.5">
      <c r="A120" s="10" t="s">
        <v>28</v>
      </c>
      <c r="B120" s="11" t="s">
        <v>82</v>
      </c>
      <c r="C120" s="12">
        <v>1</v>
      </c>
      <c r="D120" s="12">
        <v>0.78100000000000003</v>
      </c>
      <c r="E120" s="12">
        <v>1E-4</v>
      </c>
      <c r="F120" s="12">
        <v>5.2019000000000002</v>
      </c>
      <c r="G120" s="13">
        <v>0.78100000000000003</v>
      </c>
      <c r="I120" s="15" t="str">
        <f ca="1">IFERROR(__xludf.DUMMYFUNCTION("""COMPUTED_VALUE"""),"Tampering: Malware From Cloud Application")</f>
        <v>Tampering: Malware From Cloud Application</v>
      </c>
      <c r="J120" s="2" t="str">
        <f ca="1">IFERROR(__xludf.DUMMYFUNCTION("""COMPUTED_VALUE"""),"User")</f>
        <v>User</v>
      </c>
      <c r="K120" s="2">
        <f ca="1">IFERROR(__xludf.DUMMYFUNCTION("""COMPUTED_VALUE"""),1)</f>
        <v>1</v>
      </c>
      <c r="L120" s="2">
        <f ca="1">IFERROR(__xludf.DUMMYFUNCTION("""COMPUTED_VALUE"""),0.719628571428571)</f>
        <v>0.71962857142857095</v>
      </c>
      <c r="M120" s="2">
        <f ca="1">IFERROR(__xludf.DUMMYFUNCTION("""COMPUTED_VALUE"""),0.0000142857142857142)</f>
        <v>1.4285714285714201E-5</v>
      </c>
      <c r="N120" s="2">
        <f ca="1">IFERROR(__xludf.DUMMYFUNCTION("""COMPUTED_VALUE"""),5.06071428571428)</f>
        <v>5.0607142857142797</v>
      </c>
      <c r="O120" s="18">
        <f ca="1">IFERROR(__xludf.DUMMYFUNCTION("""COMPUTED_VALUE"""),0.719628571428571)</f>
        <v>0.71962857142857095</v>
      </c>
    </row>
    <row r="121" spans="1:15" ht="12.5">
      <c r="A121" s="10" t="s">
        <v>28</v>
      </c>
      <c r="B121" s="11" t="s">
        <v>84</v>
      </c>
      <c r="C121" s="12">
        <v>1</v>
      </c>
      <c r="D121" s="12">
        <v>0.67530000000000001</v>
      </c>
      <c r="E121" s="12">
        <v>1E-4</v>
      </c>
      <c r="F121" s="12">
        <v>4.9699</v>
      </c>
      <c r="G121" s="13">
        <v>0.67530000000000001</v>
      </c>
      <c r="I121" s="15" t="str">
        <f ca="1">IFERROR(__xludf.DUMMYFUNCTION("""COMPUTED_VALUE"""),"Tampering: Public Network Access To Cloud Application")</f>
        <v>Tampering: Public Network Access To Cloud Application</v>
      </c>
      <c r="J121" s="2" t="str">
        <f ca="1">IFERROR(__xludf.DUMMYFUNCTION("""COMPUTED_VALUE"""),"User")</f>
        <v>User</v>
      </c>
      <c r="K121" s="2">
        <f ca="1">IFERROR(__xludf.DUMMYFUNCTION("""COMPUTED_VALUE"""),1)</f>
        <v>1</v>
      </c>
      <c r="L121" s="2">
        <f ca="1">IFERROR(__xludf.DUMMYFUNCTION("""COMPUTED_VALUE"""),0.738571428571428)</f>
        <v>0.73857142857142799</v>
      </c>
      <c r="M121" s="2">
        <f ca="1">IFERROR(__xludf.DUMMYFUNCTION("""COMPUTED_VALUE"""),0.0000285714285714285)</f>
        <v>2.85714285714285E-5</v>
      </c>
      <c r="N121" s="2">
        <f ca="1">IFERROR(__xludf.DUMMYFUNCTION("""COMPUTED_VALUE"""),4.73364285714285)</f>
        <v>4.7336428571428497</v>
      </c>
      <c r="O121" s="18">
        <f ca="1">IFERROR(__xludf.DUMMYFUNCTION("""COMPUTED_VALUE"""),0.738571428571428)</f>
        <v>0.73857142857142799</v>
      </c>
    </row>
    <row r="122" spans="1:15" ht="12.5">
      <c r="A122" s="10" t="s">
        <v>28</v>
      </c>
      <c r="B122" s="11" t="s">
        <v>86</v>
      </c>
      <c r="C122" s="12">
        <v>1</v>
      </c>
      <c r="D122" s="12">
        <v>0.72389999999999999</v>
      </c>
      <c r="E122" s="12">
        <v>1E-4</v>
      </c>
      <c r="F122" s="12">
        <v>4.7164000000000001</v>
      </c>
      <c r="G122" s="13">
        <v>0.72389999999999999</v>
      </c>
      <c r="I122" s="15" t="str">
        <f ca="1">IFERROR(__xludf.DUMMYFUNCTION("""COMPUTED_VALUE"""),"Tampering: Unauthorized Modification of the Data Stores")</f>
        <v>Tampering: Unauthorized Modification of the Data Stores</v>
      </c>
      <c r="J122" s="2" t="str">
        <f ca="1">IFERROR(__xludf.DUMMYFUNCTION("""COMPUTED_VALUE"""),"FileStorage (S3) - bucket_temp")</f>
        <v>FileStorage (S3) - bucket_temp</v>
      </c>
      <c r="K122" s="2">
        <f ca="1">IFERROR(__xludf.DUMMYFUNCTION("""COMPUTED_VALUE"""),1)</f>
        <v>1</v>
      </c>
      <c r="L122" s="2">
        <f ca="1">IFERROR(__xludf.DUMMYFUNCTION("""COMPUTED_VALUE"""),0.76)</f>
        <v>0.76</v>
      </c>
      <c r="M122" s="2">
        <f ca="1">IFERROR(__xludf.DUMMYFUNCTION("""COMPUTED_VALUE"""),0.0001)</f>
        <v>1E-4</v>
      </c>
      <c r="N122" s="2">
        <f ca="1">IFERROR(__xludf.DUMMYFUNCTION("""COMPUTED_VALUE"""),5.31515)</f>
        <v>5.31515</v>
      </c>
      <c r="O122" s="18">
        <f ca="1">IFERROR(__xludf.DUMMYFUNCTION("""COMPUTED_VALUE"""),0.76)</f>
        <v>0.76</v>
      </c>
    </row>
    <row r="123" spans="1:15" ht="12.5">
      <c r="A123" s="10" t="s">
        <v>28</v>
      </c>
      <c r="B123" s="11" t="s">
        <v>86</v>
      </c>
      <c r="C123" s="12">
        <v>1</v>
      </c>
      <c r="D123" s="12">
        <v>0.77</v>
      </c>
      <c r="E123" s="12">
        <v>1E-4</v>
      </c>
      <c r="F123" s="12">
        <v>5.6203000000000003</v>
      </c>
      <c r="G123" s="13">
        <v>0.77</v>
      </c>
      <c r="I123" s="15" t="str">
        <f ca="1">IFERROR(__xludf.DUMMYFUNCTION("""COMPUTED_VALUE"""),"Tampering: Unauthorized Modification of the Data Stores")</f>
        <v>Tampering: Unauthorized Modification of the Data Stores</v>
      </c>
      <c r="J123" s="2" t="str">
        <f ca="1">IFERROR(__xludf.DUMMYFUNCTION("""COMPUTED_VALUE"""),"FileStorage (S3) - bucket_tf_files")</f>
        <v>FileStorage (S3) - bucket_tf_files</v>
      </c>
      <c r="K123" s="2">
        <f ca="1">IFERROR(__xludf.DUMMYFUNCTION("""COMPUTED_VALUE"""),1)</f>
        <v>1</v>
      </c>
      <c r="L123" s="2">
        <f ca="1">IFERROR(__xludf.DUMMYFUNCTION("""COMPUTED_VALUE"""),0.735)</f>
        <v>0.73499999999999999</v>
      </c>
      <c r="M123" s="2">
        <f ca="1">IFERROR(__xludf.DUMMYFUNCTION("""COMPUTED_VALUE"""),0)</f>
        <v>0</v>
      </c>
      <c r="N123" s="2">
        <f ca="1">IFERROR(__xludf.DUMMYFUNCTION("""COMPUTED_VALUE"""),4.992)</f>
        <v>4.992</v>
      </c>
      <c r="O123" s="18">
        <f ca="1">IFERROR(__xludf.DUMMYFUNCTION("""COMPUTED_VALUE"""),0.735)</f>
        <v>0.73499999999999999</v>
      </c>
    </row>
    <row r="124" spans="1:15" ht="12.5">
      <c r="A124" s="10" t="s">
        <v>28</v>
      </c>
      <c r="B124" s="11" t="s">
        <v>89</v>
      </c>
      <c r="C124" s="12">
        <v>1</v>
      </c>
      <c r="D124" s="12">
        <v>0.77180000000000004</v>
      </c>
      <c r="E124" s="12">
        <v>0</v>
      </c>
      <c r="F124" s="12">
        <v>4.9229000000000003</v>
      </c>
      <c r="G124" s="13">
        <v>0.77180000000000004</v>
      </c>
      <c r="I124" s="15" t="str">
        <f ca="1">IFERROR(__xludf.DUMMYFUNCTION("""COMPUTED_VALUE"""),"Tampering: Unauthorized Modification of the Data Stores")</f>
        <v>Tampering: Unauthorized Modification of the Data Stores</v>
      </c>
      <c r="J124" s="2" t="str">
        <f ca="1">IFERROR(__xludf.DUMMYFUNCTION("""COMPUTED_VALUE"""),"FileStorage (S3) - bucket_upload")</f>
        <v>FileStorage (S3) - bucket_upload</v>
      </c>
      <c r="K124" s="2">
        <f ca="1">IFERROR(__xludf.DUMMYFUNCTION("""COMPUTED_VALUE"""),1)</f>
        <v>1</v>
      </c>
      <c r="L124" s="2">
        <f ca="1">IFERROR(__xludf.DUMMYFUNCTION("""COMPUTED_VALUE"""),0.6957)</f>
        <v>0.69569999999999999</v>
      </c>
      <c r="M124" s="2">
        <f ca="1">IFERROR(__xludf.DUMMYFUNCTION("""COMPUTED_VALUE"""),0)</f>
        <v>0</v>
      </c>
      <c r="N124" s="2">
        <f ca="1">IFERROR(__xludf.DUMMYFUNCTION("""COMPUTED_VALUE"""),5.4862)</f>
        <v>5.4862000000000002</v>
      </c>
      <c r="O124" s="18">
        <f ca="1">IFERROR(__xludf.DUMMYFUNCTION("""COMPUTED_VALUE"""),0.6957)</f>
        <v>0.69569999999999999</v>
      </c>
    </row>
    <row r="125" spans="1:15" ht="12.5">
      <c r="A125" s="10" t="s">
        <v>28</v>
      </c>
      <c r="B125" s="11" t="s">
        <v>82</v>
      </c>
      <c r="C125" s="12">
        <v>1</v>
      </c>
      <c r="D125" s="12">
        <v>0.75439999999999996</v>
      </c>
      <c r="E125" s="12">
        <v>1E-4</v>
      </c>
      <c r="F125" s="12">
        <v>5.2953000000000001</v>
      </c>
      <c r="G125" s="13">
        <v>0.75439999999999996</v>
      </c>
      <c r="I125" s="33" t="str">
        <f ca="1">IFERROR(__xludf.DUMMYFUNCTION("""COMPUTED_VALUE"""),"Tampering: Unauthorized Modification of the Data Stores")</f>
        <v>Tampering: Unauthorized Modification of the Data Stores</v>
      </c>
      <c r="J125" s="34" t="str">
        <f ca="1">IFERROR(__xludf.DUMMYFUNCTION("""COMPUTED_VALUE"""),"FileStorage (S3) - dev")</f>
        <v>FileStorage (S3) - dev</v>
      </c>
      <c r="K125" s="34">
        <f ca="1">IFERROR(__xludf.DUMMYFUNCTION("""COMPUTED_VALUE"""),1)</f>
        <v>1</v>
      </c>
      <c r="L125" s="34">
        <f ca="1">IFERROR(__xludf.DUMMYFUNCTION("""COMPUTED_VALUE"""),0.7078)</f>
        <v>0.70779999999999998</v>
      </c>
      <c r="M125" s="34">
        <f ca="1">IFERROR(__xludf.DUMMYFUNCTION("""COMPUTED_VALUE"""),0)</f>
        <v>0</v>
      </c>
      <c r="N125" s="34">
        <f ca="1">IFERROR(__xludf.DUMMYFUNCTION("""COMPUTED_VALUE"""),5.0823)</f>
        <v>5.0823</v>
      </c>
      <c r="O125" s="35">
        <f ca="1">IFERROR(__xludf.DUMMYFUNCTION("""COMPUTED_VALUE"""),0.7078)</f>
        <v>0.70779999999999998</v>
      </c>
    </row>
    <row r="126" spans="1:15" ht="12.5">
      <c r="A126" s="10" t="s">
        <v>28</v>
      </c>
      <c r="B126" s="11" t="s">
        <v>91</v>
      </c>
      <c r="C126" s="12">
        <v>1</v>
      </c>
      <c r="D126" s="12">
        <v>0.72099999999999997</v>
      </c>
      <c r="E126" s="12">
        <v>2.0000000000000001E-4</v>
      </c>
      <c r="F126" s="12">
        <v>4.9915000000000003</v>
      </c>
      <c r="G126" s="13">
        <v>0.72099999999999997</v>
      </c>
    </row>
    <row r="127" spans="1:15" ht="12.5">
      <c r="A127" s="10" t="s">
        <v>46</v>
      </c>
      <c r="B127" s="11" t="s">
        <v>91</v>
      </c>
      <c r="C127" s="12">
        <v>1</v>
      </c>
      <c r="D127" s="12">
        <v>0.77349999999999997</v>
      </c>
      <c r="E127" s="12">
        <v>1E-4</v>
      </c>
      <c r="F127" s="12">
        <v>4.7962999999999996</v>
      </c>
      <c r="G127" s="13">
        <v>0.77349999999999997</v>
      </c>
      <c r="I127" s="2" t="str">
        <f ca="1">"TOTAL: " &amp; TEXT(COUNTA(I2:I125), "0")</f>
        <v>TOTAL: 124</v>
      </c>
    </row>
    <row r="128" spans="1:15" ht="12.5">
      <c r="A128" s="10" t="s">
        <v>46</v>
      </c>
      <c r="B128" s="11" t="s">
        <v>86</v>
      </c>
      <c r="C128" s="12">
        <v>1</v>
      </c>
      <c r="D128" s="12">
        <v>0.82669999999999999</v>
      </c>
      <c r="E128" s="12">
        <v>0</v>
      </c>
      <c r="F128" s="12">
        <v>5.0494000000000003</v>
      </c>
      <c r="G128" s="13">
        <v>0.82669999999999999</v>
      </c>
    </row>
    <row r="129" spans="1:7" ht="12.5">
      <c r="A129" s="10" t="s">
        <v>46</v>
      </c>
      <c r="B129" s="11" t="s">
        <v>82</v>
      </c>
      <c r="C129" s="12">
        <v>1</v>
      </c>
      <c r="D129" s="12">
        <v>0.76480000000000004</v>
      </c>
      <c r="E129" s="12">
        <v>0</v>
      </c>
      <c r="F129" s="12">
        <v>5.468</v>
      </c>
      <c r="G129" s="13">
        <v>0.76480000000000004</v>
      </c>
    </row>
    <row r="130" spans="1:7" ht="12.5">
      <c r="A130" s="10" t="s">
        <v>46</v>
      </c>
      <c r="B130" s="11" t="s">
        <v>92</v>
      </c>
      <c r="C130" s="12">
        <v>1</v>
      </c>
      <c r="D130" s="12">
        <v>0.72150000000000003</v>
      </c>
      <c r="E130" s="12">
        <v>1E-4</v>
      </c>
      <c r="F130" s="12">
        <v>4.8936999999999999</v>
      </c>
      <c r="G130" s="13">
        <v>0.72150000000000003</v>
      </c>
    </row>
    <row r="131" spans="1:7" ht="12.5">
      <c r="A131" s="10" t="s">
        <v>46</v>
      </c>
      <c r="B131" s="11" t="s">
        <v>84</v>
      </c>
      <c r="C131" s="12">
        <v>1</v>
      </c>
      <c r="D131" s="12">
        <v>0.75460000000000005</v>
      </c>
      <c r="E131" s="12">
        <v>0</v>
      </c>
      <c r="F131" s="12">
        <v>5.7769000000000004</v>
      </c>
      <c r="G131" s="13">
        <v>0.75460000000000005</v>
      </c>
    </row>
    <row r="132" spans="1:7" ht="12.5">
      <c r="A132" s="10" t="s">
        <v>46</v>
      </c>
      <c r="B132" s="11" t="s">
        <v>89</v>
      </c>
      <c r="C132" s="12">
        <v>1</v>
      </c>
      <c r="D132" s="12">
        <v>0.76770000000000005</v>
      </c>
      <c r="E132" s="12">
        <v>1E-4</v>
      </c>
      <c r="F132" s="12">
        <v>5.2007000000000003</v>
      </c>
      <c r="G132" s="13">
        <v>0.76770000000000005</v>
      </c>
    </row>
    <row r="133" spans="1:7" ht="12.5">
      <c r="A133" s="10" t="s">
        <v>46</v>
      </c>
      <c r="B133" s="11" t="s">
        <v>80</v>
      </c>
      <c r="C133" s="12">
        <v>1</v>
      </c>
      <c r="D133" s="12">
        <v>0.69720000000000004</v>
      </c>
      <c r="E133" s="12">
        <v>0</v>
      </c>
      <c r="F133" s="12">
        <v>4.9447999999999999</v>
      </c>
      <c r="G133" s="13">
        <v>0.69720000000000004</v>
      </c>
    </row>
    <row r="134" spans="1:7" ht="12.5">
      <c r="A134" s="10" t="s">
        <v>54</v>
      </c>
      <c r="B134" s="11" t="s">
        <v>2</v>
      </c>
      <c r="C134" s="12">
        <v>1</v>
      </c>
      <c r="D134" s="12">
        <v>0.74760000000000004</v>
      </c>
      <c r="E134" s="12">
        <v>1E-4</v>
      </c>
      <c r="F134" s="12">
        <v>5.0000999999999998</v>
      </c>
      <c r="G134" s="13">
        <v>0.74760000000000004</v>
      </c>
    </row>
    <row r="135" spans="1:7" ht="12.5">
      <c r="A135" s="10" t="s">
        <v>54</v>
      </c>
      <c r="B135" s="11" t="s">
        <v>2</v>
      </c>
      <c r="C135" s="12">
        <v>1</v>
      </c>
      <c r="D135" s="12">
        <v>0.746</v>
      </c>
      <c r="E135" s="12">
        <v>0</v>
      </c>
      <c r="F135" s="12">
        <v>5.3498000000000001</v>
      </c>
      <c r="G135" s="13">
        <v>0.746</v>
      </c>
    </row>
    <row r="136" spans="1:7" ht="12.5">
      <c r="A136" s="10" t="s">
        <v>54</v>
      </c>
      <c r="B136" s="11" t="s">
        <v>2</v>
      </c>
      <c r="C136" s="12">
        <v>1</v>
      </c>
      <c r="D136" s="12">
        <v>0.7238</v>
      </c>
      <c r="E136" s="12">
        <v>0</v>
      </c>
      <c r="F136" s="12">
        <v>5.8128000000000002</v>
      </c>
      <c r="G136" s="13">
        <v>0.7238</v>
      </c>
    </row>
    <row r="137" spans="1:7" ht="12.5">
      <c r="A137" s="10" t="s">
        <v>54</v>
      </c>
      <c r="B137" s="11" t="s">
        <v>2</v>
      </c>
      <c r="C137" s="12">
        <v>1</v>
      </c>
      <c r="D137" s="12">
        <v>0.75290000000000001</v>
      </c>
      <c r="E137" s="12">
        <v>1E-4</v>
      </c>
      <c r="F137" s="12">
        <v>5.1017999999999999</v>
      </c>
      <c r="G137" s="13">
        <v>0.75290000000000001</v>
      </c>
    </row>
    <row r="138" spans="1:7" ht="12.5">
      <c r="A138" s="10" t="s">
        <v>54</v>
      </c>
      <c r="B138" s="11" t="s">
        <v>2</v>
      </c>
      <c r="C138" s="12">
        <v>1</v>
      </c>
      <c r="D138" s="12">
        <v>0.74080000000000001</v>
      </c>
      <c r="E138" s="12">
        <v>0</v>
      </c>
      <c r="F138" s="12">
        <v>5.1390000000000002</v>
      </c>
      <c r="G138" s="13">
        <v>0.74080000000000001</v>
      </c>
    </row>
    <row r="139" spans="1:7" ht="12.5">
      <c r="A139" s="10" t="s">
        <v>54</v>
      </c>
      <c r="B139" s="11" t="s">
        <v>2</v>
      </c>
      <c r="C139" s="12">
        <v>1</v>
      </c>
      <c r="D139" s="12">
        <v>0.72899999999999998</v>
      </c>
      <c r="E139" s="12">
        <v>0</v>
      </c>
      <c r="F139" s="12">
        <v>5.0907</v>
      </c>
      <c r="G139" s="13">
        <v>0.72899999999999998</v>
      </c>
    </row>
    <row r="140" spans="1:7" ht="12.5">
      <c r="A140" s="10" t="s">
        <v>54</v>
      </c>
      <c r="B140" s="11" t="s">
        <v>2</v>
      </c>
      <c r="C140" s="12">
        <v>1</v>
      </c>
      <c r="D140" s="12">
        <v>0.69779999999999998</v>
      </c>
      <c r="E140" s="12">
        <v>1E-4</v>
      </c>
      <c r="F140" s="12">
        <v>5.3441999999999998</v>
      </c>
      <c r="G140" s="13">
        <v>0.69779999999999998</v>
      </c>
    </row>
    <row r="141" spans="1:7" ht="12.5">
      <c r="A141" s="10" t="s">
        <v>36</v>
      </c>
      <c r="B141" s="11" t="s">
        <v>2</v>
      </c>
      <c r="C141" s="12">
        <v>1</v>
      </c>
      <c r="D141" s="12">
        <v>0.72409999999999997</v>
      </c>
      <c r="E141" s="12">
        <v>0</v>
      </c>
      <c r="F141" s="12">
        <v>4.4428999999999998</v>
      </c>
      <c r="G141" s="13">
        <v>0.72409999999999997</v>
      </c>
    </row>
    <row r="142" spans="1:7" ht="12.5">
      <c r="A142" s="10" t="s">
        <v>36</v>
      </c>
      <c r="B142" s="11" t="s">
        <v>2</v>
      </c>
      <c r="C142" s="12">
        <v>1</v>
      </c>
      <c r="D142" s="12">
        <v>0.74780000000000002</v>
      </c>
      <c r="E142" s="12">
        <v>0</v>
      </c>
      <c r="F142" s="12">
        <v>5.1104000000000003</v>
      </c>
      <c r="G142" s="13">
        <v>0.74780000000000002</v>
      </c>
    </row>
    <row r="143" spans="1:7" ht="12.5">
      <c r="A143" s="10" t="s">
        <v>36</v>
      </c>
      <c r="B143" s="11" t="s">
        <v>2</v>
      </c>
      <c r="C143" s="12">
        <v>1</v>
      </c>
      <c r="D143" s="12">
        <v>0.71579999999999999</v>
      </c>
      <c r="E143" s="12">
        <v>1E-4</v>
      </c>
      <c r="F143" s="12">
        <v>4.8852000000000002</v>
      </c>
      <c r="G143" s="13">
        <v>0.71579999999999999</v>
      </c>
    </row>
    <row r="144" spans="1:7" ht="12.5">
      <c r="A144" s="10" t="s">
        <v>36</v>
      </c>
      <c r="B144" s="11" t="s">
        <v>2</v>
      </c>
      <c r="C144" s="12">
        <v>1</v>
      </c>
      <c r="D144" s="12">
        <v>0.76829999999999998</v>
      </c>
      <c r="E144" s="12">
        <v>1E-4</v>
      </c>
      <c r="F144" s="12">
        <v>6.0970000000000004</v>
      </c>
      <c r="G144" s="13">
        <v>0.76829999999999998</v>
      </c>
    </row>
    <row r="145" spans="1:7" ht="12.5">
      <c r="A145" s="10" t="s">
        <v>36</v>
      </c>
      <c r="B145" s="11" t="s">
        <v>2</v>
      </c>
      <c r="C145" s="12">
        <v>1</v>
      </c>
      <c r="D145" s="12">
        <v>0.76</v>
      </c>
      <c r="E145" s="12">
        <v>0</v>
      </c>
      <c r="F145" s="12">
        <v>4.9390000000000001</v>
      </c>
      <c r="G145" s="13">
        <v>0.76</v>
      </c>
    </row>
    <row r="146" spans="1:7" ht="12.5">
      <c r="A146" s="10" t="s">
        <v>36</v>
      </c>
      <c r="B146" s="11" t="s">
        <v>2</v>
      </c>
      <c r="C146" s="12">
        <v>1</v>
      </c>
      <c r="D146" s="12">
        <v>0.70960000000000001</v>
      </c>
      <c r="E146" s="12">
        <v>1E-4</v>
      </c>
      <c r="F146" s="12">
        <v>4.8342000000000001</v>
      </c>
      <c r="G146" s="13">
        <v>0.70960000000000001</v>
      </c>
    </row>
    <row r="147" spans="1:7" ht="12.5">
      <c r="A147" s="10" t="s">
        <v>36</v>
      </c>
      <c r="B147" s="11" t="s">
        <v>2</v>
      </c>
      <c r="C147" s="12">
        <v>1</v>
      </c>
      <c r="D147" s="12">
        <v>0.76549999999999996</v>
      </c>
      <c r="E147" s="12">
        <v>0</v>
      </c>
      <c r="F147" s="12">
        <v>6.1271000000000004</v>
      </c>
      <c r="G147" s="13">
        <v>0.76549999999999996</v>
      </c>
    </row>
    <row r="148" spans="1:7" ht="12.5">
      <c r="A148" s="10" t="s">
        <v>55</v>
      </c>
      <c r="B148" s="11" t="s">
        <v>80</v>
      </c>
      <c r="C148" s="12">
        <v>1</v>
      </c>
      <c r="D148" s="12">
        <v>0.75270000000000004</v>
      </c>
      <c r="E148" s="12">
        <v>0</v>
      </c>
      <c r="F148" s="12">
        <v>5.0891000000000002</v>
      </c>
      <c r="G148" s="13">
        <v>0.75270000000000004</v>
      </c>
    </row>
    <row r="149" spans="1:7" ht="12.5">
      <c r="A149" s="10" t="s">
        <v>55</v>
      </c>
      <c r="B149" s="11" t="s">
        <v>82</v>
      </c>
      <c r="C149" s="12">
        <v>1</v>
      </c>
      <c r="D149" s="12">
        <v>0.69120000000000004</v>
      </c>
      <c r="E149" s="12">
        <v>0</v>
      </c>
      <c r="F149" s="12">
        <v>5.1756000000000002</v>
      </c>
      <c r="G149" s="13">
        <v>0.69120000000000004</v>
      </c>
    </row>
    <row r="150" spans="1:7" ht="12.5">
      <c r="A150" s="10" t="s">
        <v>55</v>
      </c>
      <c r="B150" s="11" t="s">
        <v>84</v>
      </c>
      <c r="C150" s="12">
        <v>1</v>
      </c>
      <c r="D150" s="12">
        <v>0.72870000000000001</v>
      </c>
      <c r="E150" s="12">
        <v>0</v>
      </c>
      <c r="F150" s="12">
        <v>4.8574999999999999</v>
      </c>
      <c r="G150" s="13">
        <v>0.72870000000000001</v>
      </c>
    </row>
    <row r="151" spans="1:7" ht="12.5">
      <c r="A151" s="10" t="s">
        <v>55</v>
      </c>
      <c r="B151" s="11" t="s">
        <v>86</v>
      </c>
      <c r="C151" s="12">
        <v>1</v>
      </c>
      <c r="D151" s="12">
        <v>0.70120000000000005</v>
      </c>
      <c r="E151" s="12">
        <v>0</v>
      </c>
      <c r="F151" s="12">
        <v>4.6925999999999997</v>
      </c>
      <c r="G151" s="13">
        <v>0.70120000000000005</v>
      </c>
    </row>
    <row r="152" spans="1:7" ht="12.5">
      <c r="A152" s="10" t="s">
        <v>55</v>
      </c>
      <c r="B152" s="11" t="s">
        <v>86</v>
      </c>
      <c r="C152" s="12">
        <v>1</v>
      </c>
      <c r="D152" s="12">
        <v>0.81510000000000005</v>
      </c>
      <c r="E152" s="12">
        <v>2.0000000000000001E-4</v>
      </c>
      <c r="F152" s="12">
        <v>4.7595000000000001</v>
      </c>
      <c r="G152" s="13">
        <v>0.81510000000000005</v>
      </c>
    </row>
    <row r="153" spans="1:7" ht="12.5">
      <c r="A153" s="10" t="s">
        <v>55</v>
      </c>
      <c r="B153" s="11" t="s">
        <v>89</v>
      </c>
      <c r="C153" s="12">
        <v>1</v>
      </c>
      <c r="D153" s="12">
        <v>0.73570000000000002</v>
      </c>
      <c r="E153" s="12">
        <v>0</v>
      </c>
      <c r="F153" s="12">
        <v>5.0578000000000003</v>
      </c>
      <c r="G153" s="13">
        <v>0.73570000000000002</v>
      </c>
    </row>
    <row r="154" spans="1:7" ht="12.5">
      <c r="A154" s="10" t="s">
        <v>55</v>
      </c>
      <c r="B154" s="11" t="s">
        <v>82</v>
      </c>
      <c r="C154" s="12">
        <v>1</v>
      </c>
      <c r="D154" s="12">
        <v>0.74099999999999999</v>
      </c>
      <c r="E154" s="12">
        <v>0</v>
      </c>
      <c r="F154" s="12">
        <v>4.7255000000000003</v>
      </c>
      <c r="G154" s="13">
        <v>0.74099999999999999</v>
      </c>
    </row>
    <row r="155" spans="1:7" ht="12.5">
      <c r="A155" s="10" t="s">
        <v>55</v>
      </c>
      <c r="B155" s="11" t="s">
        <v>91</v>
      </c>
      <c r="C155" s="12">
        <v>1</v>
      </c>
      <c r="D155" s="12">
        <v>0.71850000000000003</v>
      </c>
      <c r="E155" s="12">
        <v>1E-4</v>
      </c>
      <c r="F155" s="12">
        <v>4.3032000000000004</v>
      </c>
      <c r="G155" s="13">
        <v>0.71850000000000003</v>
      </c>
    </row>
    <row r="156" spans="1:7" ht="12.5">
      <c r="A156" s="10" t="s">
        <v>40</v>
      </c>
      <c r="B156" s="11" t="s">
        <v>94</v>
      </c>
      <c r="C156" s="12">
        <v>1</v>
      </c>
      <c r="D156" s="12">
        <v>0.73329999999999995</v>
      </c>
      <c r="E156" s="12">
        <v>0</v>
      </c>
      <c r="F156" s="12">
        <v>5.5902000000000003</v>
      </c>
      <c r="G156" s="13">
        <v>0.73329999999999995</v>
      </c>
    </row>
    <row r="157" spans="1:7" ht="12.5">
      <c r="A157" s="10" t="s">
        <v>40</v>
      </c>
      <c r="B157" s="11" t="s">
        <v>95</v>
      </c>
      <c r="C157" s="12">
        <v>1</v>
      </c>
      <c r="D157" s="12">
        <v>0.77149999999999996</v>
      </c>
      <c r="E157" s="12">
        <v>0</v>
      </c>
      <c r="F157" s="12">
        <v>4.6162000000000001</v>
      </c>
      <c r="G157" s="13">
        <v>0.77149999999999996</v>
      </c>
    </row>
    <row r="158" spans="1:7" ht="12.5">
      <c r="A158" s="10" t="s">
        <v>40</v>
      </c>
      <c r="B158" s="11" t="s">
        <v>93</v>
      </c>
      <c r="C158" s="12">
        <v>1</v>
      </c>
      <c r="D158" s="12">
        <v>0.73470000000000002</v>
      </c>
      <c r="E158" s="12">
        <v>0</v>
      </c>
      <c r="F158" s="12">
        <v>4.4996</v>
      </c>
      <c r="G158" s="13">
        <v>0.73470000000000002</v>
      </c>
    </row>
    <row r="159" spans="1:7" ht="12.5">
      <c r="A159" s="10" t="s">
        <v>40</v>
      </c>
      <c r="B159" s="11" t="s">
        <v>96</v>
      </c>
      <c r="C159" s="12">
        <v>1</v>
      </c>
      <c r="D159" s="12">
        <v>0.7631</v>
      </c>
      <c r="E159" s="12">
        <v>1E-4</v>
      </c>
      <c r="F159" s="12">
        <v>5.1135000000000002</v>
      </c>
      <c r="G159" s="13">
        <v>0.7631</v>
      </c>
    </row>
    <row r="160" spans="1:7" ht="12.5">
      <c r="A160" s="10" t="s">
        <v>47</v>
      </c>
      <c r="B160" s="11" t="s">
        <v>2</v>
      </c>
      <c r="C160" s="12">
        <v>1</v>
      </c>
      <c r="D160" s="12">
        <v>0.6925</v>
      </c>
      <c r="E160" s="12">
        <v>0</v>
      </c>
      <c r="F160" s="12">
        <v>5.343</v>
      </c>
      <c r="G160" s="13">
        <v>0.6925</v>
      </c>
    </row>
    <row r="161" spans="1:7" ht="12.5">
      <c r="A161" s="10" t="s">
        <v>47</v>
      </c>
      <c r="B161" s="11" t="s">
        <v>2</v>
      </c>
      <c r="C161" s="12">
        <v>1</v>
      </c>
      <c r="D161" s="12">
        <v>0.71260000000000001</v>
      </c>
      <c r="E161" s="12">
        <v>0</v>
      </c>
      <c r="F161" s="12">
        <v>5.1943000000000001</v>
      </c>
      <c r="G161" s="13">
        <v>0.71260000000000001</v>
      </c>
    </row>
    <row r="162" spans="1:7" ht="12.5">
      <c r="A162" s="10" t="s">
        <v>47</v>
      </c>
      <c r="B162" s="11" t="s">
        <v>2</v>
      </c>
      <c r="C162" s="12">
        <v>1</v>
      </c>
      <c r="D162" s="12">
        <v>0.70689999999999997</v>
      </c>
      <c r="E162" s="12">
        <v>1E-4</v>
      </c>
      <c r="F162" s="12">
        <v>5.5292000000000003</v>
      </c>
      <c r="G162" s="13">
        <v>0.70689999999999997</v>
      </c>
    </row>
    <row r="163" spans="1:7" ht="12.5">
      <c r="A163" s="10" t="s">
        <v>47</v>
      </c>
      <c r="B163" s="11" t="s">
        <v>2</v>
      </c>
      <c r="C163" s="12">
        <v>1</v>
      </c>
      <c r="D163" s="12">
        <v>0.74739999999999995</v>
      </c>
      <c r="E163" s="12">
        <v>0</v>
      </c>
      <c r="F163" s="12">
        <v>4.9509999999999996</v>
      </c>
      <c r="G163" s="13">
        <v>0.74739999999999995</v>
      </c>
    </row>
    <row r="164" spans="1:7" ht="12.5">
      <c r="A164" s="10" t="s">
        <v>47</v>
      </c>
      <c r="B164" s="11" t="s">
        <v>2</v>
      </c>
      <c r="C164" s="12">
        <v>1</v>
      </c>
      <c r="D164" s="12">
        <v>0.73319999999999996</v>
      </c>
      <c r="E164" s="12">
        <v>0</v>
      </c>
      <c r="F164" s="12">
        <v>4.6936</v>
      </c>
      <c r="G164" s="13">
        <v>0.73319999999999996</v>
      </c>
    </row>
    <row r="165" spans="1:7" ht="12.5">
      <c r="A165" s="10" t="s">
        <v>47</v>
      </c>
      <c r="B165" s="11" t="s">
        <v>2</v>
      </c>
      <c r="C165" s="12">
        <v>1</v>
      </c>
      <c r="D165" s="12">
        <v>0.72909999999999997</v>
      </c>
      <c r="E165" s="12">
        <v>0</v>
      </c>
      <c r="F165" s="12">
        <v>4.5553999999999997</v>
      </c>
      <c r="G165" s="13">
        <v>0.72909999999999997</v>
      </c>
    </row>
    <row r="166" spans="1:7" ht="12.5">
      <c r="A166" s="10" t="s">
        <v>47</v>
      </c>
      <c r="B166" s="11" t="s">
        <v>2</v>
      </c>
      <c r="C166" s="12">
        <v>1</v>
      </c>
      <c r="D166" s="12">
        <v>0.7157</v>
      </c>
      <c r="E166" s="12">
        <v>0</v>
      </c>
      <c r="F166" s="12">
        <v>5.1585000000000001</v>
      </c>
      <c r="G166" s="13">
        <v>0.7157</v>
      </c>
    </row>
    <row r="167" spans="1:7" ht="12.5">
      <c r="A167" s="10" t="s">
        <v>52</v>
      </c>
      <c r="B167" s="11" t="s">
        <v>91</v>
      </c>
      <c r="C167" s="12">
        <v>1</v>
      </c>
      <c r="D167" s="12">
        <v>0.77059999999999995</v>
      </c>
      <c r="E167" s="12">
        <v>1E-4</v>
      </c>
      <c r="F167" s="12">
        <v>5.2999000000000001</v>
      </c>
      <c r="G167" s="13">
        <v>0.77059999999999995</v>
      </c>
    </row>
    <row r="168" spans="1:7" ht="12.5">
      <c r="A168" s="10" t="s">
        <v>52</v>
      </c>
      <c r="B168" s="11" t="s">
        <v>86</v>
      </c>
      <c r="C168" s="12">
        <v>1</v>
      </c>
      <c r="D168" s="12">
        <v>0.72130000000000005</v>
      </c>
      <c r="E168" s="12">
        <v>0</v>
      </c>
      <c r="F168" s="12">
        <v>5.2442000000000002</v>
      </c>
      <c r="G168" s="13">
        <v>0.72130000000000005</v>
      </c>
    </row>
    <row r="169" spans="1:7" ht="12.5">
      <c r="A169" s="10" t="s">
        <v>52</v>
      </c>
      <c r="B169" s="11" t="s">
        <v>82</v>
      </c>
      <c r="C169" s="12">
        <v>1</v>
      </c>
      <c r="D169" s="12">
        <v>0.72389999999999999</v>
      </c>
      <c r="E169" s="12">
        <v>0</v>
      </c>
      <c r="F169" s="12">
        <v>5.3144</v>
      </c>
      <c r="G169" s="13">
        <v>0.72389999999999999</v>
      </c>
    </row>
    <row r="170" spans="1:7" ht="12.5">
      <c r="A170" s="10" t="s">
        <v>52</v>
      </c>
      <c r="B170" s="11" t="s">
        <v>92</v>
      </c>
      <c r="C170" s="12">
        <v>1</v>
      </c>
      <c r="D170" s="12">
        <v>0.75209999999999999</v>
      </c>
      <c r="E170" s="12">
        <v>0</v>
      </c>
      <c r="F170" s="12">
        <v>4.9661</v>
      </c>
      <c r="G170" s="13">
        <v>0.75209999999999999</v>
      </c>
    </row>
    <row r="171" spans="1:7" ht="12.5">
      <c r="A171" s="10" t="s">
        <v>52</v>
      </c>
      <c r="B171" s="11" t="s">
        <v>84</v>
      </c>
      <c r="C171" s="12">
        <v>1</v>
      </c>
      <c r="D171" s="12">
        <v>0.71530000000000005</v>
      </c>
      <c r="E171" s="12">
        <v>0</v>
      </c>
      <c r="F171" s="12">
        <v>4.4977999999999998</v>
      </c>
      <c r="G171" s="13">
        <v>0.71530000000000005</v>
      </c>
    </row>
    <row r="172" spans="1:7" ht="12.5">
      <c r="A172" s="10" t="s">
        <v>52</v>
      </c>
      <c r="B172" s="11" t="s">
        <v>89</v>
      </c>
      <c r="C172" s="12">
        <v>1</v>
      </c>
      <c r="D172" s="12">
        <v>0.75249999999999995</v>
      </c>
      <c r="E172" s="12">
        <v>1E-4</v>
      </c>
      <c r="F172" s="12">
        <v>4.6603000000000003</v>
      </c>
      <c r="G172" s="13">
        <v>0.75249999999999995</v>
      </c>
    </row>
    <row r="173" spans="1:7" ht="12.5">
      <c r="A173" s="10" t="s">
        <v>52</v>
      </c>
      <c r="B173" s="11" t="s">
        <v>80</v>
      </c>
      <c r="C173" s="12">
        <v>1</v>
      </c>
      <c r="D173" s="12">
        <v>0.78390000000000004</v>
      </c>
      <c r="E173" s="12">
        <v>0</v>
      </c>
      <c r="F173" s="12">
        <v>5.1620999999999997</v>
      </c>
      <c r="G173" s="13">
        <v>0.78390000000000004</v>
      </c>
    </row>
    <row r="174" spans="1:7" ht="12.5">
      <c r="A174" s="10" t="s">
        <v>51</v>
      </c>
      <c r="B174" s="11" t="s">
        <v>94</v>
      </c>
      <c r="C174" s="12">
        <v>1</v>
      </c>
      <c r="D174" s="12">
        <v>0.73499999999999999</v>
      </c>
      <c r="E174" s="12">
        <v>0</v>
      </c>
      <c r="F174" s="12">
        <v>4.992</v>
      </c>
      <c r="G174" s="13">
        <v>0.73499999999999999</v>
      </c>
    </row>
    <row r="175" spans="1:7" ht="12.5">
      <c r="A175" s="10" t="s">
        <v>51</v>
      </c>
      <c r="B175" s="11" t="s">
        <v>95</v>
      </c>
      <c r="C175" s="12">
        <v>1</v>
      </c>
      <c r="D175" s="12">
        <v>0.70779999999999998</v>
      </c>
      <c r="E175" s="12">
        <v>0</v>
      </c>
      <c r="F175" s="12">
        <v>5.0823</v>
      </c>
      <c r="G175" s="13">
        <v>0.70779999999999998</v>
      </c>
    </row>
    <row r="176" spans="1:7" ht="12.5">
      <c r="A176" s="10" t="s">
        <v>51</v>
      </c>
      <c r="B176" s="11" t="s">
        <v>93</v>
      </c>
      <c r="C176" s="12">
        <v>1</v>
      </c>
      <c r="D176" s="12">
        <v>0.75039999999999996</v>
      </c>
      <c r="E176" s="12">
        <v>1E-4</v>
      </c>
      <c r="F176" s="12">
        <v>5.3582999999999998</v>
      </c>
      <c r="G176" s="13">
        <v>0.75039999999999996</v>
      </c>
    </row>
    <row r="177" spans="1:7" ht="12.5">
      <c r="A177" s="10" t="s">
        <v>51</v>
      </c>
      <c r="B177" s="11" t="s">
        <v>96</v>
      </c>
      <c r="C177" s="12">
        <v>1</v>
      </c>
      <c r="D177" s="12">
        <v>0.69569999999999999</v>
      </c>
      <c r="E177" s="12">
        <v>0</v>
      </c>
      <c r="F177" s="12">
        <v>5.4862000000000002</v>
      </c>
      <c r="G177" s="13">
        <v>0.69569999999999999</v>
      </c>
    </row>
    <row r="178" spans="1:7" ht="12.5">
      <c r="A178" s="10" t="s">
        <v>42</v>
      </c>
      <c r="B178" s="11" t="s">
        <v>80</v>
      </c>
      <c r="C178" s="12">
        <v>1</v>
      </c>
      <c r="D178" s="12">
        <v>0.77449999999999997</v>
      </c>
      <c r="E178" s="12">
        <v>2.0000000000000001E-4</v>
      </c>
      <c r="F178" s="12">
        <v>5.3730000000000002</v>
      </c>
      <c r="G178" s="13">
        <v>0.77449999999999997</v>
      </c>
    </row>
    <row r="179" spans="1:7" ht="12.5">
      <c r="A179" s="10" t="s">
        <v>42</v>
      </c>
      <c r="B179" s="11" t="s">
        <v>82</v>
      </c>
      <c r="C179" s="12">
        <v>1</v>
      </c>
      <c r="D179" s="12">
        <v>0.74319999999999997</v>
      </c>
      <c r="E179" s="12">
        <v>1E-4</v>
      </c>
      <c r="F179" s="12">
        <v>5.0974000000000004</v>
      </c>
      <c r="G179" s="13">
        <v>0.74319999999999997</v>
      </c>
    </row>
    <row r="180" spans="1:7" ht="12.5">
      <c r="A180" s="10" t="s">
        <v>42</v>
      </c>
      <c r="B180" s="11" t="s">
        <v>84</v>
      </c>
      <c r="C180" s="12">
        <v>1</v>
      </c>
      <c r="D180" s="12">
        <v>0.75180000000000002</v>
      </c>
      <c r="E180" s="12">
        <v>0</v>
      </c>
      <c r="F180" s="12">
        <v>5.1863999999999999</v>
      </c>
      <c r="G180" s="13">
        <v>0.75180000000000002</v>
      </c>
    </row>
    <row r="181" spans="1:7" ht="12.5">
      <c r="A181" s="10" t="s">
        <v>42</v>
      </c>
      <c r="B181" s="11" t="s">
        <v>86</v>
      </c>
      <c r="C181" s="12">
        <v>1</v>
      </c>
      <c r="D181" s="12">
        <v>0.73350000000000004</v>
      </c>
      <c r="E181" s="12">
        <v>0</v>
      </c>
      <c r="F181" s="12">
        <v>5.4546000000000001</v>
      </c>
      <c r="G181" s="13">
        <v>0.73350000000000004</v>
      </c>
    </row>
    <row r="182" spans="1:7" ht="12.5">
      <c r="A182" s="10" t="s">
        <v>42</v>
      </c>
      <c r="B182" s="11" t="s">
        <v>86</v>
      </c>
      <c r="C182" s="12">
        <v>1</v>
      </c>
      <c r="D182" s="12">
        <v>0.74829999999999997</v>
      </c>
      <c r="E182" s="12">
        <v>0</v>
      </c>
      <c r="F182" s="12">
        <v>5.4005999999999998</v>
      </c>
      <c r="G182" s="13">
        <v>0.74829999999999997</v>
      </c>
    </row>
    <row r="183" spans="1:7" ht="12.5">
      <c r="A183" s="10" t="s">
        <v>42</v>
      </c>
      <c r="B183" s="11" t="s">
        <v>89</v>
      </c>
      <c r="C183" s="12">
        <v>1</v>
      </c>
      <c r="D183" s="12">
        <v>0.74099999999999999</v>
      </c>
      <c r="E183" s="12">
        <v>0</v>
      </c>
      <c r="F183" s="12">
        <v>5.9478</v>
      </c>
      <c r="G183" s="13">
        <v>0.74099999999999999</v>
      </c>
    </row>
    <row r="184" spans="1:7" ht="12.5">
      <c r="A184" s="10" t="s">
        <v>42</v>
      </c>
      <c r="B184" s="11" t="s">
        <v>82</v>
      </c>
      <c r="C184" s="12">
        <v>1</v>
      </c>
      <c r="D184" s="12">
        <v>0.72719999999999996</v>
      </c>
      <c r="E184" s="12">
        <v>5.0000000000000001E-4</v>
      </c>
      <c r="F184" s="12">
        <v>4.7453000000000003</v>
      </c>
      <c r="G184" s="13">
        <v>0.72719999999999996</v>
      </c>
    </row>
    <row r="185" spans="1:7" ht="12.5">
      <c r="A185" s="22" t="s">
        <v>42</v>
      </c>
      <c r="B185" s="23" t="s">
        <v>91</v>
      </c>
      <c r="C185" s="24">
        <v>1</v>
      </c>
      <c r="D185" s="24">
        <v>0.72560000000000002</v>
      </c>
      <c r="E185" s="24">
        <v>0</v>
      </c>
      <c r="F185" s="24">
        <v>5.0346000000000002</v>
      </c>
      <c r="G185" s="25">
        <v>0.72560000000000002</v>
      </c>
    </row>
    <row r="187" spans="1:7" ht="12.5">
      <c r="A187" s="2" t="str">
        <f>"TOTAL: " &amp; TEXT(COUNTA(A2:A185), "0")</f>
        <v>TOTAL: 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Z79"/>
  <sheetViews>
    <sheetView topLeftCell="N1" workbookViewId="0">
      <selection activeCell="T24" sqref="T24"/>
    </sheetView>
  </sheetViews>
  <sheetFormatPr defaultColWidth="12.6328125" defaultRowHeight="15.75" customHeight="1"/>
  <cols>
    <col min="1" max="1" width="61.90625" customWidth="1"/>
    <col min="2" max="2" width="47.6328125" customWidth="1"/>
    <col min="4" max="4" width="6.08984375" customWidth="1"/>
    <col min="5" max="5" width="10.453125" customWidth="1"/>
    <col min="6" max="6" width="10.7265625" customWidth="1"/>
    <col min="7" max="7" width="13.08984375" customWidth="1"/>
    <col min="9" max="9" width="61.90625" customWidth="1"/>
    <col min="10" max="10" width="47.6328125" customWidth="1"/>
    <col min="11" max="11" width="4.36328125" customWidth="1"/>
    <col min="12" max="15" width="8" customWidth="1"/>
    <col min="17" max="17" width="61.90625" customWidth="1"/>
    <col min="18" max="18" width="6" customWidth="1"/>
    <col min="26" max="26" width="29.08984375" customWidth="1"/>
  </cols>
  <sheetData>
    <row r="1" spans="1:26" ht="13">
      <c r="A1" s="26"/>
      <c r="B1" s="27" t="s">
        <v>4</v>
      </c>
      <c r="C1" s="27" t="s">
        <v>1</v>
      </c>
      <c r="D1" s="27" t="s">
        <v>5</v>
      </c>
      <c r="E1" s="27" t="s">
        <v>6</v>
      </c>
      <c r="F1" s="27" t="s">
        <v>7</v>
      </c>
      <c r="G1" s="28" t="s">
        <v>8</v>
      </c>
      <c r="H1" s="29"/>
      <c r="I1" s="30" t="str">
        <f ca="1">IFERROR(__xludf.DUMMYFUNCTION("QUERY($A$2:$G$77, ""select A, B, avg(C), avg(D), avg(E), avg(F), avg(G) group by A,B"")"),"")</f>
        <v/>
      </c>
      <c r="J1" s="31" t="str">
        <f ca="1">IFERROR(__xludf.DUMMYFUNCTION("""COMPUTED_VALUE"""),"")</f>
        <v/>
      </c>
      <c r="K1" s="31" t="str">
        <f ca="1">IFERROR(__xludf.DUMMYFUNCTION("""COMPUTED_VALUE"""),"avg ")</f>
        <v xml:space="preserve">avg </v>
      </c>
      <c r="L1" s="31" t="str">
        <f ca="1">IFERROR(__xludf.DUMMYFUNCTION("""COMPUTED_VALUE"""),"avg ")</f>
        <v xml:space="preserve">avg </v>
      </c>
      <c r="M1" s="31" t="str">
        <f ca="1">IFERROR(__xludf.DUMMYFUNCTION("""COMPUTED_VALUE"""),"avg ")</f>
        <v xml:space="preserve">avg </v>
      </c>
      <c r="N1" s="31" t="str">
        <f ca="1">IFERROR(__xludf.DUMMYFUNCTION("""COMPUTED_VALUE"""),"avg ")</f>
        <v xml:space="preserve">avg </v>
      </c>
      <c r="O1" s="32" t="str">
        <f ca="1">IFERROR(__xludf.DUMMYFUNCTION("""COMPUTED_VALUE"""),"avg ")</f>
        <v xml:space="preserve">avg </v>
      </c>
      <c r="P1" s="29"/>
      <c r="Q1" s="30" t="str">
        <f ca="1">IFERROR(__xludf.DUMMYFUNCTION("QUERY($I$2:$I$59, ""select I, count(I) group by I order by count(I)"")"),"")</f>
        <v/>
      </c>
      <c r="R1" s="31" t="str">
        <f ca="1">IFERROR(__xludf.DUMMYFUNCTION("""COMPUTED_VALUE"""),"count ")</f>
        <v xml:space="preserve">count </v>
      </c>
      <c r="S1" s="31" t="s">
        <v>9</v>
      </c>
      <c r="T1" s="31" t="s">
        <v>10</v>
      </c>
      <c r="U1" s="31" t="s">
        <v>56</v>
      </c>
      <c r="V1" s="31" t="s">
        <v>57</v>
      </c>
      <c r="W1" s="32" t="s">
        <v>11</v>
      </c>
      <c r="X1" s="29"/>
      <c r="Y1" s="29" t="s">
        <v>12</v>
      </c>
      <c r="Z1" s="29" t="s">
        <v>1</v>
      </c>
    </row>
    <row r="2" spans="1:26" ht="15.75" customHeight="1">
      <c r="A2" s="10" t="s">
        <v>52</v>
      </c>
      <c r="B2" s="11" t="s">
        <v>97</v>
      </c>
      <c r="C2" s="12">
        <v>1</v>
      </c>
      <c r="D2" s="12">
        <v>0.76290000000000002</v>
      </c>
      <c r="E2" s="12">
        <v>0</v>
      </c>
      <c r="F2" s="12">
        <v>4.7762000000000002</v>
      </c>
      <c r="G2" s="13">
        <v>0.76290000000000002</v>
      </c>
      <c r="I2" s="15" t="str">
        <f ca="1">IFERROR(__xludf.DUMMYFUNCTION("""COMPUTED_VALUE"""),"Denial of Service: Backup Of Cloud Application Lost")</f>
        <v>Denial of Service: Backup Of Cloud Application Lost</v>
      </c>
      <c r="J2" s="2" t="str">
        <f ca="1">IFERROR(__xludf.DUMMYFUNCTION("""COMPUTED_VALUE"""),"LoadBalancer (ALB) - target_group")</f>
        <v>LoadBalancer (ALB) - target_group</v>
      </c>
      <c r="K2" s="2">
        <f ca="1">IFERROR(__xludf.DUMMYFUNCTION("""COMPUTED_VALUE"""),1)</f>
        <v>1</v>
      </c>
      <c r="L2" s="2">
        <f ca="1">IFERROR(__xludf.DUMMYFUNCTION("""COMPUTED_VALUE"""),0.7811)</f>
        <v>0.78110000000000002</v>
      </c>
      <c r="M2" s="2">
        <f ca="1">IFERROR(__xludf.DUMMYFUNCTION("""COMPUTED_VALUE"""),0.0001)</f>
        <v>1E-4</v>
      </c>
      <c r="N2" s="2">
        <f ca="1">IFERROR(__xludf.DUMMYFUNCTION("""COMPUTED_VALUE"""),5.4346)</f>
        <v>5.4345999999999997</v>
      </c>
      <c r="O2" s="18">
        <f ca="1">IFERROR(__xludf.DUMMYFUNCTION("""COMPUTED_VALUE"""),0.7811)</f>
        <v>0.78110000000000002</v>
      </c>
      <c r="Q2" s="15" t="str">
        <f ca="1">IFERROR(__xludf.DUMMYFUNCTION("""COMPUTED_VALUE"""),"Information Disclosure: Malware From Cloud Application")</f>
        <v>Information Disclosure: Malware From Cloud Application</v>
      </c>
      <c r="R2" s="2">
        <f ca="1">IFERROR(__xludf.DUMMYFUNCTION("""COMPUTED_VALUE"""),1)</f>
        <v>1</v>
      </c>
      <c r="W2" s="18"/>
      <c r="X2" s="2"/>
      <c r="Y2" s="2" t="s">
        <v>15</v>
      </c>
      <c r="Z2" s="36" t="s">
        <v>98</v>
      </c>
    </row>
    <row r="3" spans="1:26" ht="15.75" customHeight="1">
      <c r="A3" s="10" t="s">
        <v>52</v>
      </c>
      <c r="B3" s="11" t="s">
        <v>99</v>
      </c>
      <c r="C3" s="12">
        <v>1</v>
      </c>
      <c r="D3" s="12">
        <v>0.78490000000000004</v>
      </c>
      <c r="E3" s="12">
        <v>0</v>
      </c>
      <c r="F3" s="12">
        <v>5.7667000000000002</v>
      </c>
      <c r="G3" s="13">
        <v>0.78490000000000004</v>
      </c>
      <c r="I3" s="15" t="str">
        <f ca="1">IFERROR(__xludf.DUMMYFUNCTION("""COMPUTED_VALUE"""),"Denial of Service: Backup Of Cloud Application Lost")</f>
        <v>Denial of Service: Backup Of Cloud Application Lost</v>
      </c>
      <c r="J3" s="2" t="str">
        <f ca="1">IFERROR(__xludf.DUMMYFUNCTION("""COMPUTED_VALUE"""),"VirtualFirewall (SecurityGroup) - load_balancer_security_group")</f>
        <v>VirtualFirewall (SecurityGroup) - load_balancer_security_group</v>
      </c>
      <c r="K3" s="2">
        <f ca="1">IFERROR(__xludf.DUMMYFUNCTION("""COMPUTED_VALUE"""),1)</f>
        <v>1</v>
      </c>
      <c r="L3" s="2">
        <f ca="1">IFERROR(__xludf.DUMMYFUNCTION("""COMPUTED_VALUE"""),0.7123)</f>
        <v>0.71230000000000004</v>
      </c>
      <c r="M3" s="2">
        <f ca="1">IFERROR(__xludf.DUMMYFUNCTION("""COMPUTED_VALUE"""),0)</f>
        <v>0</v>
      </c>
      <c r="N3" s="2">
        <f ca="1">IFERROR(__xludf.DUMMYFUNCTION("""COMPUTED_VALUE"""),5.5201)</f>
        <v>5.5201000000000002</v>
      </c>
      <c r="O3" s="18">
        <f ca="1">IFERROR(__xludf.DUMMYFUNCTION("""COMPUTED_VALUE"""),0.7123)</f>
        <v>0.71230000000000004</v>
      </c>
      <c r="Q3" s="15" t="str">
        <f ca="1">IFERROR(__xludf.DUMMYFUNCTION("""COMPUTED_VALUE"""),"Information Disclosure: Public Network Access To Cloud Application")</f>
        <v>Information Disclosure: Public Network Access To Cloud Application</v>
      </c>
      <c r="R3" s="2">
        <f ca="1">IFERROR(__xludf.DUMMYFUNCTION("""COMPUTED_VALUE"""),1)</f>
        <v>1</v>
      </c>
      <c r="W3" s="18"/>
      <c r="X3" s="2"/>
      <c r="Y3" s="2" t="s">
        <v>18</v>
      </c>
      <c r="Z3" s="2" t="s">
        <v>100</v>
      </c>
    </row>
    <row r="4" spans="1:26" ht="15.75" customHeight="1">
      <c r="A4" s="10" t="s">
        <v>52</v>
      </c>
      <c r="B4" s="11" t="s">
        <v>101</v>
      </c>
      <c r="C4" s="12">
        <v>1</v>
      </c>
      <c r="D4" s="12">
        <v>0.77829999999999999</v>
      </c>
      <c r="E4" s="12">
        <v>1E-4</v>
      </c>
      <c r="F4" s="12">
        <v>4.8365999999999998</v>
      </c>
      <c r="G4" s="13">
        <v>0.77829999999999999</v>
      </c>
      <c r="I4" s="15" t="str">
        <f ca="1">IFERROR(__xludf.DUMMYFUNCTION("""COMPUTED_VALUE"""),"Denial of Service: Block Shared Resources Of Cloud Application")</f>
        <v>Denial of Service: Block Shared Resources Of Cloud Application</v>
      </c>
      <c r="J4" s="2" t="str">
        <f ca="1">IFERROR(__xludf.DUMMYFUNCTION("""COMPUTED_VALUE"""),"IAM (IAM) - ec2-deployer-role-attachment")</f>
        <v>IAM (IAM) - ec2-deployer-role-attachment</v>
      </c>
      <c r="K4" s="2">
        <f ca="1">IFERROR(__xludf.DUMMYFUNCTION("""COMPUTED_VALUE"""),1)</f>
        <v>1</v>
      </c>
      <c r="L4" s="2">
        <f ca="1">IFERROR(__xludf.DUMMYFUNCTION("""COMPUTED_VALUE"""),0.7196)</f>
        <v>0.71960000000000002</v>
      </c>
      <c r="M4" s="2">
        <f ca="1">IFERROR(__xludf.DUMMYFUNCTION("""COMPUTED_VALUE"""),0.0001)</f>
        <v>1E-4</v>
      </c>
      <c r="N4" s="2">
        <f ca="1">IFERROR(__xludf.DUMMYFUNCTION("""COMPUTED_VALUE"""),4.7446)</f>
        <v>4.7446000000000002</v>
      </c>
      <c r="O4" s="18">
        <f ca="1">IFERROR(__xludf.DUMMYFUNCTION("""COMPUTED_VALUE"""),0.7196)</f>
        <v>0.71960000000000002</v>
      </c>
      <c r="Q4" s="15" t="str">
        <f ca="1">IFERROR(__xludf.DUMMYFUNCTION("""COMPUTED_VALUE"""),"Information Disclosure: Social Engineering Against Remote User")</f>
        <v>Information Disclosure: Social Engineering Against Remote User</v>
      </c>
      <c r="R4" s="2">
        <f ca="1">IFERROR(__xludf.DUMMYFUNCTION("""COMPUTED_VALUE"""),1)</f>
        <v>1</v>
      </c>
      <c r="W4" s="18"/>
      <c r="X4" s="2"/>
      <c r="Y4" s="2" t="s">
        <v>65</v>
      </c>
      <c r="Z4" s="2" t="s">
        <v>102</v>
      </c>
    </row>
    <row r="5" spans="1:26" ht="15.75" customHeight="1">
      <c r="A5" s="10" t="s">
        <v>52</v>
      </c>
      <c r="B5" s="11" t="s">
        <v>103</v>
      </c>
      <c r="C5" s="12">
        <v>1</v>
      </c>
      <c r="D5" s="12">
        <v>0.73740000000000006</v>
      </c>
      <c r="E5" s="12">
        <v>0</v>
      </c>
      <c r="F5" s="12">
        <v>4.6201999999999996</v>
      </c>
      <c r="G5" s="13">
        <v>0.73740000000000006</v>
      </c>
      <c r="I5" s="15" t="str">
        <f ca="1">IFERROR(__xludf.DUMMYFUNCTION("""COMPUTED_VALUE"""),"Denial of Service: Block Shared Resources Of Cloud Application")</f>
        <v>Denial of Service: Block Shared Resources Of Cloud Application</v>
      </c>
      <c r="J5" s="2" t="str">
        <f ca="1">IFERROR(__xludf.DUMMYFUNCTION("""COMPUTED_VALUE"""),"IAM (IAM) - ecs-instance-role")</f>
        <v>IAM (IAM) - ecs-instance-role</v>
      </c>
      <c r="K5" s="2">
        <f ca="1">IFERROR(__xludf.DUMMYFUNCTION("""COMPUTED_VALUE"""),1)</f>
        <v>1</v>
      </c>
      <c r="L5" s="2">
        <f ca="1">IFERROR(__xludf.DUMMYFUNCTION("""COMPUTED_VALUE"""),0.7792)</f>
        <v>0.7792</v>
      </c>
      <c r="M5" s="2">
        <f ca="1">IFERROR(__xludf.DUMMYFUNCTION("""COMPUTED_VALUE"""),0.0001)</f>
        <v>1E-4</v>
      </c>
      <c r="N5" s="2">
        <f ca="1">IFERROR(__xludf.DUMMYFUNCTION("""COMPUTED_VALUE"""),5.2288)</f>
        <v>5.2287999999999997</v>
      </c>
      <c r="O5" s="18">
        <f ca="1">IFERROR(__xludf.DUMMYFUNCTION("""COMPUTED_VALUE"""),0.7792)</f>
        <v>0.7792</v>
      </c>
      <c r="Q5" s="15" t="str">
        <f ca="1">IFERROR(__xludf.DUMMYFUNCTION("""COMPUTED_VALUE"""),"Spoofing: Social Engineering Against Remote User")</f>
        <v>Spoofing: Social Engineering Against Remote User</v>
      </c>
      <c r="R5" s="2">
        <f ca="1">IFERROR(__xludf.DUMMYFUNCTION("""COMPUTED_VALUE"""),1)</f>
        <v>1</v>
      </c>
      <c r="W5" s="18"/>
      <c r="X5" s="2"/>
      <c r="Y5" s="2" t="s">
        <v>67</v>
      </c>
      <c r="Z5" s="2" t="s">
        <v>90</v>
      </c>
    </row>
    <row r="6" spans="1:26" ht="15.75" customHeight="1">
      <c r="A6" s="10" t="s">
        <v>44</v>
      </c>
      <c r="B6" s="11" t="s">
        <v>104</v>
      </c>
      <c r="C6" s="12">
        <v>1</v>
      </c>
      <c r="D6" s="12">
        <v>0.69450000000000001</v>
      </c>
      <c r="E6" s="12">
        <v>0</v>
      </c>
      <c r="F6" s="12">
        <v>4.9588999999999999</v>
      </c>
      <c r="G6" s="13">
        <v>0.69450000000000001</v>
      </c>
      <c r="I6" s="15" t="str">
        <f ca="1">IFERROR(__xludf.DUMMYFUNCTION("""COMPUTED_VALUE"""),"Denial of Service: Block Shared Resources Of Cloud Application")</f>
        <v>Denial of Service: Block Shared Resources Of Cloud Application</v>
      </c>
      <c r="J6" s="2" t="str">
        <f ca="1">IFERROR(__xludf.DUMMYFUNCTION("""COMPUTED_VALUE"""),"IAM (IAM) - ecs-task-role")</f>
        <v>IAM (IAM) - ecs-task-role</v>
      </c>
      <c r="K6" s="2">
        <f ca="1">IFERROR(__xludf.DUMMYFUNCTION("""COMPUTED_VALUE"""),1)</f>
        <v>1</v>
      </c>
      <c r="L6" s="2">
        <f ca="1">IFERROR(__xludf.DUMMYFUNCTION("""COMPUTED_VALUE"""),0.7424)</f>
        <v>0.74239999999999995</v>
      </c>
      <c r="M6" s="2">
        <f ca="1">IFERROR(__xludf.DUMMYFUNCTION("""COMPUTED_VALUE"""),0.0001)</f>
        <v>1E-4</v>
      </c>
      <c r="N6" s="2">
        <f ca="1">IFERROR(__xludf.DUMMYFUNCTION("""COMPUTED_VALUE"""),4.7681)</f>
        <v>4.7680999999999996</v>
      </c>
      <c r="O6" s="18">
        <f ca="1">IFERROR(__xludf.DUMMYFUNCTION("""COMPUTED_VALUE"""),0.7424)</f>
        <v>0.74239999999999995</v>
      </c>
      <c r="Q6" s="15" t="str">
        <f ca="1">IFERROR(__xludf.DUMMYFUNCTION("""COMPUTED_VALUE"""),"Tampering: Malware From Cloud Application")</f>
        <v>Tampering: Malware From Cloud Application</v>
      </c>
      <c r="R6" s="2">
        <f ca="1">IFERROR(__xludf.DUMMYFUNCTION("""COMPUTED_VALUE"""),1)</f>
        <v>1</v>
      </c>
      <c r="W6" s="18"/>
    </row>
    <row r="7" spans="1:26" ht="15.75" customHeight="1">
      <c r="A7" s="10" t="s">
        <v>50</v>
      </c>
      <c r="B7" s="11" t="s">
        <v>97</v>
      </c>
      <c r="C7" s="12">
        <v>1</v>
      </c>
      <c r="D7" s="12">
        <v>0.70209999999999995</v>
      </c>
      <c r="E7" s="12">
        <v>0</v>
      </c>
      <c r="F7" s="12">
        <v>4.9930000000000003</v>
      </c>
      <c r="G7" s="13">
        <v>0.70209999999999995</v>
      </c>
      <c r="I7" s="15" t="str">
        <f ca="1">IFERROR(__xludf.DUMMYFUNCTION("""COMPUTED_VALUE"""),"Denial of Service: Block Shared Resources Of Cloud Application")</f>
        <v>Denial of Service: Block Shared Resources Of Cloud Application</v>
      </c>
      <c r="J7" s="2" t="str">
        <f ca="1">IFERROR(__xludf.DUMMYFUNCTION("""COMPUTED_VALUE"""),"VirtualFirewall (SecurityGroup) - load_balancer_security_group")</f>
        <v>VirtualFirewall (SecurityGroup) - load_balancer_security_group</v>
      </c>
      <c r="K7" s="2">
        <f ca="1">IFERROR(__xludf.DUMMYFUNCTION("""COMPUTED_VALUE"""),1)</f>
        <v>1</v>
      </c>
      <c r="L7" s="2">
        <f ca="1">IFERROR(__xludf.DUMMYFUNCTION("""COMPUTED_VALUE"""),0.6694)</f>
        <v>0.6694</v>
      </c>
      <c r="M7" s="2">
        <f ca="1">IFERROR(__xludf.DUMMYFUNCTION("""COMPUTED_VALUE"""),0.0002)</f>
        <v>2.0000000000000001E-4</v>
      </c>
      <c r="N7" s="2">
        <f ca="1">IFERROR(__xludf.DUMMYFUNCTION("""COMPUTED_VALUE"""),5.1452)</f>
        <v>5.1452</v>
      </c>
      <c r="O7" s="18">
        <f ca="1">IFERROR(__xludf.DUMMYFUNCTION("""COMPUTED_VALUE"""),0.6694)</f>
        <v>0.6694</v>
      </c>
      <c r="Q7" s="15" t="str">
        <f ca="1">IFERROR(__xludf.DUMMYFUNCTION("""COMPUTED_VALUE"""),"Tampering: Public Network Access To Cloud Application")</f>
        <v>Tampering: Public Network Access To Cloud Application</v>
      </c>
      <c r="R7" s="2">
        <f ca="1">IFERROR(__xludf.DUMMYFUNCTION("""COMPUTED_VALUE"""),1)</f>
        <v>1</v>
      </c>
      <c r="W7" s="18"/>
    </row>
    <row r="8" spans="1:26" ht="15.75" customHeight="1">
      <c r="A8" s="10" t="s">
        <v>50</v>
      </c>
      <c r="B8" s="11" t="s">
        <v>99</v>
      </c>
      <c r="C8" s="12">
        <v>1</v>
      </c>
      <c r="D8" s="12">
        <v>0.77649999999999997</v>
      </c>
      <c r="E8" s="12">
        <v>0</v>
      </c>
      <c r="F8" s="12">
        <v>5.0004999999999997</v>
      </c>
      <c r="G8" s="13">
        <v>0.77649999999999997</v>
      </c>
      <c r="I8" s="15" t="str">
        <f ca="1">IFERROR(__xludf.DUMMYFUNCTION("""COMPUTED_VALUE"""),"Denial of Service: Connection Lost To Cloud Application")</f>
        <v>Denial of Service: Connection Lost To Cloud Application</v>
      </c>
      <c r="J8" s="2" t="str">
        <f ca="1">IFERROR(__xludf.DUMMYFUNCTION("""COMPUTED_VALUE"""),"LoadBalancer (ALB) - target_group")</f>
        <v>LoadBalancer (ALB) - target_group</v>
      </c>
      <c r="K8" s="2">
        <f ca="1">IFERROR(__xludf.DUMMYFUNCTION("""COMPUTED_VALUE"""),1)</f>
        <v>1</v>
      </c>
      <c r="L8" s="2">
        <f ca="1">IFERROR(__xludf.DUMMYFUNCTION("""COMPUTED_VALUE"""),0.7332)</f>
        <v>0.73319999999999996</v>
      </c>
      <c r="M8" s="2">
        <f ca="1">IFERROR(__xludf.DUMMYFUNCTION("""COMPUTED_VALUE"""),0.0003)</f>
        <v>2.9999999999999997E-4</v>
      </c>
      <c r="N8" s="2">
        <f ca="1">IFERROR(__xludf.DUMMYFUNCTION("""COMPUTED_VALUE"""),4.4043)</f>
        <v>4.4043000000000001</v>
      </c>
      <c r="O8" s="18">
        <f ca="1">IFERROR(__xludf.DUMMYFUNCTION("""COMPUTED_VALUE"""),0.7332)</f>
        <v>0.73319999999999996</v>
      </c>
      <c r="Q8" s="15" t="str">
        <f ca="1">IFERROR(__xludf.DUMMYFUNCTION("""COMPUTED_VALUE"""),"Denial of Service: Backup Of Cloud Application Lost")</f>
        <v>Denial of Service: Backup Of Cloud Application Lost</v>
      </c>
      <c r="R8" s="2">
        <f ca="1">IFERROR(__xludf.DUMMYFUNCTION("""COMPUTED_VALUE"""),2)</f>
        <v>2</v>
      </c>
      <c r="W8" s="18"/>
    </row>
    <row r="9" spans="1:26" ht="15.75" customHeight="1">
      <c r="A9" s="10" t="s">
        <v>50</v>
      </c>
      <c r="B9" s="11" t="s">
        <v>101</v>
      </c>
      <c r="C9" s="12">
        <v>1</v>
      </c>
      <c r="D9" s="12">
        <v>0.74309999999999998</v>
      </c>
      <c r="E9" s="12">
        <v>0</v>
      </c>
      <c r="F9" s="12">
        <v>4.9585999999999997</v>
      </c>
      <c r="G9" s="13">
        <v>0.74309999999999998</v>
      </c>
      <c r="I9" s="15" t="str">
        <f ca="1">IFERROR(__xludf.DUMMYFUNCTION("""COMPUTED_VALUE"""),"Denial of Service: Connection Lost To Cloud Application")</f>
        <v>Denial of Service: Connection Lost To Cloud Application</v>
      </c>
      <c r="J9" s="2" t="str">
        <f ca="1">IFERROR(__xludf.DUMMYFUNCTION("""COMPUTED_VALUE"""),"VirtualFirewall (SecurityGroup) - load_balancer_security_group")</f>
        <v>VirtualFirewall (SecurityGroup) - load_balancer_security_group</v>
      </c>
      <c r="K9" s="2">
        <f ca="1">IFERROR(__xludf.DUMMYFUNCTION("""COMPUTED_VALUE"""),1)</f>
        <v>1</v>
      </c>
      <c r="L9" s="2">
        <f ca="1">IFERROR(__xludf.DUMMYFUNCTION("""COMPUTED_VALUE"""),0.7524)</f>
        <v>0.75239999999999996</v>
      </c>
      <c r="M9" s="2">
        <f ca="1">IFERROR(__xludf.DUMMYFUNCTION("""COMPUTED_VALUE"""),0)</f>
        <v>0</v>
      </c>
      <c r="N9" s="2">
        <f ca="1">IFERROR(__xludf.DUMMYFUNCTION("""COMPUTED_VALUE"""),6.505)</f>
        <v>6.5049999999999999</v>
      </c>
      <c r="O9" s="18">
        <f ca="1">IFERROR(__xludf.DUMMYFUNCTION("""COMPUTED_VALUE"""),0.7524)</f>
        <v>0.75239999999999996</v>
      </c>
      <c r="Q9" s="15" t="str">
        <f ca="1">IFERROR(__xludf.DUMMYFUNCTION("""COMPUTED_VALUE"""),"Denial of Service: Connection Lost To Cloud Application")</f>
        <v>Denial of Service: Connection Lost To Cloud Application</v>
      </c>
      <c r="R9" s="2">
        <f ca="1">IFERROR(__xludf.DUMMYFUNCTION("""COMPUTED_VALUE"""),2)</f>
        <v>2</v>
      </c>
      <c r="W9" s="18"/>
    </row>
    <row r="10" spans="1:26" ht="15.75" customHeight="1">
      <c r="A10" s="10" t="s">
        <v>50</v>
      </c>
      <c r="B10" s="11" t="s">
        <v>103</v>
      </c>
      <c r="C10" s="12">
        <v>1</v>
      </c>
      <c r="D10" s="12">
        <v>0.69640000000000002</v>
      </c>
      <c r="E10" s="12">
        <v>0</v>
      </c>
      <c r="F10" s="12">
        <v>5.2824999999999998</v>
      </c>
      <c r="G10" s="13">
        <v>0.69640000000000002</v>
      </c>
      <c r="I10" s="15" t="str">
        <f ca="1">IFERROR(__xludf.DUMMYFUNCTION("""COMPUTED_VALUE"""),"Denial of Service: DDoS Attack To Cloud Application")</f>
        <v>Denial of Service: DDoS Attack To Cloud Application</v>
      </c>
      <c r="J10" s="2" t="str">
        <f ca="1">IFERROR(__xludf.DUMMYFUNCTION("""COMPUTED_VALUE"""),"IAM (IAM) - ec2-deployer-role-attachment")</f>
        <v>IAM (IAM) - ec2-deployer-role-attachment</v>
      </c>
      <c r="K10" s="2">
        <f ca="1">IFERROR(__xludf.DUMMYFUNCTION("""COMPUTED_VALUE"""),1)</f>
        <v>1</v>
      </c>
      <c r="L10" s="2">
        <f ca="1">IFERROR(__xludf.DUMMYFUNCTION("""COMPUTED_VALUE"""),0.7783)</f>
        <v>0.77829999999999999</v>
      </c>
      <c r="M10" s="2">
        <f ca="1">IFERROR(__xludf.DUMMYFUNCTION("""COMPUTED_VALUE"""),0.0001)</f>
        <v>1E-4</v>
      </c>
      <c r="N10" s="2">
        <f ca="1">IFERROR(__xludf.DUMMYFUNCTION("""COMPUTED_VALUE"""),4.8366)</f>
        <v>4.8365999999999998</v>
      </c>
      <c r="O10" s="18">
        <f ca="1">IFERROR(__xludf.DUMMYFUNCTION("""COMPUTED_VALUE"""),0.7783)</f>
        <v>0.77829999999999999</v>
      </c>
      <c r="Q10" s="15" t="str">
        <f ca="1">IFERROR(__xludf.DUMMYFUNCTION("""COMPUTED_VALUE"""),"Denial of Service: Denial of Service against a Data Store")</f>
        <v>Denial of Service: Denial of Service against a Data Store</v>
      </c>
      <c r="R10" s="2">
        <f ca="1">IFERROR(__xludf.DUMMYFUNCTION("""COMPUTED_VALUE"""),2)</f>
        <v>2</v>
      </c>
      <c r="W10" s="18"/>
    </row>
    <row r="11" spans="1:26" ht="15.75" customHeight="1">
      <c r="A11" s="10" t="s">
        <v>25</v>
      </c>
      <c r="B11" s="11" t="s">
        <v>94</v>
      </c>
      <c r="C11" s="12">
        <v>1</v>
      </c>
      <c r="D11" s="12">
        <v>0.70850000000000002</v>
      </c>
      <c r="E11" s="12">
        <v>0</v>
      </c>
      <c r="F11" s="12">
        <v>4.6440999999999999</v>
      </c>
      <c r="G11" s="13">
        <v>0.70850000000000002</v>
      </c>
      <c r="I11" s="15" t="str">
        <f ca="1">IFERROR(__xludf.DUMMYFUNCTION("""COMPUTED_VALUE"""),"Denial of Service: DDoS Attack To Cloud Application")</f>
        <v>Denial of Service: DDoS Attack To Cloud Application</v>
      </c>
      <c r="J11" s="2" t="str">
        <f ca="1">IFERROR(__xludf.DUMMYFUNCTION("""COMPUTED_VALUE"""),"IAM (IAM) - ecs-instance-role")</f>
        <v>IAM (IAM) - ecs-instance-role</v>
      </c>
      <c r="K11" s="2">
        <f ca="1">IFERROR(__xludf.DUMMYFUNCTION("""COMPUTED_VALUE"""),1)</f>
        <v>1</v>
      </c>
      <c r="L11" s="2">
        <f ca="1">IFERROR(__xludf.DUMMYFUNCTION("""COMPUTED_VALUE"""),0.7374)</f>
        <v>0.73740000000000006</v>
      </c>
      <c r="M11" s="2">
        <f ca="1">IFERROR(__xludf.DUMMYFUNCTION("""COMPUTED_VALUE"""),0)</f>
        <v>0</v>
      </c>
      <c r="N11" s="2">
        <f ca="1">IFERROR(__xludf.DUMMYFUNCTION("""COMPUTED_VALUE"""),4.6202)</f>
        <v>4.6201999999999996</v>
      </c>
      <c r="O11" s="18">
        <f ca="1">IFERROR(__xludf.DUMMYFUNCTION("""COMPUTED_VALUE"""),0.7374)</f>
        <v>0.73740000000000006</v>
      </c>
      <c r="Q11" s="15" t="str">
        <f ca="1">IFERROR(__xludf.DUMMYFUNCTION("""COMPUTED_VALUE"""),"Denial of Service: Failure Of Cloud Application")</f>
        <v>Denial of Service: Failure Of Cloud Application</v>
      </c>
      <c r="R11" s="2">
        <f ca="1">IFERROR(__xludf.DUMMYFUNCTION("""COMPUTED_VALUE"""),2)</f>
        <v>2</v>
      </c>
      <c r="W11" s="18"/>
    </row>
    <row r="12" spans="1:26" ht="15.75" customHeight="1">
      <c r="A12" s="10" t="s">
        <v>48</v>
      </c>
      <c r="B12" s="11" t="s">
        <v>105</v>
      </c>
      <c r="C12" s="12">
        <v>1</v>
      </c>
      <c r="D12" s="12">
        <v>0.77180000000000004</v>
      </c>
      <c r="E12" s="12">
        <v>1E-4</v>
      </c>
      <c r="F12" s="12">
        <v>5.069</v>
      </c>
      <c r="G12" s="13">
        <v>0.77180000000000004</v>
      </c>
      <c r="I12" s="15" t="str">
        <f ca="1">IFERROR(__xludf.DUMMYFUNCTION("""COMPUTED_VALUE"""),"Denial of Service: DDoS Attack To Cloud Application")</f>
        <v>Denial of Service: DDoS Attack To Cloud Application</v>
      </c>
      <c r="J12" s="2" t="str">
        <f ca="1">IFERROR(__xludf.DUMMYFUNCTION("""COMPUTED_VALUE"""),"IAM (IAM) - ecs-task-role")</f>
        <v>IAM (IAM) - ecs-task-role</v>
      </c>
      <c r="K12" s="2">
        <f ca="1">IFERROR(__xludf.DUMMYFUNCTION("""COMPUTED_VALUE"""),1)</f>
        <v>1</v>
      </c>
      <c r="L12" s="2">
        <f ca="1">IFERROR(__xludf.DUMMYFUNCTION("""COMPUTED_VALUE"""),0.7849)</f>
        <v>0.78490000000000004</v>
      </c>
      <c r="M12" s="2">
        <f ca="1">IFERROR(__xludf.DUMMYFUNCTION("""COMPUTED_VALUE"""),0)</f>
        <v>0</v>
      </c>
      <c r="N12" s="2">
        <f ca="1">IFERROR(__xludf.DUMMYFUNCTION("""COMPUTED_VALUE"""),5.7667)</f>
        <v>5.7667000000000002</v>
      </c>
      <c r="O12" s="18">
        <f ca="1">IFERROR(__xludf.DUMMYFUNCTION("""COMPUTED_VALUE"""),0.7849)</f>
        <v>0.78490000000000004</v>
      </c>
      <c r="Q12" s="15" t="str">
        <f ca="1">IFERROR(__xludf.DUMMYFUNCTION("""COMPUTED_VALUE"""),"Elevation of Privilege: Broken Access Control")</f>
        <v>Elevation of Privilege: Broken Access Control</v>
      </c>
      <c r="R12" s="2">
        <f ca="1">IFERROR(__xludf.DUMMYFUNCTION("""COMPUTED_VALUE"""),2)</f>
        <v>2</v>
      </c>
      <c r="W12" s="18"/>
    </row>
    <row r="13" spans="1:26" ht="15.75" customHeight="1">
      <c r="A13" s="10" t="s">
        <v>48</v>
      </c>
      <c r="B13" s="11" t="s">
        <v>97</v>
      </c>
      <c r="C13" s="12">
        <v>1</v>
      </c>
      <c r="D13" s="12">
        <v>0.75339999999999996</v>
      </c>
      <c r="E13" s="12">
        <v>0</v>
      </c>
      <c r="F13" s="12">
        <v>5.3463000000000003</v>
      </c>
      <c r="G13" s="13">
        <v>0.75339999999999996</v>
      </c>
      <c r="I13" s="15" t="str">
        <f ca="1">IFERROR(__xludf.DUMMYFUNCTION("""COMPUTED_VALUE"""),"Denial of Service: DDoS Attack To Cloud Application")</f>
        <v>Denial of Service: DDoS Attack To Cloud Application</v>
      </c>
      <c r="J13" s="2" t="str">
        <f ca="1">IFERROR(__xludf.DUMMYFUNCTION("""COMPUTED_VALUE"""),"VirtualFirewall (SecurityGroup) - load_balancer_security_group")</f>
        <v>VirtualFirewall (SecurityGroup) - load_balancer_security_group</v>
      </c>
      <c r="K13" s="2">
        <f ca="1">IFERROR(__xludf.DUMMYFUNCTION("""COMPUTED_VALUE"""),1)</f>
        <v>1</v>
      </c>
      <c r="L13" s="2">
        <f ca="1">IFERROR(__xludf.DUMMYFUNCTION("""COMPUTED_VALUE"""),0.7629)</f>
        <v>0.76290000000000002</v>
      </c>
      <c r="M13" s="2">
        <f ca="1">IFERROR(__xludf.DUMMYFUNCTION("""COMPUTED_VALUE"""),0)</f>
        <v>0</v>
      </c>
      <c r="N13" s="2">
        <f ca="1">IFERROR(__xludf.DUMMYFUNCTION("""COMPUTED_VALUE"""),4.7762)</f>
        <v>4.7762000000000002</v>
      </c>
      <c r="O13" s="18">
        <f ca="1">IFERROR(__xludf.DUMMYFUNCTION("""COMPUTED_VALUE"""),0.7629)</f>
        <v>0.76290000000000002</v>
      </c>
      <c r="Q13" s="15" t="str">
        <f ca="1">IFERROR(__xludf.DUMMYFUNCTION("""COMPUTED_VALUE"""),"Information Disclosure: Backup Of Cloud Application Stolen")</f>
        <v>Information Disclosure: Backup Of Cloud Application Stolen</v>
      </c>
      <c r="R13" s="2">
        <f ca="1">IFERROR(__xludf.DUMMYFUNCTION("""COMPUTED_VALUE"""),2)</f>
        <v>2</v>
      </c>
      <c r="W13" s="18"/>
    </row>
    <row r="14" spans="1:26" ht="15.75" customHeight="1">
      <c r="A14" s="10" t="s">
        <v>41</v>
      </c>
      <c r="B14" s="11" t="s">
        <v>97</v>
      </c>
      <c r="C14" s="12">
        <v>1</v>
      </c>
      <c r="D14" s="12">
        <v>0.7238</v>
      </c>
      <c r="E14" s="12">
        <v>0</v>
      </c>
      <c r="F14" s="12">
        <v>5.5023999999999997</v>
      </c>
      <c r="G14" s="13">
        <v>0.7238</v>
      </c>
      <c r="I14" s="15" t="str">
        <f ca="1">IFERROR(__xludf.DUMMYFUNCTION("""COMPUTED_VALUE"""),"Denial of Service: Denial of Service against a Data Store")</f>
        <v>Denial of Service: Denial of Service against a Data Store</v>
      </c>
      <c r="J14" s="2" t="str">
        <f ca="1">IFERROR(__xludf.DUMMYFUNCTION("""COMPUTED_VALUE"""),"Database (RDS) - database-instance")</f>
        <v>Database (RDS) - database-instance</v>
      </c>
      <c r="K14" s="2">
        <f ca="1">IFERROR(__xludf.DUMMYFUNCTION("""COMPUTED_VALUE"""),1)</f>
        <v>1</v>
      </c>
      <c r="L14" s="2">
        <f ca="1">IFERROR(__xludf.DUMMYFUNCTION("""COMPUTED_VALUE"""),0.6945)</f>
        <v>0.69450000000000001</v>
      </c>
      <c r="M14" s="2">
        <f ca="1">IFERROR(__xludf.DUMMYFUNCTION("""COMPUTED_VALUE"""),0)</f>
        <v>0</v>
      </c>
      <c r="N14" s="2">
        <f ca="1">IFERROR(__xludf.DUMMYFUNCTION("""COMPUTED_VALUE"""),4.9589)</f>
        <v>4.9588999999999999</v>
      </c>
      <c r="O14" s="18">
        <f ca="1">IFERROR(__xludf.DUMMYFUNCTION("""COMPUTED_VALUE"""),0.6945)</f>
        <v>0.69450000000000001</v>
      </c>
      <c r="Q14" s="15" t="str">
        <f ca="1">IFERROR(__xludf.DUMMYFUNCTION("""COMPUTED_VALUE"""),"Information Disclosure: Data Breach By Cloud Application")</f>
        <v>Information Disclosure: Data Breach By Cloud Application</v>
      </c>
      <c r="R14" s="2">
        <f ca="1">IFERROR(__xludf.DUMMYFUNCTION("""COMPUTED_VALUE"""),2)</f>
        <v>2</v>
      </c>
      <c r="W14" s="18"/>
    </row>
    <row r="15" spans="1:26" ht="15.75" customHeight="1">
      <c r="A15" s="10" t="s">
        <v>41</v>
      </c>
      <c r="B15" s="11" t="s">
        <v>99</v>
      </c>
      <c r="C15" s="12">
        <v>1</v>
      </c>
      <c r="D15" s="12">
        <v>0.73780000000000001</v>
      </c>
      <c r="E15" s="12">
        <v>0</v>
      </c>
      <c r="F15" s="12">
        <v>5.0652999999999997</v>
      </c>
      <c r="G15" s="13">
        <v>0.73780000000000001</v>
      </c>
      <c r="I15" s="15" t="str">
        <f ca="1">IFERROR(__xludf.DUMMYFUNCTION("""COMPUTED_VALUE"""),"Denial of Service: Denial of Service against a Data Store")</f>
        <v>Denial of Service: Denial of Service against a Data Store</v>
      </c>
      <c r="J15" s="2" t="str">
        <f ca="1">IFERROR(__xludf.DUMMYFUNCTION("""COMPUTED_VALUE"""),"FileStorage (S3) - bucket_tf_files")</f>
        <v>FileStorage (S3) - bucket_tf_files</v>
      </c>
      <c r="K15" s="2">
        <f ca="1">IFERROR(__xludf.DUMMYFUNCTION("""COMPUTED_VALUE"""),1)</f>
        <v>1</v>
      </c>
      <c r="L15" s="2">
        <f ca="1">IFERROR(__xludf.DUMMYFUNCTION("""COMPUTED_VALUE"""),0.7649)</f>
        <v>0.76490000000000002</v>
      </c>
      <c r="M15" s="2">
        <f ca="1">IFERROR(__xludf.DUMMYFUNCTION("""COMPUTED_VALUE"""),0.0001)</f>
        <v>1E-4</v>
      </c>
      <c r="N15" s="2">
        <f ca="1">IFERROR(__xludf.DUMMYFUNCTION("""COMPUTED_VALUE"""),5.2296)</f>
        <v>5.2295999999999996</v>
      </c>
      <c r="O15" s="18">
        <f ca="1">IFERROR(__xludf.DUMMYFUNCTION("""COMPUTED_VALUE"""),0.7649)</f>
        <v>0.76490000000000002</v>
      </c>
      <c r="Q15" s="15" t="str">
        <f ca="1">IFERROR(__xludf.DUMMYFUNCTION("""COMPUTED_VALUE"""),"Information Disclosure: Logs Of Cloud Application Stolen")</f>
        <v>Information Disclosure: Logs Of Cloud Application Stolen</v>
      </c>
      <c r="R15" s="2">
        <f ca="1">IFERROR(__xludf.DUMMYFUNCTION("""COMPUTED_VALUE"""),2)</f>
        <v>2</v>
      </c>
      <c r="W15" s="18"/>
    </row>
    <row r="16" spans="1:26" ht="15.75" customHeight="1">
      <c r="A16" s="10" t="s">
        <v>41</v>
      </c>
      <c r="B16" s="11" t="s">
        <v>101</v>
      </c>
      <c r="C16" s="12">
        <v>1</v>
      </c>
      <c r="D16" s="12">
        <v>0.75390000000000001</v>
      </c>
      <c r="E16" s="12">
        <v>0</v>
      </c>
      <c r="F16" s="12">
        <v>5.0875000000000004</v>
      </c>
      <c r="G16" s="13">
        <v>0.75390000000000001</v>
      </c>
      <c r="I16" s="15" t="str">
        <f ca="1">IFERROR(__xludf.DUMMYFUNCTION("""COMPUTED_VALUE"""),"Denial of Service: EDoS Attack To Cloud Application")</f>
        <v>Denial of Service: EDoS Attack To Cloud Application</v>
      </c>
      <c r="J16" s="2" t="str">
        <f ca="1">IFERROR(__xludf.DUMMYFUNCTION("""COMPUTED_VALUE"""),"IAM (IAM) - ec2-deployer-role-attachment")</f>
        <v>IAM (IAM) - ec2-deployer-role-attachment</v>
      </c>
      <c r="K16" s="2">
        <f ca="1">IFERROR(__xludf.DUMMYFUNCTION("""COMPUTED_VALUE"""),1)</f>
        <v>1</v>
      </c>
      <c r="L16" s="2">
        <f ca="1">IFERROR(__xludf.DUMMYFUNCTION("""COMPUTED_VALUE"""),0.7312)</f>
        <v>0.73119999999999996</v>
      </c>
      <c r="M16" s="2">
        <f ca="1">IFERROR(__xludf.DUMMYFUNCTION("""COMPUTED_VALUE"""),0.0001)</f>
        <v>1E-4</v>
      </c>
      <c r="N16" s="2">
        <f ca="1">IFERROR(__xludf.DUMMYFUNCTION("""COMPUTED_VALUE"""),5.2994)</f>
        <v>5.2994000000000003</v>
      </c>
      <c r="O16" s="18">
        <f ca="1">IFERROR(__xludf.DUMMYFUNCTION("""COMPUTED_VALUE"""),0.7312)</f>
        <v>0.73119999999999996</v>
      </c>
      <c r="Q16" s="15" t="str">
        <f ca="1">IFERROR(__xludf.DUMMYFUNCTION("""COMPUTED_VALUE"""),"Information Disclosure: Sensitive Data Leakage")</f>
        <v>Information Disclosure: Sensitive Data Leakage</v>
      </c>
      <c r="R16" s="2">
        <f ca="1">IFERROR(__xludf.DUMMYFUNCTION("""COMPUTED_VALUE"""),2)</f>
        <v>2</v>
      </c>
      <c r="W16" s="18"/>
    </row>
    <row r="17" spans="1:23" ht="15.75" customHeight="1">
      <c r="A17" s="10" t="s">
        <v>41</v>
      </c>
      <c r="B17" s="11" t="s">
        <v>103</v>
      </c>
      <c r="C17" s="12">
        <v>1</v>
      </c>
      <c r="D17" s="12">
        <v>0.77700000000000002</v>
      </c>
      <c r="E17" s="12">
        <v>1E-4</v>
      </c>
      <c r="F17" s="12">
        <v>5.0385999999999997</v>
      </c>
      <c r="G17" s="13">
        <v>0.77700000000000002</v>
      </c>
      <c r="I17" s="15" t="str">
        <f ca="1">IFERROR(__xludf.DUMMYFUNCTION("""COMPUTED_VALUE"""),"Denial of Service: EDoS Attack To Cloud Application")</f>
        <v>Denial of Service: EDoS Attack To Cloud Application</v>
      </c>
      <c r="J17" s="2" t="str">
        <f ca="1">IFERROR(__xludf.DUMMYFUNCTION("""COMPUTED_VALUE"""),"IAM (IAM) - ecs-instance-role")</f>
        <v>IAM (IAM) - ecs-instance-role</v>
      </c>
      <c r="K17" s="2">
        <f ca="1">IFERROR(__xludf.DUMMYFUNCTION("""COMPUTED_VALUE"""),1)</f>
        <v>1</v>
      </c>
      <c r="L17" s="2">
        <f ca="1">IFERROR(__xludf.DUMMYFUNCTION("""COMPUTED_VALUE"""),0.7243)</f>
        <v>0.72430000000000005</v>
      </c>
      <c r="M17" s="2">
        <f ca="1">IFERROR(__xludf.DUMMYFUNCTION("""COMPUTED_VALUE"""),0)</f>
        <v>0</v>
      </c>
      <c r="N17" s="2">
        <f ca="1">IFERROR(__xludf.DUMMYFUNCTION("""COMPUTED_VALUE"""),5.4814)</f>
        <v>5.4813999999999998</v>
      </c>
      <c r="O17" s="18">
        <f ca="1">IFERROR(__xludf.DUMMYFUNCTION("""COMPUTED_VALUE"""),0.7243)</f>
        <v>0.72430000000000005</v>
      </c>
      <c r="Q17" s="15" t="str">
        <f ca="1">IFERROR(__xludf.DUMMYFUNCTION("""COMPUTED_VALUE"""),"Repudiation: Attacking the Logs")</f>
        <v>Repudiation: Attacking the Logs</v>
      </c>
      <c r="R17" s="2">
        <f ca="1">IFERROR(__xludf.DUMMYFUNCTION("""COMPUTED_VALUE"""),2)</f>
        <v>2</v>
      </c>
      <c r="W17" s="18"/>
    </row>
    <row r="18" spans="1:23" ht="15.75" customHeight="1">
      <c r="A18" s="10" t="s">
        <v>54</v>
      </c>
      <c r="B18" s="11" t="s">
        <v>2</v>
      </c>
      <c r="C18" s="12">
        <v>1</v>
      </c>
      <c r="D18" s="12">
        <v>0.71430000000000005</v>
      </c>
      <c r="E18" s="12">
        <v>0</v>
      </c>
      <c r="F18" s="12">
        <v>4.8785999999999996</v>
      </c>
      <c r="G18" s="13">
        <v>0.71430000000000005</v>
      </c>
      <c r="I18" s="15" t="str">
        <f ca="1">IFERROR(__xludf.DUMMYFUNCTION("""COMPUTED_VALUE"""),"Denial of Service: EDoS Attack To Cloud Application")</f>
        <v>Denial of Service: EDoS Attack To Cloud Application</v>
      </c>
      <c r="J18" s="2" t="str">
        <f ca="1">IFERROR(__xludf.DUMMYFUNCTION("""COMPUTED_VALUE"""),"IAM (IAM) - ecs-task-role")</f>
        <v>IAM (IAM) - ecs-task-role</v>
      </c>
      <c r="K18" s="2">
        <f ca="1">IFERROR(__xludf.DUMMYFUNCTION("""COMPUTED_VALUE"""),1)</f>
        <v>1</v>
      </c>
      <c r="L18" s="2">
        <f ca="1">IFERROR(__xludf.DUMMYFUNCTION("""COMPUTED_VALUE"""),0.7862)</f>
        <v>0.78620000000000001</v>
      </c>
      <c r="M18" s="2">
        <f ca="1">IFERROR(__xludf.DUMMYFUNCTION("""COMPUTED_VALUE"""),0.0001)</f>
        <v>1E-4</v>
      </c>
      <c r="N18" s="2">
        <f ca="1">IFERROR(__xludf.DUMMYFUNCTION("""COMPUTED_VALUE"""),4.6482)</f>
        <v>4.6482000000000001</v>
      </c>
      <c r="O18" s="18">
        <f ca="1">IFERROR(__xludf.DUMMYFUNCTION("""COMPUTED_VALUE"""),0.7862)</f>
        <v>0.78620000000000001</v>
      </c>
      <c r="Q18" s="15" t="str">
        <f ca="1">IFERROR(__xludf.DUMMYFUNCTION("""COMPUTED_VALUE"""),"Repudiation: Logs Of Cloud Application Lost")</f>
        <v>Repudiation: Logs Of Cloud Application Lost</v>
      </c>
      <c r="R18" s="2">
        <f ca="1">IFERROR(__xludf.DUMMYFUNCTION("""COMPUTED_VALUE"""),2)</f>
        <v>2</v>
      </c>
      <c r="W18" s="18"/>
    </row>
    <row r="19" spans="1:23" ht="15.75" customHeight="1">
      <c r="A19" s="10" t="s">
        <v>54</v>
      </c>
      <c r="B19" s="11" t="s">
        <v>2</v>
      </c>
      <c r="C19" s="12">
        <v>1</v>
      </c>
      <c r="D19" s="12">
        <v>0.78</v>
      </c>
      <c r="E19" s="12">
        <v>0</v>
      </c>
      <c r="F19" s="12">
        <v>4.9199000000000002</v>
      </c>
      <c r="G19" s="13">
        <v>0.78</v>
      </c>
      <c r="I19" s="15" t="str">
        <f ca="1">IFERROR(__xludf.DUMMYFUNCTION("""COMPUTED_VALUE"""),"Denial of Service: EDoS Attack To Cloud Application")</f>
        <v>Denial of Service: EDoS Attack To Cloud Application</v>
      </c>
      <c r="J19" s="2" t="str">
        <f ca="1">IFERROR(__xludf.DUMMYFUNCTION("""COMPUTED_VALUE"""),"VirtualFirewall (SecurityGroup) - load_balancer_security_group")</f>
        <v>VirtualFirewall (SecurityGroup) - load_balancer_security_group</v>
      </c>
      <c r="K19" s="2">
        <f ca="1">IFERROR(__xludf.DUMMYFUNCTION("""COMPUTED_VALUE"""),1)</f>
        <v>1</v>
      </c>
      <c r="L19" s="2">
        <f ca="1">IFERROR(__xludf.DUMMYFUNCTION("""COMPUTED_VALUE"""),0.6956)</f>
        <v>0.6956</v>
      </c>
      <c r="M19" s="2">
        <f ca="1">IFERROR(__xludf.DUMMYFUNCTION("""COMPUTED_VALUE"""),0)</f>
        <v>0</v>
      </c>
      <c r="N19" s="2">
        <f ca="1">IFERROR(__xludf.DUMMYFUNCTION("""COMPUTED_VALUE"""),4.5573)</f>
        <v>4.5572999999999997</v>
      </c>
      <c r="O19" s="18">
        <f ca="1">IFERROR(__xludf.DUMMYFUNCTION("""COMPUTED_VALUE"""),0.6956)</f>
        <v>0.6956</v>
      </c>
      <c r="Q19" s="15" t="str">
        <f ca="1">IFERROR(__xludf.DUMMYFUNCTION("""COMPUTED_VALUE"""),"Spoofing: Broken Authentication")</f>
        <v>Spoofing: Broken Authentication</v>
      </c>
      <c r="R19" s="2">
        <f ca="1">IFERROR(__xludf.DUMMYFUNCTION("""COMPUTED_VALUE"""),2)</f>
        <v>2</v>
      </c>
      <c r="W19" s="18"/>
    </row>
    <row r="20" spans="1:23" ht="15.75" customHeight="1">
      <c r="A20" s="10" t="s">
        <v>54</v>
      </c>
      <c r="B20" s="11" t="s">
        <v>2</v>
      </c>
      <c r="C20" s="12">
        <v>1</v>
      </c>
      <c r="D20" s="12">
        <v>0.77010000000000001</v>
      </c>
      <c r="E20" s="12">
        <v>0</v>
      </c>
      <c r="F20" s="12">
        <v>4.9696999999999996</v>
      </c>
      <c r="G20" s="13">
        <v>0.77010000000000001</v>
      </c>
      <c r="I20" s="15" t="str">
        <f ca="1">IFERROR(__xludf.DUMMYFUNCTION("""COMPUTED_VALUE"""),"Denial of Service: Failure Of Cloud Application")</f>
        <v>Denial of Service: Failure Of Cloud Application</v>
      </c>
      <c r="J20" s="2" t="str">
        <f ca="1">IFERROR(__xludf.DUMMYFUNCTION("""COMPUTED_VALUE"""),"LoadBalancer (ALB) - target_group")</f>
        <v>LoadBalancer (ALB) - target_group</v>
      </c>
      <c r="K20" s="2">
        <f ca="1">IFERROR(__xludf.DUMMYFUNCTION("""COMPUTED_VALUE"""),1)</f>
        <v>1</v>
      </c>
      <c r="L20" s="2">
        <f ca="1">IFERROR(__xludf.DUMMYFUNCTION("""COMPUTED_VALUE"""),0.7485)</f>
        <v>0.74850000000000005</v>
      </c>
      <c r="M20" s="2">
        <f ca="1">IFERROR(__xludf.DUMMYFUNCTION("""COMPUTED_VALUE"""),0.0001)</f>
        <v>1E-4</v>
      </c>
      <c r="N20" s="2">
        <f ca="1">IFERROR(__xludf.DUMMYFUNCTION("""COMPUTED_VALUE"""),5.3793)</f>
        <v>5.3792999999999997</v>
      </c>
      <c r="O20" s="18">
        <f ca="1">IFERROR(__xludf.DUMMYFUNCTION("""COMPUTED_VALUE"""),0.7485)</f>
        <v>0.74850000000000005</v>
      </c>
      <c r="Q20" s="15" t="str">
        <f ca="1">IFERROR(__xludf.DUMMYFUNCTION("""COMPUTED_VALUE"""),"Tampering: Data Loss By Cloud Application")</f>
        <v>Tampering: Data Loss By Cloud Application</v>
      </c>
      <c r="R20" s="2">
        <f ca="1">IFERROR(__xludf.DUMMYFUNCTION("""COMPUTED_VALUE"""),2)</f>
        <v>2</v>
      </c>
      <c r="W20" s="18"/>
    </row>
    <row r="21" spans="1:23" ht="15.75" customHeight="1">
      <c r="A21" s="10" t="s">
        <v>54</v>
      </c>
      <c r="B21" s="11" t="s">
        <v>2</v>
      </c>
      <c r="C21" s="12">
        <v>1</v>
      </c>
      <c r="D21" s="12">
        <v>0.76160000000000005</v>
      </c>
      <c r="E21" s="12">
        <v>1E-4</v>
      </c>
      <c r="F21" s="12">
        <v>4.8385999999999996</v>
      </c>
      <c r="G21" s="13">
        <v>0.76160000000000005</v>
      </c>
      <c r="I21" s="15" t="str">
        <f ca="1">IFERROR(__xludf.DUMMYFUNCTION("""COMPUTED_VALUE"""),"Denial of Service: Failure Of Cloud Application")</f>
        <v>Denial of Service: Failure Of Cloud Application</v>
      </c>
      <c r="J21" s="2" t="str">
        <f ca="1">IFERROR(__xludf.DUMMYFUNCTION("""COMPUTED_VALUE"""),"VirtualFirewall (SecurityGroup) - load_balancer_security_group")</f>
        <v>VirtualFirewall (SecurityGroup) - load_balancer_security_group</v>
      </c>
      <c r="K21" s="2">
        <f ca="1">IFERROR(__xludf.DUMMYFUNCTION("""COMPUTED_VALUE"""),1)</f>
        <v>1</v>
      </c>
      <c r="L21" s="2">
        <f ca="1">IFERROR(__xludf.DUMMYFUNCTION("""COMPUTED_VALUE"""),0.7542)</f>
        <v>0.75419999999999998</v>
      </c>
      <c r="M21" s="2">
        <f ca="1">IFERROR(__xludf.DUMMYFUNCTION("""COMPUTED_VALUE"""),0)</f>
        <v>0</v>
      </c>
      <c r="N21" s="2">
        <f ca="1">IFERROR(__xludf.DUMMYFUNCTION("""COMPUTED_VALUE"""),4.9521)</f>
        <v>4.9520999999999997</v>
      </c>
      <c r="O21" s="18">
        <f ca="1">IFERROR(__xludf.DUMMYFUNCTION("""COMPUTED_VALUE"""),0.7542)</f>
        <v>0.75419999999999998</v>
      </c>
      <c r="Q21" s="15" t="str">
        <f ca="1">IFERROR(__xludf.DUMMYFUNCTION("""COMPUTED_VALUE"""),"Tampering: Unauthorized Modification of the Data Stores")</f>
        <v>Tampering: Unauthorized Modification of the Data Stores</v>
      </c>
      <c r="R21" s="2">
        <f ca="1">IFERROR(__xludf.DUMMYFUNCTION("""COMPUTED_VALUE"""),2)</f>
        <v>2</v>
      </c>
      <c r="W21" s="18"/>
    </row>
    <row r="22" spans="1:23" ht="15.75" customHeight="1">
      <c r="A22" s="10" t="s">
        <v>53</v>
      </c>
      <c r="B22" s="11" t="s">
        <v>2</v>
      </c>
      <c r="C22" s="12">
        <v>1</v>
      </c>
      <c r="D22" s="12">
        <v>0.74350000000000005</v>
      </c>
      <c r="E22" s="12">
        <v>0</v>
      </c>
      <c r="F22" s="12">
        <v>4.6837999999999997</v>
      </c>
      <c r="G22" s="13">
        <v>0.74350000000000005</v>
      </c>
      <c r="I22" s="15" t="str">
        <f ca="1">IFERROR(__xludf.DUMMYFUNCTION("""COMPUTED_VALUE"""),"Elevation of Privilege: Broken Access Control")</f>
        <v>Elevation of Privilege: Broken Access Control</v>
      </c>
      <c r="J22" s="2" t="str">
        <f ca="1">IFERROR(__xludf.DUMMYFUNCTION("""COMPUTED_VALUE"""),"LoadBalancer (ALB) - target_group")</f>
        <v>LoadBalancer (ALB) - target_group</v>
      </c>
      <c r="K22" s="2">
        <f ca="1">IFERROR(__xludf.DUMMYFUNCTION("""COMPUTED_VALUE"""),1)</f>
        <v>1</v>
      </c>
      <c r="L22" s="2">
        <f ca="1">IFERROR(__xludf.DUMMYFUNCTION("""COMPUTED_VALUE"""),0.7312)</f>
        <v>0.73119999999999996</v>
      </c>
      <c r="M22" s="2">
        <f ca="1">IFERROR(__xludf.DUMMYFUNCTION("""COMPUTED_VALUE"""),0.0001)</f>
        <v>1E-4</v>
      </c>
      <c r="N22" s="2">
        <f ca="1">IFERROR(__xludf.DUMMYFUNCTION("""COMPUTED_VALUE"""),5.0339)</f>
        <v>5.0339</v>
      </c>
      <c r="O22" s="18">
        <f ca="1">IFERROR(__xludf.DUMMYFUNCTION("""COMPUTED_VALUE"""),0.7312)</f>
        <v>0.73119999999999996</v>
      </c>
      <c r="Q22" s="15" t="str">
        <f ca="1">IFERROR(__xludf.DUMMYFUNCTION("""COMPUTED_VALUE"""),"Denial of Service: Block Shared Resources Of Cloud Application")</f>
        <v>Denial of Service: Block Shared Resources Of Cloud Application</v>
      </c>
      <c r="R22" s="2">
        <f ca="1">IFERROR(__xludf.DUMMYFUNCTION("""COMPUTED_VALUE"""),4)</f>
        <v>4</v>
      </c>
      <c r="W22" s="18"/>
    </row>
    <row r="23" spans="1:23" ht="15.75" customHeight="1">
      <c r="A23" s="10" t="s">
        <v>53</v>
      </c>
      <c r="B23" s="11" t="s">
        <v>2</v>
      </c>
      <c r="C23" s="12">
        <v>1</v>
      </c>
      <c r="D23" s="12">
        <v>0.77239999999999998</v>
      </c>
      <c r="E23" s="12">
        <v>2.0000000000000001E-4</v>
      </c>
      <c r="F23" s="12">
        <v>5.0534999999999997</v>
      </c>
      <c r="G23" s="13">
        <v>0.77239999999999998</v>
      </c>
      <c r="I23" s="15" t="str">
        <f ca="1">IFERROR(__xludf.DUMMYFUNCTION("""COMPUTED_VALUE"""),"Elevation of Privilege: Broken Access Control")</f>
        <v>Elevation of Privilege: Broken Access Control</v>
      </c>
      <c r="J23" s="2" t="str">
        <f ca="1">IFERROR(__xludf.DUMMYFUNCTION("""COMPUTED_VALUE"""),"VirtualFirewall (SecurityGroup) - load_balancer_security_group")</f>
        <v>VirtualFirewall (SecurityGroup) - load_balancer_security_group</v>
      </c>
      <c r="K23" s="2">
        <f ca="1">IFERROR(__xludf.DUMMYFUNCTION("""COMPUTED_VALUE"""),1)</f>
        <v>1</v>
      </c>
      <c r="L23" s="2">
        <f ca="1">IFERROR(__xludf.DUMMYFUNCTION("""COMPUTED_VALUE"""),0.698)</f>
        <v>0.69799999999999995</v>
      </c>
      <c r="M23" s="2">
        <f ca="1">IFERROR(__xludf.DUMMYFUNCTION("""COMPUTED_VALUE"""),0)</f>
        <v>0</v>
      </c>
      <c r="N23" s="2">
        <f ca="1">IFERROR(__xludf.DUMMYFUNCTION("""COMPUTED_VALUE"""),5.1396)</f>
        <v>5.1395999999999997</v>
      </c>
      <c r="O23" s="18">
        <f ca="1">IFERROR(__xludf.DUMMYFUNCTION("""COMPUTED_VALUE"""),0.698)</f>
        <v>0.69799999999999995</v>
      </c>
      <c r="Q23" s="15" t="str">
        <f ca="1">IFERROR(__xludf.DUMMYFUNCTION("""COMPUTED_VALUE"""),"Denial of Service: DDoS Attack To Cloud Application")</f>
        <v>Denial of Service: DDoS Attack To Cloud Application</v>
      </c>
      <c r="R23" s="2">
        <f ca="1">IFERROR(__xludf.DUMMYFUNCTION("""COMPUTED_VALUE"""),4)</f>
        <v>4</v>
      </c>
      <c r="W23" s="18"/>
    </row>
    <row r="24" spans="1:23" ht="15.75" customHeight="1">
      <c r="A24" s="10" t="s">
        <v>53</v>
      </c>
      <c r="B24" s="11" t="s">
        <v>2</v>
      </c>
      <c r="C24" s="12">
        <v>1</v>
      </c>
      <c r="D24" s="12">
        <v>0.69569999999999999</v>
      </c>
      <c r="E24" s="12">
        <v>0</v>
      </c>
      <c r="F24" s="12">
        <v>5.4695</v>
      </c>
      <c r="G24" s="13">
        <v>0.69569999999999999</v>
      </c>
      <c r="I24" s="15" t="str">
        <f ca="1">IFERROR(__xludf.DUMMYFUNCTION("""COMPUTED_VALUE"""),"Information Disclosure: Backup Of Cloud Application Stolen")</f>
        <v>Information Disclosure: Backup Of Cloud Application Stolen</v>
      </c>
      <c r="J24" s="2" t="str">
        <f ca="1">IFERROR(__xludf.DUMMYFUNCTION("""COMPUTED_VALUE"""),"LoadBalancer (ALB) - target_group")</f>
        <v>LoadBalancer (ALB) - target_group</v>
      </c>
      <c r="K24" s="2">
        <f ca="1">IFERROR(__xludf.DUMMYFUNCTION("""COMPUTED_VALUE"""),1)</f>
        <v>1</v>
      </c>
      <c r="L24" s="2">
        <f ca="1">IFERROR(__xludf.DUMMYFUNCTION("""COMPUTED_VALUE"""),0.7388)</f>
        <v>0.73880000000000001</v>
      </c>
      <c r="M24" s="2">
        <f ca="1">IFERROR(__xludf.DUMMYFUNCTION("""COMPUTED_VALUE"""),0.0001)</f>
        <v>1E-4</v>
      </c>
      <c r="N24" s="2">
        <f ca="1">IFERROR(__xludf.DUMMYFUNCTION("""COMPUTED_VALUE"""),4.72)</f>
        <v>4.72</v>
      </c>
      <c r="O24" s="18">
        <f ca="1">IFERROR(__xludf.DUMMYFUNCTION("""COMPUTED_VALUE"""),0.7388)</f>
        <v>0.73880000000000001</v>
      </c>
      <c r="Q24" s="15" t="str">
        <f ca="1">IFERROR(__xludf.DUMMYFUNCTION("""COMPUTED_VALUE"""),"Denial of Service: EDoS Attack To Cloud Application")</f>
        <v>Denial of Service: EDoS Attack To Cloud Application</v>
      </c>
      <c r="R24" s="2">
        <f ca="1">IFERROR(__xludf.DUMMYFUNCTION("""COMPUTED_VALUE"""),4)</f>
        <v>4</v>
      </c>
      <c r="W24" s="18"/>
    </row>
    <row r="25" spans="1:23" ht="12.5">
      <c r="A25" s="10" t="s">
        <v>53</v>
      </c>
      <c r="B25" s="11" t="s">
        <v>2</v>
      </c>
      <c r="C25" s="12">
        <v>1</v>
      </c>
      <c r="D25" s="12">
        <v>0.74729999999999996</v>
      </c>
      <c r="E25" s="12">
        <v>0</v>
      </c>
      <c r="F25" s="12">
        <v>4.4405000000000001</v>
      </c>
      <c r="G25" s="13">
        <v>0.74729999999999996</v>
      </c>
      <c r="I25" s="15" t="str">
        <f ca="1">IFERROR(__xludf.DUMMYFUNCTION("""COMPUTED_VALUE"""),"Information Disclosure: Backup Of Cloud Application Stolen")</f>
        <v>Information Disclosure: Backup Of Cloud Application Stolen</v>
      </c>
      <c r="J25" s="2" t="str">
        <f ca="1">IFERROR(__xludf.DUMMYFUNCTION("""COMPUTED_VALUE"""),"VirtualFirewall (SecurityGroup) - load_balancer_security_group")</f>
        <v>VirtualFirewall (SecurityGroup) - load_balancer_security_group</v>
      </c>
      <c r="K25" s="2">
        <f ca="1">IFERROR(__xludf.DUMMYFUNCTION("""COMPUTED_VALUE"""),1)</f>
        <v>1</v>
      </c>
      <c r="L25" s="2">
        <f ca="1">IFERROR(__xludf.DUMMYFUNCTION("""COMPUTED_VALUE"""),0.8114)</f>
        <v>0.81140000000000001</v>
      </c>
      <c r="M25" s="2">
        <f ca="1">IFERROR(__xludf.DUMMYFUNCTION("""COMPUTED_VALUE"""),0)</f>
        <v>0</v>
      </c>
      <c r="N25" s="2">
        <f ca="1">IFERROR(__xludf.DUMMYFUNCTION("""COMPUTED_VALUE"""),5.5199)</f>
        <v>5.5198999999999998</v>
      </c>
      <c r="O25" s="18">
        <f ca="1">IFERROR(__xludf.DUMMYFUNCTION("""COMPUTED_VALUE"""),0.8114)</f>
        <v>0.81140000000000001</v>
      </c>
      <c r="Q25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R25" s="2">
        <f ca="1">IFERROR(__xludf.DUMMYFUNCTION("""COMPUTED_VALUE"""),4)</f>
        <v>4</v>
      </c>
      <c r="W25" s="18"/>
    </row>
    <row r="26" spans="1:23" ht="12.5">
      <c r="A26" s="10" t="s">
        <v>49</v>
      </c>
      <c r="B26" s="11" t="s">
        <v>105</v>
      </c>
      <c r="C26" s="12">
        <v>1</v>
      </c>
      <c r="D26" s="12">
        <v>0.80130000000000001</v>
      </c>
      <c r="E26" s="12">
        <v>1E-4</v>
      </c>
      <c r="F26" s="12">
        <v>5.6600999999999999</v>
      </c>
      <c r="G26" s="13">
        <v>0.80130000000000001</v>
      </c>
      <c r="I26" s="15" t="str">
        <f ca="1">IFERROR(__xludf.DUMMYFUNCTION("""COMPUTED_VALUE"""),"Information Disclosure: Data Breach By Cloud Application")</f>
        <v>Information Disclosure: Data Breach By Cloud Application</v>
      </c>
      <c r="J26" s="2" t="str">
        <f ca="1">IFERROR(__xludf.DUMMYFUNCTION("""COMPUTED_VALUE"""),"LoadBalancer (ALB) - target_group")</f>
        <v>LoadBalancer (ALB) - target_group</v>
      </c>
      <c r="K26" s="2">
        <f ca="1">IFERROR(__xludf.DUMMYFUNCTION("""COMPUTED_VALUE"""),1)</f>
        <v>1</v>
      </c>
      <c r="L26" s="2">
        <f ca="1">IFERROR(__xludf.DUMMYFUNCTION("""COMPUTED_VALUE"""),0.7529)</f>
        <v>0.75290000000000001</v>
      </c>
      <c r="M26" s="2">
        <f ca="1">IFERROR(__xludf.DUMMYFUNCTION("""COMPUTED_VALUE"""),0)</f>
        <v>0</v>
      </c>
      <c r="N26" s="2">
        <f ca="1">IFERROR(__xludf.DUMMYFUNCTION("""COMPUTED_VALUE"""),4.8393)</f>
        <v>4.8392999999999997</v>
      </c>
      <c r="O26" s="18">
        <f ca="1">IFERROR(__xludf.DUMMYFUNCTION("""COMPUTED_VALUE"""),0.7529)</f>
        <v>0.75290000000000001</v>
      </c>
      <c r="Q26" s="15" t="str">
        <f ca="1">IFERROR(__xludf.DUMMYFUNCTION("""COMPUTED_VALUE"""),"Other: Cloud Application Abuse")</f>
        <v>Other: Cloud Application Abuse</v>
      </c>
      <c r="R26" s="2">
        <f ca="1">IFERROR(__xludf.DUMMYFUNCTION("""COMPUTED_VALUE"""),4)</f>
        <v>4</v>
      </c>
      <c r="W26" s="18"/>
    </row>
    <row r="27" spans="1:23" ht="12.5">
      <c r="A27" s="10" t="s">
        <v>49</v>
      </c>
      <c r="B27" s="11" t="s">
        <v>97</v>
      </c>
      <c r="C27" s="12">
        <v>1</v>
      </c>
      <c r="D27" s="12">
        <v>0.72629999999999995</v>
      </c>
      <c r="E27" s="12">
        <v>0</v>
      </c>
      <c r="F27" s="12">
        <v>5.4561000000000002</v>
      </c>
      <c r="G27" s="13">
        <v>0.72629999999999995</v>
      </c>
      <c r="I27" s="15" t="str">
        <f ca="1">IFERROR(__xludf.DUMMYFUNCTION("""COMPUTED_VALUE"""),"Information Disclosure: Data Breach By Cloud Application")</f>
        <v>Information Disclosure: Data Breach By Cloud Application</v>
      </c>
      <c r="J27" s="2" t="str">
        <f ca="1">IFERROR(__xludf.DUMMYFUNCTION("""COMPUTED_VALUE"""),"VirtualFirewall (SecurityGroup) - load_balancer_security_group")</f>
        <v>VirtualFirewall (SecurityGroup) - load_balancer_security_group</v>
      </c>
      <c r="K27" s="2">
        <f ca="1">IFERROR(__xludf.DUMMYFUNCTION("""COMPUTED_VALUE"""),1)</f>
        <v>1</v>
      </c>
      <c r="L27" s="2">
        <f ca="1">IFERROR(__xludf.DUMMYFUNCTION("""COMPUTED_VALUE"""),0.7192)</f>
        <v>0.71919999999999995</v>
      </c>
      <c r="M27" s="2">
        <f ca="1">IFERROR(__xludf.DUMMYFUNCTION("""COMPUTED_VALUE"""),0.0001)</f>
        <v>1E-4</v>
      </c>
      <c r="N27" s="2">
        <f ca="1">IFERROR(__xludf.DUMMYFUNCTION("""COMPUTED_VALUE"""),4.9257)</f>
        <v>4.9257</v>
      </c>
      <c r="O27" s="18">
        <f ca="1">IFERROR(__xludf.DUMMYFUNCTION("""COMPUTED_VALUE"""),0.7192)</f>
        <v>0.71919999999999995</v>
      </c>
      <c r="Q27" s="33" t="str">
        <f ca="1">IFERROR(__xludf.DUMMYFUNCTION("""COMPUTED_VALUE"""),"Other: Network Attacks To Cloud Application")</f>
        <v>Other: Network Attacks To Cloud Application</v>
      </c>
      <c r="R27" s="34">
        <f ca="1">IFERROR(__xludf.DUMMYFUNCTION("""COMPUTED_VALUE"""),4)</f>
        <v>4</v>
      </c>
      <c r="S27" s="34"/>
      <c r="T27" s="34"/>
      <c r="U27" s="34"/>
      <c r="V27" s="34"/>
      <c r="W27" s="35"/>
    </row>
    <row r="28" spans="1:23" ht="12.5">
      <c r="A28" s="10" t="s">
        <v>42</v>
      </c>
      <c r="B28" s="11" t="s">
        <v>105</v>
      </c>
      <c r="C28" s="12">
        <v>1</v>
      </c>
      <c r="D28" s="12">
        <v>0.76749999999999996</v>
      </c>
      <c r="E28" s="12">
        <v>0</v>
      </c>
      <c r="F28" s="12">
        <v>5.2122999999999999</v>
      </c>
      <c r="G28" s="13">
        <v>0.76749999999999996</v>
      </c>
      <c r="I28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28" s="2" t="str">
        <f ca="1">IFERROR(__xludf.DUMMYFUNCTION("""COMPUTED_VALUE"""),"IAM (IAM) - ec2-deployer-role-attachment")</f>
        <v>IAM (IAM) - ec2-deployer-role-attachment</v>
      </c>
      <c r="K28" s="2">
        <f ca="1">IFERROR(__xludf.DUMMYFUNCTION("""COMPUTED_VALUE"""),1)</f>
        <v>1</v>
      </c>
      <c r="L28" s="2">
        <f ca="1">IFERROR(__xludf.DUMMYFUNCTION("""COMPUTED_VALUE"""),0.7431)</f>
        <v>0.74309999999999998</v>
      </c>
      <c r="M28" s="2">
        <f ca="1">IFERROR(__xludf.DUMMYFUNCTION("""COMPUTED_VALUE"""),0)</f>
        <v>0</v>
      </c>
      <c r="N28" s="2">
        <f ca="1">IFERROR(__xludf.DUMMYFUNCTION("""COMPUTED_VALUE"""),4.9586)</f>
        <v>4.9585999999999997</v>
      </c>
      <c r="O28" s="18">
        <f ca="1">IFERROR(__xludf.DUMMYFUNCTION("""COMPUTED_VALUE"""),0.7431)</f>
        <v>0.74309999999999998</v>
      </c>
    </row>
    <row r="29" spans="1:23" ht="12.5">
      <c r="A29" s="10" t="s">
        <v>42</v>
      </c>
      <c r="B29" s="11" t="s">
        <v>97</v>
      </c>
      <c r="C29" s="12">
        <v>1</v>
      </c>
      <c r="D29" s="12">
        <v>0.75309999999999999</v>
      </c>
      <c r="E29" s="12">
        <v>1E-4</v>
      </c>
      <c r="F29" s="12">
        <v>5.0141</v>
      </c>
      <c r="G29" s="13">
        <v>0.75309999999999999</v>
      </c>
      <c r="I29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29" s="2" t="str">
        <f ca="1">IFERROR(__xludf.DUMMYFUNCTION("""COMPUTED_VALUE"""),"IAM (IAM) - ecs-instance-role")</f>
        <v>IAM (IAM) - ecs-instance-role</v>
      </c>
      <c r="K29" s="2">
        <f ca="1">IFERROR(__xludf.DUMMYFUNCTION("""COMPUTED_VALUE"""),1)</f>
        <v>1</v>
      </c>
      <c r="L29" s="2">
        <f ca="1">IFERROR(__xludf.DUMMYFUNCTION("""COMPUTED_VALUE"""),0.6964)</f>
        <v>0.69640000000000002</v>
      </c>
      <c r="M29" s="2">
        <f ca="1">IFERROR(__xludf.DUMMYFUNCTION("""COMPUTED_VALUE"""),0)</f>
        <v>0</v>
      </c>
      <c r="N29" s="2">
        <f ca="1">IFERROR(__xludf.DUMMYFUNCTION("""COMPUTED_VALUE"""),5.2825)</f>
        <v>5.2824999999999998</v>
      </c>
      <c r="O29" s="18">
        <f ca="1">IFERROR(__xludf.DUMMYFUNCTION("""COMPUTED_VALUE"""),0.6964)</f>
        <v>0.69640000000000002</v>
      </c>
      <c r="Q29" s="2" t="str">
        <f ca="1">"TOTAL: " &amp; TEXT(COUNTA(Q2:Q27), "0")</f>
        <v>TOTAL: 26</v>
      </c>
    </row>
    <row r="30" spans="1:23" ht="12.5">
      <c r="A30" s="10" t="s">
        <v>13</v>
      </c>
      <c r="B30" s="11" t="s">
        <v>105</v>
      </c>
      <c r="C30" s="12">
        <v>1</v>
      </c>
      <c r="D30" s="12">
        <v>0.78110000000000002</v>
      </c>
      <c r="E30" s="12">
        <v>1E-4</v>
      </c>
      <c r="F30" s="12">
        <v>5.4345999999999997</v>
      </c>
      <c r="G30" s="13">
        <v>0.78110000000000002</v>
      </c>
      <c r="I30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30" s="2" t="str">
        <f ca="1">IFERROR(__xludf.DUMMYFUNCTION("""COMPUTED_VALUE"""),"IAM (IAM) - ecs-task-role")</f>
        <v>IAM (IAM) - ecs-task-role</v>
      </c>
      <c r="K30" s="2">
        <f ca="1">IFERROR(__xludf.DUMMYFUNCTION("""COMPUTED_VALUE"""),1)</f>
        <v>1</v>
      </c>
      <c r="L30" s="2">
        <f ca="1">IFERROR(__xludf.DUMMYFUNCTION("""COMPUTED_VALUE"""),0.7765)</f>
        <v>0.77649999999999997</v>
      </c>
      <c r="M30" s="2">
        <f ca="1">IFERROR(__xludf.DUMMYFUNCTION("""COMPUTED_VALUE"""),0)</f>
        <v>0</v>
      </c>
      <c r="N30" s="2">
        <f ca="1">IFERROR(__xludf.DUMMYFUNCTION("""COMPUTED_VALUE"""),5.0005)</f>
        <v>5.0004999999999997</v>
      </c>
      <c r="O30" s="18">
        <f ca="1">IFERROR(__xludf.DUMMYFUNCTION("""COMPUTED_VALUE"""),0.7765)</f>
        <v>0.77649999999999997</v>
      </c>
    </row>
    <row r="31" spans="1:23" ht="12.5">
      <c r="A31" s="10" t="s">
        <v>13</v>
      </c>
      <c r="B31" s="11" t="s">
        <v>97</v>
      </c>
      <c r="C31" s="12">
        <v>1</v>
      </c>
      <c r="D31" s="12">
        <v>0.71230000000000004</v>
      </c>
      <c r="E31" s="12">
        <v>0</v>
      </c>
      <c r="F31" s="12">
        <v>5.5201000000000002</v>
      </c>
      <c r="G31" s="13">
        <v>0.71230000000000004</v>
      </c>
      <c r="I31" s="15" t="str">
        <f ca="1">IFERROR(__xludf.DUMMYFUNCTION("""COMPUTED_VALUE"""),"Information Disclosure: Disclosure Of Credentials Of Cloud Management Interface")</f>
        <v>Information Disclosure: Disclosure Of Credentials Of Cloud Management Interface</v>
      </c>
      <c r="J31" s="2" t="str">
        <f ca="1">IFERROR(__xludf.DUMMYFUNCTION("""COMPUTED_VALUE"""),"VirtualFirewall (SecurityGroup) - load_balancer_security_group")</f>
        <v>VirtualFirewall (SecurityGroup) - load_balancer_security_group</v>
      </c>
      <c r="K31" s="2">
        <f ca="1">IFERROR(__xludf.DUMMYFUNCTION("""COMPUTED_VALUE"""),1)</f>
        <v>1</v>
      </c>
      <c r="L31" s="2">
        <f ca="1">IFERROR(__xludf.DUMMYFUNCTION("""COMPUTED_VALUE"""),0.7021)</f>
        <v>0.70209999999999995</v>
      </c>
      <c r="M31" s="2">
        <f ca="1">IFERROR(__xludf.DUMMYFUNCTION("""COMPUTED_VALUE"""),0)</f>
        <v>0</v>
      </c>
      <c r="N31" s="2">
        <f ca="1">IFERROR(__xludf.DUMMYFUNCTION("""COMPUTED_VALUE"""),4.993)</f>
        <v>4.9930000000000003</v>
      </c>
      <c r="O31" s="18">
        <f ca="1">IFERROR(__xludf.DUMMYFUNCTION("""COMPUTED_VALUE"""),0.7021)</f>
        <v>0.70209999999999995</v>
      </c>
    </row>
    <row r="32" spans="1:23" ht="12.5">
      <c r="A32" s="10" t="s">
        <v>28</v>
      </c>
      <c r="B32" s="11" t="s">
        <v>105</v>
      </c>
      <c r="C32" s="12">
        <v>1</v>
      </c>
      <c r="D32" s="12">
        <v>0.75290000000000001</v>
      </c>
      <c r="E32" s="12">
        <v>0</v>
      </c>
      <c r="F32" s="12">
        <v>4.8392999999999997</v>
      </c>
      <c r="G32" s="13">
        <v>0.75290000000000001</v>
      </c>
      <c r="I32" s="15" t="str">
        <f ca="1">IFERROR(__xludf.DUMMYFUNCTION("""COMPUTED_VALUE"""),"Information Disclosure: Logs Of Cloud Application Stolen")</f>
        <v>Information Disclosure: Logs Of Cloud Application Stolen</v>
      </c>
      <c r="J32" s="2" t="str">
        <f ca="1">IFERROR(__xludf.DUMMYFUNCTION("""COMPUTED_VALUE"""),"LoadBalancer (ALB) - target_group")</f>
        <v>LoadBalancer (ALB) - target_group</v>
      </c>
      <c r="K32" s="2">
        <f ca="1">IFERROR(__xludf.DUMMYFUNCTION("""COMPUTED_VALUE"""),1)</f>
        <v>1</v>
      </c>
      <c r="L32" s="2">
        <f ca="1">IFERROR(__xludf.DUMMYFUNCTION("""COMPUTED_VALUE"""),0.8013)</f>
        <v>0.80130000000000001</v>
      </c>
      <c r="M32" s="2">
        <f ca="1">IFERROR(__xludf.DUMMYFUNCTION("""COMPUTED_VALUE"""),0.0001)</f>
        <v>1E-4</v>
      </c>
      <c r="N32" s="2">
        <f ca="1">IFERROR(__xludf.DUMMYFUNCTION("""COMPUTED_VALUE"""),5.6601)</f>
        <v>5.6600999999999999</v>
      </c>
      <c r="O32" s="18">
        <f ca="1">IFERROR(__xludf.DUMMYFUNCTION("""COMPUTED_VALUE"""),0.8013)</f>
        <v>0.80130000000000001</v>
      </c>
    </row>
    <row r="33" spans="1:15" ht="12.5">
      <c r="A33" s="10" t="s">
        <v>28</v>
      </c>
      <c r="B33" s="11" t="s">
        <v>97</v>
      </c>
      <c r="C33" s="12">
        <v>1</v>
      </c>
      <c r="D33" s="12">
        <v>0.71919999999999995</v>
      </c>
      <c r="E33" s="12">
        <v>1E-4</v>
      </c>
      <c r="F33" s="12">
        <v>4.9257</v>
      </c>
      <c r="G33" s="13">
        <v>0.71919999999999995</v>
      </c>
      <c r="I33" s="15" t="str">
        <f ca="1">IFERROR(__xludf.DUMMYFUNCTION("""COMPUTED_VALUE"""),"Information Disclosure: Logs Of Cloud Application Stolen")</f>
        <v>Information Disclosure: Logs Of Cloud Application Stolen</v>
      </c>
      <c r="J33" s="2" t="str">
        <f ca="1">IFERROR(__xludf.DUMMYFUNCTION("""COMPUTED_VALUE"""),"VirtualFirewall (SecurityGroup) - load_balancer_security_group")</f>
        <v>VirtualFirewall (SecurityGroup) - load_balancer_security_group</v>
      </c>
      <c r="K33" s="2">
        <f ca="1">IFERROR(__xludf.DUMMYFUNCTION("""COMPUTED_VALUE"""),1)</f>
        <v>1</v>
      </c>
      <c r="L33" s="2">
        <f ca="1">IFERROR(__xludf.DUMMYFUNCTION("""COMPUTED_VALUE"""),0.7263)</f>
        <v>0.72629999999999995</v>
      </c>
      <c r="M33" s="2">
        <f ca="1">IFERROR(__xludf.DUMMYFUNCTION("""COMPUTED_VALUE"""),0)</f>
        <v>0</v>
      </c>
      <c r="N33" s="2">
        <f ca="1">IFERROR(__xludf.DUMMYFUNCTION("""COMPUTED_VALUE"""),5.4561)</f>
        <v>5.4561000000000002</v>
      </c>
      <c r="O33" s="18">
        <f ca="1">IFERROR(__xludf.DUMMYFUNCTION("""COMPUTED_VALUE"""),0.7263)</f>
        <v>0.72629999999999995</v>
      </c>
    </row>
    <row r="34" spans="1:15" ht="12.5">
      <c r="A34" s="10" t="s">
        <v>43</v>
      </c>
      <c r="B34" s="11" t="s">
        <v>105</v>
      </c>
      <c r="C34" s="12">
        <v>1</v>
      </c>
      <c r="D34" s="12">
        <v>0.73880000000000001</v>
      </c>
      <c r="E34" s="12">
        <v>1E-4</v>
      </c>
      <c r="F34" s="12">
        <v>4.72</v>
      </c>
      <c r="G34" s="13">
        <v>0.73880000000000001</v>
      </c>
      <c r="I34" s="15" t="str">
        <f ca="1">IFERROR(__xludf.DUMMYFUNCTION("""COMPUTED_VALUE"""),"Information Disclosure: Malware From Cloud Application")</f>
        <v>Information Disclosure: Malware From Cloud Application</v>
      </c>
      <c r="J34" s="2" t="str">
        <f ca="1">IFERROR(__xludf.DUMMYFUNCTION("""COMPUTED_VALUE"""),"User")</f>
        <v>User</v>
      </c>
      <c r="K34" s="2">
        <f ca="1">IFERROR(__xludf.DUMMYFUNCTION("""COMPUTED_VALUE"""),1)</f>
        <v>1</v>
      </c>
      <c r="L34" s="2">
        <f ca="1">IFERROR(__xludf.DUMMYFUNCTION("""COMPUTED_VALUE"""),0.7565)</f>
        <v>0.75649999999999995</v>
      </c>
      <c r="M34" s="2">
        <f ca="1">IFERROR(__xludf.DUMMYFUNCTION("""COMPUTED_VALUE"""),0.000025)</f>
        <v>2.5000000000000001E-5</v>
      </c>
      <c r="N34" s="2">
        <f ca="1">IFERROR(__xludf.DUMMYFUNCTION("""COMPUTED_VALUE"""),4.9017)</f>
        <v>4.9016999999999999</v>
      </c>
      <c r="O34" s="18">
        <f ca="1">IFERROR(__xludf.DUMMYFUNCTION("""COMPUTED_VALUE"""),0.7565)</f>
        <v>0.75649999999999995</v>
      </c>
    </row>
    <row r="35" spans="1:15" ht="12.5">
      <c r="A35" s="10" t="s">
        <v>43</v>
      </c>
      <c r="B35" s="11" t="s">
        <v>97</v>
      </c>
      <c r="C35" s="12">
        <v>1</v>
      </c>
      <c r="D35" s="12">
        <v>0.81140000000000001</v>
      </c>
      <c r="E35" s="12">
        <v>0</v>
      </c>
      <c r="F35" s="12">
        <v>5.5198999999999998</v>
      </c>
      <c r="G35" s="13">
        <v>0.81140000000000001</v>
      </c>
      <c r="I35" s="15" t="str">
        <f ca="1">IFERROR(__xludf.DUMMYFUNCTION("""COMPUTED_VALUE"""),"Information Disclosure: Public Network Access To Cloud Application")</f>
        <v>Information Disclosure: Public Network Access To Cloud Application</v>
      </c>
      <c r="J35" s="2" t="str">
        <f ca="1">IFERROR(__xludf.DUMMYFUNCTION("""COMPUTED_VALUE"""),"User")</f>
        <v>User</v>
      </c>
      <c r="K35" s="2">
        <f ca="1">IFERROR(__xludf.DUMMYFUNCTION("""COMPUTED_VALUE"""),1)</f>
        <v>1</v>
      </c>
      <c r="L35" s="2">
        <f ca="1">IFERROR(__xludf.DUMMYFUNCTION("""COMPUTED_VALUE"""),0.74005)</f>
        <v>0.74004999999999999</v>
      </c>
      <c r="M35" s="2">
        <f ca="1">IFERROR(__xludf.DUMMYFUNCTION("""COMPUTED_VALUE"""),0.00005)</f>
        <v>5.0000000000000002E-5</v>
      </c>
      <c r="N35" s="2">
        <f ca="1">IFERROR(__xludf.DUMMYFUNCTION("""COMPUTED_VALUE"""),5.1271)</f>
        <v>5.1271000000000004</v>
      </c>
      <c r="O35" s="18">
        <f ca="1">IFERROR(__xludf.DUMMYFUNCTION("""COMPUTED_VALUE"""),0.74005)</f>
        <v>0.74004999999999999</v>
      </c>
    </row>
    <row r="36" spans="1:15" ht="12.5">
      <c r="A36" s="10" t="s">
        <v>37</v>
      </c>
      <c r="B36" s="11" t="s">
        <v>2</v>
      </c>
      <c r="C36" s="12">
        <v>1</v>
      </c>
      <c r="D36" s="12">
        <v>0.71319999999999995</v>
      </c>
      <c r="E36" s="12">
        <v>0</v>
      </c>
      <c r="F36" s="12">
        <v>5.4470000000000001</v>
      </c>
      <c r="G36" s="13">
        <v>0.71319999999999995</v>
      </c>
      <c r="I36" s="15" t="str">
        <f ca="1">IFERROR(__xludf.DUMMYFUNCTION("""COMPUTED_VALUE"""),"Information Disclosure: Sensitive Data Leakage")</f>
        <v>Information Disclosure: Sensitive Data Leakage</v>
      </c>
      <c r="J36" s="2" t="str">
        <f ca="1">IFERROR(__xludf.DUMMYFUNCTION("""COMPUTED_VALUE"""),"Database (RDS) - database-instance")</f>
        <v>Database (RDS) - database-instance</v>
      </c>
      <c r="K36" s="2">
        <f ca="1">IFERROR(__xludf.DUMMYFUNCTION("""COMPUTED_VALUE"""),1)</f>
        <v>1</v>
      </c>
      <c r="L36" s="2">
        <f ca="1">IFERROR(__xludf.DUMMYFUNCTION("""COMPUTED_VALUE"""),0.6968)</f>
        <v>0.69679999999999997</v>
      </c>
      <c r="M36" s="2">
        <f ca="1">IFERROR(__xludf.DUMMYFUNCTION("""COMPUTED_VALUE"""),0)</f>
        <v>0</v>
      </c>
      <c r="N36" s="2">
        <f ca="1">IFERROR(__xludf.DUMMYFUNCTION("""COMPUTED_VALUE"""),4.8448)</f>
        <v>4.8448000000000002</v>
      </c>
      <c r="O36" s="18">
        <f ca="1">IFERROR(__xludf.DUMMYFUNCTION("""COMPUTED_VALUE"""),0.6968)</f>
        <v>0.69679999999999997</v>
      </c>
    </row>
    <row r="37" spans="1:15" ht="12.5">
      <c r="A37" s="10" t="s">
        <v>37</v>
      </c>
      <c r="B37" s="11" t="s">
        <v>2</v>
      </c>
      <c r="C37" s="12">
        <v>1</v>
      </c>
      <c r="D37" s="12">
        <v>0.73250000000000004</v>
      </c>
      <c r="E37" s="12">
        <v>0</v>
      </c>
      <c r="F37" s="12">
        <v>4.6489000000000003</v>
      </c>
      <c r="G37" s="13">
        <v>0.73250000000000004</v>
      </c>
      <c r="I37" s="15" t="str">
        <f ca="1">IFERROR(__xludf.DUMMYFUNCTION("""COMPUTED_VALUE"""),"Information Disclosure: Sensitive Data Leakage")</f>
        <v>Information Disclosure: Sensitive Data Leakage</v>
      </c>
      <c r="J37" s="2" t="str">
        <f ca="1">IFERROR(__xludf.DUMMYFUNCTION("""COMPUTED_VALUE"""),"FileStorage (S3) - bucket_tf_files")</f>
        <v>FileStorage (S3) - bucket_tf_files</v>
      </c>
      <c r="K37" s="2">
        <f ca="1">IFERROR(__xludf.DUMMYFUNCTION("""COMPUTED_VALUE"""),1)</f>
        <v>1</v>
      </c>
      <c r="L37" s="2">
        <f ca="1">IFERROR(__xludf.DUMMYFUNCTION("""COMPUTED_VALUE"""),0.7085)</f>
        <v>0.70850000000000002</v>
      </c>
      <c r="M37" s="2">
        <f ca="1">IFERROR(__xludf.DUMMYFUNCTION("""COMPUTED_VALUE"""),0)</f>
        <v>0</v>
      </c>
      <c r="N37" s="2">
        <f ca="1">IFERROR(__xludf.DUMMYFUNCTION("""COMPUTED_VALUE"""),4.6441)</f>
        <v>4.6440999999999999</v>
      </c>
      <c r="O37" s="18">
        <f ca="1">IFERROR(__xludf.DUMMYFUNCTION("""COMPUTED_VALUE"""),0.7085)</f>
        <v>0.70850000000000002</v>
      </c>
    </row>
    <row r="38" spans="1:15" ht="12.5">
      <c r="A38" s="10" t="s">
        <v>37</v>
      </c>
      <c r="B38" s="11" t="s">
        <v>2</v>
      </c>
      <c r="C38" s="12">
        <v>1</v>
      </c>
      <c r="D38" s="12">
        <v>0.75190000000000001</v>
      </c>
      <c r="E38" s="12">
        <v>0</v>
      </c>
      <c r="F38" s="12">
        <v>5.0998999999999999</v>
      </c>
      <c r="G38" s="13">
        <v>0.75190000000000001</v>
      </c>
      <c r="I38" s="15" t="str">
        <f ca="1">IFERROR(__xludf.DUMMYFUNCTION("""COMPUTED_VALUE"""),"Information Disclosure: Social Engineering Against Remote User")</f>
        <v>Information Disclosure: Social Engineering Against Remote User</v>
      </c>
      <c r="J38" s="2" t="str">
        <f ca="1">IFERROR(__xludf.DUMMYFUNCTION("""COMPUTED_VALUE"""),"User")</f>
        <v>User</v>
      </c>
      <c r="K38" s="2">
        <f ca="1">IFERROR(__xludf.DUMMYFUNCTION("""COMPUTED_VALUE"""),1)</f>
        <v>1</v>
      </c>
      <c r="L38" s="2">
        <f ca="1">IFERROR(__xludf.DUMMYFUNCTION("""COMPUTED_VALUE"""),0.7457)</f>
        <v>0.74570000000000003</v>
      </c>
      <c r="M38" s="2">
        <f ca="1">IFERROR(__xludf.DUMMYFUNCTION("""COMPUTED_VALUE"""),0.000025)</f>
        <v>2.5000000000000001E-5</v>
      </c>
      <c r="N38" s="2">
        <f ca="1">IFERROR(__xludf.DUMMYFUNCTION("""COMPUTED_VALUE"""),4.888875)</f>
        <v>4.8888749999999996</v>
      </c>
      <c r="O38" s="18">
        <f ca="1">IFERROR(__xludf.DUMMYFUNCTION("""COMPUTED_VALUE"""),0.7457)</f>
        <v>0.74570000000000003</v>
      </c>
    </row>
    <row r="39" spans="1:15" ht="12.5">
      <c r="A39" s="10" t="s">
        <v>37</v>
      </c>
      <c r="B39" s="11" t="s">
        <v>2</v>
      </c>
      <c r="C39" s="12">
        <v>1</v>
      </c>
      <c r="D39" s="12">
        <v>0.78520000000000001</v>
      </c>
      <c r="E39" s="12">
        <v>1E-4</v>
      </c>
      <c r="F39" s="12">
        <v>4.3597000000000001</v>
      </c>
      <c r="G39" s="13">
        <v>0.78520000000000001</v>
      </c>
      <c r="I39" s="15" t="str">
        <f ca="1">IFERROR(__xludf.DUMMYFUNCTION("""COMPUTED_VALUE"""),"Other: Cloud Application Abuse")</f>
        <v>Other: Cloud Application Abuse</v>
      </c>
      <c r="J39" s="2" t="str">
        <f ca="1">IFERROR(__xludf.DUMMYFUNCTION("""COMPUTED_VALUE"""),"IAM (IAM) - ec2-deployer-role-attachment")</f>
        <v>IAM (IAM) - ec2-deployer-role-attachment</v>
      </c>
      <c r="K39" s="2">
        <f ca="1">IFERROR(__xludf.DUMMYFUNCTION("""COMPUTED_VALUE"""),1)</f>
        <v>1</v>
      </c>
      <c r="L39" s="2">
        <f ca="1">IFERROR(__xludf.DUMMYFUNCTION("""COMPUTED_VALUE"""),0.7539)</f>
        <v>0.75390000000000001</v>
      </c>
      <c r="M39" s="2">
        <f ca="1">IFERROR(__xludf.DUMMYFUNCTION("""COMPUTED_VALUE"""),0)</f>
        <v>0</v>
      </c>
      <c r="N39" s="2">
        <f ca="1">IFERROR(__xludf.DUMMYFUNCTION("""COMPUTED_VALUE"""),5.0875)</f>
        <v>5.0875000000000004</v>
      </c>
      <c r="O39" s="18">
        <f ca="1">IFERROR(__xludf.DUMMYFUNCTION("""COMPUTED_VALUE"""),0.7539)</f>
        <v>0.75390000000000001</v>
      </c>
    </row>
    <row r="40" spans="1:15" ht="12.5">
      <c r="A40" s="10" t="s">
        <v>23</v>
      </c>
      <c r="B40" s="11" t="s">
        <v>105</v>
      </c>
      <c r="C40" s="12">
        <v>1</v>
      </c>
      <c r="D40" s="12">
        <v>0.74850000000000005</v>
      </c>
      <c r="E40" s="12">
        <v>1E-4</v>
      </c>
      <c r="F40" s="12">
        <v>5.3792999999999997</v>
      </c>
      <c r="G40" s="13">
        <v>0.74850000000000005</v>
      </c>
      <c r="I40" s="15" t="str">
        <f ca="1">IFERROR(__xludf.DUMMYFUNCTION("""COMPUTED_VALUE"""),"Other: Cloud Application Abuse")</f>
        <v>Other: Cloud Application Abuse</v>
      </c>
      <c r="J40" s="2" t="str">
        <f ca="1">IFERROR(__xludf.DUMMYFUNCTION("""COMPUTED_VALUE"""),"IAM (IAM) - ecs-instance-role")</f>
        <v>IAM (IAM) - ecs-instance-role</v>
      </c>
      <c r="K40" s="2">
        <f ca="1">IFERROR(__xludf.DUMMYFUNCTION("""COMPUTED_VALUE"""),1)</f>
        <v>1</v>
      </c>
      <c r="L40" s="2">
        <f ca="1">IFERROR(__xludf.DUMMYFUNCTION("""COMPUTED_VALUE"""),0.777)</f>
        <v>0.77700000000000002</v>
      </c>
      <c r="M40" s="2">
        <f ca="1">IFERROR(__xludf.DUMMYFUNCTION("""COMPUTED_VALUE"""),0.0001)</f>
        <v>1E-4</v>
      </c>
      <c r="N40" s="2">
        <f ca="1">IFERROR(__xludf.DUMMYFUNCTION("""COMPUTED_VALUE"""),5.0386)</f>
        <v>5.0385999999999997</v>
      </c>
      <c r="O40" s="18">
        <f ca="1">IFERROR(__xludf.DUMMYFUNCTION("""COMPUTED_VALUE"""),0.777)</f>
        <v>0.77700000000000002</v>
      </c>
    </row>
    <row r="41" spans="1:15" ht="12.5">
      <c r="A41" s="10" t="s">
        <v>23</v>
      </c>
      <c r="B41" s="11" t="s">
        <v>97</v>
      </c>
      <c r="C41" s="12">
        <v>1</v>
      </c>
      <c r="D41" s="12">
        <v>0.75419999999999998</v>
      </c>
      <c r="E41" s="12">
        <v>0</v>
      </c>
      <c r="F41" s="12">
        <v>4.9520999999999997</v>
      </c>
      <c r="G41" s="13">
        <v>0.75419999999999998</v>
      </c>
      <c r="I41" s="15" t="str">
        <f ca="1">IFERROR(__xludf.DUMMYFUNCTION("""COMPUTED_VALUE"""),"Other: Cloud Application Abuse")</f>
        <v>Other: Cloud Application Abuse</v>
      </c>
      <c r="J41" s="2" t="str">
        <f ca="1">IFERROR(__xludf.DUMMYFUNCTION("""COMPUTED_VALUE"""),"IAM (IAM) - ecs-task-role")</f>
        <v>IAM (IAM) - ecs-task-role</v>
      </c>
      <c r="K41" s="2">
        <f ca="1">IFERROR(__xludf.DUMMYFUNCTION("""COMPUTED_VALUE"""),1)</f>
        <v>1</v>
      </c>
      <c r="L41" s="2">
        <f ca="1">IFERROR(__xludf.DUMMYFUNCTION("""COMPUTED_VALUE"""),0.7378)</f>
        <v>0.73780000000000001</v>
      </c>
      <c r="M41" s="2">
        <f ca="1">IFERROR(__xludf.DUMMYFUNCTION("""COMPUTED_VALUE"""),0)</f>
        <v>0</v>
      </c>
      <c r="N41" s="2">
        <f ca="1">IFERROR(__xludf.DUMMYFUNCTION("""COMPUTED_VALUE"""),5.0653)</f>
        <v>5.0652999999999997</v>
      </c>
      <c r="O41" s="18">
        <f ca="1">IFERROR(__xludf.DUMMYFUNCTION("""COMPUTED_VALUE"""),0.7378)</f>
        <v>0.73780000000000001</v>
      </c>
    </row>
    <row r="42" spans="1:15" ht="12.5">
      <c r="A42" s="10" t="s">
        <v>51</v>
      </c>
      <c r="B42" s="11" t="s">
        <v>104</v>
      </c>
      <c r="C42" s="12">
        <v>1</v>
      </c>
      <c r="D42" s="12">
        <v>0.72519999999999996</v>
      </c>
      <c r="E42" s="12">
        <v>0</v>
      </c>
      <c r="F42" s="12">
        <v>5.1199000000000003</v>
      </c>
      <c r="G42" s="13">
        <v>0.72519999999999996</v>
      </c>
      <c r="I42" s="15" t="str">
        <f ca="1">IFERROR(__xludf.DUMMYFUNCTION("""COMPUTED_VALUE"""),"Other: Cloud Application Abuse")</f>
        <v>Other: Cloud Application Abuse</v>
      </c>
      <c r="J42" s="2" t="str">
        <f ca="1">IFERROR(__xludf.DUMMYFUNCTION("""COMPUTED_VALUE"""),"VirtualFirewall (SecurityGroup) - load_balancer_security_group")</f>
        <v>VirtualFirewall (SecurityGroup) - load_balancer_security_group</v>
      </c>
      <c r="K42" s="2">
        <f ca="1">IFERROR(__xludf.DUMMYFUNCTION("""COMPUTED_VALUE"""),1)</f>
        <v>1</v>
      </c>
      <c r="L42" s="2">
        <f ca="1">IFERROR(__xludf.DUMMYFUNCTION("""COMPUTED_VALUE"""),0.7238)</f>
        <v>0.7238</v>
      </c>
      <c r="M42" s="2">
        <f ca="1">IFERROR(__xludf.DUMMYFUNCTION("""COMPUTED_VALUE"""),0)</f>
        <v>0</v>
      </c>
      <c r="N42" s="2">
        <f ca="1">IFERROR(__xludf.DUMMYFUNCTION("""COMPUTED_VALUE"""),5.5024)</f>
        <v>5.5023999999999997</v>
      </c>
      <c r="O42" s="18">
        <f ca="1">IFERROR(__xludf.DUMMYFUNCTION("""COMPUTED_VALUE"""),0.7238)</f>
        <v>0.7238</v>
      </c>
    </row>
    <row r="43" spans="1:15" ht="12.5">
      <c r="A43" s="10" t="s">
        <v>36</v>
      </c>
      <c r="B43" s="11" t="s">
        <v>2</v>
      </c>
      <c r="C43" s="12">
        <v>1</v>
      </c>
      <c r="D43" s="12">
        <v>0.71020000000000005</v>
      </c>
      <c r="E43" s="12">
        <v>1E-4</v>
      </c>
      <c r="F43" s="12">
        <v>5.6368999999999998</v>
      </c>
      <c r="G43" s="13">
        <v>0.71020000000000005</v>
      </c>
      <c r="I43" s="15" t="str">
        <f ca="1">IFERROR(__xludf.DUMMYFUNCTION("""COMPUTED_VALUE"""),"Other: Network Attacks To Cloud Application")</f>
        <v>Other: Network Attacks To Cloud Application</v>
      </c>
      <c r="J43" s="2" t="str">
        <f ca="1">IFERROR(__xludf.DUMMYFUNCTION("""COMPUTED_VALUE"""),"IAM (IAM) - ec2-deployer-role-attachment")</f>
        <v>IAM (IAM) - ec2-deployer-role-attachment</v>
      </c>
      <c r="K43" s="2">
        <f ca="1">IFERROR(__xludf.DUMMYFUNCTION("""COMPUTED_VALUE"""),1)</f>
        <v>1</v>
      </c>
      <c r="L43" s="2">
        <f ca="1">IFERROR(__xludf.DUMMYFUNCTION("""COMPUTED_VALUE"""),0.7229)</f>
        <v>0.72289999999999999</v>
      </c>
      <c r="M43" s="2">
        <f ca="1">IFERROR(__xludf.DUMMYFUNCTION("""COMPUTED_VALUE"""),0)</f>
        <v>0</v>
      </c>
      <c r="N43" s="2">
        <f ca="1">IFERROR(__xludf.DUMMYFUNCTION("""COMPUTED_VALUE"""),4.8666)</f>
        <v>4.8666</v>
      </c>
      <c r="O43" s="18">
        <f ca="1">IFERROR(__xludf.DUMMYFUNCTION("""COMPUTED_VALUE"""),0.7229)</f>
        <v>0.72289999999999999</v>
      </c>
    </row>
    <row r="44" spans="1:15" ht="12.5">
      <c r="A44" s="10" t="s">
        <v>36</v>
      </c>
      <c r="B44" s="11" t="s">
        <v>2</v>
      </c>
      <c r="C44" s="12">
        <v>1</v>
      </c>
      <c r="D44" s="12">
        <v>0.73409999999999997</v>
      </c>
      <c r="E44" s="12">
        <v>0</v>
      </c>
      <c r="F44" s="12">
        <v>5.0064000000000002</v>
      </c>
      <c r="G44" s="13">
        <v>0.73409999999999997</v>
      </c>
      <c r="I44" s="15" t="str">
        <f ca="1">IFERROR(__xludf.DUMMYFUNCTION("""COMPUTED_VALUE"""),"Other: Network Attacks To Cloud Application")</f>
        <v>Other: Network Attacks To Cloud Application</v>
      </c>
      <c r="J44" s="2" t="str">
        <f ca="1">IFERROR(__xludf.DUMMYFUNCTION("""COMPUTED_VALUE"""),"IAM (IAM) - ecs-instance-role")</f>
        <v>IAM (IAM) - ecs-instance-role</v>
      </c>
      <c r="K44" s="2">
        <f ca="1">IFERROR(__xludf.DUMMYFUNCTION("""COMPUTED_VALUE"""),1)</f>
        <v>1</v>
      </c>
      <c r="L44" s="2">
        <f ca="1">IFERROR(__xludf.DUMMYFUNCTION("""COMPUTED_VALUE"""),0.7142)</f>
        <v>0.71419999999999995</v>
      </c>
      <c r="M44" s="2">
        <f ca="1">IFERROR(__xludf.DUMMYFUNCTION("""COMPUTED_VALUE"""),0)</f>
        <v>0</v>
      </c>
      <c r="N44" s="2">
        <f ca="1">IFERROR(__xludf.DUMMYFUNCTION("""COMPUTED_VALUE"""),4.381)</f>
        <v>4.3810000000000002</v>
      </c>
      <c r="O44" s="18">
        <f ca="1">IFERROR(__xludf.DUMMYFUNCTION("""COMPUTED_VALUE"""),0.7142)</f>
        <v>0.71419999999999995</v>
      </c>
    </row>
    <row r="45" spans="1:15" ht="12.5">
      <c r="A45" s="10" t="s">
        <v>36</v>
      </c>
      <c r="B45" s="11" t="s">
        <v>2</v>
      </c>
      <c r="C45" s="12">
        <v>1</v>
      </c>
      <c r="D45" s="12">
        <v>0.74839999999999995</v>
      </c>
      <c r="E45" s="12">
        <v>1E-4</v>
      </c>
      <c r="F45" s="12">
        <v>5.2643000000000004</v>
      </c>
      <c r="G45" s="13">
        <v>0.74839999999999995</v>
      </c>
      <c r="I45" s="15" t="str">
        <f ca="1">IFERROR(__xludf.DUMMYFUNCTION("""COMPUTED_VALUE"""),"Other: Network Attacks To Cloud Application")</f>
        <v>Other: Network Attacks To Cloud Application</v>
      </c>
      <c r="J45" s="2" t="str">
        <f ca="1">IFERROR(__xludf.DUMMYFUNCTION("""COMPUTED_VALUE"""),"IAM (IAM) - ecs-task-role")</f>
        <v>IAM (IAM) - ecs-task-role</v>
      </c>
      <c r="K45" s="2">
        <f ca="1">IFERROR(__xludf.DUMMYFUNCTION("""COMPUTED_VALUE"""),1)</f>
        <v>1</v>
      </c>
      <c r="L45" s="2">
        <f ca="1">IFERROR(__xludf.DUMMYFUNCTION("""COMPUTED_VALUE"""),0.7696)</f>
        <v>0.76959999999999995</v>
      </c>
      <c r="M45" s="2">
        <f ca="1">IFERROR(__xludf.DUMMYFUNCTION("""COMPUTED_VALUE"""),0.0001)</f>
        <v>1E-4</v>
      </c>
      <c r="N45" s="2">
        <f ca="1">IFERROR(__xludf.DUMMYFUNCTION("""COMPUTED_VALUE"""),5.05)</f>
        <v>5.05</v>
      </c>
      <c r="O45" s="18">
        <f ca="1">IFERROR(__xludf.DUMMYFUNCTION("""COMPUTED_VALUE"""),0.7696)</f>
        <v>0.76959999999999995</v>
      </c>
    </row>
    <row r="46" spans="1:15" ht="12.5">
      <c r="A46" s="10" t="s">
        <v>36</v>
      </c>
      <c r="B46" s="11" t="s">
        <v>2</v>
      </c>
      <c r="C46" s="12">
        <v>1</v>
      </c>
      <c r="D46" s="12">
        <v>0.76749999999999996</v>
      </c>
      <c r="E46" s="12">
        <v>0</v>
      </c>
      <c r="F46" s="12">
        <v>4.6007999999999996</v>
      </c>
      <c r="G46" s="13">
        <v>0.76749999999999996</v>
      </c>
      <c r="I46" s="15" t="str">
        <f ca="1">IFERROR(__xludf.DUMMYFUNCTION("""COMPUTED_VALUE"""),"Other: Network Attacks To Cloud Application")</f>
        <v>Other: Network Attacks To Cloud Application</v>
      </c>
      <c r="J46" s="2" t="str">
        <f ca="1">IFERROR(__xludf.DUMMYFUNCTION("""COMPUTED_VALUE"""),"VirtualFirewall (SecurityGroup) - load_balancer_security_group")</f>
        <v>VirtualFirewall (SecurityGroup) - load_balancer_security_group</v>
      </c>
      <c r="K46" s="2">
        <f ca="1">IFERROR(__xludf.DUMMYFUNCTION("""COMPUTED_VALUE"""),1)</f>
        <v>1</v>
      </c>
      <c r="L46" s="2">
        <f ca="1">IFERROR(__xludf.DUMMYFUNCTION("""COMPUTED_VALUE"""),0.7627)</f>
        <v>0.76270000000000004</v>
      </c>
      <c r="M46" s="2">
        <f ca="1">IFERROR(__xludf.DUMMYFUNCTION("""COMPUTED_VALUE"""),0)</f>
        <v>0</v>
      </c>
      <c r="N46" s="2">
        <f ca="1">IFERROR(__xludf.DUMMYFUNCTION("""COMPUTED_VALUE"""),4.8654)</f>
        <v>4.8654000000000002</v>
      </c>
      <c r="O46" s="18">
        <f ca="1">IFERROR(__xludf.DUMMYFUNCTION("""COMPUTED_VALUE"""),0.7627)</f>
        <v>0.76270000000000004</v>
      </c>
    </row>
    <row r="47" spans="1:15" ht="12.5">
      <c r="A47" s="10" t="s">
        <v>25</v>
      </c>
      <c r="B47" s="11" t="s">
        <v>104</v>
      </c>
      <c r="C47" s="12">
        <v>1</v>
      </c>
      <c r="D47" s="12">
        <v>0.69679999999999997</v>
      </c>
      <c r="E47" s="12">
        <v>0</v>
      </c>
      <c r="F47" s="12">
        <v>4.8448000000000002</v>
      </c>
      <c r="G47" s="13">
        <v>0.69679999999999997</v>
      </c>
      <c r="I47" s="15" t="str">
        <f ca="1">IFERROR(__xludf.DUMMYFUNCTION("""COMPUTED_VALUE"""),"Repudiation: Attacking the Logs")</f>
        <v>Repudiation: Attacking the Logs</v>
      </c>
      <c r="J47" s="2" t="str">
        <f ca="1">IFERROR(__xludf.DUMMYFUNCTION("""COMPUTED_VALUE"""),"Database (RDS) - database-instance")</f>
        <v>Database (RDS) - database-instance</v>
      </c>
      <c r="K47" s="2">
        <f ca="1">IFERROR(__xludf.DUMMYFUNCTION("""COMPUTED_VALUE"""),1)</f>
        <v>1</v>
      </c>
      <c r="L47" s="2">
        <f ca="1">IFERROR(__xludf.DUMMYFUNCTION("""COMPUTED_VALUE"""),0.7397)</f>
        <v>0.73970000000000002</v>
      </c>
      <c r="M47" s="2">
        <f ca="1">IFERROR(__xludf.DUMMYFUNCTION("""COMPUTED_VALUE"""),0)</f>
        <v>0</v>
      </c>
      <c r="N47" s="2">
        <f ca="1">IFERROR(__xludf.DUMMYFUNCTION("""COMPUTED_VALUE"""),5.2025)</f>
        <v>5.2024999999999997</v>
      </c>
      <c r="O47" s="18">
        <f ca="1">IFERROR(__xludf.DUMMYFUNCTION("""COMPUTED_VALUE"""),0.7397)</f>
        <v>0.73970000000000002</v>
      </c>
    </row>
    <row r="48" spans="1:15" ht="12.5">
      <c r="A48" s="10" t="s">
        <v>40</v>
      </c>
      <c r="B48" s="11" t="s">
        <v>94</v>
      </c>
      <c r="C48" s="12">
        <v>1</v>
      </c>
      <c r="D48" s="12">
        <v>0.75449999999999995</v>
      </c>
      <c r="E48" s="12">
        <v>0</v>
      </c>
      <c r="F48" s="12">
        <v>4.5724999999999998</v>
      </c>
      <c r="G48" s="13">
        <v>0.75449999999999995</v>
      </c>
      <c r="I48" s="15" t="str">
        <f ca="1">IFERROR(__xludf.DUMMYFUNCTION("""COMPUTED_VALUE"""),"Repudiation: Attacking the Logs")</f>
        <v>Repudiation: Attacking the Logs</v>
      </c>
      <c r="J48" s="2" t="str">
        <f ca="1">IFERROR(__xludf.DUMMYFUNCTION("""COMPUTED_VALUE"""),"FileStorage (S3) - bucket_tf_files")</f>
        <v>FileStorage (S3) - bucket_tf_files</v>
      </c>
      <c r="K48" s="2">
        <f ca="1">IFERROR(__xludf.DUMMYFUNCTION("""COMPUTED_VALUE"""),1)</f>
        <v>1</v>
      </c>
      <c r="L48" s="2">
        <f ca="1">IFERROR(__xludf.DUMMYFUNCTION("""COMPUTED_VALUE"""),0.7545)</f>
        <v>0.75449999999999995</v>
      </c>
      <c r="M48" s="2">
        <f ca="1">IFERROR(__xludf.DUMMYFUNCTION("""COMPUTED_VALUE"""),0)</f>
        <v>0</v>
      </c>
      <c r="N48" s="2">
        <f ca="1">IFERROR(__xludf.DUMMYFUNCTION("""COMPUTED_VALUE"""),4.5725)</f>
        <v>4.5724999999999998</v>
      </c>
      <c r="O48" s="18">
        <f ca="1">IFERROR(__xludf.DUMMYFUNCTION("""COMPUTED_VALUE"""),0.7545)</f>
        <v>0.75449999999999995</v>
      </c>
    </row>
    <row r="49" spans="1:15" ht="12.5">
      <c r="A49" s="10" t="s">
        <v>39</v>
      </c>
      <c r="B49" s="11" t="s">
        <v>105</v>
      </c>
      <c r="C49" s="12">
        <v>1</v>
      </c>
      <c r="D49" s="12">
        <v>0.73319999999999996</v>
      </c>
      <c r="E49" s="12">
        <v>2.9999999999999997E-4</v>
      </c>
      <c r="F49" s="12">
        <v>4.4043000000000001</v>
      </c>
      <c r="G49" s="13">
        <v>0.73319999999999996</v>
      </c>
      <c r="I49" s="15" t="str">
        <f ca="1">IFERROR(__xludf.DUMMYFUNCTION("""COMPUTED_VALUE"""),"Repudiation: Logs Of Cloud Application Lost")</f>
        <v>Repudiation: Logs Of Cloud Application Lost</v>
      </c>
      <c r="J49" s="2" t="str">
        <f ca="1">IFERROR(__xludf.DUMMYFUNCTION("""COMPUTED_VALUE"""),"LoadBalancer (ALB) - target_group")</f>
        <v>LoadBalancer (ALB) - target_group</v>
      </c>
      <c r="K49" s="2">
        <f ca="1">IFERROR(__xludf.DUMMYFUNCTION("""COMPUTED_VALUE"""),1)</f>
        <v>1</v>
      </c>
      <c r="L49" s="2">
        <f ca="1">IFERROR(__xludf.DUMMYFUNCTION("""COMPUTED_VALUE"""),0.7718)</f>
        <v>0.77180000000000004</v>
      </c>
      <c r="M49" s="2">
        <f ca="1">IFERROR(__xludf.DUMMYFUNCTION("""COMPUTED_VALUE"""),0.0001)</f>
        <v>1E-4</v>
      </c>
      <c r="N49" s="2">
        <f ca="1">IFERROR(__xludf.DUMMYFUNCTION("""COMPUTED_VALUE"""),5.069)</f>
        <v>5.069</v>
      </c>
      <c r="O49" s="18">
        <f ca="1">IFERROR(__xludf.DUMMYFUNCTION("""COMPUTED_VALUE"""),0.7718)</f>
        <v>0.77180000000000004</v>
      </c>
    </row>
    <row r="50" spans="1:15" ht="12.5">
      <c r="A50" s="10" t="s">
        <v>39</v>
      </c>
      <c r="B50" s="11" t="s">
        <v>97</v>
      </c>
      <c r="C50" s="12">
        <v>1</v>
      </c>
      <c r="D50" s="12">
        <v>0.75239999999999996</v>
      </c>
      <c r="E50" s="12">
        <v>0</v>
      </c>
      <c r="F50" s="12">
        <v>6.5049999999999999</v>
      </c>
      <c r="G50" s="13">
        <v>0.75239999999999996</v>
      </c>
      <c r="I50" s="15" t="str">
        <f ca="1">IFERROR(__xludf.DUMMYFUNCTION("""COMPUTED_VALUE"""),"Repudiation: Logs Of Cloud Application Lost")</f>
        <v>Repudiation: Logs Of Cloud Application Lost</v>
      </c>
      <c r="J50" s="2" t="str">
        <f ca="1">IFERROR(__xludf.DUMMYFUNCTION("""COMPUTED_VALUE"""),"VirtualFirewall (SecurityGroup) - load_balancer_security_group")</f>
        <v>VirtualFirewall (SecurityGroup) - load_balancer_security_group</v>
      </c>
      <c r="K50" s="2">
        <f ca="1">IFERROR(__xludf.DUMMYFUNCTION("""COMPUTED_VALUE"""),1)</f>
        <v>1</v>
      </c>
      <c r="L50" s="2">
        <f ca="1">IFERROR(__xludf.DUMMYFUNCTION("""COMPUTED_VALUE"""),0.7534)</f>
        <v>0.75339999999999996</v>
      </c>
      <c r="M50" s="2">
        <f ca="1">IFERROR(__xludf.DUMMYFUNCTION("""COMPUTED_VALUE"""),0)</f>
        <v>0</v>
      </c>
      <c r="N50" s="2">
        <f ca="1">IFERROR(__xludf.DUMMYFUNCTION("""COMPUTED_VALUE"""),5.3463)</f>
        <v>5.3463000000000003</v>
      </c>
      <c r="O50" s="18">
        <f ca="1">IFERROR(__xludf.DUMMYFUNCTION("""COMPUTED_VALUE"""),0.7534)</f>
        <v>0.75339999999999996</v>
      </c>
    </row>
    <row r="51" spans="1:15" ht="12.5">
      <c r="A51" s="10" t="s">
        <v>46</v>
      </c>
      <c r="B51" s="11" t="s">
        <v>97</v>
      </c>
      <c r="C51" s="12">
        <v>1</v>
      </c>
      <c r="D51" s="12">
        <v>0.76270000000000004</v>
      </c>
      <c r="E51" s="12">
        <v>0</v>
      </c>
      <c r="F51" s="12">
        <v>4.8654000000000002</v>
      </c>
      <c r="G51" s="13">
        <v>0.76270000000000004</v>
      </c>
      <c r="I51" s="15" t="str">
        <f ca="1">IFERROR(__xludf.DUMMYFUNCTION("""COMPUTED_VALUE"""),"Spoofing: Broken Authentication")</f>
        <v>Spoofing: Broken Authentication</v>
      </c>
      <c r="J51" s="2" t="str">
        <f ca="1">IFERROR(__xludf.DUMMYFUNCTION("""COMPUTED_VALUE"""),"LoadBalancer (ALB) - target_group")</f>
        <v>LoadBalancer (ALB) - target_group</v>
      </c>
      <c r="K51" s="2">
        <f ca="1">IFERROR(__xludf.DUMMYFUNCTION("""COMPUTED_VALUE"""),1)</f>
        <v>1</v>
      </c>
      <c r="L51" s="2">
        <f ca="1">IFERROR(__xludf.DUMMYFUNCTION("""COMPUTED_VALUE"""),0.7459)</f>
        <v>0.74590000000000001</v>
      </c>
      <c r="M51" s="2">
        <f ca="1">IFERROR(__xludf.DUMMYFUNCTION("""COMPUTED_VALUE"""),0.0001)</f>
        <v>1E-4</v>
      </c>
      <c r="N51" s="2">
        <f ca="1">IFERROR(__xludf.DUMMYFUNCTION("""COMPUTED_VALUE"""),5.2406)</f>
        <v>5.2405999999999997</v>
      </c>
      <c r="O51" s="18">
        <f ca="1">IFERROR(__xludf.DUMMYFUNCTION("""COMPUTED_VALUE"""),0.7459)</f>
        <v>0.74590000000000001</v>
      </c>
    </row>
    <row r="52" spans="1:15" ht="12.5">
      <c r="A52" s="10" t="s">
        <v>46</v>
      </c>
      <c r="B52" s="11" t="s">
        <v>99</v>
      </c>
      <c r="C52" s="12">
        <v>1</v>
      </c>
      <c r="D52" s="12">
        <v>0.76959999999999995</v>
      </c>
      <c r="E52" s="12">
        <v>1E-4</v>
      </c>
      <c r="F52" s="12">
        <v>5.05</v>
      </c>
      <c r="G52" s="13">
        <v>0.76959999999999995</v>
      </c>
      <c r="I52" s="15" t="str">
        <f ca="1">IFERROR(__xludf.DUMMYFUNCTION("""COMPUTED_VALUE"""),"Spoofing: Broken Authentication")</f>
        <v>Spoofing: Broken Authentication</v>
      </c>
      <c r="J52" s="2" t="str">
        <f ca="1">IFERROR(__xludf.DUMMYFUNCTION("""COMPUTED_VALUE"""),"VirtualFirewall (SecurityGroup) - load_balancer_security_group")</f>
        <v>VirtualFirewall (SecurityGroup) - load_balancer_security_group</v>
      </c>
      <c r="K52" s="2">
        <f ca="1">IFERROR(__xludf.DUMMYFUNCTION("""COMPUTED_VALUE"""),1)</f>
        <v>1</v>
      </c>
      <c r="L52" s="2">
        <f ca="1">IFERROR(__xludf.DUMMYFUNCTION("""COMPUTED_VALUE"""),0.715)</f>
        <v>0.71499999999999997</v>
      </c>
      <c r="M52" s="2">
        <f ca="1">IFERROR(__xludf.DUMMYFUNCTION("""COMPUTED_VALUE"""),0)</f>
        <v>0</v>
      </c>
      <c r="N52" s="2">
        <f ca="1">IFERROR(__xludf.DUMMYFUNCTION("""COMPUTED_VALUE"""),4.8376)</f>
        <v>4.8376000000000001</v>
      </c>
      <c r="O52" s="18">
        <f ca="1">IFERROR(__xludf.DUMMYFUNCTION("""COMPUTED_VALUE"""),0.715)</f>
        <v>0.71499999999999997</v>
      </c>
    </row>
    <row r="53" spans="1:15" ht="12.5">
      <c r="A53" s="10" t="s">
        <v>46</v>
      </c>
      <c r="B53" s="11" t="s">
        <v>101</v>
      </c>
      <c r="C53" s="12">
        <v>1</v>
      </c>
      <c r="D53" s="12">
        <v>0.72289999999999999</v>
      </c>
      <c r="E53" s="12">
        <v>0</v>
      </c>
      <c r="F53" s="12">
        <v>4.8666</v>
      </c>
      <c r="G53" s="13">
        <v>0.72289999999999999</v>
      </c>
      <c r="I53" s="15" t="str">
        <f ca="1">IFERROR(__xludf.DUMMYFUNCTION("""COMPUTED_VALUE"""),"Spoofing: Social Engineering Against Remote User")</f>
        <v>Spoofing: Social Engineering Against Remote User</v>
      </c>
      <c r="J53" s="2" t="str">
        <f ca="1">IFERROR(__xludf.DUMMYFUNCTION("""COMPUTED_VALUE"""),"User")</f>
        <v>User</v>
      </c>
      <c r="K53" s="2">
        <f ca="1">IFERROR(__xludf.DUMMYFUNCTION("""COMPUTED_VALUE"""),1)</f>
        <v>1</v>
      </c>
      <c r="L53" s="2">
        <f ca="1">IFERROR(__xludf.DUMMYFUNCTION("""COMPUTED_VALUE"""),0.7344)</f>
        <v>0.73440000000000005</v>
      </c>
      <c r="M53" s="2">
        <f ca="1">IFERROR(__xludf.DUMMYFUNCTION("""COMPUTED_VALUE"""),0.000025)</f>
        <v>2.5000000000000001E-5</v>
      </c>
      <c r="N53" s="2">
        <f ca="1">IFERROR(__xludf.DUMMYFUNCTION("""COMPUTED_VALUE"""),5.02927499999999)</f>
        <v>5.0292749999999904</v>
      </c>
      <c r="O53" s="18">
        <f ca="1">IFERROR(__xludf.DUMMYFUNCTION("""COMPUTED_VALUE"""),0.7344)</f>
        <v>0.73440000000000005</v>
      </c>
    </row>
    <row r="54" spans="1:15" ht="12.5">
      <c r="A54" s="10" t="s">
        <v>46</v>
      </c>
      <c r="B54" s="11" t="s">
        <v>103</v>
      </c>
      <c r="C54" s="12">
        <v>1</v>
      </c>
      <c r="D54" s="12">
        <v>0.71419999999999995</v>
      </c>
      <c r="E54" s="12">
        <v>0</v>
      </c>
      <c r="F54" s="12">
        <v>4.3810000000000002</v>
      </c>
      <c r="G54" s="13">
        <v>0.71419999999999995</v>
      </c>
      <c r="I54" s="15" t="str">
        <f ca="1">IFERROR(__xludf.DUMMYFUNCTION("""COMPUTED_VALUE"""),"Tampering: Data Loss By Cloud Application")</f>
        <v>Tampering: Data Loss By Cloud Application</v>
      </c>
      <c r="J54" s="2" t="str">
        <f ca="1">IFERROR(__xludf.DUMMYFUNCTION("""COMPUTED_VALUE"""),"LoadBalancer (ALB) - target_group")</f>
        <v>LoadBalancer (ALB) - target_group</v>
      </c>
      <c r="K54" s="2">
        <f ca="1">IFERROR(__xludf.DUMMYFUNCTION("""COMPUTED_VALUE"""),1)</f>
        <v>1</v>
      </c>
      <c r="L54" s="2">
        <f ca="1">IFERROR(__xludf.DUMMYFUNCTION("""COMPUTED_VALUE"""),0.7675)</f>
        <v>0.76749999999999996</v>
      </c>
      <c r="M54" s="2">
        <f ca="1">IFERROR(__xludf.DUMMYFUNCTION("""COMPUTED_VALUE"""),0)</f>
        <v>0</v>
      </c>
      <c r="N54" s="2">
        <f ca="1">IFERROR(__xludf.DUMMYFUNCTION("""COMPUTED_VALUE"""),5.2123)</f>
        <v>5.2122999999999999</v>
      </c>
      <c r="O54" s="18">
        <f ca="1">IFERROR(__xludf.DUMMYFUNCTION("""COMPUTED_VALUE"""),0.7675)</f>
        <v>0.76749999999999996</v>
      </c>
    </row>
    <row r="55" spans="1:15" ht="12.5">
      <c r="A55" s="10" t="s">
        <v>47</v>
      </c>
      <c r="B55" s="11" t="s">
        <v>2</v>
      </c>
      <c r="C55" s="12">
        <v>1</v>
      </c>
      <c r="D55" s="12">
        <v>0.74470000000000003</v>
      </c>
      <c r="E55" s="12">
        <v>1E-4</v>
      </c>
      <c r="F55" s="12">
        <v>4.8212000000000002</v>
      </c>
      <c r="G55" s="13">
        <v>0.74470000000000003</v>
      </c>
      <c r="I55" s="15" t="str">
        <f ca="1">IFERROR(__xludf.DUMMYFUNCTION("""COMPUTED_VALUE"""),"Tampering: Data Loss By Cloud Application")</f>
        <v>Tampering: Data Loss By Cloud Application</v>
      </c>
      <c r="J55" s="2" t="str">
        <f ca="1">IFERROR(__xludf.DUMMYFUNCTION("""COMPUTED_VALUE"""),"VirtualFirewall (SecurityGroup) - load_balancer_security_group")</f>
        <v>VirtualFirewall (SecurityGroup) - load_balancer_security_group</v>
      </c>
      <c r="K55" s="2">
        <f ca="1">IFERROR(__xludf.DUMMYFUNCTION("""COMPUTED_VALUE"""),1)</f>
        <v>1</v>
      </c>
      <c r="L55" s="2">
        <f ca="1">IFERROR(__xludf.DUMMYFUNCTION("""COMPUTED_VALUE"""),0.7531)</f>
        <v>0.75309999999999999</v>
      </c>
      <c r="M55" s="2">
        <f ca="1">IFERROR(__xludf.DUMMYFUNCTION("""COMPUTED_VALUE"""),0.0001)</f>
        <v>1E-4</v>
      </c>
      <c r="N55" s="2">
        <f ca="1">IFERROR(__xludf.DUMMYFUNCTION("""COMPUTED_VALUE"""),5.0141)</f>
        <v>5.0141</v>
      </c>
      <c r="O55" s="18">
        <f ca="1">IFERROR(__xludf.DUMMYFUNCTION("""COMPUTED_VALUE"""),0.7531)</f>
        <v>0.75309999999999999</v>
      </c>
    </row>
    <row r="56" spans="1:15" ht="12.5">
      <c r="A56" s="10" t="s">
        <v>47</v>
      </c>
      <c r="B56" s="11" t="s">
        <v>2</v>
      </c>
      <c r="C56" s="12">
        <v>1</v>
      </c>
      <c r="D56" s="12">
        <v>0.76080000000000003</v>
      </c>
      <c r="E56" s="12">
        <v>0</v>
      </c>
      <c r="F56" s="12">
        <v>4.6024000000000003</v>
      </c>
      <c r="G56" s="13">
        <v>0.76080000000000003</v>
      </c>
      <c r="I56" s="15" t="str">
        <f ca="1">IFERROR(__xludf.DUMMYFUNCTION("""COMPUTED_VALUE"""),"Tampering: Malware From Cloud Application")</f>
        <v>Tampering: Malware From Cloud Application</v>
      </c>
      <c r="J56" s="2" t="str">
        <f ca="1">IFERROR(__xludf.DUMMYFUNCTION("""COMPUTED_VALUE"""),"User")</f>
        <v>User</v>
      </c>
      <c r="K56" s="2">
        <f ca="1">IFERROR(__xludf.DUMMYFUNCTION("""COMPUTED_VALUE"""),1)</f>
        <v>1</v>
      </c>
      <c r="L56" s="2">
        <f ca="1">IFERROR(__xludf.DUMMYFUNCTION("""COMPUTED_VALUE"""),0.759925)</f>
        <v>0.75992499999999996</v>
      </c>
      <c r="M56" s="2">
        <f ca="1">IFERROR(__xludf.DUMMYFUNCTION("""COMPUTED_VALUE"""),0.000075)</f>
        <v>7.4999999999999993E-5</v>
      </c>
      <c r="N56" s="2">
        <f ca="1">IFERROR(__xludf.DUMMYFUNCTION("""COMPUTED_VALUE"""),4.9884)</f>
        <v>4.9884000000000004</v>
      </c>
      <c r="O56" s="18">
        <f ca="1">IFERROR(__xludf.DUMMYFUNCTION("""COMPUTED_VALUE"""),0.759925)</f>
        <v>0.75992499999999996</v>
      </c>
    </row>
    <row r="57" spans="1:15" ht="12.5">
      <c r="A57" s="10" t="s">
        <v>47</v>
      </c>
      <c r="B57" s="11" t="s">
        <v>2</v>
      </c>
      <c r="C57" s="12">
        <v>1</v>
      </c>
      <c r="D57" s="12">
        <v>0.76259999999999994</v>
      </c>
      <c r="E57" s="12">
        <v>2.0000000000000001E-4</v>
      </c>
      <c r="F57" s="12">
        <v>5.3791000000000002</v>
      </c>
      <c r="G57" s="13">
        <v>0.76259999999999994</v>
      </c>
      <c r="I57" s="15" t="str">
        <f ca="1">IFERROR(__xludf.DUMMYFUNCTION("""COMPUTED_VALUE"""),"Tampering: Public Network Access To Cloud Application")</f>
        <v>Tampering: Public Network Access To Cloud Application</v>
      </c>
      <c r="J57" s="2" t="str">
        <f ca="1">IFERROR(__xludf.DUMMYFUNCTION("""COMPUTED_VALUE"""),"User")</f>
        <v>User</v>
      </c>
      <c r="K57" s="2">
        <f ca="1">IFERROR(__xludf.DUMMYFUNCTION("""COMPUTED_VALUE"""),1)</f>
        <v>1</v>
      </c>
      <c r="L57" s="2">
        <f ca="1">IFERROR(__xludf.DUMMYFUNCTION("""COMPUTED_VALUE"""),0.739725)</f>
        <v>0.73972499999999997</v>
      </c>
      <c r="M57" s="2">
        <f ca="1">IFERROR(__xludf.DUMMYFUNCTION("""COMPUTED_VALUE"""),0.00005)</f>
        <v>5.0000000000000002E-5</v>
      </c>
      <c r="N57" s="2">
        <f ca="1">IFERROR(__xludf.DUMMYFUNCTION("""COMPUTED_VALUE"""),4.911825)</f>
        <v>4.9118250000000003</v>
      </c>
      <c r="O57" s="18">
        <f ca="1">IFERROR(__xludf.DUMMYFUNCTION("""COMPUTED_VALUE"""),0.739725)</f>
        <v>0.73972499999999997</v>
      </c>
    </row>
    <row r="58" spans="1:15" ht="12.5">
      <c r="A58" s="10" t="s">
        <v>47</v>
      </c>
      <c r="B58" s="11" t="s">
        <v>2</v>
      </c>
      <c r="C58" s="12">
        <v>1</v>
      </c>
      <c r="D58" s="12">
        <v>0.77159999999999995</v>
      </c>
      <c r="E58" s="12">
        <v>0</v>
      </c>
      <c r="F58" s="12">
        <v>5.1509</v>
      </c>
      <c r="G58" s="13">
        <v>0.77159999999999995</v>
      </c>
      <c r="I58" s="15" t="str">
        <f ca="1">IFERROR(__xludf.DUMMYFUNCTION("""COMPUTED_VALUE"""),"Tampering: Unauthorized Modification of the Data Stores")</f>
        <v>Tampering: Unauthorized Modification of the Data Stores</v>
      </c>
      <c r="J58" s="2" t="str">
        <f ca="1">IFERROR(__xludf.DUMMYFUNCTION("""COMPUTED_VALUE"""),"Database (RDS) - database-instance")</f>
        <v>Database (RDS) - database-instance</v>
      </c>
      <c r="K58" s="2">
        <f ca="1">IFERROR(__xludf.DUMMYFUNCTION("""COMPUTED_VALUE"""),1)</f>
        <v>1</v>
      </c>
      <c r="L58" s="2">
        <f ca="1">IFERROR(__xludf.DUMMYFUNCTION("""COMPUTED_VALUE"""),0.7252)</f>
        <v>0.72519999999999996</v>
      </c>
      <c r="M58" s="2">
        <f ca="1">IFERROR(__xludf.DUMMYFUNCTION("""COMPUTED_VALUE"""),0)</f>
        <v>0</v>
      </c>
      <c r="N58" s="2">
        <f ca="1">IFERROR(__xludf.DUMMYFUNCTION("""COMPUTED_VALUE"""),5.1199)</f>
        <v>5.1199000000000003</v>
      </c>
      <c r="O58" s="18">
        <f ca="1">IFERROR(__xludf.DUMMYFUNCTION("""COMPUTED_VALUE"""),0.7252)</f>
        <v>0.72519999999999996</v>
      </c>
    </row>
    <row r="59" spans="1:15" ht="12.5">
      <c r="A59" s="10" t="s">
        <v>44</v>
      </c>
      <c r="B59" s="11" t="s">
        <v>94</v>
      </c>
      <c r="C59" s="12">
        <v>1</v>
      </c>
      <c r="D59" s="12">
        <v>0.76490000000000002</v>
      </c>
      <c r="E59" s="12">
        <v>1E-4</v>
      </c>
      <c r="F59" s="12">
        <v>5.2295999999999996</v>
      </c>
      <c r="G59" s="13">
        <v>0.76490000000000002</v>
      </c>
      <c r="I59" s="33" t="str">
        <f ca="1">IFERROR(__xludf.DUMMYFUNCTION("""COMPUTED_VALUE"""),"Tampering: Unauthorized Modification of the Data Stores")</f>
        <v>Tampering: Unauthorized Modification of the Data Stores</v>
      </c>
      <c r="J59" s="34" t="str">
        <f ca="1">IFERROR(__xludf.DUMMYFUNCTION("""COMPUTED_VALUE"""),"FileStorage (S3) - bucket_tf_files")</f>
        <v>FileStorage (S3) - bucket_tf_files</v>
      </c>
      <c r="K59" s="34">
        <f ca="1">IFERROR(__xludf.DUMMYFUNCTION("""COMPUTED_VALUE"""),1)</f>
        <v>1</v>
      </c>
      <c r="L59" s="34">
        <f ca="1">IFERROR(__xludf.DUMMYFUNCTION("""COMPUTED_VALUE"""),0.7253)</f>
        <v>0.72529999999999994</v>
      </c>
      <c r="M59" s="34">
        <f ca="1">IFERROR(__xludf.DUMMYFUNCTION("""COMPUTED_VALUE"""),0)</f>
        <v>0</v>
      </c>
      <c r="N59" s="34">
        <f ca="1">IFERROR(__xludf.DUMMYFUNCTION("""COMPUTED_VALUE"""),5.2647)</f>
        <v>5.2647000000000004</v>
      </c>
      <c r="O59" s="35">
        <f ca="1">IFERROR(__xludf.DUMMYFUNCTION("""COMPUTED_VALUE"""),0.7253)</f>
        <v>0.72529999999999994</v>
      </c>
    </row>
    <row r="60" spans="1:15" ht="12.5">
      <c r="A60" s="10" t="s">
        <v>51</v>
      </c>
      <c r="B60" s="11" t="s">
        <v>94</v>
      </c>
      <c r="C60" s="12">
        <v>1</v>
      </c>
      <c r="D60" s="12">
        <v>0.72529999999999994</v>
      </c>
      <c r="E60" s="12">
        <v>0</v>
      </c>
      <c r="F60" s="12">
        <v>5.2647000000000004</v>
      </c>
      <c r="G60" s="13">
        <v>0.72529999999999994</v>
      </c>
    </row>
    <row r="61" spans="1:15" ht="12.5">
      <c r="A61" s="10" t="s">
        <v>45</v>
      </c>
      <c r="B61" s="11" t="s">
        <v>105</v>
      </c>
      <c r="C61" s="12">
        <v>1</v>
      </c>
      <c r="D61" s="12">
        <v>0.74590000000000001</v>
      </c>
      <c r="E61" s="12">
        <v>1E-4</v>
      </c>
      <c r="F61" s="12">
        <v>5.2405999999999997</v>
      </c>
      <c r="G61" s="13">
        <v>0.74590000000000001</v>
      </c>
      <c r="I61" s="2" t="str">
        <f ca="1">"TOTAL: " &amp; TEXT(COUNTA(I2:I59), "0")</f>
        <v>TOTAL: 58</v>
      </c>
    </row>
    <row r="62" spans="1:15" ht="12.5">
      <c r="A62" s="10" t="s">
        <v>45</v>
      </c>
      <c r="B62" s="11" t="s">
        <v>97</v>
      </c>
      <c r="C62" s="12">
        <v>1</v>
      </c>
      <c r="D62" s="12">
        <v>0.71499999999999997</v>
      </c>
      <c r="E62" s="12">
        <v>0</v>
      </c>
      <c r="F62" s="12">
        <v>4.8376000000000001</v>
      </c>
      <c r="G62" s="13">
        <v>0.71499999999999997</v>
      </c>
    </row>
    <row r="63" spans="1:15" ht="12.5">
      <c r="A63" s="10" t="s">
        <v>40</v>
      </c>
      <c r="B63" s="11" t="s">
        <v>104</v>
      </c>
      <c r="C63" s="12">
        <v>1</v>
      </c>
      <c r="D63" s="12">
        <v>0.73970000000000002</v>
      </c>
      <c r="E63" s="12">
        <v>0</v>
      </c>
      <c r="F63" s="12">
        <v>5.2024999999999997</v>
      </c>
      <c r="G63" s="13">
        <v>0.73970000000000002</v>
      </c>
    </row>
    <row r="64" spans="1:15" ht="12.5">
      <c r="A64" s="10" t="s">
        <v>24</v>
      </c>
      <c r="B64" s="11" t="s">
        <v>2</v>
      </c>
      <c r="C64" s="12">
        <v>1</v>
      </c>
      <c r="D64" s="12">
        <v>0.7641</v>
      </c>
      <c r="E64" s="12">
        <v>0</v>
      </c>
      <c r="F64" s="12">
        <v>4.9515000000000002</v>
      </c>
      <c r="G64" s="13">
        <v>0.7641</v>
      </c>
    </row>
    <row r="65" spans="1:7" ht="12.5">
      <c r="A65" s="10" t="s">
        <v>24</v>
      </c>
      <c r="B65" s="11" t="s">
        <v>2</v>
      </c>
      <c r="C65" s="12">
        <v>1</v>
      </c>
      <c r="D65" s="12">
        <v>0.75280000000000002</v>
      </c>
      <c r="E65" s="12">
        <v>0</v>
      </c>
      <c r="F65" s="12">
        <v>4.9162999999999997</v>
      </c>
      <c r="G65" s="13">
        <v>0.75280000000000002</v>
      </c>
    </row>
    <row r="66" spans="1:7" ht="12.5">
      <c r="A66" s="10" t="s">
        <v>24</v>
      </c>
      <c r="B66" s="11" t="s">
        <v>2</v>
      </c>
      <c r="C66" s="12">
        <v>1</v>
      </c>
      <c r="D66" s="12">
        <v>0.71089999999999998</v>
      </c>
      <c r="E66" s="12">
        <v>1E-4</v>
      </c>
      <c r="F66" s="12">
        <v>5.1970999999999998</v>
      </c>
      <c r="G66" s="13">
        <v>0.71089999999999998</v>
      </c>
    </row>
    <row r="67" spans="1:7" ht="12.5">
      <c r="A67" s="10" t="s">
        <v>24</v>
      </c>
      <c r="B67" s="11" t="s">
        <v>2</v>
      </c>
      <c r="C67" s="12">
        <v>1</v>
      </c>
      <c r="D67" s="12">
        <v>0.70979999999999999</v>
      </c>
      <c r="E67" s="12">
        <v>0</v>
      </c>
      <c r="F67" s="12">
        <v>5.0522</v>
      </c>
      <c r="G67" s="13">
        <v>0.70979999999999999</v>
      </c>
    </row>
    <row r="68" spans="1:7" ht="12.5">
      <c r="A68" s="10" t="s">
        <v>38</v>
      </c>
      <c r="B68" s="11" t="s">
        <v>97</v>
      </c>
      <c r="C68" s="12">
        <v>1</v>
      </c>
      <c r="D68" s="12">
        <v>0.6694</v>
      </c>
      <c r="E68" s="12">
        <v>2.0000000000000001E-4</v>
      </c>
      <c r="F68" s="12">
        <v>5.1452</v>
      </c>
      <c r="G68" s="13">
        <v>0.6694</v>
      </c>
    </row>
    <row r="69" spans="1:7" ht="12.5">
      <c r="A69" s="10" t="s">
        <v>38</v>
      </c>
      <c r="B69" s="11" t="s">
        <v>99</v>
      </c>
      <c r="C69" s="12">
        <v>1</v>
      </c>
      <c r="D69" s="12">
        <v>0.74239999999999995</v>
      </c>
      <c r="E69" s="12">
        <v>1E-4</v>
      </c>
      <c r="F69" s="12">
        <v>4.7680999999999996</v>
      </c>
      <c r="G69" s="13">
        <v>0.74239999999999995</v>
      </c>
    </row>
    <row r="70" spans="1:7" ht="12.5">
      <c r="A70" s="10" t="s">
        <v>38</v>
      </c>
      <c r="B70" s="11" t="s">
        <v>101</v>
      </c>
      <c r="C70" s="12">
        <v>1</v>
      </c>
      <c r="D70" s="12">
        <v>0.71960000000000002</v>
      </c>
      <c r="E70" s="12">
        <v>1E-4</v>
      </c>
      <c r="F70" s="12">
        <v>4.7446000000000002</v>
      </c>
      <c r="G70" s="13">
        <v>0.71960000000000002</v>
      </c>
    </row>
    <row r="71" spans="1:7" ht="12.5">
      <c r="A71" s="10" t="s">
        <v>38</v>
      </c>
      <c r="B71" s="11" t="s">
        <v>103</v>
      </c>
      <c r="C71" s="12">
        <v>1</v>
      </c>
      <c r="D71" s="12">
        <v>0.7792</v>
      </c>
      <c r="E71" s="12">
        <v>1E-4</v>
      </c>
      <c r="F71" s="12">
        <v>5.2287999999999997</v>
      </c>
      <c r="G71" s="13">
        <v>0.7792</v>
      </c>
    </row>
    <row r="72" spans="1:7" ht="12.5">
      <c r="A72" s="10" t="s">
        <v>55</v>
      </c>
      <c r="B72" s="11" t="s">
        <v>105</v>
      </c>
      <c r="C72" s="12">
        <v>1</v>
      </c>
      <c r="D72" s="12">
        <v>0.73119999999999996</v>
      </c>
      <c r="E72" s="12">
        <v>1E-4</v>
      </c>
      <c r="F72" s="12">
        <v>5.0339</v>
      </c>
      <c r="G72" s="13">
        <v>0.73119999999999996</v>
      </c>
    </row>
    <row r="73" spans="1:7" ht="12.5">
      <c r="A73" s="10" t="s">
        <v>55</v>
      </c>
      <c r="B73" s="11" t="s">
        <v>97</v>
      </c>
      <c r="C73" s="12">
        <v>1</v>
      </c>
      <c r="D73" s="12">
        <v>0.69799999999999995</v>
      </c>
      <c r="E73" s="12">
        <v>0</v>
      </c>
      <c r="F73" s="12">
        <v>5.1395999999999997</v>
      </c>
      <c r="G73" s="13">
        <v>0.69799999999999995</v>
      </c>
    </row>
    <row r="74" spans="1:7" ht="12.5">
      <c r="A74" s="10" t="s">
        <v>29</v>
      </c>
      <c r="B74" s="11" t="s">
        <v>97</v>
      </c>
      <c r="C74" s="12">
        <v>1</v>
      </c>
      <c r="D74" s="12">
        <v>0.6956</v>
      </c>
      <c r="E74" s="12">
        <v>0</v>
      </c>
      <c r="F74" s="12">
        <v>4.5572999999999997</v>
      </c>
      <c r="G74" s="13">
        <v>0.6956</v>
      </c>
    </row>
    <row r="75" spans="1:7" ht="12.5">
      <c r="A75" s="10" t="s">
        <v>29</v>
      </c>
      <c r="B75" s="11" t="s">
        <v>99</v>
      </c>
      <c r="C75" s="12">
        <v>1</v>
      </c>
      <c r="D75" s="12">
        <v>0.78620000000000001</v>
      </c>
      <c r="E75" s="12">
        <v>1E-4</v>
      </c>
      <c r="F75" s="12">
        <v>4.6482000000000001</v>
      </c>
      <c r="G75" s="13">
        <v>0.78620000000000001</v>
      </c>
    </row>
    <row r="76" spans="1:7" ht="12.5">
      <c r="A76" s="10" t="s">
        <v>29</v>
      </c>
      <c r="B76" s="11" t="s">
        <v>101</v>
      </c>
      <c r="C76" s="12">
        <v>1</v>
      </c>
      <c r="D76" s="12">
        <v>0.73119999999999996</v>
      </c>
      <c r="E76" s="12">
        <v>1E-4</v>
      </c>
      <c r="F76" s="12">
        <v>5.2994000000000003</v>
      </c>
      <c r="G76" s="13">
        <v>0.73119999999999996</v>
      </c>
    </row>
    <row r="77" spans="1:7" ht="12.5">
      <c r="A77" s="22" t="s">
        <v>29</v>
      </c>
      <c r="B77" s="23" t="s">
        <v>103</v>
      </c>
      <c r="C77" s="24">
        <v>1</v>
      </c>
      <c r="D77" s="24">
        <v>0.72430000000000005</v>
      </c>
      <c r="E77" s="24">
        <v>0</v>
      </c>
      <c r="F77" s="24">
        <v>5.4813999999999998</v>
      </c>
      <c r="G77" s="25">
        <v>0.72430000000000005</v>
      </c>
    </row>
    <row r="79" spans="1:7" ht="12.5">
      <c r="A79" s="2" t="str">
        <f>"TOTAL: " &amp; TEXT(COUNTA(A2:A77), "0")</f>
        <v>TOTAL: 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CloudGoat threat result</vt:lpstr>
      <vt:lpstr>KaiMonkey threat result</vt:lpstr>
      <vt:lpstr>AWSGoat module-1 threat result</vt:lpstr>
      <vt:lpstr>AWSGoat module-2 threat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Huy Nguyen</cp:lastModifiedBy>
  <dcterms:modified xsi:type="dcterms:W3CDTF">2024-09-10T08:04:17Z</dcterms:modified>
</cp:coreProperties>
</file>