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awag\userdata\pepenadj\Desktop\"/>
    </mc:Choice>
  </mc:AlternateContent>
  <workbookProtection workbookAlgorithmName="SHA-512" workbookHashValue="1hgfgPy7oXUfVl0N0fQmPAOtVf1Um6N7GRDFS57+RpinAjPEap5eL0Q40QWuAbOS3F/0K40ce/LoO/EyHG1a7Q==" workbookSaltValue="1kcH1Vp865GoOFvpuM9XBA==" workbookSpinCount="100000" lockStructure="1"/>
  <bookViews>
    <workbookView xWindow="0" yWindow="0" windowWidth="16500" windowHeight="8730" tabRatio="934" activeTab="1"/>
  </bookViews>
  <sheets>
    <sheet name="Explanatory Notes" sheetId="17" r:id="rId1"/>
    <sheet name="Total Budget" sheetId="9" r:id="rId2"/>
    <sheet name="Various Cost Planning" sheetId="11" r:id="rId3"/>
    <sheet name="Pers Plan 1" sheetId="2" r:id="rId4"/>
    <sheet name="Pers Plan 2" sheetId="14" r:id="rId5"/>
    <sheet name="Pers Plan 3" sheetId="13" r:id="rId6"/>
    <sheet name="Pers NF-Doktorand 1" sheetId="19" r:id="rId7"/>
    <sheet name="Pers NF Doktorand 2" sheetId="21" r:id="rId8"/>
    <sheet name="Pers NF PostDoc" sheetId="27" r:id="rId9"/>
    <sheet name="Pers NF weitere MA" sheetId="28" r:id="rId10"/>
    <sheet name="Pers Plan NLS 1" sheetId="15" r:id="rId11"/>
    <sheet name="Pers Plan NLS 2" sheetId="18" r:id="rId12"/>
    <sheet name="Pers Plan NLS 3" sheetId="26" r:id="rId13"/>
    <sheet name="SV-Sätze" sheetId="1" state="hidden" r:id="rId14"/>
    <sheet name="PK-Sätze" sheetId="23" state="hidden" r:id="rId15"/>
    <sheet name="FAK" sheetId="22" state="hidden" r:id="rId16"/>
    <sheet name="Tabelle1" sheetId="24" state="hidden" r:id="rId17"/>
    <sheet name="Tabelle1 (2)" sheetId="25" state="hidden" r:id="rId18"/>
  </sheets>
  <definedNames>
    <definedName name="_xlnm._FilterDatabase" localSheetId="1" hidden="1">'Total Budget'!$J$11:$J$13</definedName>
    <definedName name="Checked">'Total Budget'!$O$14:$O$21</definedName>
    <definedName name="_xlnm.Print_Area" localSheetId="0">'Explanatory Notes'!$A$1:$D$19</definedName>
    <definedName name="_xlnm.Print_Area" localSheetId="15">FAK!$B$24:$H$108</definedName>
    <definedName name="_xlnm.Print_Area" localSheetId="14">'PK-Sätze'!$B$1:$H$38</definedName>
    <definedName name="_xlnm.Print_Area" localSheetId="13">'SV-Sätze'!$A$1:$P$24</definedName>
    <definedName name="OLE_LINK1" localSheetId="0">'Explanatory Notes'!$L$13</definedName>
    <definedName name="_xlnm.Criteria" localSheetId="1">'Total Budget'!$J$12:$J$13</definedName>
    <definedName name="_xlnm.Extract" localSheetId="1">'Total Budget'!$B$13</definedName>
  </definedNames>
  <calcPr calcId="162913"/>
</workbook>
</file>

<file path=xl/calcChain.xml><?xml version="1.0" encoding="utf-8"?>
<calcChain xmlns="http://schemas.openxmlformats.org/spreadsheetml/2006/main">
  <c r="B42" i="9" l="1"/>
  <c r="B43" i="9"/>
  <c r="B44" i="9"/>
  <c r="C20" i="22" l="1"/>
  <c r="C19" i="22"/>
  <c r="C18" i="22"/>
  <c r="C17" i="22"/>
  <c r="F41" i="22"/>
  <c r="E41" i="22"/>
  <c r="F40" i="22"/>
  <c r="E40" i="22"/>
  <c r="F39" i="22"/>
  <c r="E39" i="22"/>
  <c r="F38" i="22"/>
  <c r="E38" i="22"/>
  <c r="D33" i="22"/>
  <c r="E33" i="22" s="1"/>
  <c r="D32" i="22"/>
  <c r="E32" i="22" s="1"/>
  <c r="D30" i="22"/>
  <c r="E30" i="22" s="1"/>
  <c r="B20" i="26" l="1"/>
  <c r="B19" i="26"/>
  <c r="B18" i="26"/>
  <c r="B17" i="26"/>
  <c r="B16" i="26"/>
  <c r="B20" i="18" l="1"/>
  <c r="B19" i="18"/>
  <c r="B18" i="18"/>
  <c r="B17" i="18"/>
  <c r="B20" i="15"/>
  <c r="B19" i="15"/>
  <c r="B18" i="15"/>
  <c r="B17" i="15"/>
  <c r="B16" i="15"/>
  <c r="B21" i="13"/>
  <c r="B20" i="13"/>
  <c r="B19" i="13"/>
  <c r="B18" i="13"/>
  <c r="B17" i="13"/>
  <c r="B21" i="14"/>
  <c r="B20" i="14"/>
  <c r="B19" i="14"/>
  <c r="B18" i="14"/>
  <c r="B17" i="14"/>
  <c r="B21" i="2"/>
  <c r="B20" i="2"/>
  <c r="B19" i="2"/>
  <c r="B18" i="2"/>
  <c r="B17" i="2"/>
  <c r="E18" i="1"/>
  <c r="E17" i="1"/>
  <c r="H16" i="1"/>
  <c r="E16" i="1"/>
  <c r="H13" i="1"/>
  <c r="E13" i="1"/>
  <c r="H12" i="1"/>
  <c r="E12" i="1"/>
  <c r="H11" i="1"/>
  <c r="E11" i="1"/>
  <c r="H10" i="1"/>
  <c r="E10" i="1"/>
  <c r="H9" i="1"/>
  <c r="G8" i="1"/>
  <c r="F8" i="1"/>
  <c r="D8" i="1"/>
  <c r="C8" i="1"/>
  <c r="B15" i="26" s="1"/>
  <c r="H7" i="1"/>
  <c r="E7" i="1"/>
  <c r="H6" i="1"/>
  <c r="E6" i="1"/>
  <c r="H5" i="1"/>
  <c r="E5" i="1"/>
  <c r="F20" i="22"/>
  <c r="F19" i="22"/>
  <c r="F18" i="22"/>
  <c r="B30" i="26" s="1"/>
  <c r="F17" i="22"/>
  <c r="B16" i="13" l="1"/>
  <c r="B29" i="13"/>
  <c r="B30" i="15"/>
  <c r="B29" i="26"/>
  <c r="B28" i="26"/>
  <c r="B27" i="2"/>
  <c r="B27" i="14"/>
  <c r="B28" i="18"/>
  <c r="B28" i="2"/>
  <c r="B28" i="14"/>
  <c r="B27" i="13"/>
  <c r="B28" i="15"/>
  <c r="B29" i="18"/>
  <c r="B29" i="2"/>
  <c r="B29" i="14"/>
  <c r="B28" i="13"/>
  <c r="B29" i="15"/>
  <c r="B30" i="18"/>
  <c r="H8" i="1"/>
  <c r="B16" i="2"/>
  <c r="B15" i="18"/>
  <c r="B16" i="14"/>
  <c r="B15" i="15"/>
  <c r="E8" i="1"/>
  <c r="O45" i="28" l="1"/>
  <c r="C24" i="28"/>
  <c r="F24" i="28" s="1"/>
  <c r="I24" i="28" s="1"/>
  <c r="L24" i="28" s="1"/>
  <c r="C23" i="28"/>
  <c r="F23" i="28" s="1"/>
  <c r="I23" i="28" s="1"/>
  <c r="L23" i="28" s="1"/>
  <c r="C22" i="28"/>
  <c r="F22" i="28" s="1"/>
  <c r="I22" i="28" s="1"/>
  <c r="L22" i="28" s="1"/>
  <c r="K12" i="28"/>
  <c r="H12" i="28"/>
  <c r="E12" i="28"/>
  <c r="B12" i="28"/>
  <c r="L11" i="28"/>
  <c r="L12" i="28" s="1"/>
  <c r="I11" i="28"/>
  <c r="I12" i="28" s="1"/>
  <c r="F11" i="28"/>
  <c r="C11" i="28"/>
  <c r="C12" i="28" s="1"/>
  <c r="F12" i="28" l="1"/>
  <c r="F16" i="28" s="1"/>
  <c r="C31" i="28"/>
  <c r="C19" i="28"/>
  <c r="C17" i="28"/>
  <c r="C16" i="28"/>
  <c r="C15" i="28"/>
  <c r="C14" i="28"/>
  <c r="I17" i="28"/>
  <c r="I16" i="28"/>
  <c r="I15" i="28"/>
  <c r="I14" i="28"/>
  <c r="I31" i="28"/>
  <c r="J31" i="28" s="1"/>
  <c r="I19" i="28"/>
  <c r="L17" i="28"/>
  <c r="L16" i="28"/>
  <c r="L15" i="28"/>
  <c r="L14" i="28"/>
  <c r="L31" i="28"/>
  <c r="M31" i="28" s="1"/>
  <c r="L19" i="28"/>
  <c r="F31" i="28" l="1"/>
  <c r="G31" i="28" s="1"/>
  <c r="I32" i="28"/>
  <c r="J32" i="28" s="1"/>
  <c r="J33" i="28" s="1"/>
  <c r="J37" i="28" s="1"/>
  <c r="F17" i="28"/>
  <c r="F14" i="28"/>
  <c r="F19" i="28"/>
  <c r="F15" i="28"/>
  <c r="L32" i="28"/>
  <c r="C32" i="28"/>
  <c r="D31" i="28"/>
  <c r="J44" i="28" l="1"/>
  <c r="J45" i="28" s="1"/>
  <c r="J43" i="28" s="1"/>
  <c r="N31" i="28"/>
  <c r="I33" i="28"/>
  <c r="F32" i="28"/>
  <c r="F33" i="28" s="1"/>
  <c r="L33" i="28"/>
  <c r="M32" i="28"/>
  <c r="M33" i="28" s="1"/>
  <c r="M37" i="28" s="1"/>
  <c r="C33" i="28"/>
  <c r="D32" i="28"/>
  <c r="D33" i="28" s="1"/>
  <c r="D37" i="28" s="1"/>
  <c r="N32" i="28" l="1"/>
  <c r="M44" i="28"/>
  <c r="M45" i="28" s="1"/>
  <c r="M43" i="28" s="1"/>
  <c r="G32" i="28"/>
  <c r="G33" i="28" s="1"/>
  <c r="G37" i="28" s="1"/>
  <c r="N33" i="28"/>
  <c r="D44" i="28"/>
  <c r="G44" i="28" l="1"/>
  <c r="G45" i="28" s="1"/>
  <c r="G43" i="28" s="1"/>
  <c r="N37" i="28"/>
  <c r="D45" i="28"/>
  <c r="N45" i="28" l="1"/>
  <c r="N44" i="28"/>
  <c r="D43" i="28"/>
  <c r="N43" i="28" s="1"/>
  <c r="F63" i="22"/>
  <c r="F64" i="22"/>
  <c r="F62" i="22"/>
  <c r="F61" i="22"/>
  <c r="E64" i="22"/>
  <c r="E63" i="22"/>
  <c r="E62" i="22"/>
  <c r="E61" i="22"/>
  <c r="D56" i="22"/>
  <c r="E56" i="22" s="1"/>
  <c r="D55" i="22"/>
  <c r="E55" i="22" s="1"/>
  <c r="D53" i="22"/>
  <c r="E53" i="22" s="1"/>
  <c r="F82" i="22"/>
  <c r="L18" i="1"/>
  <c r="L17" i="1"/>
  <c r="O16" i="1"/>
  <c r="L16" i="1"/>
  <c r="O13" i="1"/>
  <c r="L13" i="1"/>
  <c r="O12" i="1"/>
  <c r="L12" i="1"/>
  <c r="O11" i="1"/>
  <c r="L11" i="1"/>
  <c r="O10" i="1"/>
  <c r="L10" i="1"/>
  <c r="O9" i="1"/>
  <c r="N8" i="1"/>
  <c r="M8" i="1"/>
  <c r="K8" i="1"/>
  <c r="J8" i="1"/>
  <c r="O7" i="1"/>
  <c r="L7" i="1"/>
  <c r="O6" i="1"/>
  <c r="L6" i="1"/>
  <c r="O5" i="1"/>
  <c r="L5" i="1"/>
  <c r="O8" i="1" l="1"/>
  <c r="L8" i="1"/>
  <c r="O45" i="27" l="1"/>
  <c r="C24" i="27"/>
  <c r="F24" i="27" s="1"/>
  <c r="I24" i="27" s="1"/>
  <c r="L24" i="27" s="1"/>
  <c r="C23" i="27"/>
  <c r="F23" i="27" s="1"/>
  <c r="I23" i="27" s="1"/>
  <c r="L23" i="27" s="1"/>
  <c r="C22" i="27"/>
  <c r="F22" i="27" s="1"/>
  <c r="I22" i="27" s="1"/>
  <c r="L22" i="27" s="1"/>
  <c r="K12" i="27"/>
  <c r="H12" i="27"/>
  <c r="E12" i="27"/>
  <c r="B12" i="27"/>
  <c r="L11" i="27"/>
  <c r="I11" i="27"/>
  <c r="F11" i="27"/>
  <c r="C11" i="27"/>
  <c r="C12" i="27" l="1"/>
  <c r="C31" i="27" s="1"/>
  <c r="D31" i="27" s="1"/>
  <c r="F12" i="27"/>
  <c r="F16" i="27" s="1"/>
  <c r="I12" i="27"/>
  <c r="I17" i="27" s="1"/>
  <c r="L12" i="27"/>
  <c r="L31" i="27" s="1"/>
  <c r="M31" i="27" s="1"/>
  <c r="F19" i="27"/>
  <c r="F14" i="27"/>
  <c r="F31" i="27"/>
  <c r="G31" i="27" s="1"/>
  <c r="F17" i="27"/>
  <c r="L19" i="27"/>
  <c r="C19" i="27"/>
  <c r="I16" i="27"/>
  <c r="H82" i="22"/>
  <c r="H84" i="22"/>
  <c r="H85" i="22"/>
  <c r="C17" i="27" l="1"/>
  <c r="C15" i="27"/>
  <c r="C14" i="27"/>
  <c r="L14" i="27"/>
  <c r="L15" i="27"/>
  <c r="I14" i="27"/>
  <c r="I31" i="27"/>
  <c r="J31" i="27" s="1"/>
  <c r="F15" i="27"/>
  <c r="F32" i="27" s="1"/>
  <c r="L16" i="27"/>
  <c r="C16" i="27"/>
  <c r="L17" i="27"/>
  <c r="I15" i="27"/>
  <c r="I19" i="27"/>
  <c r="N31" i="27"/>
  <c r="H108" i="22"/>
  <c r="H107" i="22"/>
  <c r="F106" i="22"/>
  <c r="H106" i="22" s="1"/>
  <c r="F105" i="22"/>
  <c r="H105" i="22" s="1"/>
  <c r="G100" i="22"/>
  <c r="H100" i="22" s="1"/>
  <c r="G99" i="22"/>
  <c r="H99" i="22" s="1"/>
  <c r="G97" i="22"/>
  <c r="H97" i="22" s="1"/>
  <c r="P37" i="23"/>
  <c r="P36" i="23"/>
  <c r="P35" i="23"/>
  <c r="P33" i="23"/>
  <c r="P32" i="23"/>
  <c r="P31" i="23"/>
  <c r="P30" i="23"/>
  <c r="P24" i="23"/>
  <c r="P23" i="23"/>
  <c r="P22" i="23"/>
  <c r="P20" i="23"/>
  <c r="P19" i="23"/>
  <c r="P18" i="23"/>
  <c r="P17" i="23"/>
  <c r="P11" i="23"/>
  <c r="P10" i="23"/>
  <c r="P9" i="23"/>
  <c r="P7" i="23"/>
  <c r="P6" i="23"/>
  <c r="P5" i="23"/>
  <c r="P4" i="23"/>
  <c r="C32" i="27" l="1"/>
  <c r="L32" i="27"/>
  <c r="L33" i="27" s="1"/>
  <c r="I32" i="27"/>
  <c r="I33" i="27" s="1"/>
  <c r="M32" i="27"/>
  <c r="M33" i="27" s="1"/>
  <c r="M37" i="27" s="1"/>
  <c r="M44" i="27" s="1"/>
  <c r="C33" i="27"/>
  <c r="D32" i="27"/>
  <c r="D33" i="27" s="1"/>
  <c r="D37" i="27" s="1"/>
  <c r="N32" i="27"/>
  <c r="J32" i="27"/>
  <c r="J33" i="27" s="1"/>
  <c r="J37" i="27" s="1"/>
  <c r="J44" i="27" s="1"/>
  <c r="F33" i="27"/>
  <c r="G32" i="27"/>
  <c r="G33" i="27" s="1"/>
  <c r="G37" i="27" s="1"/>
  <c r="G44" i="27" s="1"/>
  <c r="D44" i="27" l="1"/>
  <c r="D45" i="27" s="1"/>
  <c r="N33" i="27"/>
  <c r="N37" i="27"/>
  <c r="T13" i="13"/>
  <c r="Q13" i="13"/>
  <c r="N13" i="13"/>
  <c r="K13" i="13"/>
  <c r="H13" i="13"/>
  <c r="E13" i="13"/>
  <c r="B13" i="13"/>
  <c r="Q13" i="14"/>
  <c r="N13" i="14"/>
  <c r="K13" i="14"/>
  <c r="H13" i="14"/>
  <c r="E13" i="14"/>
  <c r="B13" i="14"/>
  <c r="M45" i="27" l="1"/>
  <c r="M43" i="27" s="1"/>
  <c r="J45" i="27"/>
  <c r="J43" i="27" s="1"/>
  <c r="G45" i="27"/>
  <c r="G43" i="27" s="1"/>
  <c r="N44" i="27"/>
  <c r="E11" i="21"/>
  <c r="H11" i="21" s="1"/>
  <c r="K11" i="21" s="1"/>
  <c r="N45" i="27" l="1"/>
  <c r="D43" i="27"/>
  <c r="N43" i="27" s="1"/>
  <c r="B13" i="2"/>
  <c r="T12" i="13"/>
  <c r="Q12" i="13"/>
  <c r="N12" i="13"/>
  <c r="K12" i="13"/>
  <c r="H12" i="13"/>
  <c r="E12" i="13"/>
  <c r="B12" i="26"/>
  <c r="B12" i="18"/>
  <c r="U11" i="13"/>
  <c r="R11" i="13"/>
  <c r="O11" i="13"/>
  <c r="L11" i="13"/>
  <c r="I11" i="13"/>
  <c r="F11" i="13"/>
  <c r="C11" i="13"/>
  <c r="U11" i="14"/>
  <c r="T11" i="14"/>
  <c r="R11" i="14"/>
  <c r="Q11" i="14"/>
  <c r="O11" i="14"/>
  <c r="N11" i="14"/>
  <c r="L11" i="14"/>
  <c r="K11" i="14"/>
  <c r="I11" i="14"/>
  <c r="H11" i="14"/>
  <c r="F11" i="14"/>
  <c r="E11" i="14"/>
  <c r="C11" i="14"/>
  <c r="N11" i="2"/>
  <c r="D11" i="13" l="1"/>
  <c r="D11" i="14"/>
  <c r="Q11" i="2"/>
  <c r="E11" i="2"/>
  <c r="T11" i="2"/>
  <c r="H11" i="2"/>
  <c r="K11" i="2"/>
  <c r="B12" i="15"/>
  <c r="C13" i="15" s="1"/>
  <c r="X51" i="26" l="1"/>
  <c r="W45" i="26"/>
  <c r="C30" i="26"/>
  <c r="F30" i="26" s="1"/>
  <c r="I30" i="26" s="1"/>
  <c r="L30" i="26" s="1"/>
  <c r="O30" i="26" s="1"/>
  <c r="R30" i="26" s="1"/>
  <c r="U30" i="26" s="1"/>
  <c r="U29" i="26"/>
  <c r="C29" i="26"/>
  <c r="F29" i="26" s="1"/>
  <c r="I29" i="26" s="1"/>
  <c r="L29" i="26" s="1"/>
  <c r="O29" i="26" s="1"/>
  <c r="R29" i="26" s="1"/>
  <c r="C28" i="26"/>
  <c r="F28" i="26" s="1"/>
  <c r="I28" i="26" s="1"/>
  <c r="L28" i="26" s="1"/>
  <c r="O28" i="26" s="1"/>
  <c r="R28" i="26" s="1"/>
  <c r="U28" i="26" s="1"/>
  <c r="T12" i="26"/>
  <c r="Q12" i="26"/>
  <c r="N12" i="26"/>
  <c r="K12" i="26"/>
  <c r="H12" i="26"/>
  <c r="E12" i="26"/>
  <c r="D11" i="26"/>
  <c r="D4" i="26"/>
  <c r="R24" i="26" s="1"/>
  <c r="I24" i="26" l="1"/>
  <c r="U24" i="26"/>
  <c r="F12" i="26"/>
  <c r="C13" i="26"/>
  <c r="C25" i="26" s="1"/>
  <c r="C12" i="26"/>
  <c r="C18" i="26" s="1"/>
  <c r="F13" i="26"/>
  <c r="F25" i="26" s="1"/>
  <c r="L24" i="26"/>
  <c r="C23" i="26"/>
  <c r="C24" i="26"/>
  <c r="O24" i="26"/>
  <c r="F24" i="26"/>
  <c r="X50" i="13"/>
  <c r="W44" i="13"/>
  <c r="C29" i="13"/>
  <c r="F29" i="13" s="1"/>
  <c r="I29" i="13" s="1"/>
  <c r="L29" i="13" s="1"/>
  <c r="O29" i="13" s="1"/>
  <c r="R29" i="13" s="1"/>
  <c r="U29" i="13" s="1"/>
  <c r="C28" i="13"/>
  <c r="F28" i="13" s="1"/>
  <c r="I28" i="13" s="1"/>
  <c r="L28" i="13" s="1"/>
  <c r="O28" i="13" s="1"/>
  <c r="R28" i="13" s="1"/>
  <c r="U28" i="13" s="1"/>
  <c r="C27" i="13"/>
  <c r="F27" i="13" s="1"/>
  <c r="I27" i="13" s="1"/>
  <c r="L27" i="13" s="1"/>
  <c r="O27" i="13" s="1"/>
  <c r="R27" i="13" s="1"/>
  <c r="U27" i="13" s="1"/>
  <c r="U12" i="13"/>
  <c r="U13" i="13" s="1"/>
  <c r="U21" i="13" s="1"/>
  <c r="R12" i="13"/>
  <c r="R13" i="13" s="1"/>
  <c r="O12" i="13"/>
  <c r="O13" i="13" s="1"/>
  <c r="L12" i="13"/>
  <c r="L13" i="13" s="1"/>
  <c r="I12" i="13"/>
  <c r="I13" i="13" s="1"/>
  <c r="F12" i="13"/>
  <c r="F13" i="13" s="1"/>
  <c r="C12" i="13"/>
  <c r="B12" i="13"/>
  <c r="X50" i="14"/>
  <c r="W44" i="14"/>
  <c r="C29" i="14"/>
  <c r="F29" i="14" s="1"/>
  <c r="I29" i="14" s="1"/>
  <c r="L29" i="14" s="1"/>
  <c r="O29" i="14" s="1"/>
  <c r="R29" i="14" s="1"/>
  <c r="U29" i="14" s="1"/>
  <c r="C28" i="14"/>
  <c r="F28" i="14" s="1"/>
  <c r="I28" i="14" s="1"/>
  <c r="L28" i="14" s="1"/>
  <c r="O28" i="14" s="1"/>
  <c r="R28" i="14" s="1"/>
  <c r="U28" i="14" s="1"/>
  <c r="C27" i="14"/>
  <c r="F27" i="14" s="1"/>
  <c r="I27" i="14" s="1"/>
  <c r="L27" i="14" s="1"/>
  <c r="O27" i="14" s="1"/>
  <c r="R27" i="14" s="1"/>
  <c r="U27" i="14" s="1"/>
  <c r="T13" i="14"/>
  <c r="U12" i="14"/>
  <c r="T12" i="14"/>
  <c r="R12" i="14"/>
  <c r="R13" i="14" s="1"/>
  <c r="Q12" i="14"/>
  <c r="O12" i="14"/>
  <c r="N12" i="14"/>
  <c r="L12" i="14"/>
  <c r="L13" i="14" s="1"/>
  <c r="K12" i="14"/>
  <c r="I12" i="14"/>
  <c r="I13" i="14" s="1"/>
  <c r="H12" i="14"/>
  <c r="F12" i="14"/>
  <c r="F13" i="14" s="1"/>
  <c r="E12" i="14"/>
  <c r="C12" i="14"/>
  <c r="B12" i="14"/>
  <c r="F14" i="13" l="1"/>
  <c r="R14" i="13"/>
  <c r="U13" i="14"/>
  <c r="U36" i="14" s="1"/>
  <c r="V36" i="14" s="1"/>
  <c r="O14" i="14"/>
  <c r="O13" i="14"/>
  <c r="O18" i="14" s="1"/>
  <c r="L14" i="13"/>
  <c r="C14" i="13"/>
  <c r="C13" i="13"/>
  <c r="C19" i="13" s="1"/>
  <c r="C14" i="14"/>
  <c r="C13" i="14"/>
  <c r="C19" i="14" s="1"/>
  <c r="U14" i="13"/>
  <c r="I14" i="14"/>
  <c r="U14" i="14"/>
  <c r="O14" i="13"/>
  <c r="I14" i="13"/>
  <c r="F14" i="14"/>
  <c r="L14" i="14"/>
  <c r="R14" i="14"/>
  <c r="I36" i="14"/>
  <c r="C17" i="26"/>
  <c r="F37" i="26"/>
  <c r="G37" i="26" s="1"/>
  <c r="F16" i="26"/>
  <c r="F20" i="26"/>
  <c r="F18" i="26"/>
  <c r="C19" i="26"/>
  <c r="F23" i="26"/>
  <c r="F17" i="26"/>
  <c r="I12" i="26"/>
  <c r="I13" i="26"/>
  <c r="F19" i="26"/>
  <c r="C20" i="26"/>
  <c r="C16" i="26"/>
  <c r="C37" i="26"/>
  <c r="D37" i="26" s="1"/>
  <c r="U29" i="18"/>
  <c r="T12" i="18"/>
  <c r="U12" i="2"/>
  <c r="R12" i="2"/>
  <c r="O12" i="2"/>
  <c r="L12" i="2"/>
  <c r="I12" i="2"/>
  <c r="F12" i="2"/>
  <c r="C12" i="2"/>
  <c r="U11" i="2"/>
  <c r="R11" i="2"/>
  <c r="O11" i="2"/>
  <c r="L11" i="2"/>
  <c r="I11" i="2"/>
  <c r="F11" i="2"/>
  <c r="U29" i="15"/>
  <c r="T12" i="15"/>
  <c r="U13" i="15" s="1"/>
  <c r="U25" i="15" s="1"/>
  <c r="T12" i="2"/>
  <c r="Q12" i="2"/>
  <c r="N12" i="2"/>
  <c r="K12" i="2"/>
  <c r="H12" i="2"/>
  <c r="E12" i="2"/>
  <c r="C11" i="2"/>
  <c r="X50" i="2"/>
  <c r="W44" i="2"/>
  <c r="C29" i="2"/>
  <c r="F29" i="2" s="1"/>
  <c r="I29" i="2" s="1"/>
  <c r="L29" i="2" s="1"/>
  <c r="O29" i="2" s="1"/>
  <c r="R29" i="2" s="1"/>
  <c r="U29" i="2" s="1"/>
  <c r="C28" i="2"/>
  <c r="F28" i="2" s="1"/>
  <c r="I28" i="2" s="1"/>
  <c r="L28" i="2" s="1"/>
  <c r="O28" i="2" s="1"/>
  <c r="R28" i="2" s="1"/>
  <c r="U28" i="2" s="1"/>
  <c r="C27" i="2"/>
  <c r="T13" i="2"/>
  <c r="Q13" i="2"/>
  <c r="N13" i="2"/>
  <c r="K13" i="2"/>
  <c r="H13" i="2"/>
  <c r="E13" i="2"/>
  <c r="X51" i="18"/>
  <c r="W45" i="18"/>
  <c r="C30" i="18"/>
  <c r="F30" i="18" s="1"/>
  <c r="I30" i="18" s="1"/>
  <c r="L30" i="18" s="1"/>
  <c r="O30" i="18" s="1"/>
  <c r="R30" i="18" s="1"/>
  <c r="U30" i="18" s="1"/>
  <c r="C29" i="18"/>
  <c r="F29" i="18" s="1"/>
  <c r="I29" i="18" s="1"/>
  <c r="L29" i="18" s="1"/>
  <c r="O29" i="18" s="1"/>
  <c r="R29" i="18" s="1"/>
  <c r="C28" i="18"/>
  <c r="F28" i="18" s="1"/>
  <c r="I28" i="18" s="1"/>
  <c r="L28" i="18" s="1"/>
  <c r="O28" i="18" s="1"/>
  <c r="R28" i="18" s="1"/>
  <c r="U28" i="18" s="1"/>
  <c r="Q12" i="18"/>
  <c r="N12" i="18"/>
  <c r="K12" i="18"/>
  <c r="H12" i="18"/>
  <c r="E12" i="18"/>
  <c r="F13" i="18" s="1"/>
  <c r="F25" i="18" s="1"/>
  <c r="C12" i="18"/>
  <c r="C13" i="18"/>
  <c r="C25" i="18" s="1"/>
  <c r="D11" i="18"/>
  <c r="D4" i="18"/>
  <c r="O24" i="18" s="1"/>
  <c r="D4" i="15"/>
  <c r="W45" i="15"/>
  <c r="C12" i="15"/>
  <c r="U24" i="14" l="1"/>
  <c r="U17" i="14"/>
  <c r="U21" i="14"/>
  <c r="U18" i="14"/>
  <c r="U13" i="2"/>
  <c r="F27" i="2"/>
  <c r="I27" i="2" s="1"/>
  <c r="L27" i="2" s="1"/>
  <c r="O27" i="2" s="1"/>
  <c r="R27" i="2" s="1"/>
  <c r="U27" i="2" s="1"/>
  <c r="C13" i="2"/>
  <c r="C16" i="2" s="1"/>
  <c r="L13" i="2"/>
  <c r="U19" i="14"/>
  <c r="F13" i="2"/>
  <c r="R13" i="2"/>
  <c r="R21" i="2" s="1"/>
  <c r="O13" i="2"/>
  <c r="C20" i="13"/>
  <c r="C36" i="13"/>
  <c r="D36" i="13" s="1"/>
  <c r="C18" i="13"/>
  <c r="C17" i="13"/>
  <c r="C21" i="13"/>
  <c r="I13" i="2"/>
  <c r="I18" i="14"/>
  <c r="I14" i="2"/>
  <c r="U14" i="2"/>
  <c r="R21" i="14"/>
  <c r="U20" i="14"/>
  <c r="C14" i="2"/>
  <c r="L14" i="2"/>
  <c r="O14" i="2"/>
  <c r="F14" i="2"/>
  <c r="R14" i="2"/>
  <c r="I21" i="14"/>
  <c r="I17" i="14"/>
  <c r="I19" i="14"/>
  <c r="I20" i="14"/>
  <c r="L20" i="13"/>
  <c r="F19" i="13"/>
  <c r="I36" i="13"/>
  <c r="J36" i="13" s="1"/>
  <c r="R20" i="13"/>
  <c r="F18" i="13"/>
  <c r="L21" i="13"/>
  <c r="F17" i="13"/>
  <c r="L19" i="13"/>
  <c r="F36" i="13"/>
  <c r="G36" i="13" s="1"/>
  <c r="R19" i="13"/>
  <c r="O18" i="13"/>
  <c r="O17" i="13"/>
  <c r="O20" i="13"/>
  <c r="L17" i="13"/>
  <c r="R36" i="13"/>
  <c r="S36" i="13" s="1"/>
  <c r="O36" i="13"/>
  <c r="P36" i="13" s="1"/>
  <c r="O19" i="13"/>
  <c r="L18" i="13"/>
  <c r="R17" i="13"/>
  <c r="F21" i="13"/>
  <c r="L36" i="13"/>
  <c r="M36" i="13" s="1"/>
  <c r="O21" i="13"/>
  <c r="F20" i="13"/>
  <c r="R21" i="13"/>
  <c r="R18" i="13"/>
  <c r="O36" i="14"/>
  <c r="P36" i="14" s="1"/>
  <c r="O19" i="14"/>
  <c r="F36" i="14"/>
  <c r="G36" i="14" s="1"/>
  <c r="F19" i="14"/>
  <c r="F21" i="14"/>
  <c r="O21" i="14"/>
  <c r="O17" i="14"/>
  <c r="L19" i="14"/>
  <c r="O20" i="14"/>
  <c r="L36" i="14"/>
  <c r="M36" i="14" s="1"/>
  <c r="L18" i="14"/>
  <c r="R36" i="14"/>
  <c r="S36" i="14" s="1"/>
  <c r="L20" i="14"/>
  <c r="F17" i="14"/>
  <c r="U20" i="13"/>
  <c r="U36" i="13"/>
  <c r="V36" i="13" s="1"/>
  <c r="U24" i="13"/>
  <c r="U12" i="15"/>
  <c r="U20" i="15" s="1"/>
  <c r="U17" i="13"/>
  <c r="U19" i="13"/>
  <c r="U18" i="13"/>
  <c r="R17" i="14"/>
  <c r="F18" i="14"/>
  <c r="L21" i="14"/>
  <c r="R18" i="14"/>
  <c r="I16" i="26"/>
  <c r="I20" i="26"/>
  <c r="I37" i="26"/>
  <c r="I19" i="26"/>
  <c r="I18" i="26"/>
  <c r="I17" i="26"/>
  <c r="I25" i="26"/>
  <c r="I23" i="26"/>
  <c r="L12" i="26"/>
  <c r="L13" i="26"/>
  <c r="R19" i="14"/>
  <c r="R24" i="14"/>
  <c r="R20" i="14"/>
  <c r="F20" i="14"/>
  <c r="C20" i="14"/>
  <c r="L17" i="14"/>
  <c r="C18" i="14"/>
  <c r="C24" i="14"/>
  <c r="I18" i="13"/>
  <c r="R24" i="18"/>
  <c r="U24" i="18"/>
  <c r="F24" i="18"/>
  <c r="F23" i="18"/>
  <c r="I24" i="18"/>
  <c r="I20" i="13"/>
  <c r="I19" i="13"/>
  <c r="U23" i="15"/>
  <c r="I21" i="13"/>
  <c r="I17" i="13"/>
  <c r="C21" i="14"/>
  <c r="C36" i="14"/>
  <c r="D36" i="14" s="1"/>
  <c r="C17" i="14"/>
  <c r="C24" i="13"/>
  <c r="F24" i="13"/>
  <c r="O24" i="13"/>
  <c r="L24" i="14"/>
  <c r="J36" i="14"/>
  <c r="O24" i="14"/>
  <c r="I24" i="14"/>
  <c r="D11" i="2"/>
  <c r="C18" i="18"/>
  <c r="C17" i="18"/>
  <c r="C16" i="18"/>
  <c r="C20" i="18"/>
  <c r="C19" i="18"/>
  <c r="C37" i="18"/>
  <c r="D37" i="18" s="1"/>
  <c r="F12" i="18"/>
  <c r="L24" i="18"/>
  <c r="C23" i="18"/>
  <c r="C24" i="18"/>
  <c r="C25" i="15"/>
  <c r="F16" i="2" l="1"/>
  <c r="F36" i="2"/>
  <c r="G36" i="2" s="1"/>
  <c r="U21" i="2"/>
  <c r="F24" i="2"/>
  <c r="I24" i="2"/>
  <c r="O24" i="2"/>
  <c r="U24" i="2"/>
  <c r="L24" i="2"/>
  <c r="R24" i="2"/>
  <c r="L24" i="13"/>
  <c r="F24" i="14"/>
  <c r="R24" i="13"/>
  <c r="W36" i="13"/>
  <c r="I24" i="13"/>
  <c r="U16" i="15"/>
  <c r="F21" i="2"/>
  <c r="O13" i="26"/>
  <c r="O12" i="26"/>
  <c r="L23" i="26"/>
  <c r="L25" i="26"/>
  <c r="J37" i="26"/>
  <c r="L37" i="26"/>
  <c r="M37" i="26" s="1"/>
  <c r="L16" i="26"/>
  <c r="L17" i="26"/>
  <c r="L19" i="26"/>
  <c r="L18" i="26"/>
  <c r="L20" i="26"/>
  <c r="W36" i="14"/>
  <c r="U17" i="2"/>
  <c r="C36" i="2"/>
  <c r="D36" i="2" s="1"/>
  <c r="C24" i="2"/>
  <c r="U19" i="2"/>
  <c r="C21" i="2"/>
  <c r="U18" i="2"/>
  <c r="U20" i="2"/>
  <c r="U36" i="2"/>
  <c r="V36" i="2" s="1"/>
  <c r="C17" i="2"/>
  <c r="C18" i="2"/>
  <c r="C19" i="2"/>
  <c r="C20" i="2"/>
  <c r="F20" i="2"/>
  <c r="F19" i="2"/>
  <c r="F18" i="2"/>
  <c r="F17" i="2"/>
  <c r="F19" i="18"/>
  <c r="F37" i="18"/>
  <c r="G37" i="18" s="1"/>
  <c r="F18" i="18"/>
  <c r="F16" i="18"/>
  <c r="F17" i="18"/>
  <c r="F20" i="18"/>
  <c r="I13" i="18"/>
  <c r="I12" i="18"/>
  <c r="D11" i="15"/>
  <c r="I23" i="18" l="1"/>
  <c r="I25" i="18"/>
  <c r="R12" i="26"/>
  <c r="R13" i="26"/>
  <c r="O20" i="26"/>
  <c r="O16" i="26"/>
  <c r="O37" i="26"/>
  <c r="P37" i="26" s="1"/>
  <c r="O17" i="26"/>
  <c r="O19" i="26"/>
  <c r="O18" i="26"/>
  <c r="O25" i="26"/>
  <c r="O23" i="26"/>
  <c r="I18" i="2"/>
  <c r="I36" i="2"/>
  <c r="I19" i="2"/>
  <c r="I17" i="2"/>
  <c r="I20" i="2"/>
  <c r="I21" i="2"/>
  <c r="L12" i="18"/>
  <c r="L13" i="18"/>
  <c r="I18" i="18"/>
  <c r="I17" i="18"/>
  <c r="I16" i="18"/>
  <c r="I37" i="18"/>
  <c r="I19" i="18"/>
  <c r="I20" i="18"/>
  <c r="L23" i="18" l="1"/>
  <c r="L25" i="18"/>
  <c r="R25" i="26"/>
  <c r="R23" i="26"/>
  <c r="U13" i="26"/>
  <c r="U12" i="26"/>
  <c r="R37" i="26"/>
  <c r="R16" i="26"/>
  <c r="R20" i="26"/>
  <c r="R19" i="26"/>
  <c r="R18" i="26"/>
  <c r="R17" i="26"/>
  <c r="J36" i="2"/>
  <c r="L36" i="2"/>
  <c r="M36" i="2" s="1"/>
  <c r="L17" i="2"/>
  <c r="L20" i="2"/>
  <c r="L19" i="2"/>
  <c r="L21" i="2"/>
  <c r="L18" i="2"/>
  <c r="L37" i="18"/>
  <c r="M37" i="18" s="1"/>
  <c r="L16" i="18"/>
  <c r="L20" i="18"/>
  <c r="L18" i="18"/>
  <c r="L19" i="18"/>
  <c r="L17" i="18"/>
  <c r="J37" i="18"/>
  <c r="O13" i="18"/>
  <c r="O12" i="18"/>
  <c r="O23" i="18" l="1"/>
  <c r="O25" i="18"/>
  <c r="U16" i="26"/>
  <c r="U20" i="26"/>
  <c r="U19" i="26"/>
  <c r="U37" i="26"/>
  <c r="V37" i="26" s="1"/>
  <c r="U18" i="26"/>
  <c r="U17" i="26"/>
  <c r="S37" i="26"/>
  <c r="U25" i="26"/>
  <c r="U23" i="26"/>
  <c r="U13" i="18"/>
  <c r="U23" i="18" s="1"/>
  <c r="U12" i="18"/>
  <c r="O17" i="2"/>
  <c r="O36" i="2"/>
  <c r="P36" i="2" s="1"/>
  <c r="O20" i="2"/>
  <c r="O19" i="2"/>
  <c r="O21" i="2"/>
  <c r="O18" i="2"/>
  <c r="O18" i="18"/>
  <c r="O17" i="18"/>
  <c r="O16" i="18"/>
  <c r="O37" i="18"/>
  <c r="P37" i="18" s="1"/>
  <c r="O19" i="18"/>
  <c r="O20" i="18"/>
  <c r="R13" i="18"/>
  <c r="R12" i="18"/>
  <c r="R23" i="18" l="1"/>
  <c r="R25" i="18"/>
  <c r="W37" i="26"/>
  <c r="U18" i="18"/>
  <c r="U17" i="18"/>
  <c r="U19" i="18"/>
  <c r="U37" i="18"/>
  <c r="V37" i="18" s="1"/>
  <c r="U16" i="18"/>
  <c r="U20" i="18"/>
  <c r="U25" i="18"/>
  <c r="R20" i="2"/>
  <c r="R36" i="2"/>
  <c r="R19" i="2"/>
  <c r="R18" i="2"/>
  <c r="R17" i="2"/>
  <c r="R37" i="18"/>
  <c r="R19" i="18"/>
  <c r="R16" i="18"/>
  <c r="R17" i="18"/>
  <c r="R18" i="18"/>
  <c r="R20" i="18"/>
  <c r="H77" i="22"/>
  <c r="H76" i="22"/>
  <c r="H74" i="22"/>
  <c r="G77" i="22"/>
  <c r="G76" i="22"/>
  <c r="G74" i="22"/>
  <c r="S36" i="2" l="1"/>
  <c r="W36" i="2"/>
  <c r="S37" i="18"/>
  <c r="W37" i="18"/>
  <c r="U24" i="15" l="1"/>
  <c r="H131" i="22" l="1"/>
  <c r="F131" i="22"/>
  <c r="H130" i="22"/>
  <c r="F130" i="22"/>
  <c r="G130" i="22" s="1"/>
  <c r="F125" i="22"/>
  <c r="G125" i="22" s="1"/>
  <c r="H125" i="22" s="1"/>
  <c r="F124" i="22"/>
  <c r="G124" i="22" s="1"/>
  <c r="H124" i="22" s="1"/>
  <c r="F122" i="22"/>
  <c r="G122" i="22" s="1"/>
  <c r="H122" i="22" s="1"/>
  <c r="G37" i="23" l="1"/>
  <c r="G36" i="23"/>
  <c r="G35" i="23"/>
  <c r="G33" i="23"/>
  <c r="G32" i="23"/>
  <c r="G31" i="23"/>
  <c r="G30" i="23"/>
  <c r="G24" i="23"/>
  <c r="G23" i="23"/>
  <c r="G22" i="23"/>
  <c r="G20" i="23"/>
  <c r="G19" i="23"/>
  <c r="G18" i="23"/>
  <c r="G17" i="23"/>
  <c r="G11" i="23"/>
  <c r="G10" i="23"/>
  <c r="G9" i="23"/>
  <c r="G5" i="23"/>
  <c r="G6" i="23"/>
  <c r="G7" i="23"/>
  <c r="G4" i="23"/>
  <c r="AC22" i="26" l="1"/>
  <c r="AC22" i="18"/>
  <c r="AC22" i="15"/>
  <c r="AC21" i="26"/>
  <c r="AC20" i="26"/>
  <c r="AC21" i="18"/>
  <c r="AC20" i="18"/>
  <c r="AC20" i="15"/>
  <c r="AC21" i="15"/>
  <c r="AC19" i="26"/>
  <c r="AC19" i="18"/>
  <c r="AC19" i="15"/>
  <c r="AC18" i="26"/>
  <c r="B24" i="26" s="1"/>
  <c r="AC18" i="18"/>
  <c r="B24" i="18" s="1"/>
  <c r="AC18" i="15"/>
  <c r="B24" i="15" s="1"/>
  <c r="AC15" i="26"/>
  <c r="AC15" i="18"/>
  <c r="AC15" i="15"/>
  <c r="AC14" i="26"/>
  <c r="AC13" i="26"/>
  <c r="AC14" i="18"/>
  <c r="AC13" i="18"/>
  <c r="AC14" i="15"/>
  <c r="AC13" i="15"/>
  <c r="AC12" i="26"/>
  <c r="AC12" i="18"/>
  <c r="AC12" i="15"/>
  <c r="AC11" i="26"/>
  <c r="B23" i="26" s="1"/>
  <c r="AC11" i="18"/>
  <c r="B23" i="18" s="1"/>
  <c r="AC11" i="15"/>
  <c r="B23" i="15" s="1"/>
  <c r="T7" i="28"/>
  <c r="T7" i="27"/>
  <c r="AC7" i="26"/>
  <c r="AC22" i="13"/>
  <c r="AC22" i="14"/>
  <c r="AC7" i="18"/>
  <c r="AC22" i="2"/>
  <c r="AC7" i="15"/>
  <c r="T7" i="21"/>
  <c r="T7" i="19"/>
  <c r="T6" i="28"/>
  <c r="T5" i="28"/>
  <c r="T6" i="27"/>
  <c r="T5" i="27"/>
  <c r="AC6" i="26"/>
  <c r="AC5" i="26"/>
  <c r="AC20" i="13"/>
  <c r="AC20" i="14"/>
  <c r="AC21" i="2"/>
  <c r="AC21" i="13"/>
  <c r="AC21" i="14"/>
  <c r="AC20" i="2"/>
  <c r="AC6" i="18"/>
  <c r="AC5" i="18"/>
  <c r="T6" i="21"/>
  <c r="T5" i="19"/>
  <c r="AC6" i="15"/>
  <c r="T5" i="21"/>
  <c r="AC5" i="15"/>
  <c r="T6" i="19"/>
  <c r="T4" i="28"/>
  <c r="T4" i="27"/>
  <c r="AC4" i="26"/>
  <c r="AC19" i="13"/>
  <c r="AC19" i="14"/>
  <c r="AC19" i="2"/>
  <c r="AC4" i="18"/>
  <c r="AC4" i="15"/>
  <c r="T4" i="21"/>
  <c r="T4" i="19"/>
  <c r="T3" i="28"/>
  <c r="T3" i="27"/>
  <c r="AC3" i="26"/>
  <c r="B22" i="26" s="1"/>
  <c r="AC18" i="14"/>
  <c r="B23" i="14" s="1"/>
  <c r="AC18" i="13"/>
  <c r="B23" i="13" s="1"/>
  <c r="AC18" i="2"/>
  <c r="B23" i="2" s="1"/>
  <c r="AC3" i="18"/>
  <c r="B22" i="18" s="1"/>
  <c r="AC3" i="15"/>
  <c r="B22" i="15" s="1"/>
  <c r="U22" i="15" s="1"/>
  <c r="T3" i="19"/>
  <c r="T3" i="21"/>
  <c r="X51" i="15"/>
  <c r="C40" i="9"/>
  <c r="D40" i="9"/>
  <c r="E40" i="9"/>
  <c r="F40" i="9"/>
  <c r="G40" i="9"/>
  <c r="H40" i="9"/>
  <c r="B40" i="9"/>
  <c r="F23" i="2" l="1"/>
  <c r="U23" i="2"/>
  <c r="R23" i="2"/>
  <c r="C23" i="2"/>
  <c r="I23" i="2"/>
  <c r="L23" i="2"/>
  <c r="O23" i="2"/>
  <c r="U23" i="13"/>
  <c r="I23" i="13"/>
  <c r="F23" i="13"/>
  <c r="C23" i="13"/>
  <c r="L23" i="13"/>
  <c r="R23" i="13"/>
  <c r="O23" i="13"/>
  <c r="U23" i="14"/>
  <c r="L23" i="14"/>
  <c r="O23" i="14"/>
  <c r="R23" i="14"/>
  <c r="F23" i="14"/>
  <c r="I23" i="14"/>
  <c r="C23" i="14"/>
  <c r="F22" i="18"/>
  <c r="C22" i="18"/>
  <c r="I22" i="18"/>
  <c r="L22" i="18"/>
  <c r="O22" i="18"/>
  <c r="U22" i="18"/>
  <c r="R22" i="18"/>
  <c r="C22" i="26"/>
  <c r="F22" i="26"/>
  <c r="I22" i="26"/>
  <c r="L22" i="26"/>
  <c r="O22" i="26"/>
  <c r="R22" i="26"/>
  <c r="U22" i="26"/>
  <c r="O45" i="21"/>
  <c r="O45" i="19"/>
  <c r="A47" i="9" l="1"/>
  <c r="C11" i="21"/>
  <c r="B12" i="21"/>
  <c r="Q12" i="15"/>
  <c r="N12" i="15"/>
  <c r="L11" i="19"/>
  <c r="K12" i="19"/>
  <c r="L11" i="21"/>
  <c r="K12" i="21"/>
  <c r="K12" i="15"/>
  <c r="I11" i="19"/>
  <c r="H12" i="19"/>
  <c r="I11" i="21"/>
  <c r="H12" i="21"/>
  <c r="H12" i="15"/>
  <c r="F11" i="19"/>
  <c r="E12" i="19"/>
  <c r="F11" i="21"/>
  <c r="E12" i="21"/>
  <c r="E12" i="15"/>
  <c r="C11" i="19"/>
  <c r="B12" i="19"/>
  <c r="U19" i="15"/>
  <c r="U18" i="15"/>
  <c r="U17" i="15"/>
  <c r="F83" i="22"/>
  <c r="H83" i="22" s="1"/>
  <c r="U15" i="15"/>
  <c r="C29" i="15"/>
  <c r="F29" i="15" s="1"/>
  <c r="I29" i="15" s="1"/>
  <c r="L29" i="15" s="1"/>
  <c r="O29" i="15" s="1"/>
  <c r="R29" i="15" s="1"/>
  <c r="C22" i="19"/>
  <c r="F22" i="19" s="1"/>
  <c r="I22" i="19" s="1"/>
  <c r="L22" i="19" s="1"/>
  <c r="C23" i="19"/>
  <c r="F23" i="19" s="1"/>
  <c r="I23" i="19" s="1"/>
  <c r="L23" i="19" s="1"/>
  <c r="C24" i="19"/>
  <c r="F24" i="19" s="1"/>
  <c r="I24" i="19" s="1"/>
  <c r="L24" i="19" s="1"/>
  <c r="C22" i="21"/>
  <c r="F22" i="21" s="1"/>
  <c r="I22" i="21" s="1"/>
  <c r="L22" i="21" s="1"/>
  <c r="C23" i="21"/>
  <c r="F23" i="21" s="1"/>
  <c r="I23" i="21" s="1"/>
  <c r="L23" i="21" s="1"/>
  <c r="C24" i="21"/>
  <c r="F24" i="21" s="1"/>
  <c r="I24" i="21" s="1"/>
  <c r="L24" i="21" s="1"/>
  <c r="D8" i="11"/>
  <c r="I26" i="9" s="1"/>
  <c r="J26" i="9" s="1"/>
  <c r="D20" i="11"/>
  <c r="I27" i="9" s="1"/>
  <c r="J27" i="9" s="1"/>
  <c r="D32" i="11"/>
  <c r="I28" i="9" s="1"/>
  <c r="J28" i="9" s="1"/>
  <c r="D41" i="11"/>
  <c r="I29" i="9" s="1"/>
  <c r="J29" i="9" s="1"/>
  <c r="C42" i="9" l="1"/>
  <c r="F43" i="9"/>
  <c r="L12" i="19"/>
  <c r="L15" i="19" s="1"/>
  <c r="F12" i="15"/>
  <c r="F20" i="15" s="1"/>
  <c r="F13" i="15"/>
  <c r="F25" i="15" s="1"/>
  <c r="I13" i="15"/>
  <c r="I25" i="15" s="1"/>
  <c r="I12" i="15"/>
  <c r="I20" i="15" s="1"/>
  <c r="L13" i="15"/>
  <c r="L25" i="15" s="1"/>
  <c r="L12" i="15"/>
  <c r="L20" i="15" s="1"/>
  <c r="O13" i="15"/>
  <c r="O25" i="15" s="1"/>
  <c r="O12" i="15"/>
  <c r="O20" i="15" s="1"/>
  <c r="R12" i="15"/>
  <c r="R20" i="15" s="1"/>
  <c r="R13" i="15"/>
  <c r="O23" i="15"/>
  <c r="O24" i="15"/>
  <c r="F24" i="15"/>
  <c r="C24" i="15"/>
  <c r="I23" i="15"/>
  <c r="C23" i="15"/>
  <c r="C22" i="15"/>
  <c r="C20" i="15"/>
  <c r="C18" i="15"/>
  <c r="C16" i="15"/>
  <c r="C19" i="15"/>
  <c r="C17" i="15"/>
  <c r="C15" i="15"/>
  <c r="F12" i="19"/>
  <c r="C12" i="19"/>
  <c r="C28" i="15"/>
  <c r="F28" i="15" s="1"/>
  <c r="I28" i="15" s="1"/>
  <c r="C30" i="15"/>
  <c r="F30" i="15" s="1"/>
  <c r="I30" i="15" s="1"/>
  <c r="L30" i="15" s="1"/>
  <c r="O30" i="15" s="1"/>
  <c r="R30" i="15" s="1"/>
  <c r="U30" i="15" s="1"/>
  <c r="D45" i="9"/>
  <c r="E45" i="9"/>
  <c r="I45" i="9"/>
  <c r="H43" i="9"/>
  <c r="E43" i="9"/>
  <c r="F42" i="9"/>
  <c r="G44" i="9"/>
  <c r="G43" i="9"/>
  <c r="F44" i="9"/>
  <c r="I42" i="9"/>
  <c r="I43" i="9"/>
  <c r="H42" i="9"/>
  <c r="F45" i="9"/>
  <c r="D43" i="9"/>
  <c r="D44" i="9"/>
  <c r="I44" i="9"/>
  <c r="H45" i="9"/>
  <c r="C43" i="9"/>
  <c r="H44" i="9"/>
  <c r="B45" i="9"/>
  <c r="G42" i="9"/>
  <c r="E42" i="9"/>
  <c r="G45" i="9"/>
  <c r="C44" i="9"/>
  <c r="D42" i="9"/>
  <c r="C45" i="9"/>
  <c r="E44" i="9"/>
  <c r="I12" i="19"/>
  <c r="I15" i="19" s="1"/>
  <c r="L12" i="21"/>
  <c r="L17" i="21" s="1"/>
  <c r="C12" i="21"/>
  <c r="I12" i="21"/>
  <c r="F12" i="21"/>
  <c r="F15" i="21" s="1"/>
  <c r="L19" i="21" l="1"/>
  <c r="R25" i="15"/>
  <c r="R22" i="15"/>
  <c r="I31" i="21"/>
  <c r="J31" i="21" s="1"/>
  <c r="I17" i="21"/>
  <c r="I14" i="21"/>
  <c r="C15" i="21"/>
  <c r="C17" i="21"/>
  <c r="F15" i="19"/>
  <c r="F14" i="19"/>
  <c r="C31" i="19"/>
  <c r="D31" i="19" s="1"/>
  <c r="C14" i="19"/>
  <c r="L16" i="13"/>
  <c r="L37" i="13" s="1"/>
  <c r="R16" i="13"/>
  <c r="R37" i="13" s="1"/>
  <c r="F16" i="13"/>
  <c r="F37" i="13" s="1"/>
  <c r="C16" i="13"/>
  <c r="C37" i="13" s="1"/>
  <c r="U16" i="13"/>
  <c r="U37" i="13" s="1"/>
  <c r="I16" i="13"/>
  <c r="I37" i="13" s="1"/>
  <c r="O16" i="13"/>
  <c r="O37" i="13" s="1"/>
  <c r="F16" i="14"/>
  <c r="F37" i="14" s="1"/>
  <c r="I16" i="14"/>
  <c r="I37" i="14" s="1"/>
  <c r="U16" i="14"/>
  <c r="U37" i="14" s="1"/>
  <c r="L16" i="14"/>
  <c r="L37" i="14" s="1"/>
  <c r="R16" i="14"/>
  <c r="R37" i="14" s="1"/>
  <c r="C16" i="14"/>
  <c r="C37" i="14" s="1"/>
  <c r="O16" i="14"/>
  <c r="O37" i="14" s="1"/>
  <c r="U16" i="2"/>
  <c r="U37" i="2" s="1"/>
  <c r="C37" i="2"/>
  <c r="F37" i="2"/>
  <c r="I16" i="2"/>
  <c r="I37" i="2" s="1"/>
  <c r="L16" i="2"/>
  <c r="L37" i="2" s="1"/>
  <c r="O16" i="2"/>
  <c r="O37" i="2" s="1"/>
  <c r="R16" i="2"/>
  <c r="R37" i="2" s="1"/>
  <c r="F15" i="26"/>
  <c r="F38" i="26" s="1"/>
  <c r="C15" i="26"/>
  <c r="C38" i="26" s="1"/>
  <c r="I15" i="26"/>
  <c r="I38" i="26" s="1"/>
  <c r="L15" i="26"/>
  <c r="L38" i="26" s="1"/>
  <c r="O15" i="26"/>
  <c r="O38" i="26" s="1"/>
  <c r="R15" i="26"/>
  <c r="R38" i="26" s="1"/>
  <c r="U15" i="26"/>
  <c r="U38" i="26" s="1"/>
  <c r="C15" i="18"/>
  <c r="C38" i="18" s="1"/>
  <c r="F15" i="18"/>
  <c r="F38" i="18" s="1"/>
  <c r="I15" i="18"/>
  <c r="I38" i="18" s="1"/>
  <c r="L15" i="18"/>
  <c r="L38" i="18" s="1"/>
  <c r="O15" i="18"/>
  <c r="O38" i="18" s="1"/>
  <c r="U15" i="18"/>
  <c r="U38" i="18" s="1"/>
  <c r="R15" i="18"/>
  <c r="R38" i="18" s="1"/>
  <c r="F19" i="19"/>
  <c r="F17" i="19"/>
  <c r="C19" i="19"/>
  <c r="L15" i="21"/>
  <c r="O16" i="15"/>
  <c r="L22" i="15"/>
  <c r="R18" i="15"/>
  <c r="R16" i="15"/>
  <c r="R23" i="15"/>
  <c r="I16" i="15"/>
  <c r="I18" i="15"/>
  <c r="I19" i="15"/>
  <c r="O18" i="15"/>
  <c r="F22" i="15"/>
  <c r="I15" i="15"/>
  <c r="O17" i="15"/>
  <c r="O15" i="15"/>
  <c r="I17" i="15"/>
  <c r="O19" i="15"/>
  <c r="I19" i="21"/>
  <c r="C19" i="21"/>
  <c r="F19" i="21"/>
  <c r="L17" i="19"/>
  <c r="L31" i="19"/>
  <c r="M31" i="19" s="1"/>
  <c r="L16" i="19"/>
  <c r="F31" i="19"/>
  <c r="G31" i="19" s="1"/>
  <c r="L19" i="19"/>
  <c r="I19" i="19"/>
  <c r="I24" i="15"/>
  <c r="L24" i="15"/>
  <c r="R24" i="15"/>
  <c r="I16" i="21"/>
  <c r="L14" i="19"/>
  <c r="I22" i="15"/>
  <c r="O22" i="15"/>
  <c r="L15" i="15"/>
  <c r="L18" i="15"/>
  <c r="F23" i="15"/>
  <c r="F16" i="15"/>
  <c r="R19" i="15"/>
  <c r="L19" i="15"/>
  <c r="R15" i="15"/>
  <c r="L17" i="15"/>
  <c r="F19" i="15"/>
  <c r="L16" i="15"/>
  <c r="F17" i="15"/>
  <c r="F18" i="15"/>
  <c r="F15" i="15"/>
  <c r="L23" i="15"/>
  <c r="R17" i="15"/>
  <c r="C15" i="19"/>
  <c r="F16" i="19"/>
  <c r="F37" i="15"/>
  <c r="G37" i="15" s="1"/>
  <c r="C17" i="19"/>
  <c r="C16" i="19"/>
  <c r="U38" i="15"/>
  <c r="V38" i="15" s="1"/>
  <c r="C37" i="15"/>
  <c r="D37" i="15" s="1"/>
  <c r="C31" i="21"/>
  <c r="D31" i="21" s="1"/>
  <c r="C14" i="21"/>
  <c r="I14" i="19"/>
  <c r="I17" i="19"/>
  <c r="I15" i="21"/>
  <c r="C16" i="21"/>
  <c r="F16" i="21"/>
  <c r="F14" i="21"/>
  <c r="F17" i="21"/>
  <c r="I31" i="19"/>
  <c r="J31" i="19" s="1"/>
  <c r="I16" i="19"/>
  <c r="L16" i="21"/>
  <c r="L14" i="21"/>
  <c r="F31" i="21"/>
  <c r="G31" i="21" s="1"/>
  <c r="L31" i="21"/>
  <c r="M31" i="21" s="1"/>
  <c r="L28" i="15"/>
  <c r="I37" i="15"/>
  <c r="U39" i="26" l="1"/>
  <c r="V38" i="26"/>
  <c r="V39" i="26" s="1"/>
  <c r="V43" i="26" s="1"/>
  <c r="V49" i="26" s="1"/>
  <c r="O38" i="2"/>
  <c r="P37" i="2"/>
  <c r="P38" i="2" s="1"/>
  <c r="P42" i="2" s="1"/>
  <c r="P48" i="2" s="1"/>
  <c r="G37" i="14"/>
  <c r="G38" i="14" s="1"/>
  <c r="G42" i="14" s="1"/>
  <c r="G48" i="14" s="1"/>
  <c r="F38" i="14"/>
  <c r="I39" i="18"/>
  <c r="J38" i="18"/>
  <c r="J39" i="18" s="1"/>
  <c r="J43" i="18" s="1"/>
  <c r="J49" i="18" s="1"/>
  <c r="W38" i="18"/>
  <c r="D38" i="26"/>
  <c r="D39" i="26" s="1"/>
  <c r="D43" i="26" s="1"/>
  <c r="D49" i="26" s="1"/>
  <c r="C39" i="26"/>
  <c r="B38" i="26"/>
  <c r="M37" i="2"/>
  <c r="M38" i="2" s="1"/>
  <c r="M42" i="2" s="1"/>
  <c r="L38" i="2"/>
  <c r="V37" i="2"/>
  <c r="V38" i="2" s="1"/>
  <c r="V42" i="2" s="1"/>
  <c r="V48" i="2" s="1"/>
  <c r="U38" i="2"/>
  <c r="L38" i="14"/>
  <c r="M37" i="14"/>
  <c r="M38" i="14" s="1"/>
  <c r="M42" i="14" s="1"/>
  <c r="M48" i="14" s="1"/>
  <c r="O38" i="13"/>
  <c r="P37" i="13"/>
  <c r="P38" i="13" s="1"/>
  <c r="P42" i="13" s="1"/>
  <c r="P48" i="13" s="1"/>
  <c r="G37" i="13"/>
  <c r="G38" i="13" s="1"/>
  <c r="G42" i="13" s="1"/>
  <c r="G48" i="13" s="1"/>
  <c r="F38" i="13"/>
  <c r="U39" i="18"/>
  <c r="V38" i="18"/>
  <c r="V39" i="18" s="1"/>
  <c r="V43" i="18" s="1"/>
  <c r="V49" i="18" s="1"/>
  <c r="G38" i="18"/>
  <c r="G39" i="18" s="1"/>
  <c r="G43" i="18" s="1"/>
  <c r="G49" i="18" s="1"/>
  <c r="F39" i="18"/>
  <c r="O39" i="26"/>
  <c r="P38" i="26"/>
  <c r="P39" i="26" s="1"/>
  <c r="P43" i="26" s="1"/>
  <c r="P49" i="26" s="1"/>
  <c r="G38" i="26"/>
  <c r="G39" i="26" s="1"/>
  <c r="G43" i="26" s="1"/>
  <c r="G49" i="26" s="1"/>
  <c r="F39" i="26"/>
  <c r="I38" i="2"/>
  <c r="J37" i="2"/>
  <c r="J38" i="2" s="1"/>
  <c r="J42" i="2" s="1"/>
  <c r="W37" i="2"/>
  <c r="O38" i="14"/>
  <c r="P37" i="14"/>
  <c r="P38" i="14" s="1"/>
  <c r="P42" i="14" s="1"/>
  <c r="P48" i="14" s="1"/>
  <c r="U38" i="14"/>
  <c r="V37" i="14"/>
  <c r="V38" i="14" s="1"/>
  <c r="V42" i="14" s="1"/>
  <c r="V48" i="14" s="1"/>
  <c r="J37" i="13"/>
  <c r="J38" i="13" s="1"/>
  <c r="J42" i="13" s="1"/>
  <c r="W37" i="13"/>
  <c r="I38" i="13"/>
  <c r="S37" i="13"/>
  <c r="S38" i="13" s="1"/>
  <c r="S42" i="13" s="1"/>
  <c r="S48" i="13" s="1"/>
  <c r="R38" i="13"/>
  <c r="M38" i="18"/>
  <c r="M39" i="18" s="1"/>
  <c r="M43" i="18" s="1"/>
  <c r="M49" i="18" s="1"/>
  <c r="L39" i="18"/>
  <c r="I39" i="26"/>
  <c r="J38" i="26"/>
  <c r="J39" i="26" s="1"/>
  <c r="J43" i="26" s="1"/>
  <c r="J49" i="26" s="1"/>
  <c r="W38" i="26"/>
  <c r="B37" i="2"/>
  <c r="C38" i="2"/>
  <c r="D37" i="2"/>
  <c r="D38" i="2" s="1"/>
  <c r="D42" i="2" s="1"/>
  <c r="S37" i="14"/>
  <c r="S38" i="14" s="1"/>
  <c r="S42" i="14" s="1"/>
  <c r="S48" i="14" s="1"/>
  <c r="R38" i="14"/>
  <c r="C38" i="13"/>
  <c r="D37" i="13"/>
  <c r="D38" i="13" s="1"/>
  <c r="D42" i="13" s="1"/>
  <c r="D48" i="13" s="1"/>
  <c r="B37" i="13"/>
  <c r="R39" i="18"/>
  <c r="S38" i="18"/>
  <c r="S39" i="18" s="1"/>
  <c r="S43" i="18" s="1"/>
  <c r="S49" i="18" s="1"/>
  <c r="S38" i="26"/>
  <c r="S39" i="26" s="1"/>
  <c r="S43" i="26" s="1"/>
  <c r="S49" i="26" s="1"/>
  <c r="R39" i="26"/>
  <c r="O39" i="18"/>
  <c r="P38" i="18"/>
  <c r="P39" i="18" s="1"/>
  <c r="P43" i="18" s="1"/>
  <c r="P49" i="18" s="1"/>
  <c r="B38" i="18"/>
  <c r="D38" i="18"/>
  <c r="D39" i="18" s="1"/>
  <c r="D43" i="18" s="1"/>
  <c r="D49" i="18" s="1"/>
  <c r="C39" i="18"/>
  <c r="M38" i="26"/>
  <c r="M39" i="26" s="1"/>
  <c r="M43" i="26" s="1"/>
  <c r="M49" i="26" s="1"/>
  <c r="L39" i="26"/>
  <c r="S37" i="2"/>
  <c r="S38" i="2" s="1"/>
  <c r="S42" i="2" s="1"/>
  <c r="S48" i="2" s="1"/>
  <c r="R38" i="2"/>
  <c r="G37" i="2"/>
  <c r="G38" i="2" s="1"/>
  <c r="G42" i="2" s="1"/>
  <c r="F38" i="2"/>
  <c r="D37" i="14"/>
  <c r="D38" i="14" s="1"/>
  <c r="D42" i="14" s="1"/>
  <c r="D48" i="14" s="1"/>
  <c r="B37" i="14"/>
  <c r="C38" i="14"/>
  <c r="J37" i="14"/>
  <c r="J38" i="14" s="1"/>
  <c r="J42" i="14" s="1"/>
  <c r="W37" i="14"/>
  <c r="I38" i="14"/>
  <c r="U38" i="13"/>
  <c r="V37" i="13"/>
  <c r="V38" i="13" s="1"/>
  <c r="V42" i="13" s="1"/>
  <c r="V48" i="13" s="1"/>
  <c r="L38" i="13"/>
  <c r="M37" i="13"/>
  <c r="M38" i="13" s="1"/>
  <c r="M42" i="13" s="1"/>
  <c r="M48" i="13" s="1"/>
  <c r="F32" i="19"/>
  <c r="F33" i="19" s="1"/>
  <c r="O38" i="15"/>
  <c r="P38" i="15" s="1"/>
  <c r="L32" i="19"/>
  <c r="M32" i="19" s="1"/>
  <c r="M33" i="19" s="1"/>
  <c r="M37" i="19" s="1"/>
  <c r="M44" i="19" s="1"/>
  <c r="I38" i="15"/>
  <c r="J38" i="15" s="1"/>
  <c r="L38" i="15"/>
  <c r="M38" i="15" s="1"/>
  <c r="F38" i="15"/>
  <c r="G38" i="15" s="1"/>
  <c r="G39" i="15" s="1"/>
  <c r="G43" i="15" s="1"/>
  <c r="G49" i="15" s="1"/>
  <c r="R38" i="15"/>
  <c r="S38" i="15" s="1"/>
  <c r="C38" i="15"/>
  <c r="B38" i="15" s="1"/>
  <c r="C32" i="19"/>
  <c r="D32" i="19" s="1"/>
  <c r="D33" i="19" s="1"/>
  <c r="D37" i="19" s="1"/>
  <c r="D44" i="19" s="1"/>
  <c r="C32" i="21"/>
  <c r="D32" i="21" s="1"/>
  <c r="D33" i="21" s="1"/>
  <c r="D37" i="21" s="1"/>
  <c r="N31" i="21"/>
  <c r="I32" i="19"/>
  <c r="I33" i="19" s="1"/>
  <c r="N31" i="19"/>
  <c r="F32" i="21"/>
  <c r="G32" i="21" s="1"/>
  <c r="G33" i="21" s="1"/>
  <c r="G37" i="21" s="1"/>
  <c r="I32" i="21"/>
  <c r="I33" i="21" s="1"/>
  <c r="L32" i="21"/>
  <c r="M32" i="21" s="1"/>
  <c r="M33" i="21" s="1"/>
  <c r="M37" i="21" s="1"/>
  <c r="J37" i="15"/>
  <c r="L37" i="15"/>
  <c r="O28" i="15"/>
  <c r="V51" i="18" l="1"/>
  <c r="V50" i="18"/>
  <c r="V50" i="26"/>
  <c r="V51" i="26"/>
  <c r="M50" i="18"/>
  <c r="M51" i="18"/>
  <c r="J51" i="18"/>
  <c r="J50" i="18"/>
  <c r="P51" i="18"/>
  <c r="P50" i="18"/>
  <c r="S51" i="18"/>
  <c r="S50" i="18"/>
  <c r="G51" i="18"/>
  <c r="G50" i="18"/>
  <c r="G50" i="15"/>
  <c r="G51" i="15"/>
  <c r="D51" i="18"/>
  <c r="D50" i="18"/>
  <c r="G51" i="26"/>
  <c r="G50" i="26"/>
  <c r="J50" i="26"/>
  <c r="J51" i="26"/>
  <c r="S51" i="26"/>
  <c r="S50" i="26"/>
  <c r="D51" i="26"/>
  <c r="D50" i="26"/>
  <c r="P51" i="26"/>
  <c r="P50" i="26"/>
  <c r="M51" i="26"/>
  <c r="M50" i="26"/>
  <c r="M44" i="21"/>
  <c r="M45" i="21" s="1"/>
  <c r="M43" i="21" s="1"/>
  <c r="G44" i="21"/>
  <c r="G45" i="21" s="1"/>
  <c r="G43" i="21" s="1"/>
  <c r="D44" i="21"/>
  <c r="D45" i="21" s="1"/>
  <c r="M49" i="13"/>
  <c r="M50" i="13"/>
  <c r="P50" i="13"/>
  <c r="P49" i="13"/>
  <c r="P49" i="2"/>
  <c r="P50" i="2"/>
  <c r="S49" i="2"/>
  <c r="S50" i="2"/>
  <c r="S49" i="14"/>
  <c r="S50" i="14"/>
  <c r="P49" i="14"/>
  <c r="P50" i="14"/>
  <c r="D50" i="13"/>
  <c r="D49" i="13"/>
  <c r="M49" i="14"/>
  <c r="M50" i="14"/>
  <c r="D50" i="14"/>
  <c r="D49" i="14"/>
  <c r="S49" i="13"/>
  <c r="S50" i="13"/>
  <c r="G49" i="13"/>
  <c r="G50" i="13"/>
  <c r="G49" i="14"/>
  <c r="G50" i="14"/>
  <c r="W38" i="13"/>
  <c r="M48" i="2"/>
  <c r="G48" i="2"/>
  <c r="D48" i="2"/>
  <c r="W38" i="14"/>
  <c r="W38" i="2"/>
  <c r="J48" i="2"/>
  <c r="W42" i="2"/>
  <c r="V50" i="2"/>
  <c r="V49" i="2"/>
  <c r="W39" i="18"/>
  <c r="V50" i="13"/>
  <c r="V49" i="13"/>
  <c r="J48" i="14"/>
  <c r="W42" i="14"/>
  <c r="W43" i="26"/>
  <c r="J48" i="13"/>
  <c r="W42" i="13"/>
  <c r="W43" i="18"/>
  <c r="W39" i="26"/>
  <c r="V50" i="14"/>
  <c r="V49" i="14"/>
  <c r="G32" i="19"/>
  <c r="G33" i="19" s="1"/>
  <c r="G37" i="19" s="1"/>
  <c r="C25" i="9" s="1"/>
  <c r="D45" i="19"/>
  <c r="D43" i="19" s="1"/>
  <c r="M45" i="19"/>
  <c r="I39" i="15"/>
  <c r="L33" i="19"/>
  <c r="J39" i="15"/>
  <c r="J43" i="15" s="1"/>
  <c r="J49" i="15" s="1"/>
  <c r="C33" i="21"/>
  <c r="C33" i="19"/>
  <c r="F39" i="15"/>
  <c r="D38" i="15"/>
  <c r="D39" i="15" s="1"/>
  <c r="D43" i="15" s="1"/>
  <c r="C39" i="15"/>
  <c r="W38" i="15"/>
  <c r="F33" i="21"/>
  <c r="L33" i="21"/>
  <c r="N32" i="19"/>
  <c r="J32" i="19"/>
  <c r="J33" i="19" s="1"/>
  <c r="J37" i="19" s="1"/>
  <c r="J44" i="19" s="1"/>
  <c r="J32" i="21"/>
  <c r="J33" i="21" s="1"/>
  <c r="J37" i="21" s="1"/>
  <c r="N32" i="21"/>
  <c r="M37" i="15"/>
  <c r="M39" i="15" s="1"/>
  <c r="M43" i="15" s="1"/>
  <c r="L39" i="15"/>
  <c r="R28" i="15"/>
  <c r="O37" i="15"/>
  <c r="J51" i="15" l="1"/>
  <c r="J50" i="15"/>
  <c r="E25" i="9"/>
  <c r="M49" i="15"/>
  <c r="B25" i="9"/>
  <c r="B54" i="9" s="1"/>
  <c r="D49" i="15"/>
  <c r="D43" i="21"/>
  <c r="J44" i="21"/>
  <c r="N44" i="21" s="1"/>
  <c r="D25" i="9"/>
  <c r="G44" i="19"/>
  <c r="G45" i="19" s="1"/>
  <c r="J50" i="2"/>
  <c r="J49" i="2"/>
  <c r="G49" i="2"/>
  <c r="G50" i="2"/>
  <c r="W48" i="14"/>
  <c r="J49" i="14"/>
  <c r="W49" i="14" s="1"/>
  <c r="J50" i="14"/>
  <c r="W50" i="14" s="1"/>
  <c r="M49" i="2"/>
  <c r="M50" i="2"/>
  <c r="W48" i="13"/>
  <c r="J49" i="13"/>
  <c r="W49" i="13" s="1"/>
  <c r="J50" i="13"/>
  <c r="W50" i="13" s="1"/>
  <c r="D49" i="2"/>
  <c r="D50" i="2"/>
  <c r="W49" i="26"/>
  <c r="W48" i="2"/>
  <c r="W50" i="26"/>
  <c r="C54" i="9"/>
  <c r="J45" i="19"/>
  <c r="N33" i="19"/>
  <c r="R37" i="15"/>
  <c r="R39" i="15" s="1"/>
  <c r="U28" i="15"/>
  <c r="U37" i="15" s="1"/>
  <c r="N33" i="21"/>
  <c r="N37" i="21"/>
  <c r="N37" i="19"/>
  <c r="P37" i="15"/>
  <c r="P39" i="15" s="1"/>
  <c r="P43" i="15" s="1"/>
  <c r="O39" i="15"/>
  <c r="M43" i="19"/>
  <c r="D51" i="15" l="1"/>
  <c r="D50" i="15"/>
  <c r="F25" i="9"/>
  <c r="F41" i="9" s="1"/>
  <c r="P49" i="15"/>
  <c r="M50" i="15"/>
  <c r="M51" i="15"/>
  <c r="J45" i="21"/>
  <c r="N45" i="21" s="1"/>
  <c r="W49" i="2"/>
  <c r="W51" i="26"/>
  <c r="C56" i="9"/>
  <c r="C55" i="9"/>
  <c r="B56" i="9"/>
  <c r="B55" i="9"/>
  <c r="W50" i="2"/>
  <c r="C30" i="9"/>
  <c r="C41" i="9"/>
  <c r="C46" i="9" s="1"/>
  <c r="N44" i="19"/>
  <c r="J43" i="19"/>
  <c r="E41" i="9"/>
  <c r="E46" i="9" s="1"/>
  <c r="E54" i="9"/>
  <c r="D41" i="9"/>
  <c r="D46" i="9" s="1"/>
  <c r="D54" i="9"/>
  <c r="E30" i="9"/>
  <c r="B41" i="9"/>
  <c r="B46" i="9" s="1"/>
  <c r="S37" i="15"/>
  <c r="S39" i="15" s="1"/>
  <c r="S43" i="15" s="1"/>
  <c r="V37" i="15"/>
  <c r="V39" i="15" s="1"/>
  <c r="V43" i="15" s="1"/>
  <c r="U39" i="15"/>
  <c r="W39" i="15" s="1"/>
  <c r="W37" i="15"/>
  <c r="B30" i="9"/>
  <c r="D30" i="9"/>
  <c r="N45" i="19"/>
  <c r="G43" i="19"/>
  <c r="H25" i="9" l="1"/>
  <c r="H54" i="9" s="1"/>
  <c r="V49" i="15"/>
  <c r="F54" i="9"/>
  <c r="F55" i="9" s="1"/>
  <c r="P50" i="15"/>
  <c r="P51" i="15"/>
  <c r="G25" i="9"/>
  <c r="S49" i="15"/>
  <c r="B31" i="9"/>
  <c r="B47" i="9" s="1"/>
  <c r="E31" i="9"/>
  <c r="E47" i="9" s="1"/>
  <c r="D31" i="9"/>
  <c r="D47" i="9" s="1"/>
  <c r="C31" i="9"/>
  <c r="C32" i="9" s="1"/>
  <c r="J43" i="21"/>
  <c r="N43" i="21" s="1"/>
  <c r="D56" i="9"/>
  <c r="D55" i="9"/>
  <c r="E56" i="9"/>
  <c r="E55" i="9"/>
  <c r="N43" i="19"/>
  <c r="W43" i="15"/>
  <c r="F30" i="9"/>
  <c r="F46" i="9"/>
  <c r="H41" i="9" l="1"/>
  <c r="H46" i="9" s="1"/>
  <c r="V51" i="15"/>
  <c r="V50" i="15"/>
  <c r="F56" i="9"/>
  <c r="S51" i="15"/>
  <c r="S50" i="15"/>
  <c r="E32" i="9"/>
  <c r="B32" i="9"/>
  <c r="B33" i="9" s="1"/>
  <c r="B49" i="9" s="1"/>
  <c r="D32" i="9"/>
  <c r="C47" i="9"/>
  <c r="F31" i="9"/>
  <c r="F47" i="9" s="1"/>
  <c r="H55" i="9"/>
  <c r="H56" i="9"/>
  <c r="G54" i="9"/>
  <c r="G41" i="9"/>
  <c r="G46" i="9" s="1"/>
  <c r="I25" i="9"/>
  <c r="J25" i="9" s="1"/>
  <c r="G30" i="9"/>
  <c r="H30" i="9"/>
  <c r="F32" i="9" l="1"/>
  <c r="B48" i="9"/>
  <c r="H31" i="9"/>
  <c r="H47" i="9" s="1"/>
  <c r="G31" i="9"/>
  <c r="G47" i="9" s="1"/>
  <c r="B34" i="9"/>
  <c r="B50" i="9" s="1"/>
  <c r="E48" i="9"/>
  <c r="E33" i="9"/>
  <c r="E49" i="9" s="1"/>
  <c r="D48" i="9"/>
  <c r="D33" i="9"/>
  <c r="D49" i="9" s="1"/>
  <c r="C33" i="9"/>
  <c r="C49" i="9" s="1"/>
  <c r="C48" i="9"/>
  <c r="G56" i="9"/>
  <c r="I56" i="9" s="1"/>
  <c r="G55" i="9"/>
  <c r="I41" i="9"/>
  <c r="I46" i="9" s="1"/>
  <c r="I54" i="9"/>
  <c r="I30" i="9"/>
  <c r="H32" i="9" l="1"/>
  <c r="G32" i="9"/>
  <c r="I31" i="9"/>
  <c r="I47" i="9" s="1"/>
  <c r="F33" i="9"/>
  <c r="F49" i="9" s="1"/>
  <c r="F48" i="9"/>
  <c r="E34" i="9"/>
  <c r="E50" i="9" s="1"/>
  <c r="D34" i="9"/>
  <c r="D50" i="9" s="1"/>
  <c r="C34" i="9"/>
  <c r="C50" i="9" s="1"/>
  <c r="I55" i="9"/>
  <c r="J30" i="9"/>
  <c r="I32" i="9" l="1"/>
  <c r="H48" i="9"/>
  <c r="H33" i="9"/>
  <c r="H49" i="9" s="1"/>
  <c r="G48" i="9"/>
  <c r="G33" i="9"/>
  <c r="G49" i="9" s="1"/>
  <c r="F34" i="9"/>
  <c r="F50" i="9" s="1"/>
  <c r="G34" i="9" l="1"/>
  <c r="G50" i="9" s="1"/>
  <c r="H34" i="9"/>
  <c r="H50" i="9" s="1"/>
  <c r="I33" i="9"/>
  <c r="I34" i="9" s="1"/>
  <c r="I48" i="9"/>
  <c r="I49" i="9" l="1"/>
  <c r="I50" i="9"/>
  <c r="W49" i="15" l="1"/>
  <c r="W51" i="15"/>
  <c r="W50" i="15"/>
  <c r="W50" i="18"/>
  <c r="W49" i="18"/>
  <c r="W51" i="18"/>
</calcChain>
</file>

<file path=xl/comments1.xml><?xml version="1.0" encoding="utf-8"?>
<comments xmlns="http://schemas.openxmlformats.org/spreadsheetml/2006/main">
  <authors>
    <author>Administrator</author>
  </authors>
  <commentList>
    <comment ref="C2" authorId="0" shapeId="0">
      <text>
        <r>
          <rPr>
            <sz val="10"/>
            <color indexed="81"/>
            <rFont val="Tahoma"/>
            <family val="2"/>
          </rPr>
          <t>Please insert name of main applicant</t>
        </r>
      </text>
    </comment>
    <comment ref="C3" authorId="0" shapeId="0">
      <text>
        <r>
          <rPr>
            <sz val="10"/>
            <color indexed="81"/>
            <rFont val="Tahoma"/>
            <family val="2"/>
          </rPr>
          <t>Please insert name of co-applicant</t>
        </r>
      </text>
    </comment>
    <comment ref="B5" authorId="0" shapeId="0">
      <text>
        <r>
          <rPr>
            <sz val="10"/>
            <color indexed="81"/>
            <rFont val="Tahoma"/>
            <family val="2"/>
          </rPr>
          <t>Please select project type</t>
        </r>
      </text>
    </comment>
    <comment ref="C5" authorId="0" shapeId="0">
      <text>
        <r>
          <rPr>
            <sz val="10"/>
            <color indexed="81"/>
            <rFont val="Tahoma"/>
            <family val="2"/>
          </rPr>
          <t>If "Other", please specify source of funding</t>
        </r>
      </text>
    </comment>
    <comment ref="C10" authorId="0" shapeId="0">
      <text>
        <r>
          <rPr>
            <sz val="10"/>
            <color indexed="81"/>
            <rFont val="Tahoma"/>
            <family val="2"/>
          </rPr>
          <t>Please type month/year to month/year</t>
        </r>
        <r>
          <rPr>
            <sz val="10"/>
            <color indexed="81"/>
            <rFont val="Tahoma"/>
            <family val="2"/>
          </rPr>
          <t xml:space="preserve">
</t>
        </r>
      </text>
    </comment>
    <comment ref="C11" authorId="0" shapeId="0">
      <text>
        <r>
          <rPr>
            <sz val="10"/>
            <color indexed="81"/>
            <rFont val="Tahoma"/>
            <family val="2"/>
          </rPr>
          <t>Please insert number of months</t>
        </r>
      </text>
    </comment>
  </commentList>
</comments>
</file>

<file path=xl/comments2.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comments3.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comments4.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comments5.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comments6.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comments7.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comments8.xml><?xml version="1.0" encoding="utf-8"?>
<comments xmlns="http://schemas.openxmlformats.org/spreadsheetml/2006/main">
  <authors>
    <author>Administrator</author>
  </authors>
  <commentList>
    <comment ref="D2" authorId="0" shapeId="0">
      <text>
        <r>
          <rPr>
            <sz val="10"/>
            <color indexed="81"/>
            <rFont val="Tahoma"/>
            <family val="2"/>
          </rPr>
          <t>Please choose</t>
        </r>
      </text>
    </comment>
  </commentList>
</comments>
</file>

<file path=xl/sharedStrings.xml><?xml version="1.0" encoding="utf-8"?>
<sst xmlns="http://schemas.openxmlformats.org/spreadsheetml/2006/main" count="1429" uniqueCount="373">
  <si>
    <t>BG</t>
  </si>
  <si>
    <t>22-34</t>
  </si>
  <si>
    <t>35-44</t>
  </si>
  <si>
    <t>Alter</t>
  </si>
  <si>
    <t>55-70</t>
  </si>
  <si>
    <t>45-49</t>
  </si>
  <si>
    <t>50-54</t>
  </si>
  <si>
    <t>AHV AG</t>
  </si>
  <si>
    <t>ALV AG</t>
  </si>
  <si>
    <t>BU AG</t>
  </si>
  <si>
    <t>NBU AG</t>
  </si>
  <si>
    <t>FAK</t>
  </si>
  <si>
    <t>Plandaten</t>
  </si>
  <si>
    <t>Position</t>
  </si>
  <si>
    <t>Doktoranden 1</t>
  </si>
  <si>
    <t>Doktoranden 2</t>
  </si>
  <si>
    <t>Postdoc 1</t>
  </si>
  <si>
    <t>Postdoc 2</t>
  </si>
  <si>
    <t>Postdoc 3</t>
  </si>
  <si>
    <t>Wiss Ass 1</t>
  </si>
  <si>
    <t>Wiss Ass 2</t>
  </si>
  <si>
    <t>Wiss Ass 3</t>
  </si>
  <si>
    <t>Doktoranden 3/4</t>
  </si>
  <si>
    <t>PK-Plan</t>
  </si>
  <si>
    <t>FS</t>
  </si>
  <si>
    <t>FS 10-12</t>
  </si>
  <si>
    <t>FS 13 -15</t>
  </si>
  <si>
    <t>Kaderplan 1</t>
  </si>
  <si>
    <t>Kaderplan 2</t>
  </si>
  <si>
    <t>Standardplan</t>
  </si>
  <si>
    <t>Database</t>
  </si>
  <si>
    <t>Standard</t>
  </si>
  <si>
    <t>PK AG Standard</t>
  </si>
  <si>
    <t>Kind 1 &lt; 16 Jahre</t>
  </si>
  <si>
    <t>Kind 2 &lt; 16 Jahre</t>
  </si>
  <si>
    <t>Kind 3 &gt; 16 Jahre, Ausbild</t>
  </si>
  <si>
    <t>Kinder&lt; 16; Anzahl</t>
  </si>
  <si>
    <t>Kinder&gt; 16; Anzahl</t>
  </si>
  <si>
    <t>Sozialversicherungen</t>
  </si>
  <si>
    <t>Bruttolohnkosten</t>
  </si>
  <si>
    <t>Full year</t>
  </si>
  <si>
    <t>month</t>
  </si>
  <si>
    <t>FS 1-9, Pauschal</t>
  </si>
  <si>
    <t>FS7, 0 Erf, C-Linie</t>
  </si>
  <si>
    <t>FS8, 3 Erf; C-Linie</t>
  </si>
  <si>
    <t>Anzahl Monate</t>
  </si>
  <si>
    <t>TOTAL Full Year</t>
  </si>
  <si>
    <t>Name:</t>
  </si>
  <si>
    <t>EU Project</t>
  </si>
  <si>
    <t>SNF Project</t>
  </si>
  <si>
    <t>FOEN (Bafu) Project</t>
  </si>
  <si>
    <t>Other, please specify</t>
  </si>
  <si>
    <t>Project Type</t>
  </si>
  <si>
    <t>Consumables</t>
  </si>
  <si>
    <t>Other</t>
  </si>
  <si>
    <t>Project Duration</t>
  </si>
  <si>
    <t>(from to)</t>
  </si>
  <si>
    <t>(in months)</t>
  </si>
  <si>
    <t>Yes</t>
  </si>
  <si>
    <t>No</t>
  </si>
  <si>
    <t>Subject to Overhead</t>
  </si>
  <si>
    <t>Subject to VAT</t>
  </si>
  <si>
    <t>Machines</t>
  </si>
  <si>
    <t>Travel and Field Expenses</t>
  </si>
  <si>
    <t>Personnel Expenses</t>
  </si>
  <si>
    <t>Pos.</t>
  </si>
  <si>
    <t>Name</t>
  </si>
  <si>
    <t>Occasion</t>
  </si>
  <si>
    <t>Total</t>
  </si>
  <si>
    <t>Year</t>
  </si>
  <si>
    <t>Co-Applicant</t>
  </si>
  <si>
    <t>Main Applicant</t>
  </si>
  <si>
    <t>Subtotal I</t>
  </si>
  <si>
    <t>Subtotal II</t>
  </si>
  <si>
    <t>Total (CHF)</t>
  </si>
  <si>
    <t>Currency Exchange Course</t>
  </si>
  <si>
    <t>Foreign Currence</t>
  </si>
  <si>
    <t>€</t>
  </si>
  <si>
    <t>Total (Foreign Currency)</t>
  </si>
  <si>
    <t>US$</t>
  </si>
  <si>
    <t>Currency</t>
  </si>
  <si>
    <t>Course</t>
  </si>
  <si>
    <t>VAT</t>
  </si>
  <si>
    <t>Overhead</t>
  </si>
  <si>
    <t>EU I</t>
  </si>
  <si>
    <t>EU II</t>
  </si>
  <si>
    <t>Percentage</t>
  </si>
  <si>
    <t>Percentag</t>
  </si>
  <si>
    <t>(will be filled in by Finance Department)</t>
  </si>
  <si>
    <t>Personnel Expenses - Person I</t>
  </si>
  <si>
    <t>Personnel Expenses - Person II</t>
  </si>
  <si>
    <t>Personnel Expenses - Person III</t>
  </si>
  <si>
    <t>Budget Overview</t>
  </si>
  <si>
    <t>Salär (inkl. FAK)</t>
  </si>
  <si>
    <t>Teuerung (Faktor)</t>
  </si>
  <si>
    <t>GM</t>
  </si>
  <si>
    <t>SK</t>
  </si>
  <si>
    <t>BB</t>
  </si>
  <si>
    <t>BM</t>
  </si>
  <si>
    <t>Calculation checked by</t>
  </si>
  <si>
    <t>Date</t>
  </si>
  <si>
    <t>according to</t>
  </si>
  <si>
    <t>expected</t>
  </si>
  <si>
    <t>spending</t>
  </si>
  <si>
    <t>please spread</t>
  </si>
  <si>
    <t>Total Budget</t>
  </si>
  <si>
    <t>Explanatory Notes Cost Planning Tool</t>
  </si>
  <si>
    <t>Various Cost Planning</t>
  </si>
  <si>
    <t>Pers Plan 1 - 3</t>
  </si>
  <si>
    <t>Sheet</t>
  </si>
  <si>
    <t>Content</t>
  </si>
  <si>
    <t>What to do?</t>
  </si>
  <si>
    <t>Who?</t>
  </si>
  <si>
    <t>The common categories for research budgeting: machines, consumables, travel and field expenses and other expenses.</t>
  </si>
  <si>
    <t>Please insert the budget numbers</t>
  </si>
  <si>
    <t>Researcher</t>
  </si>
  <si>
    <t>General information about the project</t>
  </si>
  <si>
    <t>Define VAT, overhead, credit #, cost center, calculation check, date</t>
  </si>
  <si>
    <t>Third party funds team</t>
  </si>
  <si>
    <t>Cost overview in Swiss Francs (CHF)</t>
  </si>
  <si>
    <t>Formula</t>
  </si>
  <si>
    <t>Cost overview in EURO (€) or US Dollar (US$)</t>
  </si>
  <si>
    <t>Automatic calculation of the consolidated planned personnel and various cost data in the according currency (exchange course predefined by the third party funds team)</t>
  </si>
  <si>
    <t>Formula, researcher</t>
  </si>
  <si>
    <t>Automatic consolidation of the planned personnel and various cost data. Personnel cost are shown in the appropriate year. The sum of the various cost data can be split manually to the approriate year if wished.</t>
  </si>
  <si>
    <t>3 sheets for the planning of lump sum salaries such as PhDs, Postdocs and Scientific Assistants</t>
  </si>
  <si>
    <t xml:space="preserve">Please choose position and "Funktionsstufe": Pension plan will  be defined automatically afterwards. </t>
  </si>
  <si>
    <t>Please enter employment rate, age, number of children of which age category: Yearly salary and social security will be calculated automatically</t>
  </si>
  <si>
    <t>Please insert number of months in the according year: The cost will be calculated</t>
  </si>
  <si>
    <t>Please contact your third party fund responsible for support</t>
  </si>
  <si>
    <t>Researcher, third party funds team</t>
  </si>
  <si>
    <t>For NF and EU project planning, please contact your third party responsible!</t>
  </si>
  <si>
    <t>Personnel Expenses - Person V</t>
  </si>
  <si>
    <t>Cost in CHF</t>
  </si>
  <si>
    <t>Project Title</t>
  </si>
  <si>
    <t>Salary</t>
  </si>
  <si>
    <t>NF</t>
  </si>
  <si>
    <t>Total Months</t>
  </si>
  <si>
    <t>NF Personnel</t>
  </si>
  <si>
    <t>Insert name of applicant, project type, project title, project duration</t>
  </si>
  <si>
    <t>Personnel Expenses - Person IV</t>
  </si>
  <si>
    <t>Information regarding salary is not a binding offer but only for budget purposes</t>
  </si>
  <si>
    <t>NF Doktoranden 1</t>
  </si>
  <si>
    <t>NF Doktoranden 2</t>
  </si>
  <si>
    <t>NF Doktoranden 3/4</t>
  </si>
  <si>
    <t>control</t>
  </si>
  <si>
    <t>Jahr 1</t>
  </si>
  <si>
    <t>Jahr 2</t>
  </si>
  <si>
    <t>Jahr 3</t>
  </si>
  <si>
    <t>Jahr 4</t>
  </si>
  <si>
    <t>AHV Verw. Kosten</t>
  </si>
  <si>
    <t>Pers PhD NF 1-2</t>
  </si>
  <si>
    <r>
      <t xml:space="preserve">Credit No. </t>
    </r>
    <r>
      <rPr>
        <sz val="11"/>
        <rFont val="Calibri"/>
        <family val="2"/>
        <scheme val="minor"/>
      </rPr>
      <t>(if available)</t>
    </r>
  </si>
  <si>
    <t>Cost Overview (CHF)</t>
  </si>
  <si>
    <t>Cost Overview (Foreign Currency)</t>
  </si>
  <si>
    <t>see explanation "Pers Plan 1-3"</t>
  </si>
  <si>
    <t>1010 Carsten Schubert</t>
  </si>
  <si>
    <t>1020 Alfred Wüest</t>
  </si>
  <si>
    <t>1030 Martin Schmid</t>
  </si>
  <si>
    <t>1060 Helmut Bürgmann</t>
  </si>
  <si>
    <t>1070 Beat Müller</t>
  </si>
  <si>
    <t>1080 Carsten Schubert</t>
  </si>
  <si>
    <t>1090 Bernhard Wehrli</t>
  </si>
  <si>
    <t>1120 Florian Altermatt</t>
  </si>
  <si>
    <t>1130 Christopher Robinson</t>
  </si>
  <si>
    <t>1140 Christoph Vorburger</t>
  </si>
  <si>
    <t>1150 Katja Räsänen</t>
  </si>
  <si>
    <t>1170 Jukka Jokela</t>
  </si>
  <si>
    <t>1210 Ole Seehausen</t>
  </si>
  <si>
    <t>1240 Ole Seehausen</t>
  </si>
  <si>
    <t>1250 Carlos Melian</t>
  </si>
  <si>
    <t>1260 Jakob Brodersen</t>
  </si>
  <si>
    <t>2010 Juliane Hollender</t>
  </si>
  <si>
    <t>2020 Kathrin Fenner</t>
  </si>
  <si>
    <t>2030 Heinz Peter Singer</t>
  </si>
  <si>
    <t>2040 Christian Stamm</t>
  </si>
  <si>
    <t>2060 Thomas Hofstetter</t>
  </si>
  <si>
    <t>2070 Christa Mc Ardell</t>
  </si>
  <si>
    <t>2110 Martin Ackermann</t>
  </si>
  <si>
    <t>2130 Hans-Peter Kohler</t>
  </si>
  <si>
    <t>2140 Frederik Hammes</t>
  </si>
  <si>
    <t>2150 David Johnson</t>
  </si>
  <si>
    <t>2210 Kristin Schirmer</t>
  </si>
  <si>
    <t>2230 Marc Suter</t>
  </si>
  <si>
    <t>2240 Renata Behra</t>
  </si>
  <si>
    <t>3030 Michael Berg</t>
  </si>
  <si>
    <t>3040 Urs von Gunten</t>
  </si>
  <si>
    <t>3050 Stephan Hug</t>
  </si>
  <si>
    <t>3060 Mario Schirmer</t>
  </si>
  <si>
    <t>3070 Andreas Voegelin</t>
  </si>
  <si>
    <t>3080 Rolf Kipfer</t>
  </si>
  <si>
    <t>3110 Eberhard Morgenroth</t>
  </si>
  <si>
    <t>3320 Regula Meierhofer</t>
  </si>
  <si>
    <t>3330 Christoph Lüthi</t>
  </si>
  <si>
    <t>3350 Linda Strande</t>
  </si>
  <si>
    <t>4010 Bernhard Truffer</t>
  </si>
  <si>
    <t>4020 Karin Ingold</t>
  </si>
  <si>
    <t>4030 Roy Brouwer</t>
  </si>
  <si>
    <t>4040 Bernhard Truffer</t>
  </si>
  <si>
    <t>4050 Judit Lienert</t>
  </si>
  <si>
    <t>4060 Hans-Joachim Mosler</t>
  </si>
  <si>
    <t>4110 Peter Reichert</t>
  </si>
  <si>
    <t>4140 Hong Yang</t>
  </si>
  <si>
    <t>4160 Hans-Peter Bader</t>
  </si>
  <si>
    <t>4170 Carlo Albert</t>
  </si>
  <si>
    <t>4180 Nele Schuwirth</t>
  </si>
  <si>
    <t>4190 Peter Reichert</t>
  </si>
  <si>
    <t>2120 Martin Ackermann</t>
  </si>
  <si>
    <t>1115 Piet Spaak</t>
  </si>
  <si>
    <t>1040 Nathalie Dubois</t>
  </si>
  <si>
    <t>2250 Kristin Schirmer</t>
  </si>
  <si>
    <t>4130 Fabrizio Fenicia</t>
  </si>
  <si>
    <t>Eawag</t>
  </si>
  <si>
    <t>Kinderpavillon</t>
  </si>
  <si>
    <t>Sozialversicherungszweig</t>
  </si>
  <si>
    <t>AG</t>
  </si>
  <si>
    <t>AN</t>
  </si>
  <si>
    <t>AHV</t>
  </si>
  <si>
    <t>IV</t>
  </si>
  <si>
    <t>EO</t>
  </si>
  <si>
    <t>Total AHV/IV/EO</t>
  </si>
  <si>
    <t>AHV Verwaltungskosten vom AHV-Beitrag AN und AG</t>
  </si>
  <si>
    <t>ALV1 für Einkommen bis CHF 126'000</t>
  </si>
  <si>
    <t>ALV2 für Einkommen zwischen CHF 126'000 - 315'000</t>
  </si>
  <si>
    <t>BU</t>
  </si>
  <si>
    <t>NBU</t>
  </si>
  <si>
    <t>FAK-Beitrag BE</t>
  </si>
  <si>
    <t>FAK-Beitrag SG</t>
  </si>
  <si>
    <t>FAK-Beitrag ZH</t>
  </si>
  <si>
    <t>FAK-Beitrag AG</t>
  </si>
  <si>
    <t>FAK-Beitrag LU</t>
  </si>
  <si>
    <t>FAK-Beitrag GR</t>
  </si>
  <si>
    <t>FAK-Beitrag  TI</t>
  </si>
  <si>
    <t>FAK-Beitrag VD</t>
  </si>
  <si>
    <t xml:space="preserve">Zürich Risikoversicherung </t>
  </si>
  <si>
    <t xml:space="preserve">Zürich Risikoversicherung Lernende </t>
  </si>
  <si>
    <t>Krankentaggeld</t>
  </si>
  <si>
    <t>0.73% 
max. 300'000.--</t>
  </si>
  <si>
    <t>Familienzulage (Kinderzulagen) 2014</t>
  </si>
  <si>
    <t>Anspruch</t>
  </si>
  <si>
    <t>2013 (100%)</t>
  </si>
  <si>
    <t>2014 (100%)</t>
  </si>
  <si>
    <t>Jahr</t>
  </si>
  <si>
    <t>Monat</t>
  </si>
  <si>
    <t>1. Kind</t>
  </si>
  <si>
    <t>weitere Kinder &lt; 16 Jahre</t>
  </si>
  <si>
    <t>weitere Kinder &gt; 16 Jahre</t>
  </si>
  <si>
    <t>01 - 49%</t>
  </si>
  <si>
    <t>&lt; 16 Jahre (Ansatz Kt.Zürich)</t>
  </si>
  <si>
    <t>&gt; 16 Jahre (Ansatz Kt.Zürich)</t>
  </si>
  <si>
    <t>Beitrag AG pro Mt</t>
  </si>
  <si>
    <t>%</t>
  </si>
  <si>
    <t>%Risiko</t>
  </si>
  <si>
    <t>Total%</t>
  </si>
  <si>
    <t>45-54</t>
  </si>
  <si>
    <t>(sofern in Publica vor 1.7.08)</t>
  </si>
  <si>
    <t>während 7 Jahre, d.h. bis 30.6.2015</t>
  </si>
  <si>
    <t>Standardplan (bis FS 9)</t>
  </si>
  <si>
    <t>Karderplan 1 (bis FS 10 - 12)</t>
  </si>
  <si>
    <t>Personnel Expenses - SNF I</t>
  </si>
  <si>
    <t>Personnel Expenses - SNF II</t>
  </si>
  <si>
    <t>EK</t>
  </si>
  <si>
    <t>2160 Timothy Julian</t>
  </si>
  <si>
    <t>2260 Anze Zupanic</t>
  </si>
  <si>
    <t>AI</t>
  </si>
  <si>
    <t>1180 Francesco Pomati</t>
  </si>
  <si>
    <t>1230 Philine Feulner</t>
  </si>
  <si>
    <t>3010 Michael Berg</t>
  </si>
  <si>
    <t>3360 Christian Zurbrügg</t>
  </si>
  <si>
    <t xml:space="preserve">Profit Center </t>
  </si>
  <si>
    <t>0.365% 
max. 
300'000.--</t>
  </si>
  <si>
    <t>2015 (100%)</t>
  </si>
  <si>
    <t>3015 Lenny Winkel</t>
  </si>
  <si>
    <t>3140 Adriano Joss</t>
  </si>
  <si>
    <t>3150 Eberhard Morgenroth</t>
  </si>
  <si>
    <t>3170 Kai Udert</t>
  </si>
  <si>
    <t>3180 Kris Villez</t>
  </si>
  <si>
    <t>3340 Sara Marks</t>
  </si>
  <si>
    <t>8014 Rik Eggen</t>
  </si>
  <si>
    <t>8015 Janet Hering</t>
  </si>
  <si>
    <t>Familienzulage (Kinderzulagen) 2015 (NEU)</t>
  </si>
  <si>
    <t>Kaderplan 2 (ab FS 13)</t>
  </si>
  <si>
    <t>Versich.Verdienst</t>
  </si>
  <si>
    <t>Kanton</t>
  </si>
  <si>
    <t>ZH</t>
  </si>
  <si>
    <t>LU</t>
  </si>
  <si>
    <t>PK VW Kosten</t>
  </si>
  <si>
    <t>Koordinationsabzug</t>
  </si>
  <si>
    <t>Minimum</t>
  </si>
  <si>
    <t>&lt; 16 Jahre (Ansatz Kt.Luzern)</t>
  </si>
  <si>
    <t>&gt; 16 Jahre (Ansatz Kt.Luzern)</t>
  </si>
  <si>
    <t xml:space="preserve">Overhead </t>
  </si>
  <si>
    <t>Jahressalär BG</t>
  </si>
  <si>
    <t>Jahresalär 100%</t>
  </si>
  <si>
    <t>Jahressalär 100%</t>
  </si>
  <si>
    <t>Versich.Verdienst 100%</t>
  </si>
  <si>
    <t>PK AG Standard (BG)</t>
  </si>
  <si>
    <t>PK AG Kader 1 (BG)</t>
  </si>
  <si>
    <t>PK AG Kader 2 (BG)</t>
  </si>
  <si>
    <t>1085 Christine Weber</t>
  </si>
  <si>
    <t>Other Expenses</t>
  </si>
  <si>
    <t>1135 Anita Narvani</t>
  </si>
  <si>
    <t>PK-Sätze 2016</t>
  </si>
  <si>
    <t>Familienzulage (Kinderzulagen) 2016 (NEU)</t>
  </si>
  <si>
    <t>2016 (100%)</t>
  </si>
  <si>
    <t>(2'520/210)</t>
  </si>
  <si>
    <t>gem. MS 22.01.2016</t>
  </si>
  <si>
    <t>Personnel Expenses - SNF PostDoc I</t>
  </si>
  <si>
    <t>NF PostDoc 1</t>
  </si>
  <si>
    <t>NF PostDoc 2</t>
  </si>
  <si>
    <t>NF PostDoc 3</t>
  </si>
  <si>
    <t>N. N.</t>
  </si>
  <si>
    <t>2050 Elisabeth Janssen</t>
  </si>
  <si>
    <t>2270 Colette vom Berg-Maurer</t>
  </si>
  <si>
    <t>3020 Joaquin Gimenez Martinez</t>
  </si>
  <si>
    <t>3310 Christoph Lüthi</t>
  </si>
  <si>
    <t>3399 Christoph Lüthi</t>
  </si>
  <si>
    <t>3135 Ralf Kägi</t>
  </si>
  <si>
    <t>enfällt</t>
  </si>
  <si>
    <t>52.10/
Kopf</t>
  </si>
  <si>
    <t>monatl. 0.65% vom Salär als Option</t>
  </si>
  <si>
    <t>Familienzulage (Kinderzulagen) 2017 (NEU)</t>
  </si>
  <si>
    <t>2017 (100%)</t>
  </si>
  <si>
    <t>gem. MS 20.12.2016</t>
  </si>
  <si>
    <t>4042 Sabine Hoffmann</t>
  </si>
  <si>
    <t>1025 Damien Bouffard</t>
  </si>
  <si>
    <t>3190 Nicolas Derlon</t>
  </si>
  <si>
    <t>4043 Christian Binz</t>
  </si>
  <si>
    <t>4125 Jonas Sukys</t>
  </si>
  <si>
    <t>Social Security (16 %)</t>
  </si>
  <si>
    <t>2280 Ahmed Tlili</t>
  </si>
  <si>
    <t>Weitere Mitarbeitende gem. SNF</t>
  </si>
  <si>
    <t xml:space="preserve"> -Diplomierte Mitarbeitende, die keine Promotion anstreben</t>
  </si>
  <si>
    <t xml:space="preserve"> -promovierte Mitarbeitende, die keine wissenschaftliche Qualifikationsstelle innehaben</t>
  </si>
  <si>
    <t xml:space="preserve"> -technische Mitarbeitende</t>
  </si>
  <si>
    <t xml:space="preserve"> -Hilfskräfte</t>
  </si>
  <si>
    <t>Personnel Expenses - SNF weitere Mitarbeitende I</t>
  </si>
  <si>
    <t>NF weitere MA 1</t>
  </si>
  <si>
    <t>NF weitere MA 2</t>
  </si>
  <si>
    <t>NF weitere MA 3</t>
  </si>
  <si>
    <t>2018 (100%)</t>
  </si>
  <si>
    <t>Lohnbeiträge ab 01.01.2018</t>
  </si>
  <si>
    <t>N.N.</t>
  </si>
  <si>
    <t>VAT (7.7%)</t>
  </si>
  <si>
    <t>3290 Joao Leitao</t>
  </si>
  <si>
    <t>3280 Jörg Rieckerman</t>
  </si>
  <si>
    <t>3270 Tove Larsen</t>
  </si>
  <si>
    <t>3260 Christoph Ort</t>
  </si>
  <si>
    <t>3240 Max Maurer</t>
  </si>
  <si>
    <t>1035 Daniel Odermatt</t>
  </si>
  <si>
    <t xml:space="preserve">Familienzulage (Kinderzulagen) 2018 </t>
  </si>
  <si>
    <t>gem. MS 06.04.2018</t>
  </si>
  <si>
    <t>ND</t>
  </si>
  <si>
    <t>2090 Juliane Hollender</t>
  </si>
  <si>
    <t>Pers PhD PostDoc</t>
  </si>
  <si>
    <t>1 sheet for the planning of lump sum salaries such as PostDocs funded by SNF</t>
  </si>
  <si>
    <t>2 sheet for the planning of lump sum salaries such as other employees funded by SNF</t>
  </si>
  <si>
    <t>3 sheets for NLS employees</t>
  </si>
  <si>
    <t>2 sheets for the planning of lump sum salaries such as PhDs funded by SNF</t>
  </si>
  <si>
    <t>Pers Plan NLS 1 - 3</t>
  </si>
  <si>
    <t>Enter name of planned person (if known). If not, please enter "NN"</t>
  </si>
  <si>
    <t>Lohnbeiträge ab 01.01.2019</t>
  </si>
  <si>
    <t>PK-Sätze 2019</t>
  </si>
  <si>
    <t>1270 Edwin Blake Matthews</t>
  </si>
  <si>
    <t>Familienzulage (Kinderzulagen) 2019</t>
  </si>
  <si>
    <t>gem. MS 17.12.2018</t>
  </si>
  <si>
    <t>2019 (100%)</t>
  </si>
  <si>
    <t>1110 Christoph Vorburger</t>
  </si>
  <si>
    <t>3121 Marc Böhler</t>
  </si>
  <si>
    <t>4135 Marco Baity Jesi</t>
  </si>
  <si>
    <t>2215 Kristin Schirmer</t>
  </si>
  <si>
    <t>Pers PhD weitere MA</t>
  </si>
  <si>
    <t>5110 Benoît Ferrari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</si>
</sst>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0.0000%"/>
  </numFmts>
  <fonts count="41">
    <font>
      <sz val="10"/>
      <name val="Arial"/>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8"/>
      <name val="Arial"/>
      <family val="2"/>
    </font>
    <font>
      <b/>
      <sz val="10"/>
      <name val="Arial"/>
      <family val="2"/>
    </font>
    <font>
      <sz val="10"/>
      <color indexed="81"/>
      <name val="Tahoma"/>
      <family val="2"/>
    </font>
    <font>
      <b/>
      <sz val="18"/>
      <name val="Calibri"/>
      <family val="2"/>
      <scheme val="minor"/>
    </font>
    <font>
      <sz val="10"/>
      <name val="Calibri"/>
      <family val="2"/>
      <scheme val="minor"/>
    </font>
    <font>
      <b/>
      <sz val="14"/>
      <name val="Calibri"/>
      <family val="2"/>
      <scheme val="minor"/>
    </font>
    <font>
      <b/>
      <sz val="14"/>
      <color indexed="12"/>
      <name val="Calibri"/>
      <family val="2"/>
      <scheme val="minor"/>
    </font>
    <font>
      <b/>
      <sz val="12"/>
      <name val="Calibri"/>
      <family val="2"/>
      <scheme val="minor"/>
    </font>
    <font>
      <b/>
      <sz val="10"/>
      <name val="Calibri"/>
      <family val="2"/>
      <scheme val="minor"/>
    </font>
    <font>
      <sz val="8"/>
      <name val="Calibri"/>
      <family val="2"/>
      <scheme val="minor"/>
    </font>
    <font>
      <b/>
      <sz val="11"/>
      <name val="Calibri"/>
      <family val="2"/>
      <scheme val="minor"/>
    </font>
    <font>
      <sz val="11"/>
      <name val="Calibri"/>
      <family val="2"/>
      <scheme val="minor"/>
    </font>
    <font>
      <b/>
      <sz val="11"/>
      <color indexed="10"/>
      <name val="Calibri"/>
      <family val="2"/>
      <scheme val="minor"/>
    </font>
    <font>
      <sz val="11"/>
      <color indexed="10"/>
      <name val="Calibri"/>
      <family val="2"/>
      <scheme val="minor"/>
    </font>
    <font>
      <b/>
      <sz val="14"/>
      <color rgb="FFC00000"/>
      <name val="Calibri"/>
      <family val="2"/>
      <scheme val="minor"/>
    </font>
    <font>
      <b/>
      <sz val="11"/>
      <color theme="1"/>
      <name val="Calibri"/>
      <family val="2"/>
      <scheme val="minor"/>
    </font>
    <font>
      <b/>
      <sz val="11"/>
      <name val="Arial"/>
      <family val="2"/>
    </font>
    <font>
      <sz val="11"/>
      <name val="Arial"/>
      <family val="2"/>
    </font>
    <font>
      <b/>
      <sz val="11"/>
      <color indexed="12"/>
      <name val="Arial"/>
      <family val="2"/>
    </font>
    <font>
      <b/>
      <sz val="10"/>
      <name val="Verdana"/>
      <family val="2"/>
    </font>
    <font>
      <b/>
      <sz val="11"/>
      <color indexed="9"/>
      <name val="Arial"/>
      <family val="2"/>
    </font>
    <font>
      <sz val="11"/>
      <color indexed="9"/>
      <name val="Arial"/>
      <family val="2"/>
    </font>
    <font>
      <sz val="11"/>
      <color rgb="FFFF0000"/>
      <name val="Arial"/>
      <family val="2"/>
    </font>
    <font>
      <sz val="10"/>
      <color theme="1"/>
      <name val="Calibri"/>
      <family val="2"/>
      <scheme val="minor"/>
    </font>
    <font>
      <b/>
      <sz val="14"/>
      <color theme="1"/>
      <name val="Arial"/>
      <family val="2"/>
    </font>
    <font>
      <b/>
      <sz val="10"/>
      <color theme="1"/>
      <name val="Arial"/>
      <family val="2"/>
    </font>
    <font>
      <b/>
      <sz val="10"/>
      <color theme="1"/>
      <name val="ETH Light"/>
    </font>
    <font>
      <sz val="8"/>
      <color theme="1"/>
      <name val="Calibri"/>
      <family val="2"/>
      <scheme val="minor"/>
    </font>
    <font>
      <sz val="10"/>
      <color rgb="FFFF0000"/>
      <name val="Arial"/>
      <family val="2"/>
    </font>
    <font>
      <b/>
      <sz val="11"/>
      <color rgb="FFFF0000"/>
      <name val="Arial"/>
      <family val="2"/>
    </font>
    <font>
      <b/>
      <u/>
      <sz val="11"/>
      <name val="Calibri"/>
      <family val="2"/>
      <scheme val="minor"/>
    </font>
  </fonts>
  <fills count="3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FF66"/>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indexed="40"/>
        <bgColor indexed="64"/>
      </patternFill>
    </fill>
    <fill>
      <patternFill patternType="solid">
        <fgColor theme="7" tint="0.39997558519241921"/>
        <bgColor indexed="64"/>
      </patternFill>
    </fill>
    <fill>
      <patternFill patternType="solid">
        <fgColor indexed="22"/>
        <bgColor indexed="64"/>
      </patternFill>
    </fill>
    <fill>
      <patternFill patternType="solid">
        <fgColor indexed="8"/>
        <bgColor indexed="64"/>
      </patternFill>
    </fill>
    <fill>
      <patternFill patternType="solid">
        <fgColor theme="3"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s>
  <borders count="5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s>
  <cellStyleXfs count="7">
    <xf numFmtId="0" fontId="0" fillId="0" borderId="0"/>
    <xf numFmtId="43" fontId="8" fillId="0" borderId="0" applyFont="0" applyFill="0" applyBorder="0" applyAlignment="0" applyProtection="0"/>
    <xf numFmtId="9" fontId="8" fillId="0" borderId="0" applyFont="0" applyFill="0" applyBorder="0" applyAlignment="0" applyProtection="0"/>
    <xf numFmtId="0" fontId="6" fillId="0" borderId="0"/>
    <xf numFmtId="0" fontId="5" fillId="0" borderId="0"/>
    <xf numFmtId="0" fontId="3" fillId="0" borderId="0"/>
    <xf numFmtId="0" fontId="2" fillId="0" borderId="0"/>
  </cellStyleXfs>
  <cellXfs count="404">
    <xf numFmtId="0" fontId="0" fillId="0" borderId="0" xfId="0"/>
    <xf numFmtId="0" fontId="0" fillId="0" borderId="0" xfId="0" applyFill="1"/>
    <xf numFmtId="0" fontId="14" fillId="4" borderId="0" xfId="0" applyFont="1" applyFill="1"/>
    <xf numFmtId="0" fontId="14" fillId="0" borderId="0" xfId="0" applyFont="1"/>
    <xf numFmtId="0" fontId="15" fillId="4" borderId="23" xfId="0" applyFont="1" applyFill="1" applyBorder="1" applyAlignment="1">
      <alignment vertical="top" wrapText="1"/>
    </xf>
    <xf numFmtId="0" fontId="14" fillId="4" borderId="0" xfId="0" applyFont="1" applyFill="1" applyBorder="1" applyAlignment="1">
      <alignment vertical="top" wrapText="1"/>
    </xf>
    <xf numFmtId="0" fontId="14" fillId="4" borderId="22" xfId="0" applyFont="1" applyFill="1" applyBorder="1" applyAlignment="1">
      <alignment vertical="top" wrapText="1"/>
    </xf>
    <xf numFmtId="0" fontId="16" fillId="4" borderId="23" xfId="0" applyFont="1" applyFill="1" applyBorder="1" applyAlignment="1">
      <alignment vertical="center"/>
    </xf>
    <xf numFmtId="0" fontId="14" fillId="4" borderId="0" xfId="0" applyFont="1" applyFill="1" applyBorder="1" applyAlignment="1">
      <alignment wrapText="1"/>
    </xf>
    <xf numFmtId="0" fontId="14" fillId="4" borderId="22" xfId="0" applyFont="1" applyFill="1" applyBorder="1" applyAlignment="1">
      <alignment wrapText="1"/>
    </xf>
    <xf numFmtId="0" fontId="15" fillId="0" borderId="39" xfId="0" applyFont="1" applyBorder="1" applyAlignment="1">
      <alignment vertical="top" wrapText="1"/>
    </xf>
    <xf numFmtId="0" fontId="15" fillId="0" borderId="40" xfId="0" applyFont="1" applyBorder="1" applyAlignment="1">
      <alignment vertical="top" wrapText="1"/>
    </xf>
    <xf numFmtId="0" fontId="15" fillId="0" borderId="41" xfId="0" applyFont="1" applyBorder="1" applyAlignment="1">
      <alignment vertical="top" wrapText="1"/>
    </xf>
    <xf numFmtId="0" fontId="17" fillId="9" borderId="21" xfId="0" applyFont="1" applyFill="1" applyBorder="1" applyAlignment="1">
      <alignment vertical="top" wrapText="1"/>
    </xf>
    <xf numFmtId="0" fontId="14" fillId="9" borderId="18" xfId="0" applyFont="1" applyFill="1" applyBorder="1" applyAlignment="1">
      <alignment vertical="top" wrapText="1"/>
    </xf>
    <xf numFmtId="0" fontId="18" fillId="9" borderId="19" xfId="0" applyFont="1" applyFill="1" applyBorder="1" applyAlignment="1">
      <alignment vertical="top" wrapText="1"/>
    </xf>
    <xf numFmtId="0" fontId="17" fillId="9" borderId="12" xfId="0" applyFont="1" applyFill="1" applyBorder="1" applyAlignment="1">
      <alignment vertical="top" wrapText="1"/>
    </xf>
    <xf numFmtId="0" fontId="14" fillId="9" borderId="2" xfId="0" applyFont="1" applyFill="1" applyBorder="1" applyAlignment="1">
      <alignment vertical="top" wrapText="1"/>
    </xf>
    <xf numFmtId="0" fontId="14" fillId="9" borderId="13" xfId="0" applyFont="1" applyFill="1" applyBorder="1" applyAlignment="1">
      <alignment vertical="top" wrapText="1"/>
    </xf>
    <xf numFmtId="0" fontId="17" fillId="9" borderId="14" xfId="0" applyFont="1" applyFill="1" applyBorder="1" applyAlignment="1">
      <alignment vertical="top" wrapText="1"/>
    </xf>
    <xf numFmtId="0" fontId="14" fillId="9" borderId="15" xfId="0" applyFont="1" applyFill="1" applyBorder="1" applyAlignment="1">
      <alignment vertical="top" wrapText="1"/>
    </xf>
    <xf numFmtId="0" fontId="14" fillId="9" borderId="16" xfId="0" applyFont="1" applyFill="1" applyBorder="1" applyAlignment="1">
      <alignment vertical="top" wrapText="1"/>
    </xf>
    <xf numFmtId="0" fontId="17" fillId="3" borderId="39" xfId="0" applyFont="1" applyFill="1" applyBorder="1" applyAlignment="1">
      <alignment vertical="top" wrapText="1"/>
    </xf>
    <xf numFmtId="0" fontId="14" fillId="3" borderId="40" xfId="0" applyFont="1" applyFill="1" applyBorder="1" applyAlignment="1">
      <alignment vertical="top" wrapText="1"/>
    </xf>
    <xf numFmtId="0" fontId="18" fillId="3" borderId="41" xfId="0" applyFont="1" applyFill="1" applyBorder="1" applyAlignment="1">
      <alignment vertical="top" wrapText="1"/>
    </xf>
    <xf numFmtId="0" fontId="17" fillId="6" borderId="21" xfId="0" applyFont="1" applyFill="1" applyBorder="1" applyAlignment="1">
      <alignment vertical="top" wrapText="1"/>
    </xf>
    <xf numFmtId="0" fontId="14" fillId="6" borderId="18" xfId="0" applyFont="1" applyFill="1" applyBorder="1" applyAlignment="1">
      <alignment vertical="top" wrapText="1"/>
    </xf>
    <xf numFmtId="0" fontId="18" fillId="6" borderId="19" xfId="0" applyFont="1" applyFill="1" applyBorder="1" applyAlignment="1">
      <alignment vertical="top" wrapText="1"/>
    </xf>
    <xf numFmtId="0" fontId="17" fillId="6" borderId="12" xfId="0" applyFont="1" applyFill="1" applyBorder="1" applyAlignment="1">
      <alignment vertical="top" wrapText="1"/>
    </xf>
    <xf numFmtId="0" fontId="14" fillId="6" borderId="2" xfId="0" applyFont="1" applyFill="1" applyBorder="1" applyAlignment="1">
      <alignment vertical="top" wrapText="1"/>
    </xf>
    <xf numFmtId="0" fontId="18" fillId="6" borderId="13" xfId="0" applyFont="1" applyFill="1" applyBorder="1" applyAlignment="1">
      <alignment vertical="top" wrapText="1"/>
    </xf>
    <xf numFmtId="0" fontId="17" fillId="6" borderId="14" xfId="0" applyFont="1" applyFill="1" applyBorder="1" applyAlignment="1">
      <alignment vertical="top" wrapText="1"/>
    </xf>
    <xf numFmtId="0" fontId="14" fillId="6" borderId="15" xfId="0" applyFont="1" applyFill="1" applyBorder="1" applyAlignment="1">
      <alignment vertical="top" wrapText="1"/>
    </xf>
    <xf numFmtId="0" fontId="18" fillId="6" borderId="16" xfId="0" applyFont="1" applyFill="1" applyBorder="1" applyAlignment="1">
      <alignment vertical="top" wrapText="1"/>
    </xf>
    <xf numFmtId="0" fontId="17" fillId="7" borderId="34" xfId="0" applyFont="1" applyFill="1" applyBorder="1" applyAlignment="1">
      <alignment vertical="top" wrapText="1"/>
    </xf>
    <xf numFmtId="0" fontId="14" fillId="7" borderId="18" xfId="0" applyFont="1" applyFill="1" applyBorder="1" applyAlignment="1">
      <alignment vertical="top" wrapText="1"/>
    </xf>
    <xf numFmtId="0" fontId="18" fillId="7" borderId="19" xfId="0" applyFont="1" applyFill="1" applyBorder="1" applyAlignment="1">
      <alignment vertical="top" wrapText="1"/>
    </xf>
    <xf numFmtId="0" fontId="17" fillId="8" borderId="43" xfId="0" applyFont="1" applyFill="1" applyBorder="1" applyAlignment="1">
      <alignment vertical="top" wrapText="1"/>
    </xf>
    <xf numFmtId="0" fontId="14" fillId="8" borderId="44" xfId="0" applyFont="1" applyFill="1" applyBorder="1" applyAlignment="1">
      <alignment vertical="top" wrapText="1"/>
    </xf>
    <xf numFmtId="0" fontId="14" fillId="8" borderId="45" xfId="0" applyFont="1" applyFill="1" applyBorder="1" applyAlignment="1">
      <alignment vertical="top" wrapText="1"/>
    </xf>
    <xf numFmtId="0" fontId="14" fillId="4" borderId="0" xfId="0" applyFont="1" applyFill="1" applyAlignment="1">
      <alignment wrapText="1"/>
    </xf>
    <xf numFmtId="0" fontId="14" fillId="0" borderId="0" xfId="0" applyFont="1" applyAlignment="1">
      <alignment wrapText="1"/>
    </xf>
    <xf numFmtId="3" fontId="19" fillId="0" borderId="0" xfId="0" applyNumberFormat="1" applyFont="1"/>
    <xf numFmtId="0" fontId="18" fillId="0" borderId="0" xfId="0" applyFont="1"/>
    <xf numFmtId="3" fontId="14" fillId="0" borderId="0" xfId="0" applyNumberFormat="1" applyFont="1"/>
    <xf numFmtId="0" fontId="21" fillId="4" borderId="0" xfId="0" applyFont="1" applyFill="1" applyBorder="1"/>
    <xf numFmtId="0" fontId="21" fillId="4" borderId="22" xfId="0" applyFont="1" applyFill="1" applyBorder="1"/>
    <xf numFmtId="3" fontId="21" fillId="0" borderId="0" xfId="0" applyNumberFormat="1" applyFont="1"/>
    <xf numFmtId="0" fontId="21" fillId="0" borderId="0" xfId="0" applyFont="1"/>
    <xf numFmtId="0" fontId="21" fillId="0" borderId="2" xfId="0" applyFont="1" applyBorder="1"/>
    <xf numFmtId="0" fontId="21" fillId="4" borderId="23" xfId="0" applyFont="1" applyFill="1" applyBorder="1"/>
    <xf numFmtId="0" fontId="21" fillId="4" borderId="0" xfId="0" applyFont="1" applyFill="1" applyBorder="1" applyProtection="1">
      <protection locked="0"/>
    </xf>
    <xf numFmtId="10" fontId="21" fillId="0" borderId="2" xfId="0" applyNumberFormat="1" applyFont="1" applyBorder="1"/>
    <xf numFmtId="0" fontId="21" fillId="0" borderId="0" xfId="0" applyFont="1" applyBorder="1"/>
    <xf numFmtId="0" fontId="21" fillId="0" borderId="10" xfId="0" applyFont="1" applyBorder="1"/>
    <xf numFmtId="0" fontId="21" fillId="0" borderId="11" xfId="0" applyFont="1" applyBorder="1"/>
    <xf numFmtId="0" fontId="21" fillId="0" borderId="1" xfId="0" applyFont="1" applyBorder="1"/>
    <xf numFmtId="0" fontId="21" fillId="4" borderId="26" xfId="0" applyFont="1" applyFill="1" applyBorder="1"/>
    <xf numFmtId="0" fontId="21" fillId="4" borderId="0" xfId="0" applyFont="1" applyFill="1"/>
    <xf numFmtId="0" fontId="20" fillId="0" borderId="37" xfId="0" applyFont="1" applyBorder="1" applyAlignment="1">
      <alignment wrapText="1"/>
    </xf>
    <xf numFmtId="0" fontId="21" fillId="0" borderId="19" xfId="0" applyFont="1" applyBorder="1"/>
    <xf numFmtId="0" fontId="21" fillId="0" borderId="12" xfId="0" applyFont="1" applyBorder="1" applyAlignment="1"/>
    <xf numFmtId="0" fontId="20" fillId="0" borderId="2" xfId="0" applyFont="1" applyBorder="1" applyAlignment="1">
      <alignment horizontal="center"/>
    </xf>
    <xf numFmtId="0" fontId="20" fillId="0" borderId="13" xfId="0" applyFont="1" applyBorder="1" applyAlignment="1">
      <alignment horizontal="center"/>
    </xf>
    <xf numFmtId="3" fontId="21" fillId="0" borderId="0" xfId="0" applyNumberFormat="1" applyFont="1" applyAlignment="1">
      <alignment horizontal="right"/>
    </xf>
    <xf numFmtId="9" fontId="21" fillId="0" borderId="2" xfId="0" applyNumberFormat="1" applyFont="1" applyBorder="1"/>
    <xf numFmtId="0" fontId="20" fillId="0" borderId="12" xfId="0" applyFont="1" applyBorder="1" applyAlignment="1"/>
    <xf numFmtId="3" fontId="21" fillId="0" borderId="2" xfId="0" applyNumberFormat="1" applyFont="1" applyBorder="1"/>
    <xf numFmtId="3" fontId="20" fillId="0" borderId="13" xfId="0" applyNumberFormat="1" applyFont="1" applyBorder="1"/>
    <xf numFmtId="3" fontId="21" fillId="0" borderId="2" xfId="0" applyNumberFormat="1" applyFont="1" applyBorder="1" applyProtection="1">
      <protection locked="0"/>
    </xf>
    <xf numFmtId="3" fontId="21" fillId="0" borderId="35" xfId="0" applyNumberFormat="1" applyFont="1" applyBorder="1" applyProtection="1">
      <protection locked="0"/>
    </xf>
    <xf numFmtId="3" fontId="22" fillId="0" borderId="13" xfId="0" applyNumberFormat="1" applyFont="1" applyBorder="1"/>
    <xf numFmtId="0" fontId="23" fillId="0" borderId="0" xfId="0" applyFont="1" applyFill="1"/>
    <xf numFmtId="0" fontId="20" fillId="0" borderId="14" xfId="0" applyFont="1" applyFill="1" applyBorder="1" applyAlignment="1"/>
    <xf numFmtId="3" fontId="20" fillId="0" borderId="10" xfId="0" applyNumberFormat="1" applyFont="1" applyBorder="1"/>
    <xf numFmtId="3" fontId="20" fillId="0" borderId="20" xfId="0" applyNumberFormat="1" applyFont="1" applyBorder="1"/>
    <xf numFmtId="0" fontId="20" fillId="0" borderId="21" xfId="0" applyFont="1" applyFill="1" applyBorder="1" applyAlignment="1"/>
    <xf numFmtId="3" fontId="21" fillId="0" borderId="18" xfId="0" applyNumberFormat="1" applyFont="1" applyBorder="1"/>
    <xf numFmtId="3" fontId="20" fillId="0" borderId="19" xfId="1" applyNumberFormat="1" applyFont="1" applyBorder="1"/>
    <xf numFmtId="3" fontId="21" fillId="0" borderId="1" xfId="0" applyNumberFormat="1" applyFont="1" applyBorder="1"/>
    <xf numFmtId="3" fontId="21" fillId="0" borderId="8" xfId="0" applyNumberFormat="1" applyFont="1" applyBorder="1"/>
    <xf numFmtId="0" fontId="20" fillId="0" borderId="17" xfId="0" applyFont="1" applyFill="1" applyBorder="1" applyAlignment="1"/>
    <xf numFmtId="3" fontId="20" fillId="0" borderId="16" xfId="1" applyNumberFormat="1" applyFont="1" applyBorder="1"/>
    <xf numFmtId="0" fontId="21" fillId="0" borderId="8" xfId="0" applyFont="1" applyBorder="1"/>
    <xf numFmtId="0" fontId="21" fillId="10" borderId="0" xfId="0" applyFont="1" applyFill="1"/>
    <xf numFmtId="0" fontId="21" fillId="10" borderId="38" xfId="0" applyFont="1" applyFill="1" applyBorder="1" applyAlignment="1" applyProtection="1">
      <alignment horizontal="right"/>
      <protection locked="0"/>
    </xf>
    <xf numFmtId="2" fontId="21" fillId="10" borderId="46" xfId="0" applyNumberFormat="1" applyFont="1" applyFill="1" applyBorder="1"/>
    <xf numFmtId="0" fontId="21" fillId="11" borderId="0" xfId="0" applyFont="1" applyFill="1" applyBorder="1" applyAlignment="1">
      <alignment vertical="center" wrapText="1"/>
    </xf>
    <xf numFmtId="0" fontId="21" fillId="11" borderId="0" xfId="0" applyFont="1" applyFill="1" applyBorder="1"/>
    <xf numFmtId="14" fontId="21" fillId="11" borderId="0" xfId="0" applyNumberFormat="1" applyFont="1" applyFill="1" applyBorder="1"/>
    <xf numFmtId="0" fontId="20" fillId="9" borderId="23" xfId="0" applyFont="1" applyFill="1" applyBorder="1"/>
    <xf numFmtId="0" fontId="21" fillId="9" borderId="0" xfId="0" applyFont="1" applyFill="1" applyBorder="1" applyAlignment="1">
      <alignment vertical="center" wrapText="1"/>
    </xf>
    <xf numFmtId="0" fontId="21" fillId="9" borderId="0" xfId="0" applyFont="1" applyFill="1" applyBorder="1"/>
    <xf numFmtId="0" fontId="21" fillId="9" borderId="23" xfId="0" applyFont="1" applyFill="1" applyBorder="1"/>
    <xf numFmtId="0" fontId="20" fillId="9" borderId="0" xfId="0" applyFont="1" applyFill="1" applyBorder="1"/>
    <xf numFmtId="0" fontId="20" fillId="6" borderId="23" xfId="0" applyFont="1" applyFill="1" applyBorder="1"/>
    <xf numFmtId="0" fontId="21" fillId="6" borderId="0" xfId="0" applyFont="1" applyFill="1" applyBorder="1"/>
    <xf numFmtId="0" fontId="21" fillId="6" borderId="23" xfId="0" applyFont="1" applyFill="1" applyBorder="1"/>
    <xf numFmtId="0" fontId="20" fillId="12" borderId="23" xfId="0" applyFont="1" applyFill="1" applyBorder="1"/>
    <xf numFmtId="0" fontId="21" fillId="12" borderId="0" xfId="0" applyFont="1" applyFill="1" applyBorder="1"/>
    <xf numFmtId="0" fontId="14" fillId="4" borderId="0" xfId="0" applyFont="1" applyFill="1" applyAlignment="1">
      <alignment horizontal="center"/>
    </xf>
    <xf numFmtId="4" fontId="14" fillId="4" borderId="0" xfId="0" applyNumberFormat="1" applyFont="1" applyFill="1"/>
    <xf numFmtId="0" fontId="14" fillId="0" borderId="0" xfId="0" applyFont="1" applyAlignment="1">
      <alignment horizontal="center"/>
    </xf>
    <xf numFmtId="4" fontId="14" fillId="0" borderId="0" xfId="0" applyNumberFormat="1" applyFont="1"/>
    <xf numFmtId="0" fontId="20" fillId="0" borderId="12" xfId="0" applyFont="1" applyBorder="1" applyAlignment="1">
      <alignment horizontal="center"/>
    </xf>
    <xf numFmtId="0" fontId="20" fillId="0" borderId="2" xfId="0" applyFont="1" applyBorder="1" applyAlignment="1">
      <alignment wrapText="1"/>
    </xf>
    <xf numFmtId="4" fontId="20" fillId="0" borderId="13" xfId="0" applyNumberFormat="1" applyFont="1" applyBorder="1"/>
    <xf numFmtId="0" fontId="20" fillId="0" borderId="0" xfId="0" applyFont="1"/>
    <xf numFmtId="0" fontId="21" fillId="0" borderId="12" xfId="0" applyFont="1" applyBorder="1" applyAlignment="1">
      <alignment horizontal="center"/>
    </xf>
    <xf numFmtId="0" fontId="21" fillId="0" borderId="2" xfId="0" applyFont="1" applyBorder="1" applyAlignment="1" applyProtection="1">
      <alignment wrapText="1"/>
      <protection locked="0"/>
    </xf>
    <xf numFmtId="4" fontId="21" fillId="0" borderId="13" xfId="0" applyNumberFormat="1" applyFont="1" applyBorder="1" applyProtection="1">
      <protection locked="0"/>
    </xf>
    <xf numFmtId="0" fontId="21" fillId="0" borderId="14" xfId="0" applyFont="1" applyBorder="1" applyAlignment="1">
      <alignment horizontal="center"/>
    </xf>
    <xf numFmtId="0" fontId="20" fillId="0" borderId="15" xfId="0" applyFont="1" applyBorder="1" applyAlignment="1">
      <alignment wrapText="1"/>
    </xf>
    <xf numFmtId="4" fontId="20" fillId="0" borderId="16" xfId="0" applyNumberFormat="1" applyFont="1" applyBorder="1"/>
    <xf numFmtId="0" fontId="21" fillId="0" borderId="17" xfId="0" applyFont="1" applyBorder="1" applyAlignment="1">
      <alignment horizontal="center"/>
    </xf>
    <xf numFmtId="0" fontId="21" fillId="0" borderId="10" xfId="0" applyFont="1" applyBorder="1" applyAlignment="1" applyProtection="1">
      <alignment wrapText="1"/>
      <protection locked="0"/>
    </xf>
    <xf numFmtId="4" fontId="21" fillId="0" borderId="20" xfId="0" applyNumberFormat="1" applyFont="1" applyBorder="1" applyProtection="1">
      <protection locked="0"/>
    </xf>
    <xf numFmtId="0" fontId="21" fillId="4" borderId="0" xfId="0" applyFont="1" applyFill="1" applyBorder="1" applyAlignment="1" applyProtection="1">
      <alignment wrapText="1"/>
      <protection locked="0"/>
    </xf>
    <xf numFmtId="0" fontId="21" fillId="9" borderId="0" xfId="0" applyFont="1" applyFill="1" applyBorder="1" applyAlignment="1">
      <alignment horizontal="left" wrapText="1"/>
    </xf>
    <xf numFmtId="0" fontId="13" fillId="0" borderId="0" xfId="0" applyFont="1"/>
    <xf numFmtId="0" fontId="14" fillId="0" borderId="0" xfId="0" applyFont="1" applyFill="1" applyBorder="1"/>
    <xf numFmtId="0" fontId="20" fillId="0" borderId="0" xfId="0" applyFont="1" applyAlignment="1">
      <alignment wrapText="1"/>
    </xf>
    <xf numFmtId="0" fontId="21" fillId="15" borderId="0" xfId="0" applyFont="1" applyFill="1" applyAlignment="1" applyProtection="1">
      <alignment wrapText="1"/>
      <protection locked="0"/>
    </xf>
    <xf numFmtId="0" fontId="21" fillId="0" borderId="0" xfId="0" applyFont="1" applyAlignment="1">
      <alignment wrapText="1"/>
    </xf>
    <xf numFmtId="0" fontId="21" fillId="0" borderId="0" xfId="0" applyFont="1" applyFill="1" applyAlignment="1">
      <alignment wrapText="1"/>
    </xf>
    <xf numFmtId="0" fontId="21" fillId="0" borderId="0" xfId="0" applyFont="1" applyFill="1" applyBorder="1" applyAlignment="1">
      <alignment wrapText="1"/>
    </xf>
    <xf numFmtId="14" fontId="20" fillId="0" borderId="0" xfId="0" applyNumberFormat="1" applyFont="1" applyAlignment="1">
      <alignment wrapText="1"/>
    </xf>
    <xf numFmtId="16" fontId="21" fillId="17" borderId="0" xfId="0" applyNumberFormat="1" applyFont="1" applyFill="1" applyAlignment="1" applyProtection="1">
      <alignment wrapText="1"/>
      <protection locked="0"/>
    </xf>
    <xf numFmtId="0" fontId="21" fillId="0" borderId="0" xfId="0" applyFont="1" applyFill="1"/>
    <xf numFmtId="0" fontId="21" fillId="0" borderId="0" xfId="0" applyFont="1" applyFill="1" applyBorder="1"/>
    <xf numFmtId="0" fontId="21" fillId="0" borderId="2" xfId="0" applyFont="1" applyBorder="1" applyAlignment="1">
      <alignment horizontal="center"/>
    </xf>
    <xf numFmtId="0" fontId="21" fillId="16" borderId="0" xfId="0" applyFont="1" applyFill="1"/>
    <xf numFmtId="0" fontId="21" fillId="16" borderId="0" xfId="0" applyFont="1" applyFill="1" applyProtection="1">
      <protection locked="0"/>
    </xf>
    <xf numFmtId="9" fontId="21" fillId="7" borderId="0" xfId="0" applyNumberFormat="1" applyFont="1" applyFill="1" applyProtection="1">
      <protection locked="0"/>
    </xf>
    <xf numFmtId="0" fontId="21" fillId="7" borderId="0" xfId="0" applyFont="1" applyFill="1" applyProtection="1">
      <protection locked="0"/>
    </xf>
    <xf numFmtId="0" fontId="21" fillId="0" borderId="27" xfId="0" applyFont="1" applyBorder="1"/>
    <xf numFmtId="3" fontId="21" fillId="0" borderId="28" xfId="0" applyNumberFormat="1" applyFont="1" applyBorder="1"/>
    <xf numFmtId="0" fontId="21" fillId="0" borderId="29" xfId="0" applyFont="1" applyBorder="1"/>
    <xf numFmtId="3" fontId="21" fillId="0" borderId="29" xfId="0" applyNumberFormat="1" applyFont="1" applyBorder="1"/>
    <xf numFmtId="0" fontId="21" fillId="0" borderId="23" xfId="0" applyFont="1" applyBorder="1"/>
    <xf numFmtId="3" fontId="21" fillId="0" borderId="0" xfId="0" applyNumberFormat="1" applyFont="1" applyBorder="1"/>
    <xf numFmtId="0" fontId="21" fillId="0" borderId="22" xfId="0" applyFont="1" applyBorder="1"/>
    <xf numFmtId="3" fontId="21" fillId="0" borderId="22" xfId="0" applyNumberFormat="1" applyFont="1" applyBorder="1"/>
    <xf numFmtId="0" fontId="21" fillId="0" borderId="23" xfId="0" applyFont="1" applyFill="1" applyBorder="1"/>
    <xf numFmtId="9" fontId="20" fillId="0" borderId="23" xfId="0" applyNumberFormat="1" applyFont="1" applyBorder="1"/>
    <xf numFmtId="3" fontId="20" fillId="0" borderId="0" xfId="0" applyNumberFormat="1" applyFont="1" applyBorder="1"/>
    <xf numFmtId="0" fontId="20" fillId="0" borderId="22" xfId="0" applyFont="1" applyBorder="1"/>
    <xf numFmtId="10" fontId="21" fillId="0" borderId="23" xfId="2" applyNumberFormat="1" applyFont="1" applyFill="1" applyBorder="1"/>
    <xf numFmtId="10" fontId="21" fillId="0" borderId="23" xfId="2" applyNumberFormat="1" applyFont="1" applyBorder="1"/>
    <xf numFmtId="3" fontId="20" fillId="0" borderId="0" xfId="0" applyNumberFormat="1" applyFont="1" applyFill="1" applyBorder="1"/>
    <xf numFmtId="3" fontId="21" fillId="0" borderId="23" xfId="0" applyNumberFormat="1" applyFont="1" applyBorder="1"/>
    <xf numFmtId="0" fontId="21" fillId="0" borderId="3" xfId="0" applyFont="1" applyBorder="1"/>
    <xf numFmtId="0" fontId="21" fillId="0" borderId="30" xfId="0" applyFont="1" applyBorder="1"/>
    <xf numFmtId="3" fontId="21" fillId="0" borderId="3" xfId="0" applyNumberFormat="1" applyFont="1" applyBorder="1"/>
    <xf numFmtId="0" fontId="21" fillId="0" borderId="31" xfId="0" applyFont="1" applyBorder="1"/>
    <xf numFmtId="0" fontId="21" fillId="0" borderId="5" xfId="0" applyFont="1" applyBorder="1"/>
    <xf numFmtId="0" fontId="20" fillId="0" borderId="6" xfId="0" applyFont="1" applyBorder="1"/>
    <xf numFmtId="0" fontId="20" fillId="0" borderId="6" xfId="0" applyNumberFormat="1" applyFont="1" applyBorder="1" applyProtection="1">
      <protection locked="0"/>
    </xf>
    <xf numFmtId="0" fontId="21" fillId="0" borderId="34" xfId="0" applyFont="1" applyBorder="1"/>
    <xf numFmtId="0" fontId="21" fillId="0" borderId="7" xfId="0" applyFont="1" applyBorder="1"/>
    <xf numFmtId="0" fontId="21" fillId="0" borderId="6" xfId="0" applyFont="1" applyBorder="1"/>
    <xf numFmtId="3" fontId="21" fillId="0" borderId="6" xfId="0" applyNumberFormat="1" applyFont="1" applyBorder="1" applyProtection="1">
      <protection locked="0"/>
    </xf>
    <xf numFmtId="2" fontId="21" fillId="2" borderId="6" xfId="0" applyNumberFormat="1" applyFont="1" applyFill="1" applyBorder="1" applyProtection="1">
      <protection locked="0"/>
    </xf>
    <xf numFmtId="3" fontId="21" fillId="0" borderId="6" xfId="0" applyNumberFormat="1" applyFont="1" applyBorder="1"/>
    <xf numFmtId="3" fontId="21" fillId="0" borderId="23" xfId="0" applyNumberFormat="1" applyFont="1" applyFill="1" applyBorder="1"/>
    <xf numFmtId="3" fontId="21" fillId="0" borderId="7" xfId="0" applyNumberFormat="1" applyFont="1" applyBorder="1"/>
    <xf numFmtId="0" fontId="20" fillId="0" borderId="23" xfId="0" applyFont="1" applyBorder="1"/>
    <xf numFmtId="3" fontId="20" fillId="0" borderId="6" xfId="0" applyNumberFormat="1" applyFont="1" applyBorder="1"/>
    <xf numFmtId="3" fontId="20" fillId="0" borderId="22" xfId="0" applyNumberFormat="1" applyFont="1" applyBorder="1"/>
    <xf numFmtId="3" fontId="20" fillId="0" borderId="23" xfId="0" applyNumberFormat="1" applyFont="1" applyFill="1" applyBorder="1"/>
    <xf numFmtId="3" fontId="20" fillId="0" borderId="7" xfId="0" applyNumberFormat="1" applyFont="1" applyBorder="1"/>
    <xf numFmtId="0" fontId="21" fillId="0" borderId="32" xfId="0" applyFont="1" applyBorder="1"/>
    <xf numFmtId="0" fontId="21" fillId="0" borderId="33" xfId="0" applyFont="1" applyBorder="1"/>
    <xf numFmtId="0" fontId="21" fillId="0" borderId="9" xfId="0" applyFont="1" applyBorder="1"/>
    <xf numFmtId="0" fontId="21" fillId="0" borderId="32" xfId="0" applyFont="1" applyFill="1" applyBorder="1"/>
    <xf numFmtId="3" fontId="21" fillId="0" borderId="4" xfId="0" applyNumberFormat="1" applyFont="1" applyBorder="1"/>
    <xf numFmtId="0" fontId="21" fillId="0" borderId="4" xfId="0" applyFont="1" applyBorder="1"/>
    <xf numFmtId="0" fontId="21" fillId="14" borderId="23" xfId="0" applyFont="1" applyFill="1" applyBorder="1" applyProtection="1">
      <protection locked="0"/>
    </xf>
    <xf numFmtId="0" fontId="21" fillId="0" borderId="24" xfId="0" applyFont="1" applyBorder="1"/>
    <xf numFmtId="3" fontId="21" fillId="0" borderId="25" xfId="0" applyNumberFormat="1" applyFont="1" applyBorder="1"/>
    <xf numFmtId="0" fontId="21" fillId="0" borderId="26" xfId="0" applyFont="1" applyBorder="1"/>
    <xf numFmtId="0" fontId="21" fillId="0" borderId="25" xfId="0" applyFont="1" applyBorder="1"/>
    <xf numFmtId="0" fontId="21" fillId="0" borderId="24" xfId="0" applyFont="1" applyFill="1" applyBorder="1"/>
    <xf numFmtId="0" fontId="21" fillId="5" borderId="2" xfId="0" applyFont="1" applyFill="1" applyBorder="1"/>
    <xf numFmtId="0" fontId="20" fillId="5" borderId="2" xfId="0" applyFont="1" applyFill="1" applyBorder="1"/>
    <xf numFmtId="3" fontId="21" fillId="0" borderId="0" xfId="0" applyNumberFormat="1" applyFont="1" applyFill="1"/>
    <xf numFmtId="3" fontId="21" fillId="5" borderId="2" xfId="0" applyNumberFormat="1" applyFont="1" applyFill="1" applyBorder="1"/>
    <xf numFmtId="0" fontId="21" fillId="15" borderId="0" xfId="0" applyFont="1" applyFill="1" applyAlignment="1" applyProtection="1">
      <alignment horizontal="left" wrapText="1"/>
      <protection locked="0"/>
    </xf>
    <xf numFmtId="9" fontId="21" fillId="0" borderId="27" xfId="0" applyNumberFormat="1" applyFont="1" applyBorder="1"/>
    <xf numFmtId="9" fontId="21" fillId="7" borderId="10" xfId="0" applyNumberFormat="1" applyFont="1" applyFill="1" applyBorder="1" applyProtection="1">
      <protection locked="0"/>
    </xf>
    <xf numFmtId="9" fontId="21" fillId="7" borderId="11" xfId="0" applyNumberFormat="1" applyFont="1" applyFill="1" applyBorder="1" applyProtection="1">
      <protection locked="0"/>
    </xf>
    <xf numFmtId="9" fontId="21" fillId="7" borderId="1" xfId="0" applyNumberFormat="1" applyFont="1" applyFill="1" applyBorder="1" applyProtection="1">
      <protection locked="0"/>
    </xf>
    <xf numFmtId="0" fontId="21" fillId="7" borderId="10" xfId="0" applyFont="1" applyFill="1" applyBorder="1" applyProtection="1">
      <protection locked="0"/>
    </xf>
    <xf numFmtId="0" fontId="21" fillId="7" borderId="11" xfId="0" applyFont="1" applyFill="1" applyBorder="1" applyProtection="1">
      <protection locked="0"/>
    </xf>
    <xf numFmtId="0" fontId="21" fillId="7" borderId="1" xfId="0" applyFont="1" applyFill="1" applyBorder="1" applyProtection="1">
      <protection locked="0"/>
    </xf>
    <xf numFmtId="0" fontId="20" fillId="4" borderId="23" xfId="0" applyFont="1" applyFill="1" applyBorder="1"/>
    <xf numFmtId="0" fontId="21" fillId="9" borderId="24" xfId="0" applyFont="1" applyFill="1" applyBorder="1"/>
    <xf numFmtId="0" fontId="21" fillId="9" borderId="25" xfId="0" applyFont="1" applyFill="1" applyBorder="1"/>
    <xf numFmtId="10" fontId="21" fillId="0" borderId="34" xfId="2" applyNumberFormat="1" applyFont="1" applyBorder="1"/>
    <xf numFmtId="0" fontId="20" fillId="0" borderId="34" xfId="0" applyFont="1" applyBorder="1"/>
    <xf numFmtId="3" fontId="21" fillId="0" borderId="2" xfId="0" applyNumberFormat="1" applyFont="1" applyFill="1" applyBorder="1"/>
    <xf numFmtId="0" fontId="26" fillId="0" borderId="0" xfId="0" applyFont="1"/>
    <xf numFmtId="0" fontId="8" fillId="0" borderId="0" xfId="0" applyFont="1"/>
    <xf numFmtId="0" fontId="9" fillId="0" borderId="0" xfId="0" applyFont="1"/>
    <xf numFmtId="0" fontId="28" fillId="0" borderId="0" xfId="0" applyFont="1"/>
    <xf numFmtId="0" fontId="26" fillId="19" borderId="35" xfId="0" applyFont="1" applyFill="1" applyBorder="1"/>
    <xf numFmtId="0" fontId="26" fillId="19" borderId="46" xfId="0" applyFont="1" applyFill="1" applyBorder="1"/>
    <xf numFmtId="0" fontId="26" fillId="19" borderId="50" xfId="0" applyFont="1" applyFill="1" applyBorder="1"/>
    <xf numFmtId="0" fontId="26" fillId="20" borderId="35" xfId="0" applyFont="1" applyFill="1" applyBorder="1"/>
    <xf numFmtId="0" fontId="26" fillId="20" borderId="46" xfId="0" applyFont="1" applyFill="1" applyBorder="1"/>
    <xf numFmtId="0" fontId="26" fillId="20" borderId="50" xfId="0" applyFont="1" applyFill="1" applyBorder="1"/>
    <xf numFmtId="0" fontId="26" fillId="21" borderId="10" xfId="0" applyFont="1" applyFill="1" applyBorder="1"/>
    <xf numFmtId="0" fontId="11" fillId="0" borderId="0" xfId="0" applyFont="1"/>
    <xf numFmtId="0" fontId="26" fillId="19" borderId="10" xfId="0" applyFont="1" applyFill="1" applyBorder="1"/>
    <xf numFmtId="0" fontId="26" fillId="19" borderId="10" xfId="0" applyFont="1" applyFill="1" applyBorder="1" applyAlignment="1">
      <alignment horizontal="left"/>
    </xf>
    <xf numFmtId="0" fontId="26" fillId="20" borderId="10" xfId="0" applyFont="1" applyFill="1" applyBorder="1"/>
    <xf numFmtId="0" fontId="26" fillId="20" borderId="10" xfId="0" applyFont="1" applyFill="1" applyBorder="1" applyAlignment="1">
      <alignment horizontal="left"/>
    </xf>
    <xf numFmtId="0" fontId="29" fillId="0" borderId="0" xfId="0" applyFont="1"/>
    <xf numFmtId="0" fontId="26" fillId="0" borderId="10" xfId="0" applyFont="1" applyBorder="1"/>
    <xf numFmtId="0" fontId="26" fillId="0" borderId="10" xfId="0" applyFont="1" applyFill="1" applyBorder="1"/>
    <xf numFmtId="0" fontId="8" fillId="0" borderId="0" xfId="0" applyFont="1" applyFill="1"/>
    <xf numFmtId="0" fontId="30" fillId="22" borderId="0" xfId="0" applyFont="1" applyFill="1" applyBorder="1"/>
    <xf numFmtId="164" fontId="31" fillId="22" borderId="0" xfId="0" applyNumberFormat="1" applyFont="1" applyFill="1" applyBorder="1"/>
    <xf numFmtId="0" fontId="26" fillId="0" borderId="10" xfId="0" applyFont="1" applyFill="1" applyBorder="1" applyAlignment="1">
      <alignment wrapText="1"/>
    </xf>
    <xf numFmtId="164" fontId="27" fillId="0" borderId="2" xfId="0" applyNumberFormat="1" applyFont="1" applyFill="1" applyBorder="1"/>
    <xf numFmtId="0" fontId="26" fillId="0" borderId="2" xfId="0" applyFont="1" applyBorder="1"/>
    <xf numFmtId="164" fontId="27" fillId="0" borderId="2" xfId="0" applyNumberFormat="1" applyFont="1" applyBorder="1"/>
    <xf numFmtId="0" fontId="27" fillId="0" borderId="2" xfId="0" applyFont="1" applyBorder="1"/>
    <xf numFmtId="0" fontId="26" fillId="0" borderId="2" xfId="0" applyFont="1" applyFill="1" applyBorder="1" applyAlignment="1">
      <alignment wrapText="1"/>
    </xf>
    <xf numFmtId="0" fontId="27" fillId="0" borderId="2" xfId="0" applyFont="1" applyFill="1" applyBorder="1" applyAlignment="1">
      <alignment wrapText="1"/>
    </xf>
    <xf numFmtId="0" fontId="33" fillId="0" borderId="0" xfId="4"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38" xfId="0" applyBorder="1"/>
    <xf numFmtId="0" fontId="0" fillId="0" borderId="9" xfId="0" applyBorder="1"/>
    <xf numFmtId="0" fontId="35" fillId="23" borderId="2" xfId="0" applyFont="1" applyFill="1" applyBorder="1"/>
    <xf numFmtId="1" fontId="35" fillId="23" borderId="2" xfId="0" applyNumberFormat="1" applyFont="1" applyFill="1" applyBorder="1"/>
    <xf numFmtId="4" fontId="0" fillId="0" borderId="0" xfId="0" applyNumberFormat="1"/>
    <xf numFmtId="0" fontId="0" fillId="0" borderId="2" xfId="0" applyBorder="1"/>
    <xf numFmtId="4" fontId="35" fillId="0" borderId="2" xfId="0" applyNumberFormat="1" applyFont="1" applyBorder="1"/>
    <xf numFmtId="4" fontId="0" fillId="0" borderId="2" xfId="0" applyNumberFormat="1" applyBorder="1"/>
    <xf numFmtId="4" fontId="36" fillId="24" borderId="2" xfId="0" applyNumberFormat="1" applyFont="1" applyFill="1" applyBorder="1" applyAlignment="1">
      <alignment horizontal="center" wrapText="1"/>
    </xf>
    <xf numFmtId="4" fontId="35" fillId="24" borderId="2" xfId="0" applyNumberFormat="1" applyFont="1" applyFill="1" applyBorder="1" applyAlignment="1">
      <alignment horizontal="center"/>
    </xf>
    <xf numFmtId="4" fontId="0" fillId="24" borderId="2" xfId="0" applyNumberFormat="1" applyFill="1" applyBorder="1" applyAlignment="1">
      <alignment horizontal="center"/>
    </xf>
    <xf numFmtId="4" fontId="0" fillId="0" borderId="0" xfId="0" applyNumberFormat="1" applyAlignment="1">
      <alignment horizontal="center"/>
    </xf>
    <xf numFmtId="3" fontId="0" fillId="0" borderId="2" xfId="0" applyNumberFormat="1" applyFont="1" applyBorder="1" applyAlignment="1">
      <alignment wrapText="1"/>
    </xf>
    <xf numFmtId="4" fontId="0" fillId="0" borderId="2" xfId="0" applyNumberFormat="1" applyFont="1" applyBorder="1" applyAlignment="1">
      <alignment wrapText="1"/>
    </xf>
    <xf numFmtId="3" fontId="0" fillId="0" borderId="2" xfId="0" applyNumberFormat="1" applyBorder="1"/>
    <xf numFmtId="0" fontId="4" fillId="0" borderId="0" xfId="4" applyFont="1"/>
    <xf numFmtId="0" fontId="25" fillId="25" borderId="2" xfId="4" applyFont="1" applyFill="1" applyBorder="1"/>
    <xf numFmtId="0" fontId="4" fillId="0" borderId="2" xfId="4" applyFont="1" applyBorder="1"/>
    <xf numFmtId="0" fontId="4" fillId="6" borderId="2" xfId="4" applyFont="1" applyFill="1" applyBorder="1"/>
    <xf numFmtId="2" fontId="4" fillId="6" borderId="2" xfId="4" applyNumberFormat="1" applyFont="1" applyFill="1" applyBorder="1"/>
    <xf numFmtId="43" fontId="4" fillId="6" borderId="2" xfId="1" applyFont="1" applyFill="1" applyBorder="1"/>
    <xf numFmtId="0" fontId="4" fillId="13" borderId="2" xfId="4" applyFont="1" applyFill="1" applyBorder="1"/>
    <xf numFmtId="2" fontId="4" fillId="13" borderId="2" xfId="4" applyNumberFormat="1" applyFont="1" applyFill="1" applyBorder="1"/>
    <xf numFmtId="43" fontId="4" fillId="13" borderId="2" xfId="1" applyFont="1" applyFill="1" applyBorder="1"/>
    <xf numFmtId="9" fontId="14" fillId="0" borderId="0" xfId="2" applyNumberFormat="1" applyFont="1"/>
    <xf numFmtId="2" fontId="21" fillId="0" borderId="0" xfId="2" applyNumberFormat="1" applyFont="1"/>
    <xf numFmtId="2" fontId="21" fillId="0" borderId="0" xfId="2" applyNumberFormat="1" applyFont="1" applyFill="1" applyBorder="1"/>
    <xf numFmtId="9" fontId="21" fillId="0" borderId="0" xfId="2" applyNumberFormat="1" applyFont="1" applyAlignment="1">
      <alignment horizontal="right" wrapText="1"/>
    </xf>
    <xf numFmtId="3" fontId="20" fillId="7" borderId="7" xfId="0" applyNumberFormat="1" applyFont="1" applyFill="1" applyBorder="1" applyProtection="1"/>
    <xf numFmtId="0" fontId="20" fillId="12" borderId="23" xfId="0" applyFont="1" applyFill="1" applyBorder="1" applyAlignment="1">
      <alignment vertical="center"/>
    </xf>
    <xf numFmtId="0" fontId="20" fillId="9" borderId="23" xfId="0" applyFont="1" applyFill="1" applyBorder="1" applyAlignment="1">
      <alignment vertical="center"/>
    </xf>
    <xf numFmtId="164" fontId="27" fillId="0" borderId="2" xfId="0" applyNumberFormat="1" applyFont="1" applyBorder="1" applyAlignment="1">
      <alignment wrapText="1"/>
    </xf>
    <xf numFmtId="10" fontId="21" fillId="26" borderId="23" xfId="2" applyNumberFormat="1" applyFont="1" applyFill="1" applyBorder="1"/>
    <xf numFmtId="0" fontId="25" fillId="6" borderId="2" xfId="4" applyFont="1" applyFill="1" applyBorder="1"/>
    <xf numFmtId="2" fontId="25" fillId="6" borderId="2" xfId="4" applyNumberFormat="1" applyFont="1" applyFill="1" applyBorder="1"/>
    <xf numFmtId="2" fontId="25" fillId="13" borderId="2" xfId="4" applyNumberFormat="1" applyFont="1" applyFill="1" applyBorder="1"/>
    <xf numFmtId="0" fontId="25" fillId="0" borderId="0" xfId="4" applyFont="1"/>
    <xf numFmtId="0" fontId="4" fillId="26" borderId="2" xfId="4" applyFont="1" applyFill="1" applyBorder="1"/>
    <xf numFmtId="2" fontId="4" fillId="0" borderId="0" xfId="4" applyNumberFormat="1" applyFont="1"/>
    <xf numFmtId="3" fontId="0" fillId="26" borderId="2" xfId="0" applyNumberFormat="1" applyFill="1" applyBorder="1"/>
    <xf numFmtId="4" fontId="38" fillId="0" borderId="2" xfId="0" applyNumberFormat="1" applyFont="1" applyBorder="1"/>
    <xf numFmtId="3" fontId="38" fillId="0" borderId="2" xfId="0" applyNumberFormat="1" applyFont="1" applyBorder="1" applyAlignment="1">
      <alignment wrapText="1"/>
    </xf>
    <xf numFmtId="4" fontId="38" fillId="0" borderId="2" xfId="0" applyNumberFormat="1" applyFont="1" applyBorder="1" applyAlignment="1">
      <alignment wrapText="1"/>
    </xf>
    <xf numFmtId="3" fontId="38" fillId="0" borderId="2" xfId="0" applyNumberFormat="1" applyFont="1" applyBorder="1"/>
    <xf numFmtId="2" fontId="21" fillId="0" borderId="0" xfId="2" applyNumberFormat="1" applyFont="1" applyFill="1"/>
    <xf numFmtId="0" fontId="33" fillId="0" borderId="0" xfId="5" applyFont="1"/>
    <xf numFmtId="3" fontId="21" fillId="0" borderId="0" xfId="0" applyNumberFormat="1" applyFont="1" applyAlignment="1">
      <alignment wrapText="1"/>
    </xf>
    <xf numFmtId="3" fontId="21" fillId="0" borderId="0" xfId="0" applyNumberFormat="1" applyFont="1" applyAlignment="1">
      <alignment wrapText="1"/>
    </xf>
    <xf numFmtId="0" fontId="4" fillId="27" borderId="2" xfId="4" applyFont="1" applyFill="1" applyBorder="1"/>
    <xf numFmtId="2" fontId="4" fillId="27" borderId="2" xfId="4" applyNumberFormat="1" applyFont="1" applyFill="1" applyBorder="1"/>
    <xf numFmtId="43" fontId="4" fillId="27" borderId="2" xfId="1" applyFont="1" applyFill="1" applyBorder="1"/>
    <xf numFmtId="2" fontId="25" fillId="27" borderId="2" xfId="4" applyNumberFormat="1" applyFont="1" applyFill="1" applyBorder="1"/>
    <xf numFmtId="0" fontId="37" fillId="27" borderId="0" xfId="4" applyFont="1" applyFill="1"/>
    <xf numFmtId="0" fontId="4" fillId="27" borderId="0" xfId="4" applyFont="1" applyFill="1"/>
    <xf numFmtId="0" fontId="25" fillId="27" borderId="0" xfId="4" applyFont="1" applyFill="1"/>
    <xf numFmtId="4" fontId="21" fillId="0" borderId="29" xfId="0" applyNumberFormat="1" applyFont="1" applyBorder="1"/>
    <xf numFmtId="4" fontId="21" fillId="0" borderId="22" xfId="0" applyNumberFormat="1" applyFont="1" applyBorder="1"/>
    <xf numFmtId="0" fontId="21" fillId="0" borderId="0" xfId="0" applyFont="1" applyBorder="1" applyAlignment="1">
      <alignment horizontal="center"/>
    </xf>
    <xf numFmtId="2" fontId="21" fillId="26" borderId="23" xfId="2" applyNumberFormat="1" applyFont="1" applyFill="1" applyBorder="1"/>
    <xf numFmtId="3" fontId="21" fillId="0" borderId="0" xfId="0" applyNumberFormat="1" applyFont="1" applyAlignment="1">
      <alignment wrapText="1"/>
    </xf>
    <xf numFmtId="0" fontId="21" fillId="7" borderId="0" xfId="0" applyFont="1" applyFill="1" applyAlignment="1" applyProtection="1">
      <alignment horizontal="center"/>
      <protection locked="0"/>
    </xf>
    <xf numFmtId="3" fontId="21" fillId="26" borderId="0" xfId="0" applyNumberFormat="1" applyFont="1" applyFill="1"/>
    <xf numFmtId="0" fontId="33" fillId="0" borderId="0" xfId="6" applyFont="1"/>
    <xf numFmtId="0" fontId="21" fillId="28" borderId="0" xfId="0" applyFont="1" applyFill="1" applyAlignment="1">
      <alignment horizontal="center"/>
    </xf>
    <xf numFmtId="3" fontId="21" fillId="0" borderId="0" xfId="0" applyNumberFormat="1" applyFont="1" applyFill="1" applyBorder="1"/>
    <xf numFmtId="9" fontId="21" fillId="0" borderId="23" xfId="0" applyNumberFormat="1" applyFont="1" applyBorder="1"/>
    <xf numFmtId="3" fontId="21" fillId="0" borderId="0" xfId="0" applyNumberFormat="1" applyFont="1" applyAlignment="1">
      <alignment wrapText="1"/>
    </xf>
    <xf numFmtId="4" fontId="21" fillId="0" borderId="2" xfId="0" applyNumberFormat="1" applyFont="1" applyBorder="1" applyAlignment="1" applyProtection="1">
      <alignment wrapText="1"/>
      <protection locked="0"/>
    </xf>
    <xf numFmtId="0" fontId="20" fillId="28" borderId="21" xfId="0" applyFont="1" applyFill="1" applyBorder="1" applyAlignment="1"/>
    <xf numFmtId="3" fontId="21" fillId="29" borderId="23" xfId="0" applyNumberFormat="1" applyFont="1" applyFill="1" applyBorder="1"/>
    <xf numFmtId="3" fontId="21" fillId="14" borderId="28" xfId="0" applyNumberFormat="1" applyFont="1" applyFill="1" applyBorder="1" applyProtection="1">
      <protection locked="0"/>
    </xf>
    <xf numFmtId="3" fontId="0" fillId="0" borderId="2" xfId="0" applyNumberFormat="1" applyFill="1" applyBorder="1"/>
    <xf numFmtId="4" fontId="1" fillId="0" borderId="2" xfId="0" applyNumberFormat="1" applyFont="1" applyBorder="1"/>
    <xf numFmtId="3" fontId="1" fillId="0" borderId="2" xfId="0" applyNumberFormat="1" applyFont="1" applyBorder="1" applyAlignment="1">
      <alignment wrapText="1"/>
    </xf>
    <xf numFmtId="4" fontId="1" fillId="0" borderId="2" xfId="0" applyNumberFormat="1" applyFont="1" applyBorder="1" applyAlignment="1">
      <alignment wrapText="1"/>
    </xf>
    <xf numFmtId="3" fontId="1" fillId="0" borderId="2" xfId="0" applyNumberFormat="1" applyFont="1" applyBorder="1"/>
    <xf numFmtId="0" fontId="1" fillId="0" borderId="0" xfId="0" applyFont="1"/>
    <xf numFmtId="2" fontId="21" fillId="0" borderId="23" xfId="2" applyNumberFormat="1" applyFont="1" applyFill="1" applyBorder="1"/>
    <xf numFmtId="0" fontId="21" fillId="16" borderId="0" xfId="0" applyFont="1" applyFill="1" applyProtection="1"/>
    <xf numFmtId="10" fontId="21" fillId="18" borderId="23" xfId="2" applyNumberFormat="1" applyFont="1" applyFill="1" applyBorder="1"/>
    <xf numFmtId="0" fontId="20" fillId="13" borderId="23" xfId="0" applyFont="1" applyFill="1" applyBorder="1" applyAlignment="1">
      <alignment vertical="center"/>
    </xf>
    <xf numFmtId="0" fontId="14" fillId="14" borderId="0" xfId="0" applyFont="1" applyFill="1" applyBorder="1" applyAlignment="1" applyProtection="1">
      <alignment vertical="center" wrapText="1"/>
      <protection locked="0"/>
    </xf>
    <xf numFmtId="0" fontId="20" fillId="0" borderId="6" xfId="0" applyNumberFormat="1" applyFont="1" applyBorder="1" applyProtection="1"/>
    <xf numFmtId="164" fontId="27" fillId="30" borderId="10" xfId="0" applyNumberFormat="1" applyFont="1" applyFill="1" applyBorder="1"/>
    <xf numFmtId="10" fontId="27" fillId="30" borderId="10" xfId="0" applyNumberFormat="1" applyFont="1" applyFill="1" applyBorder="1"/>
    <xf numFmtId="10" fontId="27" fillId="30" borderId="2" xfId="0" applyNumberFormat="1" applyFont="1" applyFill="1" applyBorder="1"/>
    <xf numFmtId="164" fontId="27" fillId="30" borderId="2" xfId="0" applyNumberFormat="1" applyFont="1" applyFill="1" applyBorder="1"/>
    <xf numFmtId="164" fontId="32" fillId="30" borderId="10" xfId="0" applyNumberFormat="1" applyFont="1" applyFill="1" applyBorder="1"/>
    <xf numFmtId="164" fontId="27" fillId="30" borderId="10" xfId="0" applyNumberFormat="1" applyFont="1" applyFill="1" applyBorder="1" applyAlignment="1">
      <alignment horizontal="right"/>
    </xf>
    <xf numFmtId="164" fontId="32" fillId="30" borderId="2" xfId="0" applyNumberFormat="1" applyFont="1" applyFill="1" applyBorder="1"/>
    <xf numFmtId="0" fontId="32" fillId="0" borderId="2" xfId="0" applyFont="1" applyFill="1" applyBorder="1" applyAlignment="1">
      <alignment wrapText="1"/>
    </xf>
    <xf numFmtId="2" fontId="0" fillId="0" borderId="2" xfId="0" applyNumberFormat="1" applyBorder="1"/>
    <xf numFmtId="0" fontId="21" fillId="0" borderId="0" xfId="0" applyFont="1" applyProtection="1">
      <protection locked="0"/>
    </xf>
    <xf numFmtId="3" fontId="21" fillId="0" borderId="0" xfId="0" applyNumberFormat="1" applyFont="1" applyProtection="1">
      <protection locked="0"/>
    </xf>
    <xf numFmtId="0" fontId="21" fillId="0" borderId="0" xfId="0" applyFont="1" applyFill="1" applyBorder="1" applyProtection="1">
      <protection locked="0"/>
    </xf>
    <xf numFmtId="2" fontId="21" fillId="0" borderId="0" xfId="2" applyNumberFormat="1" applyFont="1" applyFill="1" applyProtection="1">
      <protection locked="0"/>
    </xf>
    <xf numFmtId="0" fontId="40" fillId="0" borderId="0" xfId="0" applyFont="1"/>
    <xf numFmtId="0" fontId="1" fillId="0" borderId="0" xfId="0" applyFont="1" applyBorder="1"/>
    <xf numFmtId="0" fontId="1" fillId="0" borderId="38" xfId="0" applyFont="1" applyBorder="1"/>
    <xf numFmtId="0" fontId="21" fillId="0" borderId="0" xfId="0" applyFont="1" applyAlignment="1">
      <alignment horizontal="left"/>
    </xf>
    <xf numFmtId="164" fontId="39" fillId="30" borderId="2" xfId="0" applyNumberFormat="1" applyFont="1" applyFill="1" applyBorder="1"/>
    <xf numFmtId="164" fontId="39" fillId="30" borderId="10" xfId="0" applyNumberFormat="1" applyFont="1" applyFill="1" applyBorder="1"/>
    <xf numFmtId="0" fontId="26" fillId="30" borderId="2" xfId="0" applyFont="1" applyFill="1" applyBorder="1" applyAlignment="1">
      <alignment wrapText="1"/>
    </xf>
    <xf numFmtId="0" fontId="27" fillId="30" borderId="2" xfId="0" applyFont="1" applyFill="1" applyBorder="1" applyAlignment="1">
      <alignment wrapText="1"/>
    </xf>
    <xf numFmtId="4" fontId="38" fillId="0" borderId="2" xfId="0" applyNumberFormat="1" applyFont="1" applyFill="1" applyBorder="1"/>
    <xf numFmtId="0" fontId="38" fillId="0" borderId="2" xfId="0" applyFont="1" applyBorder="1"/>
    <xf numFmtId="3" fontId="38" fillId="0" borderId="2" xfId="0" applyNumberFormat="1" applyFont="1" applyFill="1" applyBorder="1"/>
    <xf numFmtId="2" fontId="38" fillId="0" borderId="2" xfId="0" applyNumberFormat="1" applyFont="1" applyBorder="1"/>
    <xf numFmtId="0" fontId="17" fillId="7" borderId="54" xfId="0" applyFont="1" applyFill="1" applyBorder="1" applyAlignment="1">
      <alignment vertical="top" wrapText="1"/>
    </xf>
    <xf numFmtId="0" fontId="25" fillId="31" borderId="0" xfId="0" applyFont="1" applyFill="1"/>
    <xf numFmtId="0" fontId="7" fillId="31" borderId="0" xfId="0" applyFont="1" applyFill="1"/>
    <xf numFmtId="0" fontId="7" fillId="31" borderId="0" xfId="0" applyFont="1" applyFill="1" applyBorder="1"/>
    <xf numFmtId="0" fontId="21" fillId="0" borderId="0" xfId="0" applyFont="1" applyFill="1" applyAlignment="1">
      <alignment horizontal="center"/>
    </xf>
    <xf numFmtId="0" fontId="21" fillId="0" borderId="0" xfId="0" applyFont="1" applyFill="1" applyProtection="1">
      <protection locked="0"/>
    </xf>
    <xf numFmtId="4" fontId="8" fillId="0" borderId="2" xfId="0" applyNumberFormat="1" applyFont="1" applyFill="1" applyBorder="1"/>
    <xf numFmtId="0" fontId="8" fillId="0" borderId="2" xfId="0" applyFont="1" applyBorder="1"/>
    <xf numFmtId="3" fontId="8" fillId="0" borderId="2" xfId="0" applyNumberFormat="1" applyFont="1" applyFill="1" applyBorder="1"/>
    <xf numFmtId="2" fontId="8" fillId="0" borderId="2" xfId="0" applyNumberFormat="1" applyFont="1" applyBorder="1"/>
    <xf numFmtId="3" fontId="0" fillId="0" borderId="0" xfId="0" applyNumberFormat="1"/>
    <xf numFmtId="10" fontId="32" fillId="30" borderId="10" xfId="0" applyNumberFormat="1" applyFont="1" applyFill="1" applyBorder="1"/>
    <xf numFmtId="10" fontId="21" fillId="28" borderId="55" xfId="2" applyNumberFormat="1" applyFont="1" applyFill="1" applyBorder="1"/>
    <xf numFmtId="3" fontId="20" fillId="0" borderId="15" xfId="0" applyNumberFormat="1" applyFont="1" applyBorder="1"/>
    <xf numFmtId="3" fontId="20" fillId="0" borderId="51" xfId="0" applyNumberFormat="1" applyFont="1" applyBorder="1"/>
    <xf numFmtId="3" fontId="20" fillId="0" borderId="56" xfId="0" applyNumberFormat="1" applyFont="1" applyBorder="1"/>
    <xf numFmtId="3" fontId="21" fillId="0" borderId="50" xfId="0" applyNumberFormat="1" applyFont="1" applyFill="1" applyBorder="1"/>
    <xf numFmtId="3" fontId="21" fillId="0" borderId="18" xfId="1" applyNumberFormat="1" applyFont="1" applyBorder="1"/>
    <xf numFmtId="3" fontId="20" fillId="0" borderId="51" xfId="1" applyNumberFormat="1" applyFont="1" applyBorder="1"/>
    <xf numFmtId="3" fontId="20" fillId="0" borderId="15" xfId="1" applyNumberFormat="1" applyFont="1" applyBorder="1"/>
    <xf numFmtId="3" fontId="20" fillId="0" borderId="33" xfId="1" applyNumberFormat="1" applyFont="1" applyBorder="1"/>
    <xf numFmtId="3" fontId="20" fillId="0" borderId="42" xfId="1" applyNumberFormat="1" applyFont="1" applyBorder="1"/>
    <xf numFmtId="3" fontId="20" fillId="0" borderId="19" xfId="0" applyNumberFormat="1" applyFont="1" applyBorder="1"/>
    <xf numFmtId="0" fontId="13" fillId="0" borderId="27" xfId="0" applyFont="1" applyBorder="1" applyAlignment="1">
      <alignment vertical="top" wrapText="1"/>
    </xf>
    <xf numFmtId="0" fontId="13" fillId="0" borderId="28" xfId="0" applyFont="1" applyBorder="1" applyAlignment="1">
      <alignment vertical="top" wrapText="1"/>
    </xf>
    <xf numFmtId="0" fontId="13" fillId="0" borderId="29" xfId="0" applyFont="1" applyBorder="1" applyAlignment="1">
      <alignment vertical="top" wrapText="1"/>
    </xf>
    <xf numFmtId="0" fontId="24" fillId="12" borderId="53" xfId="0" applyFont="1" applyFill="1" applyBorder="1" applyAlignment="1">
      <alignment horizontal="center" vertical="center"/>
    </xf>
    <xf numFmtId="0" fontId="24" fillId="12" borderId="52" xfId="0" applyFont="1" applyFill="1" applyBorder="1" applyAlignment="1">
      <alignment horizontal="center" vertical="center"/>
    </xf>
    <xf numFmtId="0" fontId="24" fillId="12" borderId="51" xfId="0" applyFont="1" applyFill="1" applyBorder="1" applyAlignment="1">
      <alignment horizontal="center" vertical="center"/>
    </xf>
    <xf numFmtId="0" fontId="24" fillId="12" borderId="23" xfId="0" applyFont="1" applyFill="1" applyBorder="1" applyAlignment="1">
      <alignment horizontal="center" vertical="center"/>
    </xf>
    <xf numFmtId="0" fontId="24" fillId="12" borderId="0" xfId="0" applyFont="1" applyFill="1" applyBorder="1" applyAlignment="1">
      <alignment horizontal="center" vertical="center"/>
    </xf>
    <xf numFmtId="0" fontId="24" fillId="12" borderId="22" xfId="0" applyFont="1" applyFill="1" applyBorder="1" applyAlignment="1">
      <alignment horizontal="center" vertical="center"/>
    </xf>
    <xf numFmtId="0" fontId="13" fillId="0" borderId="27" xfId="0" applyFont="1" applyBorder="1" applyAlignment="1"/>
    <xf numFmtId="0" fontId="14" fillId="0" borderId="28" xfId="0" applyFont="1" applyBorder="1" applyAlignment="1"/>
    <xf numFmtId="0" fontId="14" fillId="0" borderId="29" xfId="0" applyFont="1" applyBorder="1" applyAlignment="1"/>
    <xf numFmtId="0" fontId="21" fillId="4" borderId="0" xfId="0" applyFont="1" applyFill="1" applyBorder="1" applyAlignment="1" applyProtection="1">
      <alignment wrapText="1"/>
      <protection locked="0"/>
    </xf>
    <xf numFmtId="0" fontId="21" fillId="0" borderId="0" xfId="0" applyFont="1" applyBorder="1" applyAlignment="1" applyProtection="1">
      <alignment wrapText="1"/>
      <protection locked="0"/>
    </xf>
    <xf numFmtId="0" fontId="21" fillId="12" borderId="38" xfId="0" applyFont="1" applyFill="1" applyBorder="1" applyAlignment="1" applyProtection="1">
      <alignment wrapText="1"/>
      <protection locked="0"/>
    </xf>
    <xf numFmtId="0" fontId="21" fillId="0" borderId="36" xfId="0" applyFont="1" applyBorder="1" applyAlignment="1">
      <alignment horizontal="center"/>
    </xf>
    <xf numFmtId="0" fontId="21" fillId="0" borderId="47" xfId="0" applyFont="1" applyBorder="1" applyAlignment="1">
      <alignment horizontal="center"/>
    </xf>
    <xf numFmtId="0" fontId="21" fillId="0" borderId="48" xfId="0" applyFont="1" applyBorder="1" applyAlignment="1">
      <alignment horizontal="center"/>
    </xf>
    <xf numFmtId="0" fontId="14" fillId="13" borderId="0" xfId="0" applyFont="1" applyFill="1" applyBorder="1" applyAlignment="1" applyProtection="1">
      <alignment vertical="center" wrapText="1"/>
      <protection locked="0"/>
    </xf>
    <xf numFmtId="0" fontId="21" fillId="9" borderId="0" xfId="0" applyFont="1" applyFill="1" applyBorder="1" applyAlignment="1">
      <alignment horizontal="left" wrapText="1"/>
    </xf>
    <xf numFmtId="14" fontId="21" fillId="6" borderId="38" xfId="0" applyNumberFormat="1" applyFont="1" applyFill="1" applyBorder="1" applyAlignment="1" applyProtection="1">
      <alignment wrapText="1"/>
      <protection locked="0"/>
    </xf>
    <xf numFmtId="0" fontId="21" fillId="6" borderId="38" xfId="0" applyFont="1" applyFill="1" applyBorder="1" applyAlignment="1" applyProtection="1">
      <alignment wrapText="1"/>
      <protection locked="0"/>
    </xf>
    <xf numFmtId="1" fontId="21" fillId="6" borderId="38" xfId="0" applyNumberFormat="1" applyFont="1" applyFill="1" applyBorder="1" applyAlignment="1" applyProtection="1">
      <alignment wrapText="1"/>
      <protection locked="0"/>
    </xf>
    <xf numFmtId="0" fontId="20" fillId="12" borderId="0" xfId="0" applyFont="1" applyFill="1" applyBorder="1" applyAlignment="1" applyProtection="1">
      <alignment horizontal="left" vertical="center" wrapText="1"/>
      <protection locked="0"/>
    </xf>
    <xf numFmtId="0" fontId="13" fillId="0" borderId="37" xfId="0" applyFont="1" applyBorder="1" applyAlignment="1">
      <alignment horizontal="left" vertical="center" wrapText="1"/>
    </xf>
    <xf numFmtId="0" fontId="14" fillId="0" borderId="47" xfId="0" applyFont="1" applyBorder="1" applyAlignment="1">
      <alignment vertical="center" wrapText="1"/>
    </xf>
    <xf numFmtId="0" fontId="14" fillId="0" borderId="49" xfId="0" applyFont="1" applyBorder="1" applyAlignment="1">
      <alignment vertical="center" wrapText="1"/>
    </xf>
    <xf numFmtId="3" fontId="21" fillId="0" borderId="0" xfId="0" applyNumberFormat="1" applyFont="1" applyAlignment="1">
      <alignment wrapText="1"/>
    </xf>
    <xf numFmtId="0" fontId="4" fillId="6" borderId="2" xfId="4" applyFont="1" applyFill="1" applyBorder="1" applyAlignment="1">
      <alignment horizontal="center"/>
    </xf>
    <xf numFmtId="4" fontId="34" fillId="0" borderId="6" xfId="0" applyNumberFormat="1" applyFont="1" applyBorder="1" applyAlignment="1">
      <alignment horizontal="center"/>
    </xf>
    <xf numFmtId="4" fontId="34" fillId="0" borderId="0" xfId="0" applyNumberFormat="1" applyFont="1" applyBorder="1" applyAlignment="1">
      <alignment horizontal="center"/>
    </xf>
    <xf numFmtId="4" fontId="34" fillId="0" borderId="7" xfId="0" applyNumberFormat="1" applyFont="1" applyBorder="1" applyAlignment="1">
      <alignment horizontal="center"/>
    </xf>
    <xf numFmtId="1" fontId="35" fillId="23" borderId="35" xfId="0" applyNumberFormat="1" applyFont="1" applyFill="1" applyBorder="1" applyAlignment="1">
      <alignment horizontal="center"/>
    </xf>
    <xf numFmtId="1" fontId="35" fillId="23" borderId="50" xfId="0" applyNumberFormat="1" applyFont="1" applyFill="1" applyBorder="1" applyAlignment="1">
      <alignment horizontal="center"/>
    </xf>
    <xf numFmtId="1" fontId="35" fillId="23" borderId="46" xfId="0" applyNumberFormat="1" applyFont="1" applyFill="1" applyBorder="1" applyAlignment="1">
      <alignment horizontal="center"/>
    </xf>
  </cellXfs>
  <cellStyles count="7">
    <cellStyle name="Komma" xfId="1" builtinId="3"/>
    <cellStyle name="Normal 2" xfId="3"/>
    <cellStyle name="Normal 3" xfId="4"/>
    <cellStyle name="Normal 4" xfId="5"/>
    <cellStyle name="Normal 5" xfId="6"/>
    <cellStyle name="Prozent" xfId="2" builtinId="5"/>
    <cellStyle name="Standard" xfId="0" builtinId="0"/>
  </cellStyles>
  <dxfs count="0"/>
  <tableStyles count="0" defaultTableStyle="TableStyleMedium2" defaultPivotStyle="PivotStyleLight16"/>
  <colors>
    <mruColors>
      <color rgb="FFFFFFCC"/>
      <color rgb="FFFFFF6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L47"/>
  <sheetViews>
    <sheetView showGridLines="0" zoomScaleNormal="100" workbookViewId="0">
      <selection activeCell="H11" sqref="H11"/>
    </sheetView>
  </sheetViews>
  <sheetFormatPr baseColWidth="10" defaultColWidth="9.140625" defaultRowHeight="12.75"/>
  <cols>
    <col min="1" max="1" width="22.5703125" style="41" customWidth="1"/>
    <col min="2" max="2" width="35.42578125" style="41" customWidth="1"/>
    <col min="3" max="3" width="33.5703125" style="41" customWidth="1"/>
    <col min="4" max="4" width="14.85546875" style="41" bestFit="1" customWidth="1"/>
    <col min="5" max="12" width="9.140625" style="2" customWidth="1"/>
    <col min="13" max="16384" width="9.140625" style="3"/>
  </cols>
  <sheetData>
    <row r="1" spans="1:4" ht="35.25" customHeight="1">
      <c r="A1" s="369" t="s">
        <v>106</v>
      </c>
      <c r="B1" s="370"/>
      <c r="C1" s="370"/>
      <c r="D1" s="371"/>
    </row>
    <row r="2" spans="1:4" ht="9.75" customHeight="1">
      <c r="A2" s="4"/>
      <c r="B2" s="5"/>
      <c r="C2" s="5"/>
      <c r="D2" s="6"/>
    </row>
    <row r="3" spans="1:4" ht="18.75">
      <c r="A3" s="375" t="s">
        <v>131</v>
      </c>
      <c r="B3" s="376"/>
      <c r="C3" s="376"/>
      <c r="D3" s="377"/>
    </row>
    <row r="4" spans="1:4" ht="10.5" customHeight="1" thickBot="1">
      <c r="A4" s="7"/>
      <c r="B4" s="8"/>
      <c r="C4" s="8"/>
      <c r="D4" s="9"/>
    </row>
    <row r="5" spans="1:4" ht="19.5" thickBot="1">
      <c r="A5" s="10" t="s">
        <v>109</v>
      </c>
      <c r="B5" s="11" t="s">
        <v>110</v>
      </c>
      <c r="C5" s="11" t="s">
        <v>111</v>
      </c>
      <c r="D5" s="12" t="s">
        <v>112</v>
      </c>
    </row>
    <row r="6" spans="1:4" ht="25.5">
      <c r="A6" s="13" t="s">
        <v>105</v>
      </c>
      <c r="B6" s="14" t="s">
        <v>116</v>
      </c>
      <c r="C6" s="14" t="s">
        <v>139</v>
      </c>
      <c r="D6" s="15" t="s">
        <v>115</v>
      </c>
    </row>
    <row r="7" spans="1:4" ht="26.25" customHeight="1">
      <c r="A7" s="16"/>
      <c r="B7" s="17"/>
      <c r="C7" s="17" t="s">
        <v>117</v>
      </c>
      <c r="D7" s="18" t="s">
        <v>118</v>
      </c>
    </row>
    <row r="8" spans="1:4" ht="79.5" customHeight="1">
      <c r="A8" s="16"/>
      <c r="B8" s="17" t="s">
        <v>119</v>
      </c>
      <c r="C8" s="17" t="s">
        <v>124</v>
      </c>
      <c r="D8" s="18" t="s">
        <v>123</v>
      </c>
    </row>
    <row r="9" spans="1:4" ht="64.5" thickBot="1">
      <c r="A9" s="19"/>
      <c r="B9" s="20" t="s">
        <v>121</v>
      </c>
      <c r="C9" s="20" t="s">
        <v>122</v>
      </c>
      <c r="D9" s="21" t="s">
        <v>120</v>
      </c>
    </row>
    <row r="10" spans="1:4" ht="40.5" customHeight="1" thickBot="1">
      <c r="A10" s="22" t="s">
        <v>107</v>
      </c>
      <c r="B10" s="23" t="s">
        <v>113</v>
      </c>
      <c r="C10" s="23" t="s">
        <v>114</v>
      </c>
      <c r="D10" s="24" t="s">
        <v>115</v>
      </c>
    </row>
    <row r="11" spans="1:4" ht="38.25">
      <c r="A11" s="25" t="s">
        <v>108</v>
      </c>
      <c r="B11" s="26" t="s">
        <v>125</v>
      </c>
      <c r="C11" s="26" t="s">
        <v>360</v>
      </c>
      <c r="D11" s="27" t="s">
        <v>115</v>
      </c>
    </row>
    <row r="12" spans="1:4" ht="38.25">
      <c r="A12" s="28"/>
      <c r="B12" s="29"/>
      <c r="C12" s="29" t="s">
        <v>126</v>
      </c>
      <c r="D12" s="30" t="s">
        <v>115</v>
      </c>
    </row>
    <row r="13" spans="1:4" ht="51.75" customHeight="1">
      <c r="A13" s="28"/>
      <c r="B13" s="29"/>
      <c r="C13" s="29" t="s">
        <v>127</v>
      </c>
      <c r="D13" s="30" t="s">
        <v>115</v>
      </c>
    </row>
    <row r="14" spans="1:4" ht="39" thickBot="1">
      <c r="A14" s="31"/>
      <c r="B14" s="32"/>
      <c r="C14" s="32" t="s">
        <v>128</v>
      </c>
      <c r="D14" s="33" t="s">
        <v>115</v>
      </c>
    </row>
    <row r="15" spans="1:4" ht="26.25" thickBot="1">
      <c r="A15" s="34" t="s">
        <v>151</v>
      </c>
      <c r="B15" s="35" t="s">
        <v>358</v>
      </c>
      <c r="C15" s="35" t="s">
        <v>155</v>
      </c>
      <c r="D15" s="36" t="s">
        <v>115</v>
      </c>
    </row>
    <row r="16" spans="1:4" ht="26.25" thickBot="1">
      <c r="A16" s="346" t="s">
        <v>354</v>
      </c>
      <c r="B16" s="35" t="s">
        <v>355</v>
      </c>
      <c r="C16" s="35" t="s">
        <v>155</v>
      </c>
      <c r="D16" s="36" t="s">
        <v>115</v>
      </c>
    </row>
    <row r="17" spans="1:4" ht="39" thickBot="1">
      <c r="A17" s="34" t="s">
        <v>371</v>
      </c>
      <c r="B17" s="35" t="s">
        <v>356</v>
      </c>
      <c r="C17" s="35" t="s">
        <v>155</v>
      </c>
      <c r="D17" s="36" t="s">
        <v>115</v>
      </c>
    </row>
    <row r="18" spans="1:4" ht="25.5">
      <c r="A18" s="37" t="s">
        <v>359</v>
      </c>
      <c r="B18" s="38" t="s">
        <v>357</v>
      </c>
      <c r="C18" s="38" t="s">
        <v>129</v>
      </c>
      <c r="D18" s="39" t="s">
        <v>130</v>
      </c>
    </row>
    <row r="19" spans="1:4" ht="16.5" customHeight="1" thickBot="1">
      <c r="A19" s="372" t="s">
        <v>141</v>
      </c>
      <c r="B19" s="373"/>
      <c r="C19" s="373"/>
      <c r="D19" s="374"/>
    </row>
    <row r="20" spans="1:4">
      <c r="A20" s="40"/>
      <c r="B20" s="40"/>
      <c r="C20" s="40"/>
      <c r="D20" s="40"/>
    </row>
    <row r="21" spans="1:4">
      <c r="A21" s="40"/>
      <c r="B21" s="40"/>
      <c r="C21" s="40"/>
      <c r="D21" s="40"/>
    </row>
    <row r="22" spans="1:4">
      <c r="A22" s="40"/>
      <c r="B22" s="40"/>
      <c r="C22" s="40"/>
      <c r="D22" s="40"/>
    </row>
    <row r="23" spans="1:4">
      <c r="A23" s="40"/>
      <c r="B23" s="40"/>
      <c r="C23" s="40"/>
      <c r="D23" s="40"/>
    </row>
    <row r="24" spans="1:4">
      <c r="A24" s="40"/>
      <c r="B24" s="40"/>
      <c r="C24" s="40"/>
      <c r="D24" s="40"/>
    </row>
    <row r="25" spans="1:4">
      <c r="A25" s="40"/>
      <c r="B25" s="40"/>
      <c r="C25" s="40"/>
      <c r="D25" s="40"/>
    </row>
    <row r="26" spans="1:4">
      <c r="A26" s="40"/>
      <c r="B26" s="40"/>
      <c r="C26" s="40"/>
      <c r="D26" s="40"/>
    </row>
    <row r="27" spans="1:4">
      <c r="A27" s="40"/>
      <c r="B27" s="40"/>
      <c r="C27" s="40"/>
      <c r="D27" s="40"/>
    </row>
    <row r="28" spans="1:4">
      <c r="A28" s="40"/>
      <c r="B28" s="40"/>
      <c r="C28" s="40"/>
      <c r="D28" s="40"/>
    </row>
    <row r="29" spans="1:4">
      <c r="A29" s="40"/>
      <c r="B29" s="40"/>
      <c r="C29" s="40"/>
      <c r="D29" s="40"/>
    </row>
    <row r="30" spans="1:4">
      <c r="A30" s="40"/>
      <c r="B30" s="40"/>
      <c r="C30" s="40"/>
      <c r="D30" s="40"/>
    </row>
    <row r="31" spans="1:4">
      <c r="A31" s="40"/>
      <c r="B31" s="40"/>
      <c r="C31" s="40"/>
      <c r="D31" s="40"/>
    </row>
    <row r="32" spans="1:4">
      <c r="A32" s="40"/>
      <c r="B32" s="40"/>
      <c r="C32" s="40"/>
      <c r="D32" s="40"/>
    </row>
    <row r="33" spans="1:4">
      <c r="A33" s="40"/>
      <c r="B33" s="40"/>
      <c r="C33" s="40"/>
      <c r="D33" s="40"/>
    </row>
    <row r="34" spans="1:4">
      <c r="A34" s="40"/>
      <c r="B34" s="40"/>
      <c r="C34" s="40"/>
      <c r="D34" s="40"/>
    </row>
    <row r="35" spans="1:4">
      <c r="A35" s="40"/>
      <c r="B35" s="40"/>
      <c r="C35" s="40"/>
      <c r="D35" s="40"/>
    </row>
    <row r="36" spans="1:4">
      <c r="A36" s="40"/>
      <c r="B36" s="40"/>
      <c r="C36" s="40"/>
      <c r="D36" s="40"/>
    </row>
    <row r="37" spans="1:4">
      <c r="A37" s="40"/>
      <c r="B37" s="40"/>
      <c r="C37" s="40"/>
      <c r="D37" s="40"/>
    </row>
    <row r="38" spans="1:4">
      <c r="A38" s="40"/>
      <c r="B38" s="40"/>
      <c r="C38" s="40"/>
      <c r="D38" s="40"/>
    </row>
    <row r="39" spans="1:4">
      <c r="A39" s="40"/>
      <c r="B39" s="40"/>
      <c r="C39" s="40"/>
      <c r="D39" s="40"/>
    </row>
    <row r="40" spans="1:4">
      <c r="A40" s="40"/>
      <c r="B40" s="40"/>
      <c r="C40" s="40"/>
      <c r="D40" s="40"/>
    </row>
    <row r="41" spans="1:4">
      <c r="A41" s="40"/>
      <c r="B41" s="40"/>
      <c r="C41" s="40"/>
      <c r="D41" s="40"/>
    </row>
    <row r="42" spans="1:4">
      <c r="A42" s="40"/>
      <c r="B42" s="40"/>
      <c r="C42" s="40"/>
      <c r="D42" s="40"/>
    </row>
    <row r="43" spans="1:4">
      <c r="A43" s="40"/>
      <c r="B43" s="40"/>
      <c r="C43" s="40"/>
      <c r="D43" s="40"/>
    </row>
    <row r="44" spans="1:4">
      <c r="A44" s="40"/>
      <c r="B44" s="40"/>
      <c r="C44" s="40"/>
      <c r="D44" s="40"/>
    </row>
    <row r="45" spans="1:4">
      <c r="A45" s="40"/>
      <c r="B45" s="40"/>
      <c r="C45" s="40"/>
      <c r="D45" s="40"/>
    </row>
    <row r="46" spans="1:4">
      <c r="A46" s="40"/>
      <c r="B46" s="40"/>
      <c r="C46" s="40"/>
      <c r="D46" s="40"/>
    </row>
    <row r="47" spans="1:4">
      <c r="A47" s="40"/>
      <c r="B47" s="40"/>
      <c r="C47" s="40"/>
      <c r="D47" s="40"/>
    </row>
  </sheetData>
  <sheetProtection algorithmName="SHA-512" hashValue="4CM2BZ2T6pVzyE4HvyJLyq3yGp8N6ldSnQ9E+on3GkX+V5X6P+eXWF4ycLxj5NeEGwmmihJuhTwy+3c7Zz5+/g==" saltValue="Ob4wEV+O7gj6gGBhTM2VQA==" spinCount="100000" sheet="1" objects="1" scenarios="1"/>
  <mergeCells count="3">
    <mergeCell ref="A1:D1"/>
    <mergeCell ref="A19:D19"/>
    <mergeCell ref="A3:D3"/>
  </mergeCells>
  <phoneticPr fontId="10" type="noConversion"/>
  <pageMargins left="1.1023622047244095" right="0.74803149606299213" top="0.47244094488188981" bottom="0.39370078740157483" header="0.19685039370078741" footer="0.19685039370078741"/>
  <pageSetup paperSize="9" scale="85" orientation="landscape" r:id="rId1"/>
  <headerFooter alignWithMargins="0">
    <oddFooter>&amp;L&amp;8&amp;F, &amp;A, 21.12.2016 / SEK</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U50"/>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7.28515625" style="3" bestFit="1" customWidth="1"/>
    <col min="3" max="3" width="11.28515625" style="44" customWidth="1"/>
    <col min="4" max="4" width="16.140625"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15.140625" style="3" customWidth="1"/>
    <col min="15" max="15" width="19.85546875" style="3" bestFit="1" customWidth="1"/>
    <col min="16" max="16" width="19" style="3" hidden="1" customWidth="1" outlineLevel="1"/>
    <col min="17" max="17" width="12.7109375" style="3" hidden="1" customWidth="1" outlineLevel="1"/>
    <col min="18" max="18" width="9.140625" style="3" hidden="1" customWidth="1" outlineLevel="1"/>
    <col min="19" max="19" width="10.85546875" style="3" hidden="1" customWidth="1" outlineLevel="1"/>
    <col min="20" max="20" width="12" style="3" hidden="1" customWidth="1" outlineLevel="1"/>
    <col min="21" max="21" width="9.140625" style="3" customWidth="1" collapsed="1"/>
    <col min="22" max="22" width="9.140625" style="3" customWidth="1"/>
    <col min="23" max="16384" width="9.140625" style="3"/>
  </cols>
  <sheetData>
    <row r="1" spans="1:21" ht="23.25">
      <c r="A1" s="119" t="s">
        <v>336</v>
      </c>
    </row>
    <row r="2" spans="1:21" s="123" customFormat="1" ht="15">
      <c r="A2" s="121" t="s">
        <v>12</v>
      </c>
      <c r="B2" s="396" t="s">
        <v>13</v>
      </c>
      <c r="C2" s="396"/>
      <c r="D2" s="187"/>
      <c r="G2" s="187"/>
      <c r="J2" s="187"/>
      <c r="K2" s="124"/>
      <c r="L2" s="124"/>
      <c r="M2" s="187"/>
      <c r="N2" s="124"/>
      <c r="P2" s="123" t="s">
        <v>30</v>
      </c>
      <c r="Q2" s="126">
        <v>43466</v>
      </c>
      <c r="S2" s="123" t="s">
        <v>31</v>
      </c>
      <c r="T2" s="265" t="s">
        <v>251</v>
      </c>
    </row>
    <row r="3" spans="1:21" s="48" customFormat="1" ht="15">
      <c r="B3" s="396" t="s">
        <v>24</v>
      </c>
      <c r="C3" s="396"/>
      <c r="D3" s="127" t="s">
        <v>42</v>
      </c>
      <c r="K3" s="128"/>
      <c r="L3" s="128"/>
      <c r="M3" s="128"/>
      <c r="N3" s="128"/>
      <c r="S3" s="130" t="s">
        <v>1</v>
      </c>
      <c r="T3" s="263">
        <f>'PK-Sätze'!G4</f>
        <v>9.3999999999999986</v>
      </c>
    </row>
    <row r="4" spans="1:21" s="48" customFormat="1" ht="15">
      <c r="A4" s="131" t="s">
        <v>47</v>
      </c>
      <c r="B4" s="396" t="s">
        <v>23</v>
      </c>
      <c r="C4" s="396"/>
      <c r="D4" s="128" t="s">
        <v>29</v>
      </c>
      <c r="K4" s="128"/>
      <c r="L4" s="128"/>
      <c r="M4" s="128"/>
      <c r="N4" s="128"/>
      <c r="S4" s="130" t="s">
        <v>2</v>
      </c>
      <c r="T4" s="282">
        <f>'PK-Sätze'!G5</f>
        <v>11.649999999999999</v>
      </c>
    </row>
    <row r="5" spans="1:21" s="48" customFormat="1" ht="15">
      <c r="A5" s="316" t="s">
        <v>311</v>
      </c>
      <c r="B5" s="396" t="s">
        <v>0</v>
      </c>
      <c r="C5" s="396"/>
      <c r="D5" s="133"/>
      <c r="S5" s="130" t="s">
        <v>5</v>
      </c>
      <c r="T5" s="282">
        <f>'PK-Sätze'!G6</f>
        <v>17.7</v>
      </c>
    </row>
    <row r="6" spans="1:21" s="48" customFormat="1" ht="15">
      <c r="B6" s="396" t="s">
        <v>3</v>
      </c>
      <c r="C6" s="396"/>
      <c r="D6" s="134"/>
      <c r="S6" s="130" t="s">
        <v>6</v>
      </c>
      <c r="T6" s="282">
        <f>'PK-Sätze'!G6</f>
        <v>17.7</v>
      </c>
      <c r="U6" s="334" t="s">
        <v>331</v>
      </c>
    </row>
    <row r="7" spans="1:21" s="48" customFormat="1" ht="15">
      <c r="B7" s="396" t="s">
        <v>36</v>
      </c>
      <c r="C7" s="396"/>
      <c r="D7" s="134"/>
      <c r="S7" s="130" t="s">
        <v>4</v>
      </c>
      <c r="T7" s="282">
        <f>'PK-Sätze'!G7</f>
        <v>22.55</v>
      </c>
      <c r="U7" s="48" t="s">
        <v>332</v>
      </c>
    </row>
    <row r="8" spans="1:21" s="48" customFormat="1" ht="15">
      <c r="B8" s="396" t="s">
        <v>37</v>
      </c>
      <c r="C8" s="396"/>
      <c r="D8" s="134"/>
      <c r="T8" s="128"/>
      <c r="U8" s="48" t="s">
        <v>333</v>
      </c>
    </row>
    <row r="9" spans="1:21" s="48" customFormat="1" ht="15.75" thickBot="1">
      <c r="C9" s="47"/>
      <c r="Q9" s="128"/>
      <c r="T9" s="128"/>
      <c r="U9" s="48" t="s">
        <v>334</v>
      </c>
    </row>
    <row r="10" spans="1:21" s="48" customFormat="1" ht="15">
      <c r="B10" s="135"/>
      <c r="C10" s="136"/>
      <c r="D10" s="137"/>
      <c r="E10" s="135"/>
      <c r="F10" s="136"/>
      <c r="G10" s="138"/>
      <c r="H10" s="135"/>
      <c r="I10" s="136"/>
      <c r="J10" s="137"/>
      <c r="K10" s="135"/>
      <c r="L10" s="136"/>
      <c r="M10" s="137"/>
      <c r="T10" s="128"/>
      <c r="U10" s="48" t="s">
        <v>335</v>
      </c>
    </row>
    <row r="11" spans="1:21" s="48" customFormat="1" ht="15">
      <c r="A11" s="48" t="s">
        <v>294</v>
      </c>
      <c r="B11" s="303">
        <v>1</v>
      </c>
      <c r="C11" s="140">
        <f>IF(D2=$P$10,$Q$10,IF(D2=$P$11,$Q$11,IF(D2=$P$12,$Q$12,IF(D2=$P13,$Q13,IF(D2=$P14,$Q14,IF(D2=$P15,$Q15,IF(D2=$P16,$Q16,0)))))))</f>
        <v>0</v>
      </c>
      <c r="D11" s="141"/>
      <c r="E11" s="303">
        <v>1</v>
      </c>
      <c r="F11" s="140">
        <f>IF(G2=$P$10,$Q$10,IF(G2=$P$11,$Q$11,IF(G2=$P$12,$Q$12,IF(G2=$P13,$Q13,IF(G2=$P14,$Q14,IF(G2=$P15,$Q15,IF(G2=$P16,$Q16,0)))))))</f>
        <v>0</v>
      </c>
      <c r="G11" s="142"/>
      <c r="H11" s="303">
        <v>1</v>
      </c>
      <c r="I11" s="140">
        <f>IF(J2=$P$10,$Q$10,IF(J2=$P$11,$Q$11,IF(J2=$P$12,$Q$12,IF(J2=$P13,$Q13,IF(J2=$P14,$Q14,IF(J2=$P15,$Q15,IF(J2=$P16,$Q16,0)))))))</f>
        <v>0</v>
      </c>
      <c r="J11" s="141"/>
      <c r="K11" s="303">
        <v>1</v>
      </c>
      <c r="L11" s="140">
        <f>IF(M2=$P$10,$Q$10,IF(M2=$P$11,$Q$11,IF(M2=$P$12,$Q$12,IF(M2=$P13,$Q13,IF(M2=$P14,$Q14,IF(M2=$P15,$Q15,IF(M2=$P16,$Q16,0)))))))</f>
        <v>0</v>
      </c>
      <c r="M11" s="141"/>
      <c r="T11" s="128"/>
    </row>
    <row r="12" spans="1:21" s="107" customFormat="1" ht="15">
      <c r="A12" s="107" t="s">
        <v>292</v>
      </c>
      <c r="B12" s="144">
        <f>+$D$5</f>
        <v>0</v>
      </c>
      <c r="C12" s="145">
        <f>(+C11+C10)*B12</f>
        <v>0</v>
      </c>
      <c r="D12" s="146"/>
      <c r="E12" s="144">
        <f>+$D$5</f>
        <v>0</v>
      </c>
      <c r="F12" s="145">
        <f>(+F11+F10)*E12</f>
        <v>0</v>
      </c>
      <c r="G12" s="146"/>
      <c r="H12" s="144">
        <f>+$D$5</f>
        <v>0</v>
      </c>
      <c r="I12" s="145">
        <f>(+I11+I10)*H12</f>
        <v>0</v>
      </c>
      <c r="J12" s="146"/>
      <c r="K12" s="144">
        <f>+$D$5</f>
        <v>0</v>
      </c>
      <c r="L12" s="145">
        <f>(+L11+L10)*K12</f>
        <v>0</v>
      </c>
      <c r="M12" s="146"/>
      <c r="P12" s="48"/>
      <c r="Q12" s="48"/>
      <c r="S12" s="48"/>
      <c r="T12" s="128"/>
    </row>
    <row r="13" spans="1:21" s="48" customFormat="1" ht="15">
      <c r="B13" s="139"/>
      <c r="C13" s="140"/>
      <c r="D13" s="141"/>
      <c r="E13" s="139"/>
      <c r="F13" s="53"/>
      <c r="G13" s="141"/>
      <c r="H13" s="139"/>
      <c r="I13" s="53"/>
      <c r="J13" s="141"/>
      <c r="K13" s="139"/>
      <c r="L13" s="53"/>
      <c r="M13" s="141"/>
      <c r="Q13" s="128"/>
      <c r="T13" s="128"/>
    </row>
    <row r="14" spans="1:21" s="48" customFormat="1" ht="15" hidden="1" customHeight="1" outlineLevel="1">
      <c r="A14" s="48" t="s">
        <v>7</v>
      </c>
      <c r="B14" s="147">
        <v>0.16</v>
      </c>
      <c r="C14" s="140">
        <f>+$B$14*C12</f>
        <v>0</v>
      </c>
      <c r="D14" s="141"/>
      <c r="E14" s="139"/>
      <c r="F14" s="140">
        <f>+$B$14*F12</f>
        <v>0</v>
      </c>
      <c r="G14" s="141"/>
      <c r="H14" s="139"/>
      <c r="I14" s="140">
        <f>+$B$14*I12</f>
        <v>0</v>
      </c>
      <c r="J14" s="141"/>
      <c r="K14" s="139"/>
      <c r="L14" s="140">
        <f>+$B$14*L12</f>
        <v>0</v>
      </c>
      <c r="M14" s="141"/>
      <c r="P14" s="48" t="s">
        <v>337</v>
      </c>
      <c r="Q14" s="48">
        <v>72500</v>
      </c>
      <c r="T14" s="128"/>
    </row>
    <row r="15" spans="1:21" s="48" customFormat="1" ht="15" hidden="1" customHeight="1" outlineLevel="1">
      <c r="A15" s="48" t="s">
        <v>8</v>
      </c>
      <c r="B15" s="147"/>
      <c r="C15" s="140">
        <f>+$B$15*C12</f>
        <v>0</v>
      </c>
      <c r="D15" s="141"/>
      <c r="E15" s="139"/>
      <c r="F15" s="140">
        <f>+$B$15*F12</f>
        <v>0</v>
      </c>
      <c r="G15" s="141"/>
      <c r="H15" s="139"/>
      <c r="I15" s="140">
        <f>+$B$15*I12</f>
        <v>0</v>
      </c>
      <c r="J15" s="141"/>
      <c r="K15" s="139"/>
      <c r="L15" s="140">
        <f>+$B$15*L12</f>
        <v>0</v>
      </c>
      <c r="M15" s="141"/>
      <c r="P15" s="48" t="s">
        <v>338</v>
      </c>
      <c r="Q15" s="48">
        <v>72500</v>
      </c>
      <c r="T15" s="128"/>
    </row>
    <row r="16" spans="1:21" s="48" customFormat="1" ht="15" hidden="1" customHeight="1" outlineLevel="1">
      <c r="A16" s="48" t="s">
        <v>9</v>
      </c>
      <c r="B16" s="147"/>
      <c r="C16" s="140">
        <f>+$B$16*C12</f>
        <v>0</v>
      </c>
      <c r="D16" s="141"/>
      <c r="E16" s="139"/>
      <c r="F16" s="140">
        <f>+$B$16*F12</f>
        <v>0</v>
      </c>
      <c r="G16" s="141"/>
      <c r="H16" s="139"/>
      <c r="I16" s="140">
        <f>+$B$16*I12</f>
        <v>0</v>
      </c>
      <c r="J16" s="141"/>
      <c r="K16" s="139"/>
      <c r="L16" s="140">
        <f>+$B$16*L12</f>
        <v>0</v>
      </c>
      <c r="M16" s="141"/>
      <c r="P16" s="48" t="s">
        <v>339</v>
      </c>
      <c r="Q16" s="48">
        <v>72500</v>
      </c>
      <c r="T16" s="128"/>
    </row>
    <row r="17" spans="1:20" s="48" customFormat="1" ht="15" hidden="1" customHeight="1" outlineLevel="1">
      <c r="A17" s="48" t="s">
        <v>10</v>
      </c>
      <c r="B17" s="147"/>
      <c r="C17" s="140">
        <f>+$B$17*C12</f>
        <v>0</v>
      </c>
      <c r="D17" s="141"/>
      <c r="E17" s="139"/>
      <c r="F17" s="140">
        <f>+$B$17*F12</f>
        <v>0</v>
      </c>
      <c r="G17" s="141"/>
      <c r="H17" s="139"/>
      <c r="I17" s="140">
        <f>+$B$17*I12</f>
        <v>0</v>
      </c>
      <c r="J17" s="141"/>
      <c r="K17" s="139"/>
      <c r="L17" s="140">
        <f>+$B$17*L12</f>
        <v>0</v>
      </c>
      <c r="M17" s="141"/>
      <c r="T17" s="128"/>
    </row>
    <row r="18" spans="1:20" s="48" customFormat="1" ht="15" hidden="1" customHeight="1" outlineLevel="1">
      <c r="B18" s="139"/>
      <c r="C18" s="140"/>
      <c r="D18" s="141"/>
      <c r="E18" s="139"/>
      <c r="F18" s="140"/>
      <c r="G18" s="141"/>
      <c r="H18" s="139"/>
      <c r="I18" s="140"/>
      <c r="J18" s="141"/>
      <c r="K18" s="139"/>
      <c r="L18" s="140"/>
      <c r="M18" s="141"/>
      <c r="P18" s="48" t="s">
        <v>42</v>
      </c>
      <c r="Q18" s="48" t="s">
        <v>29</v>
      </c>
      <c r="T18" s="128"/>
    </row>
    <row r="19" spans="1:20" s="48" customFormat="1" ht="15" hidden="1" customHeight="1" outlineLevel="1">
      <c r="A19" s="48" t="s">
        <v>32</v>
      </c>
      <c r="B19" s="148"/>
      <c r="C19" s="140">
        <f>IF($D$4="Standardplan",C12*$B$19,"")</f>
        <v>0</v>
      </c>
      <c r="D19" s="141"/>
      <c r="E19" s="139"/>
      <c r="F19" s="140">
        <f>IF($D$4="Standardplan",F12*$B$19,"")</f>
        <v>0</v>
      </c>
      <c r="G19" s="141"/>
      <c r="H19" s="139"/>
      <c r="I19" s="140">
        <f>IF($D$4="Standardplan",I12*$B$19,"")</f>
        <v>0</v>
      </c>
      <c r="J19" s="141"/>
      <c r="K19" s="139"/>
      <c r="L19" s="140">
        <f>IF($D$4="Standardplan",L12*$B$19,"")</f>
        <v>0</v>
      </c>
      <c r="M19" s="141"/>
      <c r="P19" s="48" t="s">
        <v>25</v>
      </c>
      <c r="Q19" s="48" t="s">
        <v>27</v>
      </c>
      <c r="T19" s="128"/>
    </row>
    <row r="20" spans="1:20" s="48" customFormat="1" ht="15" hidden="1" customHeight="1" outlineLevel="1">
      <c r="B20" s="139"/>
      <c r="C20" s="140"/>
      <c r="D20" s="141"/>
      <c r="E20" s="139"/>
      <c r="F20" s="53"/>
      <c r="G20" s="141"/>
      <c r="H20" s="139"/>
      <c r="I20" s="53"/>
      <c r="J20" s="141"/>
      <c r="K20" s="139"/>
      <c r="L20" s="53"/>
      <c r="M20" s="141"/>
      <c r="P20" s="48" t="s">
        <v>26</v>
      </c>
      <c r="Q20" s="48" t="s">
        <v>28</v>
      </c>
      <c r="T20" s="128"/>
    </row>
    <row r="21" spans="1:20" s="48" customFormat="1" ht="15" hidden="1" customHeight="1" outlineLevel="1">
      <c r="A21" s="48" t="s">
        <v>11</v>
      </c>
      <c r="B21" s="139"/>
      <c r="C21" s="149"/>
      <c r="D21" s="141"/>
      <c r="E21" s="139"/>
      <c r="F21" s="53"/>
      <c r="G21" s="141"/>
      <c r="H21" s="139"/>
      <c r="I21" s="53"/>
      <c r="J21" s="141"/>
      <c r="K21" s="139"/>
      <c r="L21" s="53"/>
      <c r="M21" s="141"/>
      <c r="T21" s="128"/>
    </row>
    <row r="22" spans="1:20" s="48" customFormat="1" ht="15" hidden="1" customHeight="1" outlineLevel="1">
      <c r="A22" s="48" t="s">
        <v>33</v>
      </c>
      <c r="B22" s="307"/>
      <c r="C22" s="140">
        <f>IF($D$7&lt;2,$D$7*B22,B22*1)</f>
        <v>0</v>
      </c>
      <c r="D22" s="141"/>
      <c r="E22" s="139"/>
      <c r="F22" s="140">
        <f>+C22</f>
        <v>0</v>
      </c>
      <c r="G22" s="141"/>
      <c r="H22" s="139"/>
      <c r="I22" s="140">
        <f>+F22</f>
        <v>0</v>
      </c>
      <c r="J22" s="141"/>
      <c r="K22" s="139"/>
      <c r="L22" s="140">
        <f>+I22</f>
        <v>0</v>
      </c>
      <c r="M22" s="141"/>
      <c r="T22" s="128"/>
    </row>
    <row r="23" spans="1:20" s="48" customFormat="1" ht="15" hidden="1" customHeight="1" outlineLevel="1">
      <c r="A23" s="48" t="s">
        <v>34</v>
      </c>
      <c r="B23" s="307"/>
      <c r="C23" s="140">
        <f>IF($D$7&gt;1,($D$7-1)*B23,0)</f>
        <v>0</v>
      </c>
      <c r="D23" s="141"/>
      <c r="E23" s="139"/>
      <c r="F23" s="140">
        <f>+C23</f>
        <v>0</v>
      </c>
      <c r="G23" s="141"/>
      <c r="H23" s="139"/>
      <c r="I23" s="140">
        <f>+F23</f>
        <v>0</v>
      </c>
      <c r="J23" s="141"/>
      <c r="K23" s="139"/>
      <c r="L23" s="140">
        <f>+I23</f>
        <v>0</v>
      </c>
      <c r="M23" s="141"/>
      <c r="T23" s="128"/>
    </row>
    <row r="24" spans="1:20" s="48" customFormat="1" ht="15" hidden="1" customHeight="1" outlineLevel="1">
      <c r="A24" s="48" t="s">
        <v>35</v>
      </c>
      <c r="B24" s="307"/>
      <c r="C24" s="140">
        <f>+D8*B24</f>
        <v>0</v>
      </c>
      <c r="D24" s="141"/>
      <c r="E24" s="139"/>
      <c r="F24" s="140">
        <f>+C24</f>
        <v>0</v>
      </c>
      <c r="G24" s="141"/>
      <c r="H24" s="139"/>
      <c r="I24" s="140">
        <f>+F24</f>
        <v>0</v>
      </c>
      <c r="J24" s="141"/>
      <c r="K24" s="139"/>
      <c r="L24" s="140">
        <f>+I24</f>
        <v>0</v>
      </c>
      <c r="M24" s="141"/>
      <c r="T24" s="128"/>
    </row>
    <row r="25" spans="1:20" s="48" customFormat="1" ht="15" hidden="1" customHeight="1" outlineLevel="1">
      <c r="B25" s="150"/>
      <c r="C25" s="140"/>
      <c r="D25" s="141"/>
      <c r="E25" s="139"/>
      <c r="F25" s="53"/>
      <c r="G25" s="141"/>
      <c r="H25" s="139"/>
      <c r="I25" s="53"/>
      <c r="J25" s="141"/>
      <c r="K25" s="139"/>
      <c r="L25" s="53"/>
      <c r="M25" s="141"/>
    </row>
    <row r="26" spans="1:20" s="48" customFormat="1" ht="15" customHeight="1" collapsed="1">
      <c r="A26" s="151"/>
      <c r="B26" s="158"/>
      <c r="C26" s="153"/>
      <c r="D26" s="154"/>
      <c r="E26" s="139"/>
      <c r="F26" s="151"/>
      <c r="G26" s="154"/>
      <c r="H26" s="139"/>
      <c r="I26" s="151"/>
      <c r="J26" s="154"/>
      <c r="K26" s="139"/>
      <c r="L26" s="151"/>
      <c r="M26" s="154"/>
      <c r="N26" s="155"/>
    </row>
    <row r="27" spans="1:20" s="48" customFormat="1" ht="15">
      <c r="A27" s="156"/>
      <c r="B27" s="158"/>
      <c r="C27" s="320" t="s">
        <v>146</v>
      </c>
      <c r="D27" s="141"/>
      <c r="E27" s="139"/>
      <c r="F27" s="320" t="s">
        <v>147</v>
      </c>
      <c r="G27" s="141"/>
      <c r="H27" s="139"/>
      <c r="I27" s="320" t="s">
        <v>148</v>
      </c>
      <c r="J27" s="141"/>
      <c r="K27" s="139"/>
      <c r="L27" s="320" t="s">
        <v>149</v>
      </c>
      <c r="M27" s="141"/>
      <c r="N27" s="159" t="s">
        <v>46</v>
      </c>
    </row>
    <row r="28" spans="1:20" s="48" customFormat="1" ht="15">
      <c r="A28" s="160"/>
      <c r="B28" s="158"/>
      <c r="C28" s="161"/>
      <c r="D28" s="141"/>
      <c r="E28" s="139"/>
      <c r="F28" s="162">
        <v>1</v>
      </c>
      <c r="G28" s="141" t="s">
        <v>94</v>
      </c>
      <c r="H28" s="139"/>
      <c r="I28" s="162">
        <v>1</v>
      </c>
      <c r="J28" s="141" t="s">
        <v>94</v>
      </c>
      <c r="K28" s="139"/>
      <c r="L28" s="162">
        <v>1</v>
      </c>
      <c r="M28" s="141" t="s">
        <v>94</v>
      </c>
      <c r="N28" s="159"/>
    </row>
    <row r="29" spans="1:20" s="48" customFormat="1" ht="15">
      <c r="A29" s="160"/>
      <c r="B29" s="158"/>
      <c r="C29" s="163"/>
      <c r="D29" s="141"/>
      <c r="E29" s="139"/>
      <c r="F29" s="163"/>
      <c r="G29" s="141"/>
      <c r="H29" s="139"/>
      <c r="I29" s="163"/>
      <c r="J29" s="141"/>
      <c r="K29" s="139"/>
      <c r="L29" s="163"/>
      <c r="M29" s="141"/>
      <c r="N29" s="159"/>
    </row>
    <row r="30" spans="1:20" s="48" customFormat="1" ht="15">
      <c r="A30" s="160"/>
      <c r="B30" s="158"/>
      <c r="C30" s="163" t="s">
        <v>40</v>
      </c>
      <c r="D30" s="141" t="s">
        <v>41</v>
      </c>
      <c r="E30" s="139"/>
      <c r="F30" s="163" t="s">
        <v>40</v>
      </c>
      <c r="G30" s="141" t="s">
        <v>41</v>
      </c>
      <c r="H30" s="139"/>
      <c r="I30" s="163" t="s">
        <v>40</v>
      </c>
      <c r="J30" s="141" t="s">
        <v>41</v>
      </c>
      <c r="K30" s="139"/>
      <c r="L30" s="163" t="s">
        <v>40</v>
      </c>
      <c r="M30" s="141" t="s">
        <v>41</v>
      </c>
      <c r="N30" s="159"/>
    </row>
    <row r="31" spans="1:20" s="48" customFormat="1" ht="15">
      <c r="A31" s="160" t="s">
        <v>93</v>
      </c>
      <c r="B31" s="158"/>
      <c r="C31" s="163">
        <f>+C12+C22+C23+C24</f>
        <v>0</v>
      </c>
      <c r="D31" s="142">
        <f>+C31/12</f>
        <v>0</v>
      </c>
      <c r="E31" s="139"/>
      <c r="F31" s="163">
        <f>(+F12+F22+F23+F24)*F28</f>
        <v>0</v>
      </c>
      <c r="G31" s="142">
        <f>+F31/12</f>
        <v>0</v>
      </c>
      <c r="H31" s="139"/>
      <c r="I31" s="163">
        <f>(+I12+I22+I23+I24)*I28^2</f>
        <v>0</v>
      </c>
      <c r="J31" s="142">
        <f>+I31/12</f>
        <v>0</v>
      </c>
      <c r="K31" s="139"/>
      <c r="L31" s="163">
        <f>(+L12+L22+L23+L24)*L28^3</f>
        <v>0</v>
      </c>
      <c r="M31" s="142">
        <f>+L31/12</f>
        <v>0</v>
      </c>
      <c r="N31" s="165">
        <f>C31+F31+I31+L31</f>
        <v>0</v>
      </c>
    </row>
    <row r="32" spans="1:20" s="48" customFormat="1" ht="15">
      <c r="A32" s="160" t="s">
        <v>38</v>
      </c>
      <c r="B32" s="198"/>
      <c r="C32" s="163">
        <f>SUM(C14:C19)</f>
        <v>0</v>
      </c>
      <c r="D32" s="142">
        <f>+C32/12</f>
        <v>0</v>
      </c>
      <c r="E32" s="139"/>
      <c r="F32" s="163">
        <f>SUM(F14:F19)</f>
        <v>0</v>
      </c>
      <c r="G32" s="142">
        <f>+F32/12</f>
        <v>0</v>
      </c>
      <c r="H32" s="139"/>
      <c r="I32" s="163">
        <f>SUM(I14:I19)</f>
        <v>0</v>
      </c>
      <c r="J32" s="142">
        <f>+I32/12</f>
        <v>0</v>
      </c>
      <c r="K32" s="139"/>
      <c r="L32" s="163">
        <f>SUM(L14:L19)</f>
        <v>0</v>
      </c>
      <c r="M32" s="142">
        <f>+L32/12</f>
        <v>0</v>
      </c>
      <c r="N32" s="165">
        <f t="shared" ref="N32:N33" si="0">C32+F32+I32+L32</f>
        <v>0</v>
      </c>
    </row>
    <row r="33" spans="1:15" s="48" customFormat="1" ht="15">
      <c r="A33" s="156" t="s">
        <v>39</v>
      </c>
      <c r="B33" s="199"/>
      <c r="C33" s="167">
        <f>+C32+C31</f>
        <v>0</v>
      </c>
      <c r="D33" s="168">
        <f>+D32+D31</f>
        <v>0</v>
      </c>
      <c r="E33" s="139"/>
      <c r="F33" s="167">
        <f>+F32+F31</f>
        <v>0</v>
      </c>
      <c r="G33" s="168">
        <f>+G32+G31</f>
        <v>0</v>
      </c>
      <c r="H33" s="139"/>
      <c r="I33" s="167">
        <f>+I32+I31</f>
        <v>0</v>
      </c>
      <c r="J33" s="168">
        <f>+J32+J31</f>
        <v>0</v>
      </c>
      <c r="K33" s="139"/>
      <c r="L33" s="167">
        <f>+L32+L31</f>
        <v>0</v>
      </c>
      <c r="M33" s="168">
        <f>+M32+M31</f>
        <v>0</v>
      </c>
      <c r="N33" s="170">
        <f t="shared" si="0"/>
        <v>0</v>
      </c>
    </row>
    <row r="34" spans="1:15" s="48" customFormat="1" ht="15">
      <c r="A34" s="83"/>
      <c r="B34" s="158"/>
      <c r="C34" s="80"/>
      <c r="D34" s="172"/>
      <c r="E34" s="139"/>
      <c r="F34" s="83"/>
      <c r="G34" s="172"/>
      <c r="H34" s="139"/>
      <c r="I34" s="83"/>
      <c r="J34" s="172"/>
      <c r="K34" s="139"/>
      <c r="L34" s="83"/>
      <c r="M34" s="172"/>
      <c r="N34" s="173"/>
    </row>
    <row r="35" spans="1:15" s="48" customFormat="1" ht="15">
      <c r="B35" s="139"/>
      <c r="C35" s="140"/>
      <c r="D35" s="141"/>
      <c r="E35" s="139"/>
      <c r="F35" s="53"/>
      <c r="G35" s="141"/>
      <c r="H35" s="139"/>
      <c r="I35" s="53"/>
      <c r="J35" s="141"/>
      <c r="K35" s="139"/>
      <c r="L35" s="53"/>
      <c r="M35" s="141"/>
    </row>
    <row r="36" spans="1:15" s="48" customFormat="1" ht="15">
      <c r="A36" s="151"/>
      <c r="B36" s="152"/>
      <c r="C36" s="175"/>
      <c r="D36" s="154"/>
      <c r="E36" s="152"/>
      <c r="F36" s="176"/>
      <c r="G36" s="154"/>
      <c r="H36" s="152"/>
      <c r="I36" s="176"/>
      <c r="J36" s="154"/>
      <c r="K36" s="152"/>
      <c r="L36" s="176"/>
      <c r="M36" s="154"/>
      <c r="N36" s="192" t="s">
        <v>137</v>
      </c>
    </row>
    <row r="37" spans="1:15" s="48" customFormat="1" ht="15">
      <c r="A37" s="160" t="s">
        <v>45</v>
      </c>
      <c r="B37" s="177"/>
      <c r="C37" s="140"/>
      <c r="D37" s="142">
        <f>+D33*B37</f>
        <v>0</v>
      </c>
      <c r="E37" s="177"/>
      <c r="F37" s="53"/>
      <c r="G37" s="142">
        <f>+G33*E37</f>
        <v>0</v>
      </c>
      <c r="H37" s="177"/>
      <c r="I37" s="53"/>
      <c r="J37" s="142">
        <f>+J33*H37</f>
        <v>0</v>
      </c>
      <c r="K37" s="177"/>
      <c r="L37" s="140"/>
      <c r="M37" s="142">
        <f>+M33*K37</f>
        <v>0</v>
      </c>
      <c r="N37" s="266">
        <f>D37+G37+J37+M37</f>
        <v>0</v>
      </c>
    </row>
    <row r="38" spans="1:15" s="48" customFormat="1" ht="15">
      <c r="A38" s="160"/>
      <c r="B38" s="139"/>
      <c r="C38" s="140"/>
      <c r="D38" s="141"/>
      <c r="E38" s="139"/>
      <c r="F38" s="53"/>
      <c r="G38" s="141"/>
      <c r="H38" s="139"/>
      <c r="I38" s="53"/>
      <c r="J38" s="141"/>
      <c r="K38" s="139"/>
      <c r="L38" s="53"/>
      <c r="M38" s="141"/>
      <c r="N38" s="193"/>
    </row>
    <row r="39" spans="1:15" s="48" customFormat="1" ht="15.75" thickBot="1">
      <c r="A39" s="83"/>
      <c r="B39" s="178"/>
      <c r="C39" s="179"/>
      <c r="D39" s="180"/>
      <c r="E39" s="178"/>
      <c r="F39" s="181"/>
      <c r="G39" s="180"/>
      <c r="H39" s="178"/>
      <c r="I39" s="181"/>
      <c r="J39" s="180"/>
      <c r="K39" s="178"/>
      <c r="L39" s="181"/>
      <c r="M39" s="180"/>
      <c r="N39" s="194"/>
    </row>
    <row r="40" spans="1:15" s="48" customFormat="1" ht="15">
      <c r="C40" s="47"/>
    </row>
    <row r="41" spans="1:15" s="48" customFormat="1" ht="15">
      <c r="C41" s="47"/>
    </row>
    <row r="42" spans="1:15" s="48" customFormat="1" ht="15" outlineLevel="1">
      <c r="A42" s="107" t="s">
        <v>136</v>
      </c>
      <c r="C42" s="47"/>
      <c r="N42" s="183" t="s">
        <v>137</v>
      </c>
      <c r="O42" s="184" t="s">
        <v>136</v>
      </c>
    </row>
    <row r="43" spans="1:15" s="48" customFormat="1" ht="15" outlineLevel="1">
      <c r="A43" s="48" t="s">
        <v>68</v>
      </c>
      <c r="C43" s="47"/>
      <c r="D43" s="185">
        <f>SUM(D44:D45)</f>
        <v>0</v>
      </c>
      <c r="G43" s="185">
        <f>SUM(G44:G45)</f>
        <v>0</v>
      </c>
      <c r="J43" s="185">
        <f>SUM(J44:J45)</f>
        <v>0</v>
      </c>
      <c r="M43" s="185">
        <f>SUM(M44:M45)</f>
        <v>0</v>
      </c>
      <c r="N43" s="186">
        <f>SUM(B43:M43)</f>
        <v>0</v>
      </c>
      <c r="O43" s="183" t="s">
        <v>68</v>
      </c>
    </row>
    <row r="44" spans="1:15" s="48" customFormat="1" ht="15" outlineLevel="1">
      <c r="A44" s="48" t="s">
        <v>135</v>
      </c>
      <c r="C44" s="47"/>
      <c r="D44" s="47">
        <f>D37/1.16</f>
        <v>0</v>
      </c>
      <c r="G44" s="47">
        <f>G37/1.16</f>
        <v>0</v>
      </c>
      <c r="J44" s="47">
        <f>J37/1.16</f>
        <v>0</v>
      </c>
      <c r="M44" s="47">
        <f>M37/1.16</f>
        <v>0</v>
      </c>
      <c r="N44" s="186">
        <f>SUM(B44:M44)</f>
        <v>0</v>
      </c>
      <c r="O44" s="183" t="s">
        <v>135</v>
      </c>
    </row>
    <row r="45" spans="1:15" s="48" customFormat="1" ht="15" outlineLevel="1">
      <c r="A45" s="48" t="s">
        <v>329</v>
      </c>
      <c r="C45" s="47"/>
      <c r="D45" s="47">
        <f>D44*16%</f>
        <v>0</v>
      </c>
      <c r="G45" s="47">
        <f>G44*16%</f>
        <v>0</v>
      </c>
      <c r="J45" s="47">
        <f>J44*16%</f>
        <v>0</v>
      </c>
      <c r="M45" s="47">
        <f>M44*16%</f>
        <v>0</v>
      </c>
      <c r="N45" s="186">
        <f>SUM(B45:M45)</f>
        <v>0</v>
      </c>
      <c r="O45" s="183" t="str">
        <f>A45</f>
        <v>Social Security (16 %)</v>
      </c>
    </row>
    <row r="46" spans="1:15" s="48" customFormat="1" ht="15" outlineLevel="1">
      <c r="C46" s="47"/>
    </row>
    <row r="47" spans="1:15" s="48" customFormat="1" ht="15">
      <c r="C47" s="47"/>
    </row>
    <row r="48" spans="1:15" s="48" customFormat="1" ht="15">
      <c r="C48" s="47"/>
    </row>
    <row r="49" spans="1:14" s="48" customFormat="1" ht="15">
      <c r="A49" s="3"/>
      <c r="B49" s="3"/>
      <c r="C49" s="44"/>
      <c r="D49" s="3"/>
      <c r="E49" s="3"/>
      <c r="F49" s="3"/>
      <c r="G49" s="3"/>
      <c r="H49" s="3"/>
      <c r="I49" s="3"/>
      <c r="J49" s="3"/>
      <c r="K49" s="3"/>
      <c r="L49" s="3"/>
      <c r="M49" s="3"/>
      <c r="N49" s="3"/>
    </row>
    <row r="50" spans="1:14" s="48" customFormat="1" ht="15">
      <c r="A50" s="3"/>
      <c r="B50" s="3"/>
      <c r="C50" s="44"/>
      <c r="D50" s="3"/>
      <c r="E50" s="3"/>
      <c r="F50" s="3"/>
      <c r="G50" s="3"/>
      <c r="H50" s="3"/>
      <c r="I50" s="3"/>
      <c r="J50" s="3"/>
      <c r="K50" s="3"/>
      <c r="L50" s="3"/>
      <c r="M50" s="3"/>
      <c r="N50" s="3"/>
    </row>
  </sheetData>
  <sheetProtection algorithmName="SHA-512" hashValue="AZeNWHrl0LFdm/V9cUo7IRWeR/nVoiIefGyJ/g4HbhUiMjgo+nU2mQ3QLK8F6kvvhX8ehAs2lH4jyM1uyvwgjg==" saltValue="u05V7XgtdXplQAOiD1QwhQ==" spinCount="100000" sheet="1" objects="1" scenarios="1"/>
  <dataConsolidate/>
  <mergeCells count="7">
    <mergeCell ref="B8:C8"/>
    <mergeCell ref="B2:C2"/>
    <mergeCell ref="B3:C3"/>
    <mergeCell ref="B4:C4"/>
    <mergeCell ref="B5:C5"/>
    <mergeCell ref="B6:C6"/>
    <mergeCell ref="B7:C7"/>
  </mergeCells>
  <conditionalFormatting sqref="D2 G2 J2:M2">
    <cfRule type="cellIs" priority="1" stopIfTrue="1" operator="between">
      <formula>$P$3</formula>
      <formula>$P$12</formula>
    </cfRule>
  </conditionalFormatting>
  <dataValidations count="2">
    <dataValidation type="list" allowBlank="1" showInputMessage="1" showErrorMessage="1" sqref="K2:L2">
      <formula1>$P$2:$P$12</formula1>
    </dataValidation>
    <dataValidation type="list" allowBlank="1" showInputMessage="1" showErrorMessage="1" sqref="D2 M2 J2 G2">
      <formula1>$P$14:$P$16</formula1>
    </dataValidation>
  </dataValidations>
  <pageMargins left="0.19685039370078741" right="0.19685039370078741" top="0.59055118110236227" bottom="0.78740157480314965" header="0.31496062992125984" footer="0.39370078740157483"/>
  <pageSetup paperSize="9" scale="57" orientation="landscape" r:id="rId1"/>
  <headerFooter>
    <oddFooter>&amp;L&amp;8&amp;F, &amp;A, 11.07.2019 / AG</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249977111117893"/>
    <pageSetUpPr fitToPage="1"/>
  </sheetPr>
  <dimension ref="A1:AE57"/>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10.140625" style="3" bestFit="1" customWidth="1"/>
    <col min="3" max="3" width="11.28515625" style="44" customWidth="1"/>
    <col min="4" max="4" width="17" style="3" customWidth="1"/>
    <col min="5" max="5" width="5.5703125" style="3" bestFit="1" customWidth="1"/>
    <col min="6" max="6" width="8.5703125" style="3" bestFit="1" customWidth="1"/>
    <col min="7" max="7" width="17" style="3" bestFit="1" customWidth="1"/>
    <col min="8" max="8" width="5.5703125" style="3" customWidth="1"/>
    <col min="9" max="9" width="8.5703125" style="3" customWidth="1"/>
    <col min="10" max="10" width="17" style="3" customWidth="1"/>
    <col min="11" max="11" width="5.5703125" style="3" customWidth="1"/>
    <col min="12" max="12" width="8.5703125" style="3" customWidth="1"/>
    <col min="13" max="13" width="17" style="3" customWidth="1"/>
    <col min="14" max="14" width="5.5703125" style="120" customWidth="1"/>
    <col min="15" max="15" width="8.5703125" style="3" customWidth="1"/>
    <col min="16" max="16" width="17" style="3" customWidth="1"/>
    <col min="17" max="17" width="5.5703125" style="120" customWidth="1"/>
    <col min="18" max="18" width="8.5703125" style="3" customWidth="1"/>
    <col min="19" max="19" width="17" style="3" customWidth="1"/>
    <col min="20" max="20" width="5.42578125" style="3" hidden="1" customWidth="1" outlineLevel="1"/>
    <col min="21" max="21" width="9.140625" style="3" hidden="1" customWidth="1" outlineLevel="1"/>
    <col min="22" max="22" width="17" style="3" hidden="1" customWidth="1" outlineLevel="1"/>
    <col min="23" max="23" width="14.7109375" style="3" bestFit="1" customWidth="1" collapsed="1"/>
    <col min="24" max="24" width="19.85546875" style="3" bestFit="1" customWidth="1"/>
    <col min="25" max="25" width="16.140625" style="3" hidden="1" customWidth="1" outlineLevel="1"/>
    <col min="26" max="26" width="12.7109375" style="3" hidden="1" customWidth="1" outlineLevel="1"/>
    <col min="27" max="30" width="9.140625" style="3" hidden="1" customWidth="1" outlineLevel="1"/>
    <col min="31" max="31" width="9.140625" style="3" customWidth="1" collapsed="1"/>
    <col min="32" max="16384" width="9.140625" style="3"/>
  </cols>
  <sheetData>
    <row r="1" spans="1:29" ht="23.25">
      <c r="A1" s="119" t="s">
        <v>140</v>
      </c>
    </row>
    <row r="2" spans="1:29" s="123" customFormat="1" ht="15">
      <c r="A2" s="121" t="s">
        <v>12</v>
      </c>
      <c r="B2" s="396" t="s">
        <v>13</v>
      </c>
      <c r="C2" s="396"/>
      <c r="D2" s="122"/>
      <c r="G2" s="122"/>
      <c r="J2" s="122"/>
      <c r="K2" s="124"/>
      <c r="L2" s="124"/>
      <c r="M2" s="122"/>
      <c r="N2" s="125"/>
      <c r="O2" s="124"/>
      <c r="P2" s="122"/>
      <c r="Q2" s="125"/>
      <c r="R2" s="124"/>
      <c r="S2" s="122"/>
      <c r="T2" s="124"/>
      <c r="U2" s="124"/>
      <c r="V2" s="122"/>
      <c r="W2" s="124"/>
      <c r="Y2" s="123" t="s">
        <v>30</v>
      </c>
      <c r="Z2" s="126">
        <v>43466</v>
      </c>
      <c r="AB2" s="123" t="s">
        <v>31</v>
      </c>
      <c r="AC2" s="265" t="s">
        <v>251</v>
      </c>
    </row>
    <row r="3" spans="1:29" s="123" customFormat="1" ht="15">
      <c r="B3" s="396" t="s">
        <v>24</v>
      </c>
      <c r="C3" s="396"/>
      <c r="D3" s="127" t="s">
        <v>42</v>
      </c>
      <c r="K3" s="124"/>
      <c r="L3" s="124"/>
      <c r="M3" s="124"/>
      <c r="N3" s="125"/>
      <c r="O3" s="124"/>
      <c r="P3" s="124"/>
      <c r="Q3" s="125"/>
      <c r="R3" s="124"/>
      <c r="S3" s="124"/>
      <c r="T3" s="124"/>
      <c r="U3" s="124"/>
      <c r="V3" s="124"/>
      <c r="W3" s="124"/>
      <c r="Y3" s="48"/>
      <c r="Z3" s="48"/>
      <c r="AA3" s="48"/>
      <c r="AB3" s="130" t="s">
        <v>1</v>
      </c>
      <c r="AC3" s="282">
        <f>'PK-Sätze'!G4</f>
        <v>9.3999999999999986</v>
      </c>
    </row>
    <row r="4" spans="1:29" s="48" customFormat="1" ht="15">
      <c r="A4" s="131" t="s">
        <v>47</v>
      </c>
      <c r="B4" s="396" t="s">
        <v>23</v>
      </c>
      <c r="C4" s="396"/>
      <c r="D4" s="128" t="str">
        <f>IF(D3=Y18,Z18,IF(D3=Y19,Z19,Z20))</f>
        <v>Standardplan</v>
      </c>
      <c r="K4" s="128"/>
      <c r="L4" s="128"/>
      <c r="M4" s="128"/>
      <c r="N4" s="129"/>
      <c r="O4" s="128"/>
      <c r="P4" s="128"/>
      <c r="Q4" s="129"/>
      <c r="R4" s="128"/>
      <c r="S4" s="128"/>
      <c r="T4" s="128"/>
      <c r="U4" s="128"/>
      <c r="V4" s="128"/>
      <c r="W4" s="128"/>
      <c r="Y4" s="48" t="s">
        <v>14</v>
      </c>
      <c r="Z4" s="48">
        <v>50800</v>
      </c>
      <c r="AB4" s="130" t="s">
        <v>2</v>
      </c>
      <c r="AC4" s="282">
        <f>'PK-Sätze'!G5</f>
        <v>11.649999999999999</v>
      </c>
    </row>
    <row r="5" spans="1:29" s="48" customFormat="1" ht="15">
      <c r="A5" s="132"/>
      <c r="B5" s="396" t="s">
        <v>0</v>
      </c>
      <c r="C5" s="396"/>
      <c r="D5" s="133"/>
      <c r="J5" s="347"/>
      <c r="K5" s="348"/>
      <c r="L5" s="348"/>
      <c r="M5" s="348"/>
      <c r="N5" s="349"/>
      <c r="O5" s="348"/>
      <c r="P5" s="348"/>
      <c r="Q5" s="129"/>
      <c r="Y5" s="48" t="s">
        <v>15</v>
      </c>
      <c r="Z5" s="48">
        <v>54400</v>
      </c>
      <c r="AB5" s="130" t="s">
        <v>5</v>
      </c>
      <c r="AC5" s="282">
        <f>'PK-Sätze'!G6</f>
        <v>17.7</v>
      </c>
    </row>
    <row r="6" spans="1:29" s="48" customFormat="1" ht="15">
      <c r="B6" s="396" t="s">
        <v>3</v>
      </c>
      <c r="C6" s="396"/>
      <c r="D6" s="134"/>
      <c r="N6" s="129"/>
      <c r="Q6" s="129"/>
      <c r="Y6" s="48" t="s">
        <v>22</v>
      </c>
      <c r="Z6" s="48">
        <v>58000</v>
      </c>
      <c r="AB6" s="130" t="s">
        <v>6</v>
      </c>
      <c r="AC6" s="282">
        <f>'PK-Sätze'!G6</f>
        <v>17.7</v>
      </c>
    </row>
    <row r="7" spans="1:29" s="48" customFormat="1" ht="15">
      <c r="B7" s="396" t="s">
        <v>36</v>
      </c>
      <c r="C7" s="396"/>
      <c r="D7" s="134"/>
      <c r="N7" s="129"/>
      <c r="Q7" s="129"/>
      <c r="Y7" s="48" t="s">
        <v>16</v>
      </c>
      <c r="Z7" s="48">
        <v>85000</v>
      </c>
      <c r="AB7" s="130" t="s">
        <v>4</v>
      </c>
      <c r="AC7" s="282">
        <f>'PK-Sätze'!G7</f>
        <v>22.55</v>
      </c>
    </row>
    <row r="8" spans="1:29" s="48" customFormat="1" ht="15">
      <c r="B8" s="396" t="s">
        <v>37</v>
      </c>
      <c r="C8" s="396"/>
      <c r="D8" s="134"/>
      <c r="N8" s="129"/>
      <c r="Q8" s="129"/>
      <c r="Y8" s="48" t="s">
        <v>17</v>
      </c>
      <c r="Z8" s="48">
        <v>88000</v>
      </c>
      <c r="AC8" s="282"/>
    </row>
    <row r="9" spans="1:29" s="48" customFormat="1" ht="15">
      <c r="B9" s="284" t="s">
        <v>283</v>
      </c>
      <c r="C9" s="284"/>
      <c r="D9" s="298" t="s">
        <v>284</v>
      </c>
      <c r="N9" s="129"/>
      <c r="Q9" s="129"/>
      <c r="AC9" s="282"/>
    </row>
    <row r="10" spans="1:29" s="330" customFormat="1" ht="15.75" thickBot="1">
      <c r="C10" s="331"/>
      <c r="N10" s="332"/>
      <c r="Q10" s="332"/>
      <c r="Y10" s="330" t="s">
        <v>18</v>
      </c>
      <c r="Z10" s="330">
        <v>92000</v>
      </c>
      <c r="AB10" s="330" t="s">
        <v>27</v>
      </c>
      <c r="AC10" s="333"/>
    </row>
    <row r="11" spans="1:29" s="48" customFormat="1" ht="15">
      <c r="A11" s="48" t="s">
        <v>294</v>
      </c>
      <c r="B11" s="188">
        <v>1</v>
      </c>
      <c r="C11" s="308"/>
      <c r="D11" s="293">
        <f>+C11/12</f>
        <v>0</v>
      </c>
      <c r="E11" s="188">
        <v>1</v>
      </c>
      <c r="F11" s="308"/>
      <c r="G11" s="138"/>
      <c r="H11" s="188">
        <v>1</v>
      </c>
      <c r="I11" s="308"/>
      <c r="J11" s="137"/>
      <c r="K11" s="188">
        <v>1</v>
      </c>
      <c r="L11" s="308"/>
      <c r="M11" s="137"/>
      <c r="N11" s="188">
        <v>1</v>
      </c>
      <c r="O11" s="308"/>
      <c r="P11" s="137"/>
      <c r="Q11" s="188">
        <v>1</v>
      </c>
      <c r="R11" s="308"/>
      <c r="S11" s="137"/>
      <c r="T11" s="188">
        <v>1</v>
      </c>
      <c r="U11" s="308"/>
      <c r="V11" s="137"/>
      <c r="Y11" s="48" t="s">
        <v>44</v>
      </c>
      <c r="Z11" s="128">
        <v>103005</v>
      </c>
      <c r="AB11" s="130" t="s">
        <v>1</v>
      </c>
      <c r="AC11" s="282">
        <f>'PK-Sätze'!G17</f>
        <v>9.3999999999999986</v>
      </c>
    </row>
    <row r="12" spans="1:29" s="107" customFormat="1" ht="15">
      <c r="A12" s="107" t="s">
        <v>292</v>
      </c>
      <c r="B12" s="144">
        <f>+D5</f>
        <v>0</v>
      </c>
      <c r="C12" s="145">
        <f>+C11*B12</f>
        <v>0</v>
      </c>
      <c r="D12" s="146"/>
      <c r="E12" s="144">
        <f>+$D$5</f>
        <v>0</v>
      </c>
      <c r="F12" s="145">
        <f>+F11*E12</f>
        <v>0</v>
      </c>
      <c r="G12" s="146"/>
      <c r="H12" s="144">
        <f>+$D$5</f>
        <v>0</v>
      </c>
      <c r="I12" s="145">
        <f>+I11*H12</f>
        <v>0</v>
      </c>
      <c r="J12" s="146"/>
      <c r="K12" s="144">
        <f>+$D$5</f>
        <v>0</v>
      </c>
      <c r="L12" s="145">
        <f>+L11*K12</f>
        <v>0</v>
      </c>
      <c r="M12" s="146"/>
      <c r="N12" s="144">
        <f>+$D$5</f>
        <v>0</v>
      </c>
      <c r="O12" s="145">
        <f>+O11*N12</f>
        <v>0</v>
      </c>
      <c r="P12" s="146"/>
      <c r="Q12" s="144">
        <f>+$D$5</f>
        <v>0</v>
      </c>
      <c r="R12" s="145">
        <f>+R11*Q12</f>
        <v>0</v>
      </c>
      <c r="S12" s="146"/>
      <c r="T12" s="144">
        <f>+$D$5</f>
        <v>0</v>
      </c>
      <c r="U12" s="145">
        <f>+U11*T12</f>
        <v>0</v>
      </c>
      <c r="V12" s="146"/>
      <c r="Y12" s="48" t="s">
        <v>19</v>
      </c>
      <c r="Z12" s="48">
        <v>70300</v>
      </c>
      <c r="AA12" s="48"/>
      <c r="AB12" s="130" t="s">
        <v>2</v>
      </c>
      <c r="AC12" s="282">
        <f>'PK-Sätze'!G18</f>
        <v>11.649999999999999</v>
      </c>
    </row>
    <row r="13" spans="1:29" s="107" customFormat="1" ht="15">
      <c r="A13" s="107" t="s">
        <v>295</v>
      </c>
      <c r="B13" s="144"/>
      <c r="C13" s="149">
        <f>IF(C11/100*(B12*100)&lt;=$AB$25,0,IF(C11&gt;($AB$24*100/30),C11-$AB$24,C11*0.7))</f>
        <v>0</v>
      </c>
      <c r="D13" s="146"/>
      <c r="E13" s="144"/>
      <c r="F13" s="149">
        <f>IF(F11/100*(E12*100)&lt;=$AB$25,0,IF(F11&gt;($AB$24*100/30),F11-$AB$24,F11*0.7))</f>
        <v>0</v>
      </c>
      <c r="G13" s="146"/>
      <c r="H13" s="144"/>
      <c r="I13" s="149">
        <f>IF(I11/100*(H12*100)&lt;=$AB$25,0,IF(I11&gt;($AB$24*100/30),I11-$AB$24,I11*0.7))</f>
        <v>0</v>
      </c>
      <c r="J13" s="146"/>
      <c r="K13" s="144"/>
      <c r="L13" s="149">
        <f>IF(L11/100*(K12*100)&lt;=$AB$25,0,IF(L11&gt;($AB$24*100/30),L11-$AB$24,L11*0.7))</f>
        <v>0</v>
      </c>
      <c r="M13" s="146"/>
      <c r="N13" s="144"/>
      <c r="O13" s="149">
        <f>IF(O11/100*(N12*100)&lt;=$AB$25,0,IF(O11&gt;($AB$24*100/30),O11-$AB$24,O11*0.7))</f>
        <v>0</v>
      </c>
      <c r="P13" s="146"/>
      <c r="Q13" s="144"/>
      <c r="R13" s="149">
        <f>IF(R11/100*(Q12*100)&lt;=$AB$25,0,IF(R11&gt;($AB$24*100/30),R11-$AB$24,R11*0.7))</f>
        <v>0</v>
      </c>
      <c r="S13" s="146"/>
      <c r="T13" s="144"/>
      <c r="U13" s="149">
        <f>IF(U11/100*(T12*100)&lt;=$AB$25,0,IF(U11&gt;($AB$24*100/30),U11-$AB$24,U11*0.7))</f>
        <v>0</v>
      </c>
      <c r="V13" s="146"/>
      <c r="Y13" s="48" t="s">
        <v>20</v>
      </c>
      <c r="Z13" s="48">
        <v>75300</v>
      </c>
      <c r="AB13" s="130" t="s">
        <v>5</v>
      </c>
      <c r="AC13" s="282">
        <f>'PK-Sätze'!G19</f>
        <v>19.55</v>
      </c>
    </row>
    <row r="14" spans="1:29" s="48" customFormat="1" ht="15">
      <c r="B14" s="139"/>
      <c r="C14" s="140"/>
      <c r="D14" s="141"/>
      <c r="E14" s="139"/>
      <c r="F14" s="53"/>
      <c r="G14" s="141"/>
      <c r="H14" s="139"/>
      <c r="I14" s="53"/>
      <c r="J14" s="141"/>
      <c r="K14" s="139"/>
      <c r="L14" s="53"/>
      <c r="M14" s="141"/>
      <c r="N14" s="143"/>
      <c r="O14" s="53"/>
      <c r="P14" s="141"/>
      <c r="Q14" s="143"/>
      <c r="R14" s="53"/>
      <c r="S14" s="141"/>
      <c r="T14" s="143"/>
      <c r="U14" s="53"/>
      <c r="V14" s="141"/>
      <c r="Y14" s="48" t="s">
        <v>21</v>
      </c>
      <c r="Z14" s="48">
        <v>80320</v>
      </c>
      <c r="AB14" s="130" t="s">
        <v>6</v>
      </c>
      <c r="AC14" s="282">
        <f>'PK-Sätze'!G19</f>
        <v>19.55</v>
      </c>
    </row>
    <row r="15" spans="1:29" s="48" customFormat="1" ht="15" hidden="1" outlineLevel="1">
      <c r="A15" s="48" t="s">
        <v>7</v>
      </c>
      <c r="B15" s="147">
        <f>'SV-Sätze'!C8</f>
        <v>5.1250000000000004E-2</v>
      </c>
      <c r="C15" s="140">
        <f>+$B$15*C12</f>
        <v>0</v>
      </c>
      <c r="D15" s="294"/>
      <c r="E15" s="139"/>
      <c r="F15" s="140">
        <f>+$B$15*F12</f>
        <v>0</v>
      </c>
      <c r="G15" s="141"/>
      <c r="H15" s="139"/>
      <c r="I15" s="140">
        <f>+$B$15*I12</f>
        <v>0</v>
      </c>
      <c r="J15" s="141"/>
      <c r="K15" s="139"/>
      <c r="L15" s="140">
        <f>+$B$15*L12</f>
        <v>0</v>
      </c>
      <c r="M15" s="141"/>
      <c r="N15" s="143"/>
      <c r="O15" s="140">
        <f>+$B$15*O12</f>
        <v>0</v>
      </c>
      <c r="P15" s="141"/>
      <c r="Q15" s="143"/>
      <c r="R15" s="140">
        <f>+$B$15*R12</f>
        <v>0</v>
      </c>
      <c r="S15" s="141"/>
      <c r="T15" s="139"/>
      <c r="U15" s="140">
        <f>+$B$15*U12</f>
        <v>0</v>
      </c>
      <c r="V15" s="141"/>
      <c r="Y15" s="48" t="s">
        <v>43</v>
      </c>
      <c r="Z15" s="128">
        <v>87663</v>
      </c>
      <c r="AB15" s="130" t="s">
        <v>4</v>
      </c>
      <c r="AC15" s="282">
        <f>'PK-Sätze'!G20</f>
        <v>24.4</v>
      </c>
    </row>
    <row r="16" spans="1:29" s="48" customFormat="1" ht="15" hidden="1" outlineLevel="1">
      <c r="A16" s="48" t="s">
        <v>150</v>
      </c>
      <c r="B16" s="317">
        <f>'SV-Sätze'!C9</f>
        <v>6.0000000000000001E-3</v>
      </c>
      <c r="C16" s="140">
        <f>$B$16*C12</f>
        <v>0</v>
      </c>
      <c r="D16" s="294"/>
      <c r="E16" s="139"/>
      <c r="F16" s="140">
        <f>$B$16*F12</f>
        <v>0</v>
      </c>
      <c r="G16" s="141"/>
      <c r="H16" s="139"/>
      <c r="I16" s="140">
        <f>$B$16*I12</f>
        <v>0</v>
      </c>
      <c r="J16" s="141"/>
      <c r="K16" s="139"/>
      <c r="L16" s="140">
        <f>$B$16*L12</f>
        <v>0</v>
      </c>
      <c r="M16" s="141"/>
      <c r="N16" s="143"/>
      <c r="O16" s="140">
        <f>$B$16*O12</f>
        <v>0</v>
      </c>
      <c r="P16" s="141"/>
      <c r="Q16" s="143"/>
      <c r="R16" s="140">
        <f>$B$16*R12</f>
        <v>0</v>
      </c>
      <c r="S16" s="141"/>
      <c r="T16" s="139"/>
      <c r="U16" s="140">
        <f>$B$16*U12</f>
        <v>0</v>
      </c>
      <c r="V16" s="141"/>
      <c r="Z16" s="128"/>
      <c r="AC16" s="282"/>
    </row>
    <row r="17" spans="1:29" s="48" customFormat="1" ht="15" hidden="1" outlineLevel="1">
      <c r="A17" s="48" t="s">
        <v>8</v>
      </c>
      <c r="B17" s="147">
        <f>'SV-Sätze'!C10</f>
        <v>1.0999999999999999E-2</v>
      </c>
      <c r="C17" s="140">
        <f>+$B$17*C12</f>
        <v>0</v>
      </c>
      <c r="D17" s="294"/>
      <c r="E17" s="139"/>
      <c r="F17" s="140">
        <f>+$B$17*F12</f>
        <v>0</v>
      </c>
      <c r="G17" s="141"/>
      <c r="H17" s="139"/>
      <c r="I17" s="140">
        <f>+$B$17*I12</f>
        <v>0</v>
      </c>
      <c r="J17" s="141"/>
      <c r="K17" s="139"/>
      <c r="L17" s="140">
        <f>+$B$17*L12</f>
        <v>0</v>
      </c>
      <c r="M17" s="141"/>
      <c r="N17" s="143"/>
      <c r="O17" s="140">
        <f>+$B$17*O12</f>
        <v>0</v>
      </c>
      <c r="P17" s="141"/>
      <c r="Q17" s="143"/>
      <c r="R17" s="140">
        <f>+$B$17*R12</f>
        <v>0</v>
      </c>
      <c r="S17" s="141"/>
      <c r="T17" s="139"/>
      <c r="U17" s="140">
        <f>+$B$17*U12</f>
        <v>0</v>
      </c>
      <c r="V17" s="141"/>
      <c r="AB17" s="48" t="s">
        <v>28</v>
      </c>
      <c r="AC17" s="282"/>
    </row>
    <row r="18" spans="1:29" s="48" customFormat="1" ht="15" hidden="1" outlineLevel="1">
      <c r="A18" s="48" t="s">
        <v>9</v>
      </c>
      <c r="B18" s="147">
        <f>'SV-Sätze'!C12</f>
        <v>1.1440000000000001E-3</v>
      </c>
      <c r="C18" s="140">
        <f>+$B$18*C12</f>
        <v>0</v>
      </c>
      <c r="D18" s="294"/>
      <c r="E18" s="139"/>
      <c r="F18" s="140">
        <f>+$B$18*F12</f>
        <v>0</v>
      </c>
      <c r="G18" s="141"/>
      <c r="H18" s="139"/>
      <c r="I18" s="140">
        <f>+$B$18*I12</f>
        <v>0</v>
      </c>
      <c r="J18" s="141"/>
      <c r="K18" s="139"/>
      <c r="L18" s="140">
        <f>+$B$18*L12</f>
        <v>0</v>
      </c>
      <c r="M18" s="141"/>
      <c r="N18" s="143"/>
      <c r="O18" s="140">
        <f>+$B$18*O12</f>
        <v>0</v>
      </c>
      <c r="P18" s="141"/>
      <c r="Q18" s="143"/>
      <c r="R18" s="140">
        <f>+$B$18*R12</f>
        <v>0</v>
      </c>
      <c r="S18" s="141"/>
      <c r="T18" s="139"/>
      <c r="U18" s="140">
        <f>+$B$18*U12</f>
        <v>0</v>
      </c>
      <c r="V18" s="141"/>
      <c r="Y18" s="48" t="s">
        <v>42</v>
      </c>
      <c r="Z18" s="48" t="s">
        <v>29</v>
      </c>
      <c r="AB18" s="130" t="s">
        <v>1</v>
      </c>
      <c r="AC18" s="282">
        <f>'PK-Sätze'!G30</f>
        <v>11.25</v>
      </c>
    </row>
    <row r="19" spans="1:29" s="48" customFormat="1" ht="15" hidden="1" outlineLevel="1">
      <c r="A19" s="48" t="s">
        <v>10</v>
      </c>
      <c r="B19" s="147">
        <f>'SV-Sätze'!C13</f>
        <v>2.5999999999999999E-3</v>
      </c>
      <c r="C19" s="140">
        <f>+$B$19*C12</f>
        <v>0</v>
      </c>
      <c r="D19" s="294"/>
      <c r="E19" s="139"/>
      <c r="F19" s="140">
        <f>+$B$19*F12</f>
        <v>0</v>
      </c>
      <c r="G19" s="141"/>
      <c r="H19" s="139"/>
      <c r="I19" s="140">
        <f>+$B$19*I12</f>
        <v>0</v>
      </c>
      <c r="J19" s="141"/>
      <c r="K19" s="139"/>
      <c r="L19" s="140">
        <f>+$B$19*L12</f>
        <v>0</v>
      </c>
      <c r="M19" s="141"/>
      <c r="N19" s="143"/>
      <c r="O19" s="140">
        <f>+$B$19*O12</f>
        <v>0</v>
      </c>
      <c r="P19" s="141"/>
      <c r="Q19" s="143"/>
      <c r="R19" s="140">
        <f>+$B$19*R12</f>
        <v>0</v>
      </c>
      <c r="S19" s="141"/>
      <c r="T19" s="139"/>
      <c r="U19" s="140">
        <f>+$B$19*U12</f>
        <v>0</v>
      </c>
      <c r="V19" s="141"/>
      <c r="Y19" s="48" t="s">
        <v>25</v>
      </c>
      <c r="Z19" s="48" t="s">
        <v>27</v>
      </c>
      <c r="AB19" s="130" t="s">
        <v>2</v>
      </c>
      <c r="AC19" s="282">
        <f>'PK-Sätze'!G31</f>
        <v>13.45</v>
      </c>
    </row>
    <row r="20" spans="1:29" s="48" customFormat="1" ht="15" hidden="1" outlineLevel="1">
      <c r="A20" s="128" t="s">
        <v>11</v>
      </c>
      <c r="B20" s="147">
        <f>IF(D9="ZH",'SV-Sätze'!C16,IF(D9="LU",'SV-Sätze'!C18,0))</f>
        <v>1.0999999999999999E-2</v>
      </c>
      <c r="C20" s="302">
        <f>+$B$20*C12</f>
        <v>0</v>
      </c>
      <c r="D20" s="294"/>
      <c r="E20" s="139"/>
      <c r="F20" s="302">
        <f>+$B$20*F12</f>
        <v>0</v>
      </c>
      <c r="G20" s="141"/>
      <c r="H20" s="139"/>
      <c r="I20" s="302">
        <f>+$B$20*I12</f>
        <v>0</v>
      </c>
      <c r="J20" s="141"/>
      <c r="K20" s="139"/>
      <c r="L20" s="302">
        <f>+$B$20*L12</f>
        <v>0</v>
      </c>
      <c r="M20" s="141"/>
      <c r="N20" s="143"/>
      <c r="O20" s="302">
        <f>+$B$20*O12</f>
        <v>0</v>
      </c>
      <c r="P20" s="141"/>
      <c r="Q20" s="143"/>
      <c r="R20" s="302">
        <f>+$B$20*R12</f>
        <v>0</v>
      </c>
      <c r="S20" s="141"/>
      <c r="T20" s="139"/>
      <c r="U20" s="302">
        <f>+$B$20*U12</f>
        <v>0</v>
      </c>
      <c r="V20" s="141"/>
      <c r="Y20" s="48" t="s">
        <v>26</v>
      </c>
      <c r="Z20" s="48" t="s">
        <v>28</v>
      </c>
      <c r="AB20" s="130" t="s">
        <v>5</v>
      </c>
      <c r="AC20" s="282">
        <f>'PK-Sätze'!G32</f>
        <v>21.45</v>
      </c>
    </row>
    <row r="21" spans="1:29" s="48" customFormat="1" ht="15" hidden="1" outlineLevel="1">
      <c r="B21" s="139"/>
      <c r="C21" s="140"/>
      <c r="D21" s="294"/>
      <c r="E21" s="139"/>
      <c r="F21" s="140"/>
      <c r="G21" s="141"/>
      <c r="H21" s="139"/>
      <c r="I21" s="140"/>
      <c r="J21" s="141"/>
      <c r="K21" s="139"/>
      <c r="L21" s="140"/>
      <c r="M21" s="141"/>
      <c r="N21" s="143"/>
      <c r="O21" s="140"/>
      <c r="P21" s="141"/>
      <c r="Q21" s="143"/>
      <c r="R21" s="140"/>
      <c r="S21" s="141"/>
      <c r="T21" s="143"/>
      <c r="U21" s="140"/>
      <c r="V21" s="141"/>
      <c r="AB21" s="130" t="s">
        <v>6</v>
      </c>
      <c r="AC21" s="282">
        <f>'PK-Sätze'!G32</f>
        <v>21.45</v>
      </c>
    </row>
    <row r="22" spans="1:29" s="48" customFormat="1" ht="15" hidden="1" outlineLevel="1">
      <c r="A22" s="48" t="s">
        <v>296</v>
      </c>
      <c r="B22" s="270">
        <f>IF($D$6&lt;35,AC3%,IF($D$6&lt;45,AC4%,IF($D$6&lt;55,AC5%,IF($D$6&lt;70,AC7%))))</f>
        <v>9.3999999999999986E-2</v>
      </c>
      <c r="C22" s="140">
        <f>IF($D$4="Standardplan",C13*$B$22*B12,"")</f>
        <v>0</v>
      </c>
      <c r="D22" s="294"/>
      <c r="E22" s="139"/>
      <c r="F22" s="140">
        <f>IF($D$4="Standardplan",F13*$B$22*E12,"")</f>
        <v>0</v>
      </c>
      <c r="G22" s="141"/>
      <c r="H22" s="139"/>
      <c r="I22" s="140">
        <f>IF($D$4="Standardplan",I13*$B$22*H12,"")</f>
        <v>0</v>
      </c>
      <c r="J22" s="141"/>
      <c r="K22" s="139"/>
      <c r="L22" s="140">
        <f>IF($D$4="Standardplan",L13*$B$22*K12,"")</f>
        <v>0</v>
      </c>
      <c r="M22" s="141"/>
      <c r="N22" s="143"/>
      <c r="O22" s="140">
        <f>IF($D$4="Standardplan",O13*$B$22*N12,"")</f>
        <v>0</v>
      </c>
      <c r="P22" s="141"/>
      <c r="Q22" s="143"/>
      <c r="R22" s="140">
        <f>IF($D$4="Standardplan",R13*$B$22*Q12,"")</f>
        <v>0</v>
      </c>
      <c r="S22" s="141"/>
      <c r="T22" s="143"/>
      <c r="U22" s="140">
        <f>IF($D$4="Standardplan",U13*$B$22*T12,"")</f>
        <v>0</v>
      </c>
      <c r="V22" s="141"/>
      <c r="AB22" s="130" t="s">
        <v>4</v>
      </c>
      <c r="AC22" s="282">
        <f>'PK-Sätze'!G33</f>
        <v>26.25</v>
      </c>
    </row>
    <row r="23" spans="1:29" s="48" customFormat="1" ht="15" hidden="1" outlineLevel="1">
      <c r="A23" s="48" t="s">
        <v>297</v>
      </c>
      <c r="B23" s="270">
        <f>IF($D$6&lt;35,AC11%,IF($D$6&lt;45,AC12%,IF($D$6&lt;55,AC13%,IF($D$6&lt;70,AC15%))))</f>
        <v>9.3999999999999986E-2</v>
      </c>
      <c r="C23" s="140" t="str">
        <f>IF($D$4="Kaderplan 1",C13*$B$23*B12,"")</f>
        <v/>
      </c>
      <c r="D23" s="294"/>
      <c r="E23" s="139"/>
      <c r="F23" s="140" t="str">
        <f>IF($D$4="Kaderplan 1",F13*$B$23*E12,"")</f>
        <v/>
      </c>
      <c r="G23" s="141"/>
      <c r="H23" s="139"/>
      <c r="I23" s="140" t="str">
        <f>IF($D$4="Kaderplan 1",I13*$B$23*H12,"")</f>
        <v/>
      </c>
      <c r="J23" s="141"/>
      <c r="K23" s="139"/>
      <c r="L23" s="140" t="str">
        <f>IF($D$4="Kaderplan 1",L13*$B$23*K12,"")</f>
        <v/>
      </c>
      <c r="M23" s="141"/>
      <c r="N23" s="143"/>
      <c r="O23" s="140" t="str">
        <f>IF($D$4="Kaderplan 1",O13*$B$23*N12,"")</f>
        <v/>
      </c>
      <c r="P23" s="141"/>
      <c r="Q23" s="143"/>
      <c r="R23" s="140" t="str">
        <f>IF($D$4="Kaderplan 1",R13*$B$23*Q12,"")</f>
        <v/>
      </c>
      <c r="S23" s="141"/>
      <c r="T23" s="143"/>
      <c r="U23" s="140" t="str">
        <f>IF($D$4="Kaderplan 1",U13*$B$23*T12,"")</f>
        <v/>
      </c>
      <c r="V23" s="141"/>
      <c r="AB23" s="295"/>
      <c r="AC23" s="282"/>
    </row>
    <row r="24" spans="1:29" s="48" customFormat="1" ht="15" hidden="1" outlineLevel="1">
      <c r="A24" s="48" t="s">
        <v>298</v>
      </c>
      <c r="B24" s="270">
        <f>IF($D$6&lt;35,AC18%,IF($D$6&lt;45,AC19%,IF($D$6&lt;55,AC21%,IF($D$6&lt;70,AC22%))))</f>
        <v>0.1125</v>
      </c>
      <c r="C24" s="140" t="str">
        <f>IF($D$4="Kaderplan 2",C13*$B$24*B12,"")</f>
        <v/>
      </c>
      <c r="D24" s="294"/>
      <c r="E24" s="139"/>
      <c r="F24" s="140" t="str">
        <f>IF($D$4="Kaderplan 2",F13*$B$24*E12,"")</f>
        <v/>
      </c>
      <c r="G24" s="141"/>
      <c r="H24" s="139"/>
      <c r="I24" s="140" t="str">
        <f>IF($D$4="Kaderplan 2",I13*$B$24*H12,"")</f>
        <v/>
      </c>
      <c r="J24" s="141"/>
      <c r="K24" s="139"/>
      <c r="L24" s="140" t="str">
        <f>IF($D$4="Kaderplan 2",L13*$B$24*K12,"")</f>
        <v/>
      </c>
      <c r="M24" s="141"/>
      <c r="N24" s="143"/>
      <c r="O24" s="140" t="str">
        <f>IF($D$4="Kaderplan 2",O13*$B$24*N12,"")</f>
        <v/>
      </c>
      <c r="P24" s="141"/>
      <c r="Q24" s="143"/>
      <c r="R24" s="140" t="str">
        <f>IF($D$4="Kaderplan 2",R13*$B$24*Q12,"")</f>
        <v/>
      </c>
      <c r="S24" s="141"/>
      <c r="T24" s="143"/>
      <c r="U24" s="140" t="str">
        <f>IF($D$4="Kaderplan 2",U13*$B$24*T12,"")</f>
        <v/>
      </c>
      <c r="V24" s="141"/>
      <c r="Y24" s="48" t="s">
        <v>287</v>
      </c>
      <c r="AB24" s="299">
        <v>24885</v>
      </c>
    </row>
    <row r="25" spans="1:29" s="48" customFormat="1" ht="15" hidden="1" outlineLevel="1">
      <c r="A25" s="48" t="s">
        <v>286</v>
      </c>
      <c r="B25" s="296">
        <v>250</v>
      </c>
      <c r="C25" s="140">
        <f>IF(C13&gt;0,$B$25,0)</f>
        <v>0</v>
      </c>
      <c r="D25" s="294"/>
      <c r="E25" s="139"/>
      <c r="F25" s="140">
        <f>IF(F13&gt;0,$B$25,0)</f>
        <v>0</v>
      </c>
      <c r="G25" s="141"/>
      <c r="H25" s="139"/>
      <c r="I25" s="140">
        <f>IF(I13&gt;0,$B$25,0)</f>
        <v>0</v>
      </c>
      <c r="J25" s="141"/>
      <c r="K25" s="139"/>
      <c r="L25" s="140">
        <f>IF(L13&gt;0,$B$25,0)</f>
        <v>0</v>
      </c>
      <c r="M25" s="141"/>
      <c r="N25" s="143"/>
      <c r="O25" s="140">
        <f>IF(O13&gt;0,$B$25,0)</f>
        <v>0</v>
      </c>
      <c r="P25" s="141"/>
      <c r="Q25" s="143"/>
      <c r="R25" s="140">
        <f>IF(R13&gt;0,$B$25,0)</f>
        <v>0</v>
      </c>
      <c r="S25" s="141"/>
      <c r="T25" s="143"/>
      <c r="U25" s="140">
        <f>IF(U13&gt;0,$B$25,0)</f>
        <v>0</v>
      </c>
      <c r="V25" s="141"/>
      <c r="Y25" s="48" t="s">
        <v>288</v>
      </c>
      <c r="AB25" s="185"/>
    </row>
    <row r="26" spans="1:29" s="48" customFormat="1" ht="15" hidden="1" outlineLevel="1">
      <c r="B26" s="139"/>
      <c r="C26" s="140"/>
      <c r="D26" s="294"/>
      <c r="E26" s="139"/>
      <c r="F26" s="53"/>
      <c r="G26" s="141"/>
      <c r="H26" s="139"/>
      <c r="I26" s="53"/>
      <c r="J26" s="141"/>
      <c r="K26" s="139"/>
      <c r="L26" s="53"/>
      <c r="M26" s="141"/>
      <c r="N26" s="143"/>
      <c r="O26" s="53"/>
      <c r="P26" s="141"/>
      <c r="Q26" s="143"/>
      <c r="R26" s="53"/>
      <c r="S26" s="141"/>
      <c r="T26" s="143"/>
      <c r="U26" s="53"/>
      <c r="V26" s="141"/>
      <c r="Y26" s="128" t="s">
        <v>283</v>
      </c>
      <c r="Z26" s="128"/>
      <c r="AA26" s="128"/>
      <c r="AB26" s="301" t="s">
        <v>284</v>
      </c>
    </row>
    <row r="27" spans="1:29" s="48" customFormat="1" ht="15" hidden="1" outlineLevel="1">
      <c r="A27" s="48" t="s">
        <v>11</v>
      </c>
      <c r="B27" s="139"/>
      <c r="C27" s="149"/>
      <c r="D27" s="294"/>
      <c r="E27" s="139"/>
      <c r="F27" s="53"/>
      <c r="G27" s="141"/>
      <c r="H27" s="139"/>
      <c r="I27" s="53"/>
      <c r="J27" s="141"/>
      <c r="K27" s="139"/>
      <c r="L27" s="53"/>
      <c r="M27" s="141"/>
      <c r="N27" s="143"/>
      <c r="O27" s="53"/>
      <c r="P27" s="141"/>
      <c r="Q27" s="143"/>
      <c r="R27" s="53"/>
      <c r="S27" s="141"/>
      <c r="T27" s="143"/>
      <c r="U27" s="53"/>
      <c r="V27" s="141"/>
      <c r="Y27" s="128"/>
      <c r="Z27" s="128"/>
      <c r="AA27" s="128"/>
      <c r="AB27" s="301" t="s">
        <v>285</v>
      </c>
    </row>
    <row r="28" spans="1:29" s="48" customFormat="1" ht="15" hidden="1" outlineLevel="1">
      <c r="A28" s="48" t="s">
        <v>33</v>
      </c>
      <c r="B28" s="164">
        <f>IF($D$9="ZH",FAK!F9-FAK!$F$17,IF($D$9="LU",FAK!F9-FAK!$F$19,""))</f>
        <v>2097</v>
      </c>
      <c r="C28" s="140">
        <f>IF($D$7&lt;2,$D$7*B28,B28*1)</f>
        <v>0</v>
      </c>
      <c r="D28" s="141"/>
      <c r="E28" s="139"/>
      <c r="F28" s="140">
        <f>+C28</f>
        <v>0</v>
      </c>
      <c r="G28" s="141"/>
      <c r="H28" s="139"/>
      <c r="I28" s="140">
        <f>+F28</f>
        <v>0</v>
      </c>
      <c r="J28" s="141"/>
      <c r="K28" s="139"/>
      <c r="L28" s="140">
        <f>+I28</f>
        <v>0</v>
      </c>
      <c r="M28" s="141"/>
      <c r="N28" s="143"/>
      <c r="O28" s="140">
        <f>+L28</f>
        <v>0</v>
      </c>
      <c r="P28" s="141"/>
      <c r="Q28" s="143"/>
      <c r="R28" s="140">
        <f>+O28</f>
        <v>0</v>
      </c>
      <c r="S28" s="141"/>
      <c r="T28" s="143"/>
      <c r="U28" s="140">
        <f>+R28</f>
        <v>0</v>
      </c>
      <c r="V28" s="141"/>
    </row>
    <row r="29" spans="1:29" s="48" customFormat="1" ht="15" hidden="1" outlineLevel="1">
      <c r="A29" s="48" t="s">
        <v>34</v>
      </c>
      <c r="B29" s="164">
        <f>IF($D$9="ZH",FAK!F11-FAK!$F$17,IF($D$9="LU",FAK!F11-FAK!$F$19,""))</f>
        <v>504</v>
      </c>
      <c r="C29" s="140">
        <f>IF($D$7&gt;1,($D$7-1)*B29,0)</f>
        <v>0</v>
      </c>
      <c r="D29" s="141"/>
      <c r="E29" s="139"/>
      <c r="F29" s="140">
        <f>+C29</f>
        <v>0</v>
      </c>
      <c r="G29" s="141"/>
      <c r="H29" s="139"/>
      <c r="I29" s="140">
        <f>+F29</f>
        <v>0</v>
      </c>
      <c r="J29" s="141"/>
      <c r="K29" s="139"/>
      <c r="L29" s="140">
        <f>+I29</f>
        <v>0</v>
      </c>
      <c r="M29" s="141"/>
      <c r="N29" s="143"/>
      <c r="O29" s="140">
        <f>+L29</f>
        <v>0</v>
      </c>
      <c r="P29" s="141"/>
      <c r="Q29" s="143"/>
      <c r="R29" s="140">
        <f>+O29</f>
        <v>0</v>
      </c>
      <c r="S29" s="141"/>
      <c r="T29" s="143"/>
      <c r="U29" s="140">
        <f>+S29</f>
        <v>0</v>
      </c>
      <c r="V29" s="141"/>
    </row>
    <row r="30" spans="1:29" s="48" customFormat="1" ht="15" hidden="1" outlineLevel="1">
      <c r="A30" s="48" t="s">
        <v>35</v>
      </c>
      <c r="B30" s="164">
        <f>IF($D$9="ZH",FAK!F12-FAK!$F$18,IF($D$9="LU",FAK!F12-FAK!$F$20,""))</f>
        <v>282</v>
      </c>
      <c r="C30" s="140">
        <f>+D8*B30</f>
        <v>0</v>
      </c>
      <c r="D30" s="141"/>
      <c r="E30" s="139"/>
      <c r="F30" s="140">
        <f>+C30</f>
        <v>0</v>
      </c>
      <c r="G30" s="141"/>
      <c r="H30" s="139"/>
      <c r="I30" s="140">
        <f>+F30</f>
        <v>0</v>
      </c>
      <c r="J30" s="141"/>
      <c r="K30" s="139"/>
      <c r="L30" s="140">
        <f>+I30</f>
        <v>0</v>
      </c>
      <c r="M30" s="141"/>
      <c r="N30" s="143"/>
      <c r="O30" s="140">
        <f>+L30</f>
        <v>0</v>
      </c>
      <c r="P30" s="141"/>
      <c r="Q30" s="143"/>
      <c r="R30" s="140">
        <f>+O30</f>
        <v>0</v>
      </c>
      <c r="S30" s="141"/>
      <c r="T30" s="143"/>
      <c r="U30" s="140">
        <f>+R30</f>
        <v>0</v>
      </c>
      <c r="V30" s="141"/>
    </row>
    <row r="31" spans="1:29" s="48" customFormat="1" ht="15" collapsed="1">
      <c r="B31" s="150"/>
      <c r="C31" s="140"/>
      <c r="D31" s="141"/>
      <c r="E31" s="139"/>
      <c r="F31" s="53"/>
      <c r="G31" s="141"/>
      <c r="H31" s="139"/>
      <c r="I31" s="53"/>
      <c r="J31" s="141"/>
      <c r="K31" s="139"/>
      <c r="L31" s="53"/>
      <c r="M31" s="141"/>
      <c r="N31" s="143"/>
      <c r="O31" s="53"/>
      <c r="P31" s="141"/>
      <c r="Q31" s="143"/>
      <c r="R31" s="53"/>
      <c r="S31" s="141"/>
      <c r="T31" s="143"/>
      <c r="U31" s="53"/>
      <c r="V31" s="141"/>
    </row>
    <row r="32" spans="1:29" s="48" customFormat="1" ht="15">
      <c r="A32" s="151"/>
      <c r="B32" s="152"/>
      <c r="C32" s="153"/>
      <c r="D32" s="154"/>
      <c r="E32" s="139"/>
      <c r="F32" s="151"/>
      <c r="G32" s="154"/>
      <c r="H32" s="139"/>
      <c r="I32" s="151"/>
      <c r="J32" s="154"/>
      <c r="K32" s="139"/>
      <c r="L32" s="151"/>
      <c r="M32" s="154"/>
      <c r="N32" s="143"/>
      <c r="O32" s="151"/>
      <c r="P32" s="154"/>
      <c r="Q32" s="143"/>
      <c r="R32" s="151"/>
      <c r="S32" s="154"/>
      <c r="T32" s="143"/>
      <c r="U32" s="151"/>
      <c r="V32" s="154"/>
      <c r="W32" s="155"/>
    </row>
    <row r="33" spans="1:24" s="48" customFormat="1" ht="15">
      <c r="A33" s="156"/>
      <c r="B33" s="139"/>
      <c r="C33" s="157">
        <v>2019</v>
      </c>
      <c r="D33" s="141"/>
      <c r="E33" s="139"/>
      <c r="F33" s="157">
        <v>2020</v>
      </c>
      <c r="G33" s="141"/>
      <c r="H33" s="139"/>
      <c r="I33" s="157">
        <v>2021</v>
      </c>
      <c r="J33" s="141"/>
      <c r="K33" s="139"/>
      <c r="L33" s="157">
        <v>2022</v>
      </c>
      <c r="M33" s="141"/>
      <c r="N33" s="143"/>
      <c r="O33" s="157">
        <v>2023</v>
      </c>
      <c r="P33" s="141"/>
      <c r="Q33" s="143"/>
      <c r="R33" s="157">
        <v>2024</v>
      </c>
      <c r="S33" s="141"/>
      <c r="T33" s="143"/>
      <c r="U33" s="157">
        <v>2025</v>
      </c>
      <c r="V33" s="141"/>
      <c r="W33" s="159" t="s">
        <v>46</v>
      </c>
    </row>
    <row r="34" spans="1:24" s="48" customFormat="1" ht="15">
      <c r="A34" s="160"/>
      <c r="B34" s="139"/>
      <c r="C34" s="161"/>
      <c r="D34" s="141"/>
      <c r="E34" s="139"/>
      <c r="F34" s="162">
        <v>1.02</v>
      </c>
      <c r="G34" s="141" t="s">
        <v>94</v>
      </c>
      <c r="H34" s="139"/>
      <c r="I34" s="162">
        <v>1.02</v>
      </c>
      <c r="J34" s="141" t="s">
        <v>94</v>
      </c>
      <c r="K34" s="139"/>
      <c r="L34" s="162">
        <v>1.02</v>
      </c>
      <c r="M34" s="141" t="s">
        <v>94</v>
      </c>
      <c r="N34" s="143"/>
      <c r="O34" s="162">
        <v>1.02</v>
      </c>
      <c r="P34" s="141" t="s">
        <v>94</v>
      </c>
      <c r="Q34" s="143"/>
      <c r="R34" s="162">
        <v>1.02</v>
      </c>
      <c r="S34" s="141" t="s">
        <v>94</v>
      </c>
      <c r="T34" s="143"/>
      <c r="U34" s="162">
        <v>1.02</v>
      </c>
      <c r="V34" s="141" t="s">
        <v>94</v>
      </c>
      <c r="W34" s="159"/>
    </row>
    <row r="35" spans="1:24" s="48" customFormat="1" ht="15">
      <c r="A35" s="160"/>
      <c r="B35" s="139"/>
      <c r="C35" s="163"/>
      <c r="D35" s="141"/>
      <c r="E35" s="139"/>
      <c r="F35" s="163"/>
      <c r="G35" s="141"/>
      <c r="H35" s="139"/>
      <c r="I35" s="163"/>
      <c r="J35" s="141"/>
      <c r="K35" s="139"/>
      <c r="L35" s="163"/>
      <c r="M35" s="141"/>
      <c r="N35" s="143"/>
      <c r="O35" s="163"/>
      <c r="P35" s="141"/>
      <c r="Q35" s="143"/>
      <c r="R35" s="163"/>
      <c r="S35" s="141"/>
      <c r="T35" s="143"/>
      <c r="U35" s="163"/>
      <c r="V35" s="141"/>
      <c r="W35" s="159"/>
    </row>
    <row r="36" spans="1:24" s="48" customFormat="1" ht="15">
      <c r="A36" s="160"/>
      <c r="B36" s="139"/>
      <c r="C36" s="163" t="s">
        <v>40</v>
      </c>
      <c r="D36" s="141" t="s">
        <v>41</v>
      </c>
      <c r="E36" s="139"/>
      <c r="F36" s="163" t="s">
        <v>40</v>
      </c>
      <c r="G36" s="141" t="s">
        <v>41</v>
      </c>
      <c r="H36" s="139"/>
      <c r="I36" s="163" t="s">
        <v>40</v>
      </c>
      <c r="J36" s="141" t="s">
        <v>41</v>
      </c>
      <c r="K36" s="139"/>
      <c r="L36" s="163" t="s">
        <v>40</v>
      </c>
      <c r="M36" s="141" t="s">
        <v>41</v>
      </c>
      <c r="N36" s="143"/>
      <c r="O36" s="163" t="s">
        <v>40</v>
      </c>
      <c r="P36" s="141" t="s">
        <v>41</v>
      </c>
      <c r="Q36" s="143"/>
      <c r="R36" s="163" t="s">
        <v>40</v>
      </c>
      <c r="S36" s="141" t="s">
        <v>41</v>
      </c>
      <c r="T36" s="143"/>
      <c r="U36" s="163" t="s">
        <v>40</v>
      </c>
      <c r="V36" s="141" t="s">
        <v>41</v>
      </c>
      <c r="W36" s="159"/>
    </row>
    <row r="37" spans="1:24" s="48" customFormat="1" ht="15">
      <c r="A37" s="160" t="s">
        <v>93</v>
      </c>
      <c r="B37" s="139"/>
      <c r="C37" s="163">
        <f>+C12+C28+C29+C30</f>
        <v>0</v>
      </c>
      <c r="D37" s="142">
        <f>+C37/12</f>
        <v>0</v>
      </c>
      <c r="E37" s="139"/>
      <c r="F37" s="163">
        <f>(+F12+F28+F29+F30)*F34</f>
        <v>0</v>
      </c>
      <c r="G37" s="142">
        <f>+F37/12</f>
        <v>0</v>
      </c>
      <c r="H37" s="139"/>
      <c r="I37" s="163">
        <f>(+I12+I28+I29+I30)*I34^2</f>
        <v>0</v>
      </c>
      <c r="J37" s="142">
        <f>+I37/12</f>
        <v>0</v>
      </c>
      <c r="K37" s="139"/>
      <c r="L37" s="163">
        <f>(+L12+L28+L29+L30)*L34^3</f>
        <v>0</v>
      </c>
      <c r="M37" s="142">
        <f>+L37/12</f>
        <v>0</v>
      </c>
      <c r="N37" s="164"/>
      <c r="O37" s="163">
        <f>(+O12+O28+O29+O30)*O34^4</f>
        <v>0</v>
      </c>
      <c r="P37" s="142">
        <f>+O37/12</f>
        <v>0</v>
      </c>
      <c r="Q37" s="164"/>
      <c r="R37" s="163">
        <f>(+R12+R28+R29+R30)*R34^5</f>
        <v>0</v>
      </c>
      <c r="S37" s="142">
        <f>+R37/12</f>
        <v>0</v>
      </c>
      <c r="T37" s="164"/>
      <c r="U37" s="163">
        <f>(+U12+U28+U29+U30)*U34^6</f>
        <v>0</v>
      </c>
      <c r="V37" s="142">
        <f>+U37/12</f>
        <v>0</v>
      </c>
      <c r="W37" s="165">
        <f>+I37+F37+C37+L37+O37+R37+U37</f>
        <v>0</v>
      </c>
    </row>
    <row r="38" spans="1:24" s="48" customFormat="1" ht="15">
      <c r="A38" s="160" t="s">
        <v>38</v>
      </c>
      <c r="B38" s="148" t="e">
        <f>+C38/C37</f>
        <v>#DIV/0!</v>
      </c>
      <c r="C38" s="163">
        <f>SUM(C15:C25)</f>
        <v>0</v>
      </c>
      <c r="D38" s="142">
        <f>+C38/12</f>
        <v>0</v>
      </c>
      <c r="E38" s="139"/>
      <c r="F38" s="163">
        <f>SUM(F15:F24)</f>
        <v>0</v>
      </c>
      <c r="G38" s="142">
        <f>+F38/12</f>
        <v>0</v>
      </c>
      <c r="H38" s="139"/>
      <c r="I38" s="163">
        <f>SUM(I15:I24)</f>
        <v>0</v>
      </c>
      <c r="J38" s="142">
        <f>+I38/12</f>
        <v>0</v>
      </c>
      <c r="K38" s="139"/>
      <c r="L38" s="163">
        <f>SUM(L15:L24)</f>
        <v>0</v>
      </c>
      <c r="M38" s="142">
        <f>+L38/12</f>
        <v>0</v>
      </c>
      <c r="N38" s="164"/>
      <c r="O38" s="163">
        <f>SUM(O15:O24)</f>
        <v>0</v>
      </c>
      <c r="P38" s="142">
        <f>+O38/12</f>
        <v>0</v>
      </c>
      <c r="Q38" s="164"/>
      <c r="R38" s="163">
        <f>SUM(R15:R24)</f>
        <v>0</v>
      </c>
      <c r="S38" s="142">
        <f>+R38/12</f>
        <v>0</v>
      </c>
      <c r="T38" s="164"/>
      <c r="U38" s="163">
        <f>SUM(U15:U24)</f>
        <v>0</v>
      </c>
      <c r="V38" s="142">
        <f>+U38/12</f>
        <v>0</v>
      </c>
      <c r="W38" s="165">
        <f>+I38+F38+C38+L38+O38+R38+U38</f>
        <v>0</v>
      </c>
    </row>
    <row r="39" spans="1:24" s="48" customFormat="1" ht="15">
      <c r="A39" s="156" t="s">
        <v>39</v>
      </c>
      <c r="B39" s="166"/>
      <c r="C39" s="167">
        <f>+C38+C37</f>
        <v>0</v>
      </c>
      <c r="D39" s="168">
        <f>+D38+D37</f>
        <v>0</v>
      </c>
      <c r="E39" s="139"/>
      <c r="F39" s="167">
        <f>+F38+F37</f>
        <v>0</v>
      </c>
      <c r="G39" s="168">
        <f>+G38+G37</f>
        <v>0</v>
      </c>
      <c r="H39" s="139"/>
      <c r="I39" s="167">
        <f>+I38+I37</f>
        <v>0</v>
      </c>
      <c r="J39" s="168">
        <f>+J38+J37</f>
        <v>0</v>
      </c>
      <c r="K39" s="139"/>
      <c r="L39" s="167">
        <f>+L38+L37</f>
        <v>0</v>
      </c>
      <c r="M39" s="168">
        <f>+M38+M37</f>
        <v>0</v>
      </c>
      <c r="N39" s="169"/>
      <c r="O39" s="167">
        <f>+O38+O37</f>
        <v>0</v>
      </c>
      <c r="P39" s="168">
        <f>+P38+P37</f>
        <v>0</v>
      </c>
      <c r="Q39" s="169"/>
      <c r="R39" s="167">
        <f>+R38+R37</f>
        <v>0</v>
      </c>
      <c r="S39" s="168">
        <f>+S38+S37</f>
        <v>0</v>
      </c>
      <c r="T39" s="169"/>
      <c r="U39" s="167">
        <f>+U38+U37</f>
        <v>0</v>
      </c>
      <c r="V39" s="168">
        <f>+V38+V37</f>
        <v>0</v>
      </c>
      <c r="W39" s="170">
        <f>+I39+F39+C39+L39+O39+R39+U39</f>
        <v>0</v>
      </c>
    </row>
    <row r="40" spans="1:24" s="48" customFormat="1" ht="15">
      <c r="A40" s="83"/>
      <c r="B40" s="171"/>
      <c r="C40" s="80"/>
      <c r="D40" s="172"/>
      <c r="E40" s="139"/>
      <c r="F40" s="83"/>
      <c r="G40" s="172"/>
      <c r="H40" s="139"/>
      <c r="I40" s="83"/>
      <c r="J40" s="172"/>
      <c r="K40" s="139"/>
      <c r="L40" s="83"/>
      <c r="M40" s="172"/>
      <c r="N40" s="143"/>
      <c r="O40" s="83"/>
      <c r="P40" s="172"/>
      <c r="Q40" s="143"/>
      <c r="R40" s="83"/>
      <c r="S40" s="172"/>
      <c r="T40" s="143"/>
      <c r="U40" s="83"/>
      <c r="V40" s="172"/>
      <c r="W40" s="173"/>
    </row>
    <row r="41" spans="1:24" s="48" customFormat="1" ht="15">
      <c r="B41" s="139"/>
      <c r="C41" s="140"/>
      <c r="D41" s="141"/>
      <c r="E41" s="139"/>
      <c r="F41" s="53"/>
      <c r="G41" s="141"/>
      <c r="H41" s="139"/>
      <c r="I41" s="53"/>
      <c r="J41" s="141"/>
      <c r="K41" s="139"/>
      <c r="L41" s="53"/>
      <c r="M41" s="141"/>
      <c r="N41" s="174"/>
      <c r="O41" s="53"/>
      <c r="P41" s="141"/>
      <c r="Q41" s="174"/>
      <c r="R41" s="53"/>
      <c r="S41" s="141"/>
      <c r="T41" s="174"/>
      <c r="U41" s="53"/>
      <c r="V41" s="141"/>
    </row>
    <row r="42" spans="1:24" s="48" customFormat="1" ht="15">
      <c r="A42" s="151"/>
      <c r="B42" s="152"/>
      <c r="C42" s="175"/>
      <c r="D42" s="154"/>
      <c r="E42" s="152"/>
      <c r="F42" s="176"/>
      <c r="G42" s="154"/>
      <c r="H42" s="152"/>
      <c r="I42" s="176"/>
      <c r="J42" s="154"/>
      <c r="K42" s="152"/>
      <c r="L42" s="176"/>
      <c r="M42" s="154"/>
      <c r="N42" s="143"/>
      <c r="O42" s="176"/>
      <c r="P42" s="154"/>
      <c r="Q42" s="143"/>
      <c r="R42" s="176"/>
      <c r="S42" s="154"/>
      <c r="T42" s="143"/>
      <c r="U42" s="176"/>
      <c r="V42" s="154"/>
      <c r="W42" s="192" t="s">
        <v>137</v>
      </c>
    </row>
    <row r="43" spans="1:24" s="48" customFormat="1" ht="15">
      <c r="A43" s="160" t="s">
        <v>45</v>
      </c>
      <c r="B43" s="177"/>
      <c r="C43" s="140"/>
      <c r="D43" s="142">
        <f>+D39*B43</f>
        <v>0</v>
      </c>
      <c r="E43" s="177"/>
      <c r="F43" s="53"/>
      <c r="G43" s="142">
        <f>+G39*E43</f>
        <v>0</v>
      </c>
      <c r="H43" s="177"/>
      <c r="I43" s="53"/>
      <c r="J43" s="142">
        <f>+J39*H43</f>
        <v>0</v>
      </c>
      <c r="K43" s="177"/>
      <c r="L43" s="140"/>
      <c r="M43" s="142">
        <f>+M39*K43</f>
        <v>0</v>
      </c>
      <c r="N43" s="177"/>
      <c r="O43" s="140"/>
      <c r="P43" s="142">
        <f>+P39*N43</f>
        <v>0</v>
      </c>
      <c r="Q43" s="177"/>
      <c r="R43" s="140"/>
      <c r="S43" s="142">
        <f>+S39*Q43</f>
        <v>0</v>
      </c>
      <c r="T43" s="177"/>
      <c r="U43" s="140"/>
      <c r="V43" s="142">
        <f>+V39*T43</f>
        <v>0</v>
      </c>
      <c r="W43" s="266">
        <f>+J43+G43+D43+M43+P43+S43+V43</f>
        <v>0</v>
      </c>
    </row>
    <row r="44" spans="1:24" s="48" customFormat="1" ht="15">
      <c r="A44" s="160"/>
      <c r="B44" s="139"/>
      <c r="C44" s="140"/>
      <c r="D44" s="141"/>
      <c r="E44" s="139"/>
      <c r="F44" s="53"/>
      <c r="G44" s="141"/>
      <c r="H44" s="139"/>
      <c r="I44" s="53"/>
      <c r="J44" s="141"/>
      <c r="K44" s="139"/>
      <c r="L44" s="53"/>
      <c r="M44" s="141"/>
      <c r="N44" s="143"/>
      <c r="O44" s="53"/>
      <c r="P44" s="141"/>
      <c r="Q44" s="143"/>
      <c r="R44" s="53"/>
      <c r="S44" s="141"/>
      <c r="T44" s="143"/>
      <c r="U44" s="53"/>
      <c r="V44" s="141"/>
      <c r="W44" s="193"/>
    </row>
    <row r="45" spans="1:24" s="48" customFormat="1" ht="15.75" thickBot="1">
      <c r="A45" s="83"/>
      <c r="B45" s="178"/>
      <c r="C45" s="179"/>
      <c r="D45" s="180"/>
      <c r="E45" s="178"/>
      <c r="F45" s="181"/>
      <c r="G45" s="180"/>
      <c r="H45" s="178"/>
      <c r="I45" s="181"/>
      <c r="J45" s="180"/>
      <c r="K45" s="178"/>
      <c r="L45" s="181"/>
      <c r="M45" s="180"/>
      <c r="N45" s="182"/>
      <c r="O45" s="181"/>
      <c r="P45" s="180"/>
      <c r="Q45" s="182"/>
      <c r="R45" s="181"/>
      <c r="S45" s="180"/>
      <c r="T45" s="182"/>
      <c r="U45" s="181"/>
      <c r="V45" s="180"/>
      <c r="W45" s="194">
        <f>+B43+E43+H43+K43+N43+Q43+T43</f>
        <v>0</v>
      </c>
    </row>
    <row r="46" spans="1:24" s="48" customFormat="1" ht="15">
      <c r="C46" s="47"/>
      <c r="N46" s="129"/>
      <c r="Q46" s="129"/>
    </row>
    <row r="47" spans="1:24" s="48" customFormat="1" ht="15">
      <c r="C47" s="47"/>
      <c r="N47" s="129"/>
      <c r="Q47" s="129"/>
    </row>
    <row r="48" spans="1:24" s="48" customFormat="1" ht="15" hidden="1" outlineLevel="1">
      <c r="A48" s="107" t="s">
        <v>136</v>
      </c>
      <c r="C48" s="47"/>
      <c r="N48" s="129"/>
      <c r="Q48" s="129"/>
      <c r="W48" s="183" t="s">
        <v>137</v>
      </c>
      <c r="X48" s="184" t="s">
        <v>136</v>
      </c>
    </row>
    <row r="49" spans="1:30" s="48" customFormat="1" ht="15" hidden="1" outlineLevel="1">
      <c r="A49" s="48" t="s">
        <v>68</v>
      </c>
      <c r="C49" s="47"/>
      <c r="D49" s="185">
        <f>+D43</f>
        <v>0</v>
      </c>
      <c r="E49" s="185"/>
      <c r="F49" s="185"/>
      <c r="G49" s="185">
        <f>+G43</f>
        <v>0</v>
      </c>
      <c r="H49" s="185"/>
      <c r="I49" s="185"/>
      <c r="J49" s="185">
        <f>+J43</f>
        <v>0</v>
      </c>
      <c r="K49" s="185"/>
      <c r="L49" s="185"/>
      <c r="M49" s="185">
        <f>+M43</f>
        <v>0</v>
      </c>
      <c r="N49" s="185"/>
      <c r="O49" s="185"/>
      <c r="P49" s="185">
        <f>+P43</f>
        <v>0</v>
      </c>
      <c r="Q49" s="185"/>
      <c r="R49" s="185"/>
      <c r="S49" s="185">
        <f>+S43</f>
        <v>0</v>
      </c>
      <c r="T49" s="185"/>
      <c r="U49" s="185"/>
      <c r="V49" s="185">
        <f>+V43</f>
        <v>0</v>
      </c>
      <c r="W49" s="186">
        <f>SUM(B49:V49)</f>
        <v>0</v>
      </c>
      <c r="X49" s="183" t="s">
        <v>68</v>
      </c>
    </row>
    <row r="50" spans="1:30" s="48" customFormat="1" ht="15" hidden="1" outlineLevel="1">
      <c r="A50" s="48" t="s">
        <v>135</v>
      </c>
      <c r="C50" s="47"/>
      <c r="D50" s="47">
        <f>D49/1.16</f>
        <v>0</v>
      </c>
      <c r="G50" s="47">
        <f>G49/1.16</f>
        <v>0</v>
      </c>
      <c r="J50" s="47">
        <f>J49/1.16</f>
        <v>0</v>
      </c>
      <c r="M50" s="47">
        <f>M49/1.16</f>
        <v>0</v>
      </c>
      <c r="N50" s="129"/>
      <c r="P50" s="47">
        <f>P49/1.16</f>
        <v>0</v>
      </c>
      <c r="Q50" s="129"/>
      <c r="S50" s="47">
        <f>S49/1.16</f>
        <v>0</v>
      </c>
      <c r="V50" s="47">
        <f>V49/1.16</f>
        <v>0</v>
      </c>
      <c r="W50" s="186">
        <f>SUM(B50:V50)</f>
        <v>0</v>
      </c>
      <c r="X50" s="183" t="s">
        <v>135</v>
      </c>
    </row>
    <row r="51" spans="1:30" s="48" customFormat="1" ht="15" hidden="1" outlineLevel="1">
      <c r="A51" s="48" t="s">
        <v>329</v>
      </c>
      <c r="C51" s="47"/>
      <c r="D51" s="47">
        <f>D49/1.16*0.16</f>
        <v>0</v>
      </c>
      <c r="G51" s="47">
        <f>G49/1.16*0.16</f>
        <v>0</v>
      </c>
      <c r="J51" s="47">
        <f>J49/1.16*0.16</f>
        <v>0</v>
      </c>
      <c r="M51" s="47">
        <f>M49/1.16*0.16</f>
        <v>0</v>
      </c>
      <c r="N51" s="129"/>
      <c r="P51" s="47">
        <f>P49/1.16*0.16</f>
        <v>0</v>
      </c>
      <c r="Q51" s="129"/>
      <c r="S51" s="47">
        <f>S49/1.16*0.16</f>
        <v>0</v>
      </c>
      <c r="V51" s="47">
        <f>V49/1.16*0.16</f>
        <v>0</v>
      </c>
      <c r="W51" s="186">
        <f>SUM(B51:V51)</f>
        <v>0</v>
      </c>
      <c r="X51" s="183" t="str">
        <f>A51</f>
        <v>Social Security (16 %)</v>
      </c>
    </row>
    <row r="52" spans="1:30" s="48" customFormat="1" ht="15" collapsed="1">
      <c r="C52" s="47"/>
      <c r="N52" s="129"/>
      <c r="Q52" s="129"/>
    </row>
    <row r="53" spans="1:30" s="48" customFormat="1" ht="15">
      <c r="C53" s="47"/>
      <c r="N53" s="129"/>
      <c r="Q53" s="129"/>
    </row>
    <row r="54" spans="1:30" s="48" customFormat="1" ht="15">
      <c r="C54" s="47"/>
      <c r="N54" s="129"/>
      <c r="Q54" s="129"/>
    </row>
    <row r="55" spans="1:30" s="48" customFormat="1" ht="15">
      <c r="C55" s="47"/>
      <c r="N55" s="129"/>
      <c r="Q55" s="129"/>
    </row>
    <row r="56" spans="1:30" s="48" customFormat="1" ht="15">
      <c r="C56" s="47"/>
      <c r="N56" s="129"/>
      <c r="Q56" s="129"/>
      <c r="Y56" s="3"/>
      <c r="Z56" s="3"/>
      <c r="AA56" s="3"/>
      <c r="AB56" s="3"/>
      <c r="AC56" s="3"/>
    </row>
    <row r="57" spans="1:30" s="48" customFormat="1" ht="15">
      <c r="C57" s="47"/>
      <c r="N57" s="129"/>
      <c r="Q57" s="129"/>
      <c r="Y57" s="3"/>
      <c r="Z57" s="3"/>
      <c r="AA57" s="3"/>
      <c r="AB57" s="3"/>
      <c r="AC57" s="3"/>
      <c r="AD57" s="3"/>
    </row>
  </sheetData>
  <sheetProtection algorithmName="SHA-512" hashValue="kYF2RIr0sLZoC54sTPjIHs30LrUWXB+1sWPDHU2hSmICMDpz9OIg7760jKuj2BuOE608nh2eMC1Bh1GMLslAHg==" saltValue="lTsJxMb1YUiyKLnSoHgBYA==" spinCount="100000" sheet="1" objects="1" scenarios="1"/>
  <mergeCells count="7">
    <mergeCell ref="B6:C6"/>
    <mergeCell ref="B7:C7"/>
    <mergeCell ref="B8:C8"/>
    <mergeCell ref="B2:C2"/>
    <mergeCell ref="B3:C3"/>
    <mergeCell ref="B4:C4"/>
    <mergeCell ref="B5:C5"/>
  </mergeCells>
  <phoneticPr fontId="10" type="noConversion"/>
  <conditionalFormatting sqref="D2 G2 J2:V2">
    <cfRule type="cellIs" priority="11" stopIfTrue="1" operator="between">
      <formula>$Y$5</formula>
      <formula>$Y$14</formula>
    </cfRule>
  </conditionalFormatting>
  <dataValidations count="3">
    <dataValidation type="list" allowBlank="1" showInputMessage="1" showErrorMessage="1" sqref="D9">
      <formula1>$AB$26:$AB$27</formula1>
    </dataValidation>
    <dataValidation type="list" allowBlank="1" showInputMessage="1" showErrorMessage="1" sqref="D3">
      <formula1>$Y$18:$Y$20</formula1>
    </dataValidation>
    <dataValidation type="list" allowBlank="1" showInputMessage="1" showErrorMessage="1" sqref="K2:L2 N2:O2 Q2:R2 T2:U2">
      <formula1>$Y$4:$Y$14</formula1>
    </dataValidation>
  </dataValidations>
  <pageMargins left="0.19685039370078741" right="0.19685039370078741" top="0.59055118110236227" bottom="0.78740157480314965" header="0.31496062992125984" footer="0.39370078740157483"/>
  <pageSetup scale="55" orientation="landscape" r:id="rId1"/>
  <headerFooter alignWithMargins="0">
    <oddFooter>&amp;L&amp;8&amp;F, &amp;A, 11.07.2019 / AG</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249977111117893"/>
    <pageSetUpPr fitToPage="1"/>
  </sheetPr>
  <dimension ref="A1:AH57"/>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10.140625" style="3" customWidth="1"/>
    <col min="3" max="3" width="11.28515625" style="44" customWidth="1"/>
    <col min="4" max="4" width="17" style="3" customWidth="1"/>
    <col min="5" max="5" width="5.42578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customWidth="1"/>
    <col min="11" max="11" width="5.5703125" style="3" bestFit="1" customWidth="1"/>
    <col min="12" max="12" width="8.5703125" style="3" bestFit="1" customWidth="1"/>
    <col min="13" max="13" width="17" style="3" bestFit="1" customWidth="1"/>
    <col min="14" max="14" width="5.5703125" style="120" bestFit="1" customWidth="1"/>
    <col min="15" max="15" width="8.5703125" style="3" bestFit="1" customWidth="1"/>
    <col min="16" max="16" width="17" style="3" bestFit="1" customWidth="1"/>
    <col min="17" max="17" width="5.5703125" style="120" bestFit="1" customWidth="1"/>
    <col min="18" max="18" width="8.5703125" style="3" bestFit="1" customWidth="1"/>
    <col min="19" max="19" width="17" style="3" bestFit="1" customWidth="1"/>
    <col min="20" max="20" width="5.42578125" style="3" hidden="1" customWidth="1" outlineLevel="1"/>
    <col min="21" max="21" width="9.140625" style="3" hidden="1" customWidth="1" outlineLevel="1"/>
    <col min="22" max="22" width="17" style="3" hidden="1" customWidth="1" outlineLevel="1"/>
    <col min="23" max="23" width="14.7109375" style="3" bestFit="1" customWidth="1" collapsed="1"/>
    <col min="24" max="24" width="19.85546875" style="3" customWidth="1"/>
    <col min="25" max="25" width="16.140625" style="3" hidden="1" customWidth="1" outlineLevel="1"/>
    <col min="26" max="26" width="12.7109375" style="3" hidden="1" customWidth="1" outlineLevel="1"/>
    <col min="27" max="30" width="9.140625" style="3" hidden="1" customWidth="1" outlineLevel="1"/>
    <col min="31" max="31" width="9.140625" style="3" customWidth="1" collapsed="1"/>
    <col min="32" max="16384" width="9.140625" style="3"/>
  </cols>
  <sheetData>
    <row r="1" spans="1:34" ht="23.25">
      <c r="A1" s="119" t="s">
        <v>132</v>
      </c>
    </row>
    <row r="2" spans="1:34" s="123" customFormat="1" ht="15" customHeight="1">
      <c r="A2" s="121" t="s">
        <v>12</v>
      </c>
      <c r="B2" s="396" t="s">
        <v>13</v>
      </c>
      <c r="C2" s="396"/>
      <c r="D2" s="122"/>
      <c r="G2" s="122"/>
      <c r="J2" s="122"/>
      <c r="K2" s="124"/>
      <c r="L2" s="124"/>
      <c r="M2" s="122"/>
      <c r="N2" s="125"/>
      <c r="O2" s="124"/>
      <c r="P2" s="122"/>
      <c r="Q2" s="125"/>
      <c r="R2" s="124"/>
      <c r="S2" s="122"/>
      <c r="T2" s="124"/>
      <c r="U2" s="124"/>
      <c r="V2" s="122"/>
      <c r="W2" s="124"/>
      <c r="Y2" s="123" t="s">
        <v>30</v>
      </c>
      <c r="Z2" s="126">
        <v>43466</v>
      </c>
      <c r="AB2" s="123" t="s">
        <v>31</v>
      </c>
      <c r="AC2" s="265" t="s">
        <v>251</v>
      </c>
    </row>
    <row r="3" spans="1:34" s="123" customFormat="1" ht="15">
      <c r="B3" s="396" t="s">
        <v>24</v>
      </c>
      <c r="C3" s="396"/>
      <c r="D3" s="127" t="s">
        <v>42</v>
      </c>
      <c r="K3" s="124"/>
      <c r="L3" s="124"/>
      <c r="M3" s="124"/>
      <c r="N3" s="125"/>
      <c r="O3" s="124"/>
      <c r="P3" s="124"/>
      <c r="Q3" s="125"/>
      <c r="R3" s="124"/>
      <c r="S3" s="124"/>
      <c r="T3" s="124"/>
      <c r="U3" s="124"/>
      <c r="V3" s="124"/>
      <c r="W3" s="124"/>
      <c r="Y3" s="48"/>
      <c r="Z3" s="48"/>
      <c r="AA3" s="48"/>
      <c r="AB3" s="130" t="s">
        <v>1</v>
      </c>
      <c r="AC3" s="282">
        <f>'PK-Sätze'!G4</f>
        <v>9.3999999999999986</v>
      </c>
    </row>
    <row r="4" spans="1:34" s="48" customFormat="1" ht="15" customHeight="1">
      <c r="A4" s="131" t="s">
        <v>47</v>
      </c>
      <c r="B4" s="396" t="s">
        <v>23</v>
      </c>
      <c r="C4" s="396"/>
      <c r="D4" s="128" t="str">
        <f>IF(D3=Y18,Z18,IF(D3=Y19,Z19,Z20))</f>
        <v>Standardplan</v>
      </c>
      <c r="K4" s="128"/>
      <c r="L4" s="128"/>
      <c r="M4" s="128"/>
      <c r="N4" s="129"/>
      <c r="O4" s="128"/>
      <c r="P4" s="128"/>
      <c r="Q4" s="129"/>
      <c r="R4" s="128"/>
      <c r="S4" s="128"/>
      <c r="T4" s="128"/>
      <c r="U4" s="128"/>
      <c r="V4" s="128"/>
      <c r="W4" s="128"/>
      <c r="Y4" s="48" t="s">
        <v>14</v>
      </c>
      <c r="Z4" s="48">
        <v>50800</v>
      </c>
      <c r="AB4" s="130" t="s">
        <v>2</v>
      </c>
      <c r="AC4" s="282">
        <f>'PK-Sätze'!G5</f>
        <v>11.649999999999999</v>
      </c>
    </row>
    <row r="5" spans="1:34" s="48" customFormat="1" ht="15">
      <c r="A5" s="132"/>
      <c r="B5" s="396" t="s">
        <v>0</v>
      </c>
      <c r="C5" s="396"/>
      <c r="D5" s="133"/>
      <c r="J5" s="347"/>
      <c r="K5" s="348"/>
      <c r="L5" s="348"/>
      <c r="M5" s="348"/>
      <c r="N5" s="349"/>
      <c r="O5" s="348"/>
      <c r="P5" s="348"/>
      <c r="Q5" s="129"/>
      <c r="Y5" s="48" t="s">
        <v>15</v>
      </c>
      <c r="Z5" s="48">
        <v>54400</v>
      </c>
      <c r="AB5" s="130" t="s">
        <v>5</v>
      </c>
      <c r="AC5" s="282">
        <f>'PK-Sätze'!G6</f>
        <v>17.7</v>
      </c>
    </row>
    <row r="6" spans="1:34" s="48" customFormat="1" ht="15">
      <c r="B6" s="396" t="s">
        <v>3</v>
      </c>
      <c r="C6" s="396"/>
      <c r="D6" s="134"/>
      <c r="N6" s="129"/>
      <c r="Q6" s="129"/>
      <c r="Y6" s="48" t="s">
        <v>22</v>
      </c>
      <c r="Z6" s="48">
        <v>58000</v>
      </c>
      <c r="AB6" s="130" t="s">
        <v>6</v>
      </c>
      <c r="AC6" s="282">
        <f>'PK-Sätze'!G6</f>
        <v>17.7</v>
      </c>
    </row>
    <row r="7" spans="1:34" s="48" customFormat="1" ht="15" customHeight="1">
      <c r="B7" s="396" t="s">
        <v>36</v>
      </c>
      <c r="C7" s="396"/>
      <c r="D7" s="134"/>
      <c r="N7" s="129"/>
      <c r="Q7" s="129"/>
      <c r="Y7" s="48" t="s">
        <v>16</v>
      </c>
      <c r="Z7" s="48">
        <v>85000</v>
      </c>
      <c r="AB7" s="130" t="s">
        <v>4</v>
      </c>
      <c r="AC7" s="282">
        <f>'PK-Sätze'!G7</f>
        <v>22.55</v>
      </c>
    </row>
    <row r="8" spans="1:34" s="48" customFormat="1" ht="15" customHeight="1">
      <c r="B8" s="396" t="s">
        <v>37</v>
      </c>
      <c r="C8" s="396"/>
      <c r="D8" s="134"/>
      <c r="N8" s="129"/>
      <c r="Q8" s="129"/>
      <c r="Y8" s="48" t="s">
        <v>17</v>
      </c>
      <c r="Z8" s="48">
        <v>88000</v>
      </c>
      <c r="AC8" s="282"/>
    </row>
    <row r="9" spans="1:34" s="48" customFormat="1" ht="15">
      <c r="B9" s="285" t="s">
        <v>283</v>
      </c>
      <c r="C9" s="285"/>
      <c r="D9" s="298" t="s">
        <v>284</v>
      </c>
      <c r="N9" s="129"/>
      <c r="Q9" s="129"/>
      <c r="AC9" s="282"/>
    </row>
    <row r="10" spans="1:34" s="330" customFormat="1" ht="15.75" thickBot="1">
      <c r="C10" s="331"/>
      <c r="N10" s="332"/>
      <c r="Q10" s="332"/>
      <c r="Y10" s="330" t="s">
        <v>18</v>
      </c>
      <c r="Z10" s="330">
        <v>92000</v>
      </c>
      <c r="AB10" s="330" t="s">
        <v>27</v>
      </c>
      <c r="AC10" s="333"/>
    </row>
    <row r="11" spans="1:34" s="107" customFormat="1" ht="15">
      <c r="A11" s="48" t="s">
        <v>294</v>
      </c>
      <c r="B11" s="188">
        <v>1</v>
      </c>
      <c r="C11" s="308"/>
      <c r="D11" s="293">
        <f>+C11/12</f>
        <v>0</v>
      </c>
      <c r="E11" s="188">
        <v>1</v>
      </c>
      <c r="F11" s="308"/>
      <c r="G11" s="138"/>
      <c r="H11" s="188">
        <v>1</v>
      </c>
      <c r="I11" s="308"/>
      <c r="J11" s="137"/>
      <c r="K11" s="188">
        <v>1</v>
      </c>
      <c r="L11" s="308"/>
      <c r="M11" s="137"/>
      <c r="N11" s="188">
        <v>1</v>
      </c>
      <c r="O11" s="308"/>
      <c r="P11" s="137"/>
      <c r="Q11" s="188">
        <v>1</v>
      </c>
      <c r="R11" s="308"/>
      <c r="S11" s="137"/>
      <c r="T11" s="188">
        <v>1</v>
      </c>
      <c r="U11" s="308"/>
      <c r="V11" s="137"/>
      <c r="W11" s="48"/>
      <c r="X11" s="48"/>
      <c r="Y11" s="48" t="s">
        <v>44</v>
      </c>
      <c r="Z11" s="128">
        <v>103005</v>
      </c>
      <c r="AA11" s="48"/>
      <c r="AB11" s="130" t="s">
        <v>1</v>
      </c>
      <c r="AC11" s="282">
        <f>'PK-Sätze'!G17</f>
        <v>9.3999999999999986</v>
      </c>
      <c r="AD11" s="48"/>
      <c r="AE11" s="48"/>
      <c r="AF11" s="48"/>
      <c r="AG11" s="48"/>
      <c r="AH11" s="48"/>
    </row>
    <row r="12" spans="1:34" s="48" customFormat="1" ht="15">
      <c r="A12" s="107" t="s">
        <v>292</v>
      </c>
      <c r="B12" s="144">
        <f>+D5</f>
        <v>0</v>
      </c>
      <c r="C12" s="145">
        <f>+C11*B12</f>
        <v>0</v>
      </c>
      <c r="D12" s="146"/>
      <c r="E12" s="144">
        <f>+$D$5</f>
        <v>0</v>
      </c>
      <c r="F12" s="145">
        <f>+F11*E12</f>
        <v>0</v>
      </c>
      <c r="G12" s="146"/>
      <c r="H12" s="144">
        <f>+$D$5</f>
        <v>0</v>
      </c>
      <c r="I12" s="145">
        <f>+I11*H12</f>
        <v>0</v>
      </c>
      <c r="J12" s="146"/>
      <c r="K12" s="144">
        <f>+$D$5</f>
        <v>0</v>
      </c>
      <c r="L12" s="145">
        <f>+L11*K12</f>
        <v>0</v>
      </c>
      <c r="M12" s="146"/>
      <c r="N12" s="144">
        <f>+$D$5</f>
        <v>0</v>
      </c>
      <c r="O12" s="145">
        <f>+O11*N12</f>
        <v>0</v>
      </c>
      <c r="P12" s="146"/>
      <c r="Q12" s="144">
        <f>+$D$5</f>
        <v>0</v>
      </c>
      <c r="R12" s="145">
        <f>+R11*Q12</f>
        <v>0</v>
      </c>
      <c r="S12" s="146"/>
      <c r="T12" s="144">
        <f>+$D$5</f>
        <v>0</v>
      </c>
      <c r="U12" s="145">
        <f>+U11*T12</f>
        <v>0</v>
      </c>
      <c r="V12" s="146"/>
      <c r="W12" s="107"/>
      <c r="X12" s="107"/>
      <c r="Y12" s="48" t="s">
        <v>19</v>
      </c>
      <c r="Z12" s="48">
        <v>70300</v>
      </c>
      <c r="AB12" s="130" t="s">
        <v>2</v>
      </c>
      <c r="AC12" s="282">
        <f>'PK-Sätze'!G18</f>
        <v>11.649999999999999</v>
      </c>
      <c r="AD12" s="107"/>
      <c r="AE12" s="107"/>
      <c r="AF12" s="107"/>
      <c r="AG12" s="107"/>
      <c r="AH12" s="107"/>
    </row>
    <row r="13" spans="1:34" s="48" customFormat="1" ht="15">
      <c r="A13" s="107" t="s">
        <v>295</v>
      </c>
      <c r="B13" s="144"/>
      <c r="C13" s="149">
        <f>IF(C11/100*(B12*100)&lt;=$AB$25,0,IF(C11&gt;($AB$24*100/30),C11-$AB$24,C11*0.7))</f>
        <v>0</v>
      </c>
      <c r="D13" s="146"/>
      <c r="E13" s="144"/>
      <c r="F13" s="149">
        <f>IF(F11/100*(E12*100)&lt;=$AB$25,0,IF(F11&gt;($AB$24*100/30),F11-$AB$24,F11*0.7))</f>
        <v>0</v>
      </c>
      <c r="G13" s="146"/>
      <c r="H13" s="144"/>
      <c r="I13" s="149">
        <f>IF(I11/100*(H12*100)&lt;=$AB$25,0,IF(I11&gt;($AB$24*100/30),I11-$AB$24,I11*0.7))</f>
        <v>0</v>
      </c>
      <c r="J13" s="146"/>
      <c r="K13" s="144"/>
      <c r="L13" s="149">
        <f>IF(L11/100*(K12*100)&lt;=$AB$25,0,IF(L11&gt;($AB$24*100/30),L11-$AB$24,L11*0.7))</f>
        <v>0</v>
      </c>
      <c r="M13" s="146"/>
      <c r="N13" s="144"/>
      <c r="O13" s="149">
        <f>IF(O11/100*(N12*100)&lt;=$AB$25,0,IF(O11&gt;($AB$24*100/30),O11-$AB$24,O11*0.7))</f>
        <v>0</v>
      </c>
      <c r="P13" s="146"/>
      <c r="Q13" s="144"/>
      <c r="R13" s="149">
        <f>IF(R11/100*(Q12*100)&lt;=$AB$25,0,IF(R11&gt;($AB$24*100/30),R11-$AB$24,R11*0.7))</f>
        <v>0</v>
      </c>
      <c r="S13" s="146"/>
      <c r="T13" s="144"/>
      <c r="U13" s="149">
        <f>IF(U11/100*(T12*100)&lt;=$AB$25,0,IF(U11&gt;($AB$24*100/30),U11-$AB$24,U11*0.7))</f>
        <v>0</v>
      </c>
      <c r="V13" s="146"/>
      <c r="W13" s="107"/>
      <c r="X13" s="107"/>
      <c r="Y13" s="48" t="s">
        <v>20</v>
      </c>
      <c r="Z13" s="48">
        <v>75300</v>
      </c>
      <c r="AA13" s="107"/>
      <c r="AB13" s="130" t="s">
        <v>5</v>
      </c>
      <c r="AC13" s="282">
        <f>'PK-Sätze'!G19</f>
        <v>19.55</v>
      </c>
      <c r="AD13" s="107"/>
      <c r="AE13" s="107"/>
      <c r="AF13" s="107"/>
      <c r="AG13" s="107"/>
      <c r="AH13" s="107"/>
    </row>
    <row r="14" spans="1:34" s="48" customFormat="1" ht="15">
      <c r="B14" s="139"/>
      <c r="C14" s="140"/>
      <c r="D14" s="141"/>
      <c r="E14" s="139"/>
      <c r="F14" s="53"/>
      <c r="G14" s="141"/>
      <c r="H14" s="139"/>
      <c r="I14" s="53"/>
      <c r="J14" s="141"/>
      <c r="K14" s="139"/>
      <c r="L14" s="53"/>
      <c r="M14" s="141"/>
      <c r="N14" s="143"/>
      <c r="O14" s="53"/>
      <c r="P14" s="141"/>
      <c r="Q14" s="143"/>
      <c r="R14" s="53"/>
      <c r="S14" s="141"/>
      <c r="T14" s="143"/>
      <c r="U14" s="53"/>
      <c r="V14" s="141"/>
      <c r="Y14" s="48" t="s">
        <v>21</v>
      </c>
      <c r="Z14" s="48">
        <v>80320</v>
      </c>
      <c r="AB14" s="130" t="s">
        <v>6</v>
      </c>
      <c r="AC14" s="282">
        <f>'PK-Sätze'!G19</f>
        <v>19.55</v>
      </c>
    </row>
    <row r="15" spans="1:34" s="48" customFormat="1" ht="15" hidden="1" outlineLevel="1">
      <c r="A15" s="48" t="s">
        <v>7</v>
      </c>
      <c r="B15" s="147">
        <f>'SV-Sätze'!C8</f>
        <v>5.1250000000000004E-2</v>
      </c>
      <c r="C15" s="140">
        <f>+$B$15*C12</f>
        <v>0</v>
      </c>
      <c r="D15" s="294"/>
      <c r="E15" s="139"/>
      <c r="F15" s="140">
        <f>+$B$15*F12</f>
        <v>0</v>
      </c>
      <c r="G15" s="141"/>
      <c r="H15" s="139"/>
      <c r="I15" s="140">
        <f>+$B$15*I12</f>
        <v>0</v>
      </c>
      <c r="J15" s="141"/>
      <c r="K15" s="139"/>
      <c r="L15" s="140">
        <f>+$B$15*L12</f>
        <v>0</v>
      </c>
      <c r="M15" s="141"/>
      <c r="N15" s="143"/>
      <c r="O15" s="140">
        <f>+$B$15*O12</f>
        <v>0</v>
      </c>
      <c r="P15" s="141"/>
      <c r="Q15" s="143"/>
      <c r="R15" s="140">
        <f>+$B$15*R12</f>
        <v>0</v>
      </c>
      <c r="S15" s="141"/>
      <c r="T15" s="139"/>
      <c r="U15" s="140">
        <f>+$B$15*U12</f>
        <v>0</v>
      </c>
      <c r="V15" s="141"/>
      <c r="Y15" s="48" t="s">
        <v>43</v>
      </c>
      <c r="Z15" s="128">
        <v>87663</v>
      </c>
      <c r="AB15" s="130" t="s">
        <v>4</v>
      </c>
      <c r="AC15" s="282">
        <f>'PK-Sätze'!G20</f>
        <v>24.4</v>
      </c>
    </row>
    <row r="16" spans="1:34" s="48" customFormat="1" ht="15" hidden="1" outlineLevel="1">
      <c r="A16" s="48" t="s">
        <v>150</v>
      </c>
      <c r="B16" s="317">
        <v>6.0000000000000001E-3</v>
      </c>
      <c r="C16" s="140">
        <f>$B$16*C12</f>
        <v>0</v>
      </c>
      <c r="D16" s="294"/>
      <c r="E16" s="139"/>
      <c r="F16" s="140">
        <f>$B$16*F12</f>
        <v>0</v>
      </c>
      <c r="G16" s="141"/>
      <c r="H16" s="139"/>
      <c r="I16" s="140">
        <f>$B$16*I12</f>
        <v>0</v>
      </c>
      <c r="J16" s="141"/>
      <c r="K16" s="139"/>
      <c r="L16" s="140">
        <f>$B$16*L12</f>
        <v>0</v>
      </c>
      <c r="M16" s="141"/>
      <c r="N16" s="143"/>
      <c r="O16" s="140">
        <f>$B$16*O12</f>
        <v>0</v>
      </c>
      <c r="P16" s="141"/>
      <c r="Q16" s="143"/>
      <c r="R16" s="140">
        <f>$B$16*R12</f>
        <v>0</v>
      </c>
      <c r="S16" s="141"/>
      <c r="T16" s="139"/>
      <c r="U16" s="140">
        <f>$B$16*U12</f>
        <v>0</v>
      </c>
      <c r="V16" s="141"/>
      <c r="Z16" s="128"/>
      <c r="AC16" s="282"/>
    </row>
    <row r="17" spans="1:29" s="48" customFormat="1" ht="15" hidden="1" outlineLevel="1">
      <c r="A17" s="48" t="s">
        <v>8</v>
      </c>
      <c r="B17" s="147">
        <f>'SV-Sätze'!C10</f>
        <v>1.0999999999999999E-2</v>
      </c>
      <c r="C17" s="140">
        <f>+$B$17*C12</f>
        <v>0</v>
      </c>
      <c r="D17" s="294"/>
      <c r="E17" s="139"/>
      <c r="F17" s="140">
        <f>+$B$17*F12</f>
        <v>0</v>
      </c>
      <c r="G17" s="141"/>
      <c r="H17" s="139"/>
      <c r="I17" s="140">
        <f>+$B$17*I12</f>
        <v>0</v>
      </c>
      <c r="J17" s="141"/>
      <c r="K17" s="139"/>
      <c r="L17" s="140">
        <f>+$B$17*L12</f>
        <v>0</v>
      </c>
      <c r="M17" s="141"/>
      <c r="N17" s="143"/>
      <c r="O17" s="140">
        <f>+$B$17*O12</f>
        <v>0</v>
      </c>
      <c r="P17" s="141"/>
      <c r="Q17" s="143"/>
      <c r="R17" s="140">
        <f>+$B$17*R12</f>
        <v>0</v>
      </c>
      <c r="S17" s="141"/>
      <c r="T17" s="139"/>
      <c r="U17" s="140">
        <f>+$B$17*U12</f>
        <v>0</v>
      </c>
      <c r="V17" s="141"/>
      <c r="AB17" s="48" t="s">
        <v>28</v>
      </c>
      <c r="AC17" s="282"/>
    </row>
    <row r="18" spans="1:29" s="48" customFormat="1" ht="15" hidden="1" outlineLevel="1">
      <c r="A18" s="48" t="s">
        <v>9</v>
      </c>
      <c r="B18" s="147">
        <f>'SV-Sätze'!C12</f>
        <v>1.1440000000000001E-3</v>
      </c>
      <c r="C18" s="140">
        <f>+$B$18*C12</f>
        <v>0</v>
      </c>
      <c r="D18" s="294"/>
      <c r="E18" s="139"/>
      <c r="F18" s="140">
        <f>+$B$18*F12</f>
        <v>0</v>
      </c>
      <c r="G18" s="141"/>
      <c r="H18" s="139"/>
      <c r="I18" s="140">
        <f>+$B$18*I12</f>
        <v>0</v>
      </c>
      <c r="J18" s="141"/>
      <c r="K18" s="139"/>
      <c r="L18" s="140">
        <f>+$B$18*L12</f>
        <v>0</v>
      </c>
      <c r="M18" s="141"/>
      <c r="N18" s="143"/>
      <c r="O18" s="140">
        <f>+$B$18*O12</f>
        <v>0</v>
      </c>
      <c r="P18" s="141"/>
      <c r="Q18" s="143"/>
      <c r="R18" s="140">
        <f>+$B$18*R12</f>
        <v>0</v>
      </c>
      <c r="S18" s="141"/>
      <c r="T18" s="139"/>
      <c r="U18" s="140">
        <f>+$B$18*U12</f>
        <v>0</v>
      </c>
      <c r="V18" s="141"/>
      <c r="Y18" s="48" t="s">
        <v>42</v>
      </c>
      <c r="Z18" s="48" t="s">
        <v>29</v>
      </c>
      <c r="AB18" s="130" t="s">
        <v>1</v>
      </c>
      <c r="AC18" s="282">
        <f>'PK-Sätze'!G30</f>
        <v>11.25</v>
      </c>
    </row>
    <row r="19" spans="1:29" s="48" customFormat="1" ht="15" hidden="1" outlineLevel="1">
      <c r="A19" s="48" t="s">
        <v>10</v>
      </c>
      <c r="B19" s="147">
        <f>'SV-Sätze'!C13</f>
        <v>2.5999999999999999E-3</v>
      </c>
      <c r="C19" s="140">
        <f>+$B$19*C12</f>
        <v>0</v>
      </c>
      <c r="D19" s="294"/>
      <c r="E19" s="139"/>
      <c r="F19" s="140">
        <f>+$B$19*F12</f>
        <v>0</v>
      </c>
      <c r="G19" s="141"/>
      <c r="H19" s="139"/>
      <c r="I19" s="140">
        <f>+$B$19*I12</f>
        <v>0</v>
      </c>
      <c r="J19" s="141"/>
      <c r="K19" s="139"/>
      <c r="L19" s="140">
        <f>+$B$19*L12</f>
        <v>0</v>
      </c>
      <c r="M19" s="141"/>
      <c r="N19" s="143"/>
      <c r="O19" s="140">
        <f>+$B$19*O12</f>
        <v>0</v>
      </c>
      <c r="P19" s="141"/>
      <c r="Q19" s="143"/>
      <c r="R19" s="140">
        <f>+$B$19*R12</f>
        <v>0</v>
      </c>
      <c r="S19" s="141"/>
      <c r="T19" s="139"/>
      <c r="U19" s="140">
        <f>+$B$19*U12</f>
        <v>0</v>
      </c>
      <c r="V19" s="141"/>
      <c r="Y19" s="48" t="s">
        <v>25</v>
      </c>
      <c r="Z19" s="48" t="s">
        <v>27</v>
      </c>
      <c r="AB19" s="130" t="s">
        <v>2</v>
      </c>
      <c r="AC19" s="282">
        <f>'PK-Sätze'!G31</f>
        <v>13.45</v>
      </c>
    </row>
    <row r="20" spans="1:29" s="48" customFormat="1" ht="15" hidden="1" outlineLevel="1">
      <c r="A20" s="128" t="s">
        <v>11</v>
      </c>
      <c r="B20" s="147">
        <f>IF(D9="ZH",'SV-Sätze'!C16,IF(D9="LU",'SV-Sätze'!C18,0))</f>
        <v>1.0999999999999999E-2</v>
      </c>
      <c r="C20" s="302">
        <f>+$B$20*C12</f>
        <v>0</v>
      </c>
      <c r="D20" s="294"/>
      <c r="E20" s="139"/>
      <c r="F20" s="302">
        <f>+$B$20*F12</f>
        <v>0</v>
      </c>
      <c r="G20" s="141"/>
      <c r="H20" s="139"/>
      <c r="I20" s="302">
        <f>+$B$20*I12</f>
        <v>0</v>
      </c>
      <c r="J20" s="141"/>
      <c r="K20" s="139"/>
      <c r="L20" s="302">
        <f>+$B$20*L12</f>
        <v>0</v>
      </c>
      <c r="M20" s="141"/>
      <c r="N20" s="143"/>
      <c r="O20" s="302">
        <f>+$B$20*O12</f>
        <v>0</v>
      </c>
      <c r="P20" s="141"/>
      <c r="Q20" s="143"/>
      <c r="R20" s="302">
        <f>+$B$20*R12</f>
        <v>0</v>
      </c>
      <c r="S20" s="141"/>
      <c r="T20" s="139"/>
      <c r="U20" s="302">
        <f>+$B$20*U12</f>
        <v>0</v>
      </c>
      <c r="V20" s="141"/>
      <c r="Y20" s="48" t="s">
        <v>26</v>
      </c>
      <c r="Z20" s="48" t="s">
        <v>28</v>
      </c>
      <c r="AB20" s="130" t="s">
        <v>5</v>
      </c>
      <c r="AC20" s="282">
        <f>'PK-Sätze'!G32</f>
        <v>21.45</v>
      </c>
    </row>
    <row r="21" spans="1:29" s="48" customFormat="1" ht="15" hidden="1" outlineLevel="1">
      <c r="B21" s="139"/>
      <c r="C21" s="140"/>
      <c r="D21" s="294"/>
      <c r="E21" s="139"/>
      <c r="F21" s="140"/>
      <c r="G21" s="141"/>
      <c r="H21" s="139"/>
      <c r="I21" s="140"/>
      <c r="J21" s="141"/>
      <c r="K21" s="139"/>
      <c r="L21" s="140"/>
      <c r="M21" s="141"/>
      <c r="N21" s="143"/>
      <c r="O21" s="140"/>
      <c r="P21" s="141"/>
      <c r="Q21" s="143"/>
      <c r="R21" s="140"/>
      <c r="S21" s="141"/>
      <c r="T21" s="143"/>
      <c r="U21" s="140"/>
      <c r="V21" s="141"/>
      <c r="AB21" s="130" t="s">
        <v>6</v>
      </c>
      <c r="AC21" s="282">
        <f>'PK-Sätze'!G32</f>
        <v>21.45</v>
      </c>
    </row>
    <row r="22" spans="1:29" s="48" customFormat="1" ht="15" hidden="1" outlineLevel="1">
      <c r="A22" s="48" t="s">
        <v>296</v>
      </c>
      <c r="B22" s="270">
        <f>IF($D$6&lt;35,AC3%,IF($D$6&lt;45,AC4%,IF($D$6&lt;55,AC5%,IF($D$6&lt;70,AC7%))))</f>
        <v>9.3999999999999986E-2</v>
      </c>
      <c r="C22" s="140">
        <f>IF($D$4="Standardplan",C13*$B$22*B12,"")</f>
        <v>0</v>
      </c>
      <c r="D22" s="294"/>
      <c r="E22" s="139"/>
      <c r="F22" s="140">
        <f>IF($D$4="Standardplan",F13*$B$22*E12,"")</f>
        <v>0</v>
      </c>
      <c r="G22" s="141"/>
      <c r="H22" s="139"/>
      <c r="I22" s="140">
        <f>IF($D$4="Standardplan",I13*$B$22*H12,"")</f>
        <v>0</v>
      </c>
      <c r="J22" s="141"/>
      <c r="K22" s="139"/>
      <c r="L22" s="140">
        <f>IF($D$4="Standardplan",L13*$B$22*K12,"")</f>
        <v>0</v>
      </c>
      <c r="M22" s="141"/>
      <c r="N22" s="143"/>
      <c r="O22" s="140">
        <f>IF($D$4="Standardplan",O13*$B$22*N12,"")</f>
        <v>0</v>
      </c>
      <c r="P22" s="141"/>
      <c r="Q22" s="143"/>
      <c r="R22" s="140">
        <f>IF($D$4="Standardplan",R13*$B$22*Q12,"")</f>
        <v>0</v>
      </c>
      <c r="S22" s="141"/>
      <c r="T22" s="143"/>
      <c r="U22" s="140">
        <f>IF($D$4="Standardplan",U13*$B$22*T12,"")</f>
        <v>0</v>
      </c>
      <c r="V22" s="141"/>
      <c r="AB22" s="130" t="s">
        <v>4</v>
      </c>
      <c r="AC22" s="282">
        <f>'PK-Sätze'!G33</f>
        <v>26.25</v>
      </c>
    </row>
    <row r="23" spans="1:29" s="48" customFormat="1" ht="15" hidden="1" outlineLevel="1">
      <c r="A23" s="48" t="s">
        <v>297</v>
      </c>
      <c r="B23" s="270">
        <f>IF($D$6&lt;35,AC11%,IF($D$6&lt;45,AC12%,IF($D$6&lt;55,AC13%,IF($D$6&lt;70,AC15%))))</f>
        <v>9.3999999999999986E-2</v>
      </c>
      <c r="C23" s="140" t="str">
        <f>IF($D$4="Kaderplan 1",C13*$B$23*B12,"")</f>
        <v/>
      </c>
      <c r="D23" s="294"/>
      <c r="E23" s="139"/>
      <c r="F23" s="140" t="str">
        <f>IF($D$4="Kaderplan 1",F13*$B$23*E12,"")</f>
        <v/>
      </c>
      <c r="G23" s="141"/>
      <c r="H23" s="139"/>
      <c r="I23" s="140" t="str">
        <f>IF($D$4="Kaderplan 1",I13*$B$23*H12,"")</f>
        <v/>
      </c>
      <c r="J23" s="141"/>
      <c r="K23" s="139"/>
      <c r="L23" s="140" t="str">
        <f>IF($D$4="Kaderplan 1",L13*$B$23*K12,"")</f>
        <v/>
      </c>
      <c r="M23" s="141"/>
      <c r="N23" s="143"/>
      <c r="O23" s="140" t="str">
        <f>IF($D$4="Kaderplan 1",O13*$B$23*N12,"")</f>
        <v/>
      </c>
      <c r="P23" s="141"/>
      <c r="Q23" s="143"/>
      <c r="R23" s="140" t="str">
        <f>IF($D$4="Kaderplan 1",R13*$B$23*Q12,"")</f>
        <v/>
      </c>
      <c r="S23" s="141"/>
      <c r="T23" s="143"/>
      <c r="U23" s="140" t="str">
        <f>IF($D$4="Kaderplan 1",U13*$B$23*T12,"")</f>
        <v/>
      </c>
      <c r="V23" s="141"/>
      <c r="AB23" s="295"/>
      <c r="AC23" s="282"/>
    </row>
    <row r="24" spans="1:29" s="48" customFormat="1" ht="15" hidden="1" outlineLevel="1">
      <c r="A24" s="48" t="s">
        <v>298</v>
      </c>
      <c r="B24" s="270">
        <f>IF($D$6&lt;35,AC18%,IF($D$6&lt;45,AC19%,IF($D$6&lt;55,AC21%,IF($D$6&lt;70,AC22%))))</f>
        <v>0.1125</v>
      </c>
      <c r="C24" s="140" t="str">
        <f>IF($D$4="Kaderplan 2",C13*$B$24*B12,"")</f>
        <v/>
      </c>
      <c r="D24" s="294"/>
      <c r="E24" s="139"/>
      <c r="F24" s="140" t="str">
        <f>IF($D$4="Kaderplan 2",F13*$B$24*E12,"")</f>
        <v/>
      </c>
      <c r="G24" s="141"/>
      <c r="H24" s="139"/>
      <c r="I24" s="140" t="str">
        <f>IF($D$4="Kaderplan 2",I13*$B$24*H12,"")</f>
        <v/>
      </c>
      <c r="J24" s="141"/>
      <c r="K24" s="139"/>
      <c r="L24" s="140" t="str">
        <f>IF($D$4="Kaderplan 2",L13*$B$24*K12,"")</f>
        <v/>
      </c>
      <c r="M24" s="141"/>
      <c r="N24" s="143"/>
      <c r="O24" s="140" t="str">
        <f>IF($D$4="Kaderplan 2",O13*$B$24*N12,"")</f>
        <v/>
      </c>
      <c r="P24" s="141"/>
      <c r="Q24" s="143"/>
      <c r="R24" s="140" t="str">
        <f>IF($D$4="Kaderplan 2",R13*$B$24*Q12,"")</f>
        <v/>
      </c>
      <c r="S24" s="141"/>
      <c r="T24" s="143"/>
      <c r="U24" s="140" t="str">
        <f>IF($D$4="Kaderplan 2",U13*$B$24*T12,"")</f>
        <v/>
      </c>
      <c r="V24" s="141"/>
      <c r="Y24" s="48" t="s">
        <v>287</v>
      </c>
      <c r="AB24" s="299">
        <v>24885</v>
      </c>
    </row>
    <row r="25" spans="1:29" s="48" customFormat="1" ht="15" hidden="1" outlineLevel="1">
      <c r="A25" s="48" t="s">
        <v>286</v>
      </c>
      <c r="B25" s="296">
        <v>250</v>
      </c>
      <c r="C25" s="140">
        <f>IF(C13&gt;0,B25,0)</f>
        <v>0</v>
      </c>
      <c r="D25" s="294"/>
      <c r="E25" s="139"/>
      <c r="F25" s="140">
        <f>IF(F13&gt;0,$B$25,0)</f>
        <v>0</v>
      </c>
      <c r="G25" s="141"/>
      <c r="H25" s="139"/>
      <c r="I25" s="140">
        <f>IF(I13&gt;0,$B$25,0)</f>
        <v>0</v>
      </c>
      <c r="J25" s="141"/>
      <c r="K25" s="139"/>
      <c r="L25" s="140">
        <f>IF(L13&gt;0,$B$25,0)</f>
        <v>0</v>
      </c>
      <c r="M25" s="141"/>
      <c r="N25" s="143"/>
      <c r="O25" s="140">
        <f>IF(O13&gt;0,$B$25,0)</f>
        <v>0</v>
      </c>
      <c r="P25" s="141"/>
      <c r="Q25" s="143"/>
      <c r="R25" s="140">
        <f>IF(R13&gt;0,$B$25,0)</f>
        <v>0</v>
      </c>
      <c r="S25" s="141"/>
      <c r="T25" s="143"/>
      <c r="U25" s="140">
        <f>IF(U13&gt;0,$B$25,0)</f>
        <v>0</v>
      </c>
      <c r="V25" s="141"/>
      <c r="Y25" s="48" t="s">
        <v>288</v>
      </c>
      <c r="AB25" s="185"/>
    </row>
    <row r="26" spans="1:29" s="48" customFormat="1" ht="15" hidden="1" outlineLevel="1">
      <c r="B26" s="139"/>
      <c r="C26" s="140"/>
      <c r="D26" s="294"/>
      <c r="E26" s="139"/>
      <c r="F26" s="53"/>
      <c r="G26" s="141"/>
      <c r="H26" s="139"/>
      <c r="I26" s="53"/>
      <c r="J26" s="141"/>
      <c r="K26" s="139"/>
      <c r="L26" s="53"/>
      <c r="M26" s="141"/>
      <c r="N26" s="143"/>
      <c r="O26" s="53"/>
      <c r="P26" s="141"/>
      <c r="Q26" s="143"/>
      <c r="R26" s="53"/>
      <c r="S26" s="141"/>
      <c r="T26" s="143"/>
      <c r="U26" s="53"/>
      <c r="V26" s="141"/>
      <c r="Y26" s="128" t="s">
        <v>283</v>
      </c>
      <c r="Z26" s="128"/>
      <c r="AA26" s="128"/>
      <c r="AB26" s="301" t="s">
        <v>284</v>
      </c>
    </row>
    <row r="27" spans="1:29" s="48" customFormat="1" ht="15" hidden="1" outlineLevel="1" collapsed="1">
      <c r="A27" s="48" t="s">
        <v>11</v>
      </c>
      <c r="B27" s="139"/>
      <c r="C27" s="149"/>
      <c r="D27" s="294"/>
      <c r="E27" s="139"/>
      <c r="F27" s="53"/>
      <c r="G27" s="141"/>
      <c r="H27" s="139"/>
      <c r="I27" s="53"/>
      <c r="J27" s="141"/>
      <c r="K27" s="139"/>
      <c r="L27" s="53"/>
      <c r="M27" s="141"/>
      <c r="N27" s="143"/>
      <c r="O27" s="53"/>
      <c r="P27" s="141"/>
      <c r="Q27" s="143"/>
      <c r="R27" s="53"/>
      <c r="S27" s="141"/>
      <c r="T27" s="143"/>
      <c r="U27" s="53"/>
      <c r="V27" s="141"/>
      <c r="Y27" s="128"/>
      <c r="Z27" s="128"/>
      <c r="AA27" s="128"/>
      <c r="AB27" s="301" t="s">
        <v>285</v>
      </c>
    </row>
    <row r="28" spans="1:29" s="48" customFormat="1" ht="15" hidden="1" outlineLevel="1">
      <c r="A28" s="48" t="s">
        <v>33</v>
      </c>
      <c r="B28" s="164">
        <f>IF($D$9="ZH",FAK!F9-FAK!$F$17,IF($D$9="LU",FAK!F9-FAK!$F$19,""))</f>
        <v>2097</v>
      </c>
      <c r="C28" s="140">
        <f>IF($D$7&lt;2,$D$7*B28,B28*1)</f>
        <v>0</v>
      </c>
      <c r="D28" s="141"/>
      <c r="E28" s="139"/>
      <c r="F28" s="140">
        <f>+C28</f>
        <v>0</v>
      </c>
      <c r="G28" s="141"/>
      <c r="H28" s="139"/>
      <c r="I28" s="140">
        <f>+F28</f>
        <v>0</v>
      </c>
      <c r="J28" s="141"/>
      <c r="K28" s="139"/>
      <c r="L28" s="140">
        <f>+I28</f>
        <v>0</v>
      </c>
      <c r="M28" s="141"/>
      <c r="N28" s="143"/>
      <c r="O28" s="140">
        <f>+L28</f>
        <v>0</v>
      </c>
      <c r="P28" s="141"/>
      <c r="Q28" s="143"/>
      <c r="R28" s="140">
        <f>+O28</f>
        <v>0</v>
      </c>
      <c r="S28" s="141"/>
      <c r="T28" s="143"/>
      <c r="U28" s="140">
        <f>+R28</f>
        <v>0</v>
      </c>
      <c r="V28" s="141"/>
    </row>
    <row r="29" spans="1:29" s="48" customFormat="1" ht="15" hidden="1" outlineLevel="1">
      <c r="A29" s="48" t="s">
        <v>34</v>
      </c>
      <c r="B29" s="164">
        <f>IF($D$9="ZH",FAK!F11-FAK!$F$17,IF($D$9="LU",FAK!F11-FAK!$F$19,""))</f>
        <v>504</v>
      </c>
      <c r="C29" s="140">
        <f>IF($D$7&gt;1,($D$7-1)*B29,0)</f>
        <v>0</v>
      </c>
      <c r="D29" s="141"/>
      <c r="E29" s="139"/>
      <c r="F29" s="140">
        <f>+C29</f>
        <v>0</v>
      </c>
      <c r="G29" s="141"/>
      <c r="H29" s="139"/>
      <c r="I29" s="140">
        <f>+F29</f>
        <v>0</v>
      </c>
      <c r="J29" s="141"/>
      <c r="K29" s="139"/>
      <c r="L29" s="140">
        <f>+I29</f>
        <v>0</v>
      </c>
      <c r="M29" s="141"/>
      <c r="N29" s="143"/>
      <c r="O29" s="140">
        <f>+L29</f>
        <v>0</v>
      </c>
      <c r="P29" s="141"/>
      <c r="Q29" s="143"/>
      <c r="R29" s="140">
        <f>+O29</f>
        <v>0</v>
      </c>
      <c r="S29" s="141"/>
      <c r="T29" s="143"/>
      <c r="U29" s="140">
        <f>+S29</f>
        <v>0</v>
      </c>
      <c r="V29" s="141"/>
    </row>
    <row r="30" spans="1:29" s="48" customFormat="1" ht="15" hidden="1" outlineLevel="1">
      <c r="A30" s="48" t="s">
        <v>35</v>
      </c>
      <c r="B30" s="164">
        <f>IF($D$9="ZH",FAK!F12-FAK!$F$18,IF($D$9="LU",FAK!F12-FAK!$F$20,""))</f>
        <v>282</v>
      </c>
      <c r="C30" s="140">
        <f>+D8*B30</f>
        <v>0</v>
      </c>
      <c r="D30" s="141"/>
      <c r="E30" s="139"/>
      <c r="F30" s="140">
        <f>+C30</f>
        <v>0</v>
      </c>
      <c r="G30" s="141"/>
      <c r="H30" s="139"/>
      <c r="I30" s="140">
        <f>+F30</f>
        <v>0</v>
      </c>
      <c r="J30" s="141"/>
      <c r="K30" s="139"/>
      <c r="L30" s="140">
        <f>+I30</f>
        <v>0</v>
      </c>
      <c r="M30" s="141"/>
      <c r="N30" s="143"/>
      <c r="O30" s="140">
        <f>+L30</f>
        <v>0</v>
      </c>
      <c r="P30" s="141"/>
      <c r="Q30" s="143"/>
      <c r="R30" s="140">
        <f>+O30</f>
        <v>0</v>
      </c>
      <c r="S30" s="141"/>
      <c r="T30" s="143"/>
      <c r="U30" s="140">
        <f>+R30</f>
        <v>0</v>
      </c>
      <c r="V30" s="141"/>
    </row>
    <row r="31" spans="1:29" s="48" customFormat="1" ht="15" collapsed="1">
      <c r="B31" s="150"/>
      <c r="C31" s="140"/>
      <c r="D31" s="141"/>
      <c r="E31" s="139"/>
      <c r="F31" s="53"/>
      <c r="G31" s="141"/>
      <c r="H31" s="139"/>
      <c r="I31" s="53"/>
      <c r="J31" s="141"/>
      <c r="K31" s="139"/>
      <c r="L31" s="53"/>
      <c r="M31" s="141"/>
      <c r="N31" s="143"/>
      <c r="O31" s="53"/>
      <c r="P31" s="141"/>
      <c r="Q31" s="143"/>
      <c r="R31" s="53"/>
      <c r="S31" s="141"/>
      <c r="T31" s="143"/>
      <c r="U31" s="53"/>
      <c r="V31" s="141"/>
    </row>
    <row r="32" spans="1:29" s="48" customFormat="1" ht="15">
      <c r="A32" s="151"/>
      <c r="B32" s="152"/>
      <c r="C32" s="153"/>
      <c r="D32" s="154"/>
      <c r="E32" s="139"/>
      <c r="F32" s="151"/>
      <c r="G32" s="154"/>
      <c r="H32" s="139"/>
      <c r="I32" s="151"/>
      <c r="J32" s="154"/>
      <c r="K32" s="139"/>
      <c r="L32" s="151"/>
      <c r="M32" s="154"/>
      <c r="N32" s="143"/>
      <c r="O32" s="151"/>
      <c r="P32" s="154"/>
      <c r="Q32" s="143"/>
      <c r="R32" s="151"/>
      <c r="S32" s="154"/>
      <c r="T32" s="143"/>
      <c r="U32" s="151"/>
      <c r="V32" s="154"/>
      <c r="W32" s="155"/>
    </row>
    <row r="33" spans="1:24" s="48" customFormat="1" ht="15">
      <c r="A33" s="156"/>
      <c r="B33" s="139"/>
      <c r="C33" s="157">
        <v>2019</v>
      </c>
      <c r="D33" s="141"/>
      <c r="E33" s="139"/>
      <c r="F33" s="157">
        <v>2020</v>
      </c>
      <c r="G33" s="141"/>
      <c r="H33" s="139"/>
      <c r="I33" s="157">
        <v>2021</v>
      </c>
      <c r="J33" s="141"/>
      <c r="K33" s="139"/>
      <c r="L33" s="157">
        <v>2022</v>
      </c>
      <c r="M33" s="141"/>
      <c r="N33" s="143"/>
      <c r="O33" s="157">
        <v>2023</v>
      </c>
      <c r="P33" s="141"/>
      <c r="Q33" s="143"/>
      <c r="R33" s="157">
        <v>2024</v>
      </c>
      <c r="S33" s="141"/>
      <c r="T33" s="143"/>
      <c r="U33" s="157">
        <v>2025</v>
      </c>
      <c r="V33" s="141"/>
      <c r="W33" s="159" t="s">
        <v>46</v>
      </c>
    </row>
    <row r="34" spans="1:24" s="48" customFormat="1" ht="15">
      <c r="A34" s="160"/>
      <c r="B34" s="139"/>
      <c r="C34" s="161"/>
      <c r="D34" s="141"/>
      <c r="E34" s="139"/>
      <c r="F34" s="162">
        <v>1.02</v>
      </c>
      <c r="G34" s="141" t="s">
        <v>94</v>
      </c>
      <c r="H34" s="139"/>
      <c r="I34" s="162">
        <v>1.02</v>
      </c>
      <c r="J34" s="141" t="s">
        <v>94</v>
      </c>
      <c r="K34" s="139"/>
      <c r="L34" s="162">
        <v>1.02</v>
      </c>
      <c r="M34" s="141" t="s">
        <v>94</v>
      </c>
      <c r="N34" s="143"/>
      <c r="O34" s="162">
        <v>1.02</v>
      </c>
      <c r="P34" s="141" t="s">
        <v>94</v>
      </c>
      <c r="Q34" s="143"/>
      <c r="R34" s="162">
        <v>1.02</v>
      </c>
      <c r="S34" s="141" t="s">
        <v>94</v>
      </c>
      <c r="T34" s="143"/>
      <c r="U34" s="162">
        <v>1.02</v>
      </c>
      <c r="V34" s="141" t="s">
        <v>94</v>
      </c>
      <c r="W34" s="159"/>
    </row>
    <row r="35" spans="1:24" s="48" customFormat="1" ht="15">
      <c r="A35" s="160"/>
      <c r="B35" s="139"/>
      <c r="C35" s="163"/>
      <c r="D35" s="141"/>
      <c r="E35" s="139"/>
      <c r="F35" s="163"/>
      <c r="G35" s="141"/>
      <c r="H35" s="139"/>
      <c r="I35" s="163"/>
      <c r="J35" s="141"/>
      <c r="K35" s="139"/>
      <c r="L35" s="163"/>
      <c r="M35" s="141"/>
      <c r="N35" s="143"/>
      <c r="O35" s="163"/>
      <c r="P35" s="141"/>
      <c r="Q35" s="143"/>
      <c r="R35" s="163"/>
      <c r="S35" s="141"/>
      <c r="T35" s="143"/>
      <c r="U35" s="163"/>
      <c r="V35" s="141"/>
      <c r="W35" s="159"/>
    </row>
    <row r="36" spans="1:24" s="48" customFormat="1" ht="15">
      <c r="A36" s="160"/>
      <c r="B36" s="139"/>
      <c r="C36" s="163" t="s">
        <v>40</v>
      </c>
      <c r="D36" s="141" t="s">
        <v>41</v>
      </c>
      <c r="E36" s="139"/>
      <c r="F36" s="163" t="s">
        <v>40</v>
      </c>
      <c r="G36" s="141" t="s">
        <v>41</v>
      </c>
      <c r="H36" s="139"/>
      <c r="I36" s="163" t="s">
        <v>40</v>
      </c>
      <c r="J36" s="141" t="s">
        <v>41</v>
      </c>
      <c r="K36" s="139"/>
      <c r="L36" s="163" t="s">
        <v>40</v>
      </c>
      <c r="M36" s="141" t="s">
        <v>41</v>
      </c>
      <c r="N36" s="143"/>
      <c r="O36" s="163" t="s">
        <v>40</v>
      </c>
      <c r="P36" s="141" t="s">
        <v>41</v>
      </c>
      <c r="Q36" s="143"/>
      <c r="R36" s="163" t="s">
        <v>40</v>
      </c>
      <c r="S36" s="141" t="s">
        <v>41</v>
      </c>
      <c r="T36" s="143"/>
      <c r="U36" s="163" t="s">
        <v>40</v>
      </c>
      <c r="V36" s="141" t="s">
        <v>41</v>
      </c>
      <c r="W36" s="159"/>
    </row>
    <row r="37" spans="1:24" s="48" customFormat="1" ht="15">
      <c r="A37" s="160" t="s">
        <v>93</v>
      </c>
      <c r="B37" s="139"/>
      <c r="C37" s="163">
        <f>+C12+C28+C29+C30</f>
        <v>0</v>
      </c>
      <c r="D37" s="142">
        <f>+C37/12</f>
        <v>0</v>
      </c>
      <c r="E37" s="139"/>
      <c r="F37" s="163">
        <f>(+F12+F28+F29+F30)*F34</f>
        <v>0</v>
      </c>
      <c r="G37" s="142">
        <f>+F37/12</f>
        <v>0</v>
      </c>
      <c r="H37" s="139"/>
      <c r="I37" s="163">
        <f>(+I12+I28+I29+I30)*I34^2</f>
        <v>0</v>
      </c>
      <c r="J37" s="142">
        <f>+I37/12</f>
        <v>0</v>
      </c>
      <c r="K37" s="139"/>
      <c r="L37" s="163">
        <f>(+L12+L28+L29+L30)*L34^3</f>
        <v>0</v>
      </c>
      <c r="M37" s="142">
        <f>+L37/12</f>
        <v>0</v>
      </c>
      <c r="N37" s="164"/>
      <c r="O37" s="163">
        <f>(+O12+O28+O29+O30)*O34^4</f>
        <v>0</v>
      </c>
      <c r="P37" s="142">
        <f>+O37/12</f>
        <v>0</v>
      </c>
      <c r="Q37" s="164"/>
      <c r="R37" s="163">
        <f>(+R12+R28+R29+R30)*R34^5</f>
        <v>0</v>
      </c>
      <c r="S37" s="142">
        <f>+R37/12</f>
        <v>0</v>
      </c>
      <c r="T37" s="164"/>
      <c r="U37" s="163">
        <f>(+U12+U28+U29+U30)*U34^6</f>
        <v>0</v>
      </c>
      <c r="V37" s="142">
        <f>+U37/12</f>
        <v>0</v>
      </c>
      <c r="W37" s="165">
        <f>+I37+F37+C37+L37+O37+R37+U37</f>
        <v>0</v>
      </c>
    </row>
    <row r="38" spans="1:24" s="48" customFormat="1" ht="15">
      <c r="A38" s="160" t="s">
        <v>38</v>
      </c>
      <c r="B38" s="148" t="e">
        <f>+C38/C37</f>
        <v>#DIV/0!</v>
      </c>
      <c r="C38" s="163">
        <f>SUM(C15:C25)</f>
        <v>0</v>
      </c>
      <c r="D38" s="142">
        <f>+C38/12</f>
        <v>0</v>
      </c>
      <c r="E38" s="139"/>
      <c r="F38" s="163">
        <f>SUM(F15:F24)</f>
        <v>0</v>
      </c>
      <c r="G38" s="142">
        <f>+F38/12</f>
        <v>0</v>
      </c>
      <c r="H38" s="139"/>
      <c r="I38" s="163">
        <f>SUM(I15:I24)</f>
        <v>0</v>
      </c>
      <c r="J38" s="142">
        <f>+I38/12</f>
        <v>0</v>
      </c>
      <c r="K38" s="139"/>
      <c r="L38" s="163">
        <f>SUM(L15:L24)</f>
        <v>0</v>
      </c>
      <c r="M38" s="142">
        <f>+L38/12</f>
        <v>0</v>
      </c>
      <c r="N38" s="164"/>
      <c r="O38" s="163">
        <f>SUM(O15:O24)</f>
        <v>0</v>
      </c>
      <c r="P38" s="142">
        <f>+O38/12</f>
        <v>0</v>
      </c>
      <c r="Q38" s="164"/>
      <c r="R38" s="163">
        <f>SUM(R15:R24)</f>
        <v>0</v>
      </c>
      <c r="S38" s="142">
        <f>+R38/12</f>
        <v>0</v>
      </c>
      <c r="T38" s="164"/>
      <c r="U38" s="163">
        <f>SUM(U15:U24)</f>
        <v>0</v>
      </c>
      <c r="V38" s="142">
        <f>+U38/12</f>
        <v>0</v>
      </c>
      <c r="W38" s="165">
        <f>+I38+F38+C38+L38+O38+R38+U38</f>
        <v>0</v>
      </c>
    </row>
    <row r="39" spans="1:24" s="48" customFormat="1" ht="15">
      <c r="A39" s="156" t="s">
        <v>39</v>
      </c>
      <c r="B39" s="166"/>
      <c r="C39" s="167">
        <f>+C38+C37</f>
        <v>0</v>
      </c>
      <c r="D39" s="168">
        <f>+D38+D37</f>
        <v>0</v>
      </c>
      <c r="E39" s="139"/>
      <c r="F39" s="167">
        <f>+F38+F37</f>
        <v>0</v>
      </c>
      <c r="G39" s="168">
        <f>+G38+G37</f>
        <v>0</v>
      </c>
      <c r="H39" s="139"/>
      <c r="I39" s="167">
        <f>+I38+I37</f>
        <v>0</v>
      </c>
      <c r="J39" s="168">
        <f>+J38+J37</f>
        <v>0</v>
      </c>
      <c r="K39" s="139"/>
      <c r="L39" s="167">
        <f>+L38+L37</f>
        <v>0</v>
      </c>
      <c r="M39" s="168">
        <f>+M38+M37</f>
        <v>0</v>
      </c>
      <c r="N39" s="169"/>
      <c r="O39" s="167">
        <f>+O38+O37</f>
        <v>0</v>
      </c>
      <c r="P39" s="168">
        <f>+P38+P37</f>
        <v>0</v>
      </c>
      <c r="Q39" s="169"/>
      <c r="R39" s="167">
        <f>+R38+R37</f>
        <v>0</v>
      </c>
      <c r="S39" s="168">
        <f>+S38+S37</f>
        <v>0</v>
      </c>
      <c r="T39" s="169"/>
      <c r="U39" s="167">
        <f>+U38+U37</f>
        <v>0</v>
      </c>
      <c r="V39" s="168">
        <f>+V38+V37</f>
        <v>0</v>
      </c>
      <c r="W39" s="170">
        <f>+I39+F39+C39+L39+O39+R39+U39</f>
        <v>0</v>
      </c>
    </row>
    <row r="40" spans="1:24" s="48" customFormat="1" ht="15">
      <c r="A40" s="83"/>
      <c r="B40" s="171"/>
      <c r="C40" s="80"/>
      <c r="D40" s="172"/>
      <c r="E40" s="139"/>
      <c r="F40" s="83"/>
      <c r="G40" s="172"/>
      <c r="H40" s="139"/>
      <c r="I40" s="83"/>
      <c r="J40" s="172"/>
      <c r="K40" s="139"/>
      <c r="L40" s="83"/>
      <c r="M40" s="172"/>
      <c r="N40" s="143"/>
      <c r="O40" s="83"/>
      <c r="P40" s="172"/>
      <c r="Q40" s="143"/>
      <c r="R40" s="83"/>
      <c r="S40" s="172"/>
      <c r="T40" s="143"/>
      <c r="U40" s="83"/>
      <c r="V40" s="172"/>
      <c r="W40" s="173"/>
    </row>
    <row r="41" spans="1:24" s="48" customFormat="1" ht="15">
      <c r="B41" s="139"/>
      <c r="C41" s="140"/>
      <c r="D41" s="141"/>
      <c r="E41" s="139"/>
      <c r="F41" s="53"/>
      <c r="G41" s="141"/>
      <c r="H41" s="139"/>
      <c r="I41" s="53"/>
      <c r="J41" s="141"/>
      <c r="K41" s="139"/>
      <c r="L41" s="53"/>
      <c r="M41" s="141"/>
      <c r="N41" s="174"/>
      <c r="O41" s="53"/>
      <c r="P41" s="141"/>
      <c r="Q41" s="174"/>
      <c r="R41" s="53"/>
      <c r="S41" s="141"/>
      <c r="T41" s="174"/>
      <c r="U41" s="53"/>
      <c r="V41" s="141"/>
    </row>
    <row r="42" spans="1:24" s="48" customFormat="1" ht="15">
      <c r="A42" s="151"/>
      <c r="B42" s="152"/>
      <c r="C42" s="175"/>
      <c r="D42" s="154"/>
      <c r="E42" s="152"/>
      <c r="F42" s="176"/>
      <c r="G42" s="154"/>
      <c r="H42" s="152"/>
      <c r="I42" s="176"/>
      <c r="J42" s="154"/>
      <c r="K42" s="152"/>
      <c r="L42" s="176"/>
      <c r="M42" s="154"/>
      <c r="N42" s="143"/>
      <c r="O42" s="176"/>
      <c r="P42" s="154"/>
      <c r="Q42" s="143"/>
      <c r="R42" s="176"/>
      <c r="S42" s="154"/>
      <c r="T42" s="143"/>
      <c r="U42" s="176"/>
      <c r="V42" s="154"/>
      <c r="W42" s="192" t="s">
        <v>137</v>
      </c>
    </row>
    <row r="43" spans="1:24" s="48" customFormat="1" ht="15">
      <c r="A43" s="160" t="s">
        <v>45</v>
      </c>
      <c r="B43" s="177"/>
      <c r="C43" s="140"/>
      <c r="D43" s="142">
        <f>+D39*B43</f>
        <v>0</v>
      </c>
      <c r="E43" s="177"/>
      <c r="F43" s="53"/>
      <c r="G43" s="142">
        <f>+G39*E43</f>
        <v>0</v>
      </c>
      <c r="H43" s="177"/>
      <c r="I43" s="53"/>
      <c r="J43" s="142">
        <f>+J39*H43</f>
        <v>0</v>
      </c>
      <c r="K43" s="177"/>
      <c r="L43" s="140"/>
      <c r="M43" s="142">
        <f>+M39*K43</f>
        <v>0</v>
      </c>
      <c r="N43" s="177"/>
      <c r="O43" s="140"/>
      <c r="P43" s="142">
        <f>+P39*N43</f>
        <v>0</v>
      </c>
      <c r="Q43" s="177"/>
      <c r="R43" s="140"/>
      <c r="S43" s="142">
        <f>+S39*Q43</f>
        <v>0</v>
      </c>
      <c r="T43" s="177"/>
      <c r="U43" s="140"/>
      <c r="V43" s="142">
        <f>+V39*T43</f>
        <v>0</v>
      </c>
      <c r="W43" s="266">
        <f>+J43+G43+D43+M43+P43+S43+V43</f>
        <v>0</v>
      </c>
    </row>
    <row r="44" spans="1:24" s="48" customFormat="1" ht="15">
      <c r="A44" s="160"/>
      <c r="B44" s="139"/>
      <c r="C44" s="140"/>
      <c r="D44" s="141"/>
      <c r="E44" s="139"/>
      <c r="F44" s="53"/>
      <c r="G44" s="141"/>
      <c r="H44" s="139"/>
      <c r="I44" s="53"/>
      <c r="J44" s="141"/>
      <c r="K44" s="139"/>
      <c r="L44" s="53"/>
      <c r="M44" s="141"/>
      <c r="N44" s="143"/>
      <c r="O44" s="53"/>
      <c r="P44" s="141"/>
      <c r="Q44" s="143"/>
      <c r="R44" s="53"/>
      <c r="S44" s="141"/>
      <c r="T44" s="143"/>
      <c r="U44" s="53"/>
      <c r="V44" s="141"/>
      <c r="W44" s="193"/>
    </row>
    <row r="45" spans="1:24" s="48" customFormat="1" ht="15.75" thickBot="1">
      <c r="A45" s="83"/>
      <c r="B45" s="178"/>
      <c r="C45" s="179"/>
      <c r="D45" s="180"/>
      <c r="E45" s="178"/>
      <c r="F45" s="181"/>
      <c r="G45" s="180"/>
      <c r="H45" s="178"/>
      <c r="I45" s="181"/>
      <c r="J45" s="180"/>
      <c r="K45" s="178"/>
      <c r="L45" s="181"/>
      <c r="M45" s="180"/>
      <c r="N45" s="182"/>
      <c r="O45" s="181"/>
      <c r="P45" s="180"/>
      <c r="Q45" s="182"/>
      <c r="R45" s="181"/>
      <c r="S45" s="180"/>
      <c r="T45" s="182"/>
      <c r="U45" s="181"/>
      <c r="V45" s="180"/>
      <c r="W45" s="194">
        <f>+B43+E43+H43+K43+N43+Q43+T43</f>
        <v>0</v>
      </c>
    </row>
    <row r="46" spans="1:24" s="48" customFormat="1" ht="15">
      <c r="C46" s="47"/>
      <c r="N46" s="129"/>
      <c r="Q46" s="129"/>
    </row>
    <row r="47" spans="1:24" s="48" customFormat="1" ht="15">
      <c r="C47" s="47"/>
      <c r="N47" s="129"/>
      <c r="Q47" s="129"/>
    </row>
    <row r="48" spans="1:24" s="48" customFormat="1" ht="15" hidden="1" outlineLevel="1">
      <c r="A48" s="107" t="s">
        <v>136</v>
      </c>
      <c r="C48" s="47"/>
      <c r="N48" s="129"/>
      <c r="Q48" s="129"/>
      <c r="W48" s="183" t="s">
        <v>137</v>
      </c>
      <c r="X48" s="184" t="s">
        <v>136</v>
      </c>
    </row>
    <row r="49" spans="1:34" s="48" customFormat="1" ht="15" hidden="1" outlineLevel="1">
      <c r="A49" s="48" t="s">
        <v>68</v>
      </c>
      <c r="C49" s="47"/>
      <c r="D49" s="185">
        <f>+D43</f>
        <v>0</v>
      </c>
      <c r="E49" s="185"/>
      <c r="F49" s="185"/>
      <c r="G49" s="185">
        <f>+G43</f>
        <v>0</v>
      </c>
      <c r="H49" s="185"/>
      <c r="I49" s="185"/>
      <c r="J49" s="185">
        <f>+J43</f>
        <v>0</v>
      </c>
      <c r="K49" s="185"/>
      <c r="L49" s="185"/>
      <c r="M49" s="185">
        <f>+M43</f>
        <v>0</v>
      </c>
      <c r="N49" s="185"/>
      <c r="O49" s="185"/>
      <c r="P49" s="185">
        <f>+P43</f>
        <v>0</v>
      </c>
      <c r="Q49" s="185"/>
      <c r="R49" s="185"/>
      <c r="S49" s="185">
        <f>+S43</f>
        <v>0</v>
      </c>
      <c r="T49" s="185"/>
      <c r="U49" s="185"/>
      <c r="V49" s="185">
        <f>+V43</f>
        <v>0</v>
      </c>
      <c r="W49" s="186">
        <f>SUM(B49:V49)</f>
        <v>0</v>
      </c>
      <c r="X49" s="183" t="s">
        <v>68</v>
      </c>
    </row>
    <row r="50" spans="1:34" ht="15" hidden="1" outlineLevel="1">
      <c r="A50" s="48" t="s">
        <v>135</v>
      </c>
      <c r="B50" s="48"/>
      <c r="C50" s="47"/>
      <c r="D50" s="47">
        <f>D49/1.16</f>
        <v>0</v>
      </c>
      <c r="E50" s="48"/>
      <c r="F50" s="48"/>
      <c r="G50" s="47">
        <f>G49/1.16</f>
        <v>0</v>
      </c>
      <c r="H50" s="48"/>
      <c r="I50" s="48"/>
      <c r="J50" s="47">
        <f>J49/1.16</f>
        <v>0</v>
      </c>
      <c r="K50" s="48"/>
      <c r="L50" s="48"/>
      <c r="M50" s="47">
        <f>M49/1.16</f>
        <v>0</v>
      </c>
      <c r="N50" s="129"/>
      <c r="O50" s="48"/>
      <c r="P50" s="47">
        <f>P49/1.16</f>
        <v>0</v>
      </c>
      <c r="Q50" s="129"/>
      <c r="R50" s="48"/>
      <c r="S50" s="47">
        <f>S49/1.16</f>
        <v>0</v>
      </c>
      <c r="T50" s="48"/>
      <c r="U50" s="48"/>
      <c r="V50" s="47">
        <f>V49/1.16</f>
        <v>0</v>
      </c>
      <c r="W50" s="186">
        <f>SUM(B50:V50)</f>
        <v>0</v>
      </c>
      <c r="X50" s="183" t="s">
        <v>135</v>
      </c>
      <c r="Y50" s="48"/>
      <c r="Z50" s="48"/>
      <c r="AA50" s="48"/>
      <c r="AB50" s="48"/>
      <c r="AC50" s="48"/>
      <c r="AD50" s="48"/>
      <c r="AE50" s="48"/>
      <c r="AF50" s="48"/>
      <c r="AG50" s="48"/>
      <c r="AH50" s="48"/>
    </row>
    <row r="51" spans="1:34" ht="15" hidden="1" outlineLevel="1">
      <c r="A51" s="48" t="s">
        <v>329</v>
      </c>
      <c r="B51" s="48"/>
      <c r="C51" s="47"/>
      <c r="D51" s="47">
        <f>D49/1.16*0.16</f>
        <v>0</v>
      </c>
      <c r="E51" s="48"/>
      <c r="F51" s="48"/>
      <c r="G51" s="47">
        <f>G49/1.16*0.16</f>
        <v>0</v>
      </c>
      <c r="H51" s="48"/>
      <c r="I51" s="48"/>
      <c r="J51" s="47">
        <f>J49/1.16*0.16</f>
        <v>0</v>
      </c>
      <c r="K51" s="48"/>
      <c r="L51" s="48"/>
      <c r="M51" s="47">
        <f>M49/1.16*0.16</f>
        <v>0</v>
      </c>
      <c r="N51" s="129"/>
      <c r="O51" s="48"/>
      <c r="P51" s="47">
        <f>P49/1.16*0.16</f>
        <v>0</v>
      </c>
      <c r="Q51" s="129"/>
      <c r="R51" s="48"/>
      <c r="S51" s="47">
        <f>S49/1.16*0.16</f>
        <v>0</v>
      </c>
      <c r="T51" s="48"/>
      <c r="U51" s="48"/>
      <c r="V51" s="47">
        <f>V49/1.16*0.16</f>
        <v>0</v>
      </c>
      <c r="W51" s="186">
        <f>SUM(B51:V51)</f>
        <v>0</v>
      </c>
      <c r="X51" s="183" t="str">
        <f>A51</f>
        <v>Social Security (16 %)</v>
      </c>
      <c r="Y51" s="48"/>
      <c r="Z51" s="48"/>
      <c r="AA51" s="48"/>
      <c r="AB51" s="48"/>
      <c r="AC51" s="48"/>
      <c r="AD51" s="48"/>
      <c r="AE51" s="48"/>
      <c r="AF51" s="48"/>
      <c r="AG51" s="48"/>
      <c r="AH51" s="48"/>
    </row>
    <row r="52" spans="1:34" ht="15" collapsed="1">
      <c r="A52" s="48"/>
      <c r="B52" s="48"/>
      <c r="C52" s="47"/>
      <c r="D52" s="48"/>
      <c r="E52" s="48"/>
      <c r="F52" s="48"/>
      <c r="G52" s="48"/>
      <c r="H52" s="48"/>
      <c r="I52" s="48"/>
      <c r="J52" s="48"/>
      <c r="K52" s="48"/>
      <c r="L52" s="48"/>
      <c r="M52" s="48"/>
      <c r="N52" s="129"/>
      <c r="O52" s="48"/>
      <c r="P52" s="48"/>
      <c r="Q52" s="129"/>
      <c r="R52" s="48"/>
      <c r="S52" s="48"/>
      <c r="T52" s="48"/>
      <c r="U52" s="48"/>
      <c r="V52" s="48"/>
      <c r="W52" s="48"/>
      <c r="X52" s="48"/>
      <c r="Y52" s="48"/>
      <c r="Z52" s="48"/>
      <c r="AA52" s="48"/>
      <c r="AB52" s="48"/>
      <c r="AC52" s="48"/>
      <c r="AD52" s="48"/>
      <c r="AE52" s="48"/>
      <c r="AF52" s="48"/>
      <c r="AG52" s="48"/>
      <c r="AH52" s="48"/>
    </row>
    <row r="53" spans="1:34" ht="15">
      <c r="A53" s="48"/>
      <c r="B53" s="48"/>
      <c r="C53" s="47"/>
      <c r="D53" s="48"/>
      <c r="E53" s="48"/>
      <c r="F53" s="48"/>
      <c r="G53" s="48"/>
      <c r="H53" s="48"/>
      <c r="I53" s="48"/>
      <c r="J53" s="48"/>
      <c r="K53" s="48"/>
      <c r="L53" s="48"/>
      <c r="M53" s="48"/>
      <c r="N53" s="129"/>
      <c r="O53" s="48"/>
      <c r="P53" s="48"/>
      <c r="Q53" s="129"/>
      <c r="R53" s="48"/>
      <c r="S53" s="48"/>
      <c r="T53" s="48"/>
      <c r="U53" s="48"/>
      <c r="V53" s="48"/>
      <c r="W53" s="48"/>
      <c r="X53" s="48"/>
      <c r="Y53" s="48"/>
      <c r="Z53" s="48"/>
      <c r="AA53" s="48"/>
      <c r="AB53" s="48"/>
      <c r="AC53" s="48"/>
      <c r="AD53" s="48"/>
      <c r="AE53" s="48"/>
      <c r="AF53" s="48"/>
      <c r="AG53" s="48"/>
      <c r="AH53" s="48"/>
    </row>
    <row r="54" spans="1:34" ht="15">
      <c r="A54" s="48"/>
      <c r="B54" s="48"/>
      <c r="C54" s="47"/>
      <c r="D54" s="48"/>
      <c r="E54" s="48"/>
      <c r="F54" s="48"/>
      <c r="G54" s="48"/>
      <c r="H54" s="48"/>
      <c r="I54" s="48"/>
      <c r="J54" s="48"/>
      <c r="K54" s="48"/>
      <c r="L54" s="48"/>
      <c r="M54" s="48"/>
      <c r="N54" s="129"/>
      <c r="O54" s="48"/>
      <c r="P54" s="48"/>
      <c r="Q54" s="129"/>
      <c r="R54" s="48"/>
      <c r="S54" s="48"/>
      <c r="T54" s="48"/>
      <c r="U54" s="48"/>
      <c r="V54" s="48"/>
      <c r="W54" s="48"/>
      <c r="X54" s="48"/>
      <c r="Y54" s="48"/>
      <c r="Z54" s="48"/>
      <c r="AA54" s="48"/>
      <c r="AB54" s="48"/>
      <c r="AC54" s="48"/>
      <c r="AD54" s="48"/>
      <c r="AE54" s="48"/>
      <c r="AF54" s="48"/>
      <c r="AG54" s="48"/>
      <c r="AH54" s="48"/>
    </row>
    <row r="55" spans="1:34" ht="15">
      <c r="A55" s="48"/>
      <c r="B55" s="48"/>
      <c r="C55" s="47"/>
      <c r="D55" s="48"/>
      <c r="E55" s="48"/>
      <c r="F55" s="48"/>
      <c r="G55" s="48"/>
      <c r="H55" s="48"/>
      <c r="I55" s="48"/>
      <c r="J55" s="48"/>
      <c r="K55" s="48"/>
      <c r="L55" s="48"/>
      <c r="M55" s="48"/>
      <c r="N55" s="129"/>
      <c r="O55" s="48"/>
      <c r="P55" s="48"/>
      <c r="Q55" s="129"/>
      <c r="R55" s="48"/>
      <c r="S55" s="48"/>
      <c r="T55" s="48"/>
      <c r="U55" s="48"/>
      <c r="V55" s="48"/>
      <c r="W55" s="48"/>
      <c r="X55" s="48"/>
      <c r="Y55" s="48"/>
      <c r="Z55" s="48"/>
      <c r="AA55" s="48"/>
      <c r="AB55" s="48"/>
      <c r="AC55" s="48"/>
      <c r="AD55" s="48"/>
      <c r="AE55" s="48"/>
      <c r="AF55" s="48"/>
      <c r="AG55" s="48"/>
      <c r="AH55" s="48"/>
    </row>
    <row r="56" spans="1:34" ht="15">
      <c r="A56" s="48"/>
      <c r="B56" s="48"/>
      <c r="C56" s="47"/>
      <c r="D56" s="48"/>
      <c r="E56" s="48"/>
      <c r="F56" s="48"/>
      <c r="G56" s="48"/>
      <c r="H56" s="48"/>
      <c r="I56" s="48"/>
      <c r="J56" s="48"/>
      <c r="K56" s="48"/>
      <c r="L56" s="48"/>
      <c r="M56" s="48"/>
      <c r="N56" s="129"/>
      <c r="O56" s="48"/>
      <c r="P56" s="48"/>
      <c r="Q56" s="129"/>
      <c r="R56" s="48"/>
      <c r="S56" s="48"/>
      <c r="T56" s="48"/>
      <c r="U56" s="48"/>
      <c r="V56" s="48"/>
      <c r="W56" s="48"/>
      <c r="X56" s="48"/>
      <c r="AD56" s="48"/>
      <c r="AE56" s="48"/>
      <c r="AF56" s="48"/>
      <c r="AG56" s="48"/>
      <c r="AH56" s="48"/>
    </row>
    <row r="57" spans="1:34" ht="15">
      <c r="A57" s="48"/>
      <c r="B57" s="48"/>
      <c r="C57" s="47"/>
      <c r="D57" s="48"/>
      <c r="E57" s="48"/>
      <c r="F57" s="48"/>
      <c r="G57" s="48"/>
      <c r="H57" s="48"/>
      <c r="I57" s="48"/>
      <c r="J57" s="48"/>
      <c r="K57" s="48"/>
      <c r="L57" s="48"/>
      <c r="M57" s="48"/>
      <c r="N57" s="129"/>
      <c r="O57" s="48"/>
      <c r="P57" s="48"/>
      <c r="Q57" s="129"/>
      <c r="R57" s="48"/>
      <c r="S57" s="48"/>
      <c r="T57" s="48"/>
      <c r="U57" s="48"/>
      <c r="V57" s="48"/>
      <c r="W57" s="48"/>
      <c r="X57" s="48"/>
      <c r="AE57" s="48"/>
      <c r="AF57" s="48"/>
      <c r="AG57" s="48"/>
      <c r="AH57" s="48"/>
    </row>
  </sheetData>
  <sheetProtection algorithmName="SHA-512" hashValue="4Eh2mgRwe6Zcs1usdeXBNYXPpQEhAtl1UTCdrLkrGk9aybhEnPdc0dI7zSyfJOyxDfLTErk1LMcFbx+hxurEsw==" saltValue="FZkCzVkI/OAaCNGDXUOplw==" spinCount="100000" sheet="1" objects="1" scenarios="1"/>
  <mergeCells count="7">
    <mergeCell ref="B6:C6"/>
    <mergeCell ref="B7:C7"/>
    <mergeCell ref="B8:C8"/>
    <mergeCell ref="B2:C2"/>
    <mergeCell ref="B3:C3"/>
    <mergeCell ref="B4:C4"/>
    <mergeCell ref="B5:C5"/>
  </mergeCells>
  <phoneticPr fontId="10" type="noConversion"/>
  <conditionalFormatting sqref="D2 G2 J2:V2">
    <cfRule type="cellIs" priority="1" stopIfTrue="1" operator="between">
      <formula>$Y$5</formula>
      <formula>$Y$14</formula>
    </cfRule>
  </conditionalFormatting>
  <dataValidations count="3">
    <dataValidation type="list" allowBlank="1" showInputMessage="1" showErrorMessage="1" sqref="K2:L2 N2:O2 Q2:R2 T2:U2">
      <formula1>$Y$4:$Y$14</formula1>
    </dataValidation>
    <dataValidation type="list" allowBlank="1" showInputMessage="1" showErrorMessage="1" sqref="D3">
      <formula1>$Y$18:$Y$20</formula1>
    </dataValidation>
    <dataValidation type="list" allowBlank="1" showInputMessage="1" showErrorMessage="1" sqref="D9">
      <formula1>$AB$26:$AB$27</formula1>
    </dataValidation>
  </dataValidations>
  <pageMargins left="0.19685039370078741" right="0.19685039370078741" top="0.59055118110236227" bottom="0.78740157480314965" header="7.874015748031496E-2" footer="0.39370078740157483"/>
  <pageSetup scale="55" orientation="landscape" r:id="rId1"/>
  <headerFooter alignWithMargins="0">
    <oddFooter>&amp;L&amp;8&amp;F, &amp;A, 11.07.2019 / AG</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AE57"/>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10.140625" style="3" bestFit="1" customWidth="1"/>
    <col min="3" max="3" width="11.28515625" style="44" customWidth="1"/>
    <col min="4" max="4" width="17" style="3" customWidth="1"/>
    <col min="5" max="5" width="5.5703125" style="3" bestFit="1" customWidth="1"/>
    <col min="6" max="6" width="8.5703125" style="3" bestFit="1" customWidth="1"/>
    <col min="7" max="7" width="17" style="3" bestFit="1" customWidth="1"/>
    <col min="8" max="8" width="5.5703125" style="3" customWidth="1"/>
    <col min="9" max="9" width="8.5703125" style="3" customWidth="1"/>
    <col min="10" max="10" width="17" style="3" customWidth="1"/>
    <col min="11" max="11" width="5.5703125" style="3" customWidth="1"/>
    <col min="12" max="12" width="8.5703125" style="3" customWidth="1"/>
    <col min="13" max="13" width="17" style="3" customWidth="1"/>
    <col min="14" max="14" width="5.5703125" style="120" customWidth="1"/>
    <col min="15" max="15" width="8.5703125" style="3" customWidth="1"/>
    <col min="16" max="16" width="17" style="3" customWidth="1"/>
    <col min="17" max="17" width="5.5703125" style="120" customWidth="1"/>
    <col min="18" max="18" width="8.5703125" style="3" customWidth="1"/>
    <col min="19" max="19" width="17" style="3" customWidth="1"/>
    <col min="20" max="20" width="5.42578125" style="3" hidden="1" customWidth="1" outlineLevel="1"/>
    <col min="21" max="21" width="9.140625" style="3" hidden="1" customWidth="1" outlineLevel="1"/>
    <col min="22" max="22" width="17" style="3" hidden="1" customWidth="1" outlineLevel="1"/>
    <col min="23" max="23" width="14.7109375" style="3" bestFit="1" customWidth="1" collapsed="1"/>
    <col min="24" max="24" width="19.85546875" style="3" bestFit="1" customWidth="1"/>
    <col min="25" max="25" width="16.140625" style="3" hidden="1" customWidth="1" outlineLevel="1"/>
    <col min="26" max="26" width="12.7109375" style="3" hidden="1" customWidth="1" outlineLevel="1"/>
    <col min="27" max="30" width="9.140625" style="3" hidden="1" customWidth="1" outlineLevel="1"/>
    <col min="31" max="31" width="9.140625" style="3" customWidth="1" collapsed="1"/>
    <col min="32" max="16384" width="9.140625" style="3"/>
  </cols>
  <sheetData>
    <row r="1" spans="1:29" ht="23.25">
      <c r="A1" s="119" t="s">
        <v>140</v>
      </c>
    </row>
    <row r="2" spans="1:29" s="123" customFormat="1" ht="15">
      <c r="A2" s="121" t="s">
        <v>12</v>
      </c>
      <c r="B2" s="396" t="s">
        <v>13</v>
      </c>
      <c r="C2" s="396"/>
      <c r="D2" s="122"/>
      <c r="G2" s="122"/>
      <c r="J2" s="122"/>
      <c r="K2" s="124"/>
      <c r="L2" s="124"/>
      <c r="M2" s="122"/>
      <c r="N2" s="125"/>
      <c r="O2" s="124"/>
      <c r="P2" s="122"/>
      <c r="Q2" s="125"/>
      <c r="R2" s="124"/>
      <c r="S2" s="122"/>
      <c r="T2" s="124"/>
      <c r="U2" s="124"/>
      <c r="V2" s="122"/>
      <c r="W2" s="124"/>
      <c r="Y2" s="123" t="s">
        <v>30</v>
      </c>
      <c r="Z2" s="126">
        <v>43466</v>
      </c>
      <c r="AB2" s="123" t="s">
        <v>31</v>
      </c>
      <c r="AC2" s="265" t="s">
        <v>251</v>
      </c>
    </row>
    <row r="3" spans="1:29" s="123" customFormat="1" ht="15">
      <c r="B3" s="396" t="s">
        <v>24</v>
      </c>
      <c r="C3" s="396"/>
      <c r="D3" s="127" t="s">
        <v>42</v>
      </c>
      <c r="K3" s="124"/>
      <c r="L3" s="124"/>
      <c r="M3" s="124"/>
      <c r="N3" s="125"/>
      <c r="O3" s="124"/>
      <c r="P3" s="124"/>
      <c r="Q3" s="125"/>
      <c r="R3" s="124"/>
      <c r="S3" s="124"/>
      <c r="T3" s="124"/>
      <c r="U3" s="124"/>
      <c r="V3" s="124"/>
      <c r="W3" s="124"/>
      <c r="Y3" s="48"/>
      <c r="Z3" s="48"/>
      <c r="AA3" s="48"/>
      <c r="AB3" s="130" t="s">
        <v>1</v>
      </c>
      <c r="AC3" s="282">
        <f>'PK-Sätze'!G4</f>
        <v>9.3999999999999986</v>
      </c>
    </row>
    <row r="4" spans="1:29" s="48" customFormat="1" ht="15">
      <c r="A4" s="131" t="s">
        <v>47</v>
      </c>
      <c r="B4" s="396" t="s">
        <v>23</v>
      </c>
      <c r="C4" s="396"/>
      <c r="D4" s="128" t="str">
        <f>IF(D3=Y18,Z18,IF(D3=Y19,Z19,Z20))</f>
        <v>Standardplan</v>
      </c>
      <c r="K4" s="128"/>
      <c r="L4" s="128"/>
      <c r="M4" s="128"/>
      <c r="N4" s="129"/>
      <c r="O4" s="128"/>
      <c r="P4" s="128"/>
      <c r="Q4" s="129"/>
      <c r="R4" s="128"/>
      <c r="S4" s="128"/>
      <c r="T4" s="128"/>
      <c r="U4" s="128"/>
      <c r="V4" s="128"/>
      <c r="W4" s="128"/>
      <c r="Y4" s="48" t="s">
        <v>14</v>
      </c>
      <c r="Z4" s="48">
        <v>50800</v>
      </c>
      <c r="AB4" s="130" t="s">
        <v>2</v>
      </c>
      <c r="AC4" s="282">
        <f>'PK-Sätze'!G5</f>
        <v>11.649999999999999</v>
      </c>
    </row>
    <row r="5" spans="1:29" s="48" customFormat="1" ht="15">
      <c r="A5" s="132"/>
      <c r="B5" s="396" t="s">
        <v>0</v>
      </c>
      <c r="C5" s="396"/>
      <c r="D5" s="133"/>
      <c r="J5" s="347"/>
      <c r="K5" s="348"/>
      <c r="L5" s="348"/>
      <c r="M5" s="348"/>
      <c r="N5" s="349"/>
      <c r="O5" s="348"/>
      <c r="P5" s="348"/>
      <c r="Q5" s="129"/>
      <c r="Y5" s="48" t="s">
        <v>15</v>
      </c>
      <c r="Z5" s="48">
        <v>54400</v>
      </c>
      <c r="AB5" s="130" t="s">
        <v>5</v>
      </c>
      <c r="AC5" s="282">
        <f>'PK-Sätze'!G6</f>
        <v>17.7</v>
      </c>
    </row>
    <row r="6" spans="1:29" s="48" customFormat="1" ht="15">
      <c r="B6" s="396" t="s">
        <v>3</v>
      </c>
      <c r="C6" s="396"/>
      <c r="D6" s="134"/>
      <c r="N6" s="129"/>
      <c r="Q6" s="129"/>
      <c r="Y6" s="48" t="s">
        <v>22</v>
      </c>
      <c r="Z6" s="48">
        <v>58000</v>
      </c>
      <c r="AB6" s="130" t="s">
        <v>6</v>
      </c>
      <c r="AC6" s="282">
        <f>'PK-Sätze'!G6</f>
        <v>17.7</v>
      </c>
    </row>
    <row r="7" spans="1:29" s="48" customFormat="1" ht="15">
      <c r="B7" s="396" t="s">
        <v>36</v>
      </c>
      <c r="C7" s="396"/>
      <c r="D7" s="134"/>
      <c r="N7" s="129"/>
      <c r="Q7" s="129"/>
      <c r="Y7" s="48" t="s">
        <v>16</v>
      </c>
      <c r="Z7" s="48">
        <v>85000</v>
      </c>
      <c r="AB7" s="130" t="s">
        <v>4</v>
      </c>
      <c r="AC7" s="282">
        <f>'PK-Sätze'!G7</f>
        <v>22.55</v>
      </c>
    </row>
    <row r="8" spans="1:29" s="48" customFormat="1" ht="15">
      <c r="B8" s="396" t="s">
        <v>37</v>
      </c>
      <c r="C8" s="396"/>
      <c r="D8" s="134"/>
      <c r="N8" s="129"/>
      <c r="Q8" s="129"/>
      <c r="Y8" s="48" t="s">
        <v>17</v>
      </c>
      <c r="Z8" s="48">
        <v>88000</v>
      </c>
      <c r="AC8" s="282"/>
    </row>
    <row r="9" spans="1:29" s="48" customFormat="1" ht="15">
      <c r="B9" s="304" t="s">
        <v>283</v>
      </c>
      <c r="C9" s="304"/>
      <c r="D9" s="298" t="s">
        <v>284</v>
      </c>
      <c r="N9" s="129"/>
      <c r="Q9" s="129"/>
      <c r="AC9" s="282"/>
    </row>
    <row r="10" spans="1:29" s="330" customFormat="1" ht="15.75" thickBot="1">
      <c r="C10" s="331"/>
      <c r="N10" s="332"/>
      <c r="Q10" s="332"/>
      <c r="Y10" s="330" t="s">
        <v>18</v>
      </c>
      <c r="Z10" s="330">
        <v>92000</v>
      </c>
      <c r="AB10" s="330" t="s">
        <v>27</v>
      </c>
      <c r="AC10" s="333"/>
    </row>
    <row r="11" spans="1:29" s="48" customFormat="1" ht="15">
      <c r="A11" s="48" t="s">
        <v>294</v>
      </c>
      <c r="B11" s="188">
        <v>1</v>
      </c>
      <c r="C11" s="308"/>
      <c r="D11" s="293">
        <f>+C11/12</f>
        <v>0</v>
      </c>
      <c r="E11" s="188">
        <v>1</v>
      </c>
      <c r="F11" s="308"/>
      <c r="G11" s="138"/>
      <c r="H11" s="188">
        <v>1</v>
      </c>
      <c r="I11" s="308"/>
      <c r="J11" s="137"/>
      <c r="K11" s="188">
        <v>1</v>
      </c>
      <c r="L11" s="308"/>
      <c r="M11" s="137"/>
      <c r="N11" s="188">
        <v>1</v>
      </c>
      <c r="O11" s="308"/>
      <c r="P11" s="137"/>
      <c r="Q11" s="188">
        <v>1</v>
      </c>
      <c r="R11" s="308"/>
      <c r="S11" s="137"/>
      <c r="T11" s="188">
        <v>1</v>
      </c>
      <c r="U11" s="308"/>
      <c r="V11" s="137"/>
      <c r="Y11" s="48" t="s">
        <v>44</v>
      </c>
      <c r="Z11" s="128">
        <v>103005</v>
      </c>
      <c r="AB11" s="130" t="s">
        <v>1</v>
      </c>
      <c r="AC11" s="282">
        <f>'PK-Sätze'!G17</f>
        <v>9.3999999999999986</v>
      </c>
    </row>
    <row r="12" spans="1:29" s="107" customFormat="1" ht="15">
      <c r="A12" s="107" t="s">
        <v>292</v>
      </c>
      <c r="B12" s="144">
        <f>+D5</f>
        <v>0</v>
      </c>
      <c r="C12" s="145">
        <f>+C11*B12</f>
        <v>0</v>
      </c>
      <c r="D12" s="146"/>
      <c r="E12" s="144">
        <f>+$D$5</f>
        <v>0</v>
      </c>
      <c r="F12" s="145">
        <f>+F11*E12</f>
        <v>0</v>
      </c>
      <c r="G12" s="146"/>
      <c r="H12" s="144">
        <f>+$D$5</f>
        <v>0</v>
      </c>
      <c r="I12" s="145">
        <f>+I11*H12</f>
        <v>0</v>
      </c>
      <c r="J12" s="146"/>
      <c r="K12" s="144">
        <f>+$D$5</f>
        <v>0</v>
      </c>
      <c r="L12" s="145">
        <f>+L11*K12</f>
        <v>0</v>
      </c>
      <c r="M12" s="146"/>
      <c r="N12" s="144">
        <f>+$D$5</f>
        <v>0</v>
      </c>
      <c r="O12" s="145">
        <f>+O11*N12</f>
        <v>0</v>
      </c>
      <c r="P12" s="146"/>
      <c r="Q12" s="144">
        <f>+$D$5</f>
        <v>0</v>
      </c>
      <c r="R12" s="145">
        <f>+R11*Q12</f>
        <v>0</v>
      </c>
      <c r="S12" s="146"/>
      <c r="T12" s="144">
        <f>+$D$5</f>
        <v>0</v>
      </c>
      <c r="U12" s="145">
        <f>+U11*T12</f>
        <v>0</v>
      </c>
      <c r="V12" s="146"/>
      <c r="Y12" s="48" t="s">
        <v>19</v>
      </c>
      <c r="Z12" s="128">
        <v>70300</v>
      </c>
      <c r="AA12" s="48"/>
      <c r="AB12" s="130" t="s">
        <v>2</v>
      </c>
      <c r="AC12" s="282">
        <f>'PK-Sätze'!G18</f>
        <v>11.649999999999999</v>
      </c>
    </row>
    <row r="13" spans="1:29" s="107" customFormat="1" ht="15">
      <c r="A13" s="107" t="s">
        <v>295</v>
      </c>
      <c r="B13" s="144"/>
      <c r="C13" s="149">
        <f>IF(C11/100*(B12*100)&lt;=$AB$25,0,IF(C11&gt;($AB$24*100/30),C11-$AB$24,C11*0.7))</f>
        <v>0</v>
      </c>
      <c r="D13" s="146"/>
      <c r="E13" s="144"/>
      <c r="F13" s="149">
        <f>IF(F11/100*(E12*100)&lt;=$AB$25,0,IF(F11&gt;($AB$24*100/30),F11-$AB$24,F11*0.7))</f>
        <v>0</v>
      </c>
      <c r="G13" s="146"/>
      <c r="H13" s="144"/>
      <c r="I13" s="149">
        <f>IF(I11/100*(H12*100)&lt;=$AB$25,0,IF(I11&gt;($AB$24*100/30),I11-$AB$24,I11*0.7))</f>
        <v>0</v>
      </c>
      <c r="J13" s="146"/>
      <c r="K13" s="144"/>
      <c r="L13" s="149">
        <f>IF(L11/100*(K12*100)&lt;=$AB$25,0,IF(L11&gt;($AB$24*100/30),L11-$AB$24,L11*0.7))</f>
        <v>0</v>
      </c>
      <c r="M13" s="146"/>
      <c r="N13" s="144"/>
      <c r="O13" s="149">
        <f>IF(O11/100*(N12*100)&lt;=$AB$25,0,IF(O11&gt;($AB$24*100/30),O11-$AB$24,O11*0.7))</f>
        <v>0</v>
      </c>
      <c r="P13" s="146"/>
      <c r="Q13" s="144"/>
      <c r="R13" s="149">
        <f>IF(R11/100*(Q12*100)&lt;=$AB$25,0,IF(R11&gt;($AB$24*100/30),R11-$AB$24,R11*0.7))</f>
        <v>0</v>
      </c>
      <c r="S13" s="146"/>
      <c r="T13" s="144"/>
      <c r="U13" s="149">
        <f>IF(U11/100*(T12*100)&lt;=$AB$25,0,IF(U11&gt;($AB$24*100/30),U11-$AB$24,U11*0.7))</f>
        <v>0</v>
      </c>
      <c r="V13" s="146"/>
      <c r="Y13" s="48" t="s">
        <v>20</v>
      </c>
      <c r="Z13" s="48">
        <v>75300</v>
      </c>
      <c r="AB13" s="130" t="s">
        <v>5</v>
      </c>
      <c r="AC13" s="282">
        <f>'PK-Sätze'!G19</f>
        <v>19.55</v>
      </c>
    </row>
    <row r="14" spans="1:29" s="48" customFormat="1" ht="15">
      <c r="B14" s="139"/>
      <c r="C14" s="140"/>
      <c r="D14" s="141"/>
      <c r="E14" s="139"/>
      <c r="F14" s="53"/>
      <c r="G14" s="141"/>
      <c r="H14" s="139"/>
      <c r="I14" s="53"/>
      <c r="J14" s="141"/>
      <c r="K14" s="139"/>
      <c r="L14" s="53"/>
      <c r="M14" s="141"/>
      <c r="N14" s="143"/>
      <c r="O14" s="53"/>
      <c r="P14" s="141"/>
      <c r="Q14" s="143"/>
      <c r="R14" s="53"/>
      <c r="S14" s="141"/>
      <c r="T14" s="143"/>
      <c r="U14" s="53"/>
      <c r="V14" s="141"/>
      <c r="Y14" s="48" t="s">
        <v>21</v>
      </c>
      <c r="Z14" s="48">
        <v>80320</v>
      </c>
      <c r="AB14" s="130" t="s">
        <v>6</v>
      </c>
      <c r="AC14" s="282">
        <f>'PK-Sätze'!G19</f>
        <v>19.55</v>
      </c>
    </row>
    <row r="15" spans="1:29" s="48" customFormat="1" ht="15" hidden="1" outlineLevel="1">
      <c r="A15" s="48" t="s">
        <v>7</v>
      </c>
      <c r="B15" s="147">
        <f>'SV-Sätze'!C8</f>
        <v>5.1250000000000004E-2</v>
      </c>
      <c r="C15" s="140">
        <f>+$B$15*C12</f>
        <v>0</v>
      </c>
      <c r="D15" s="294"/>
      <c r="E15" s="139"/>
      <c r="F15" s="140">
        <f>+$B$15*F12</f>
        <v>0</v>
      </c>
      <c r="G15" s="141"/>
      <c r="H15" s="139"/>
      <c r="I15" s="140">
        <f>+$B$15*I12</f>
        <v>0</v>
      </c>
      <c r="J15" s="141"/>
      <c r="K15" s="139"/>
      <c r="L15" s="140">
        <f>+$B$15*L12</f>
        <v>0</v>
      </c>
      <c r="M15" s="141"/>
      <c r="N15" s="143"/>
      <c r="O15" s="140">
        <f>+$B$15*O12</f>
        <v>0</v>
      </c>
      <c r="P15" s="141"/>
      <c r="Q15" s="143"/>
      <c r="R15" s="140">
        <f>+$B$15*R12</f>
        <v>0</v>
      </c>
      <c r="S15" s="141"/>
      <c r="T15" s="139"/>
      <c r="U15" s="140">
        <f>+$B$15*U12</f>
        <v>0</v>
      </c>
      <c r="V15" s="141"/>
      <c r="Y15" s="48" t="s">
        <v>43</v>
      </c>
      <c r="Z15" s="128">
        <v>87663</v>
      </c>
      <c r="AB15" s="130" t="s">
        <v>4</v>
      </c>
      <c r="AC15" s="282">
        <f>'PK-Sätze'!G20</f>
        <v>24.4</v>
      </c>
    </row>
    <row r="16" spans="1:29" s="48" customFormat="1" ht="15" hidden="1" outlineLevel="1">
      <c r="A16" s="48" t="s">
        <v>150</v>
      </c>
      <c r="B16" s="317">
        <f>'SV-Sätze'!C9</f>
        <v>6.0000000000000001E-3</v>
      </c>
      <c r="C16" s="140">
        <f>$B$16*C12</f>
        <v>0</v>
      </c>
      <c r="D16" s="294"/>
      <c r="E16" s="139"/>
      <c r="F16" s="140">
        <f>$B$16*F12</f>
        <v>0</v>
      </c>
      <c r="G16" s="141"/>
      <c r="H16" s="139"/>
      <c r="I16" s="140">
        <f>$B$16*I12</f>
        <v>0</v>
      </c>
      <c r="J16" s="141"/>
      <c r="K16" s="139"/>
      <c r="L16" s="140">
        <f>$B$16*L12</f>
        <v>0</v>
      </c>
      <c r="M16" s="141"/>
      <c r="N16" s="143"/>
      <c r="O16" s="140">
        <f>$B$16*O12</f>
        <v>0</v>
      </c>
      <c r="P16" s="141"/>
      <c r="Q16" s="143"/>
      <c r="R16" s="140">
        <f>$B$16*R12</f>
        <v>0</v>
      </c>
      <c r="S16" s="141"/>
      <c r="T16" s="139"/>
      <c r="U16" s="140">
        <f>$B$16*U12</f>
        <v>0</v>
      </c>
      <c r="V16" s="141"/>
      <c r="Z16" s="128"/>
      <c r="AC16" s="282"/>
    </row>
    <row r="17" spans="1:29" s="48" customFormat="1" ht="15" hidden="1" outlineLevel="1">
      <c r="A17" s="48" t="s">
        <v>8</v>
      </c>
      <c r="B17" s="147">
        <f>'SV-Sätze'!C10</f>
        <v>1.0999999999999999E-2</v>
      </c>
      <c r="C17" s="140">
        <f>+$B$17*C12</f>
        <v>0</v>
      </c>
      <c r="D17" s="294"/>
      <c r="E17" s="139"/>
      <c r="F17" s="140">
        <f>+$B$17*F12</f>
        <v>0</v>
      </c>
      <c r="G17" s="141"/>
      <c r="H17" s="139"/>
      <c r="I17" s="140">
        <f>+$B$17*I12</f>
        <v>0</v>
      </c>
      <c r="J17" s="141"/>
      <c r="K17" s="139"/>
      <c r="L17" s="140">
        <f>+$B$17*L12</f>
        <v>0</v>
      </c>
      <c r="M17" s="141"/>
      <c r="N17" s="143"/>
      <c r="O17" s="140">
        <f>+$B$17*O12</f>
        <v>0</v>
      </c>
      <c r="P17" s="141"/>
      <c r="Q17" s="143"/>
      <c r="R17" s="140">
        <f>+$B$17*R12</f>
        <v>0</v>
      </c>
      <c r="S17" s="141"/>
      <c r="T17" s="139"/>
      <c r="U17" s="140">
        <f>+$B$17*U12</f>
        <v>0</v>
      </c>
      <c r="V17" s="141"/>
      <c r="AB17" s="48" t="s">
        <v>28</v>
      </c>
      <c r="AC17" s="282"/>
    </row>
    <row r="18" spans="1:29" s="48" customFormat="1" ht="15" hidden="1" outlineLevel="1">
      <c r="A18" s="48" t="s">
        <v>9</v>
      </c>
      <c r="B18" s="147">
        <f>'SV-Sätze'!C12</f>
        <v>1.1440000000000001E-3</v>
      </c>
      <c r="C18" s="140">
        <f>+$B$18*C12</f>
        <v>0</v>
      </c>
      <c r="D18" s="294"/>
      <c r="E18" s="139"/>
      <c r="F18" s="140">
        <f>+$B$18*F12</f>
        <v>0</v>
      </c>
      <c r="G18" s="141"/>
      <c r="H18" s="139"/>
      <c r="I18" s="140">
        <f>+$B$18*I12</f>
        <v>0</v>
      </c>
      <c r="J18" s="141"/>
      <c r="K18" s="139"/>
      <c r="L18" s="140">
        <f>+$B$18*L12</f>
        <v>0</v>
      </c>
      <c r="M18" s="141"/>
      <c r="N18" s="143"/>
      <c r="O18" s="140">
        <f>+$B$18*O12</f>
        <v>0</v>
      </c>
      <c r="P18" s="141"/>
      <c r="Q18" s="143"/>
      <c r="R18" s="140">
        <f>+$B$18*R12</f>
        <v>0</v>
      </c>
      <c r="S18" s="141"/>
      <c r="T18" s="139"/>
      <c r="U18" s="140">
        <f>+$B$18*U12</f>
        <v>0</v>
      </c>
      <c r="V18" s="141"/>
      <c r="Y18" s="48" t="s">
        <v>42</v>
      </c>
      <c r="Z18" s="48" t="s">
        <v>29</v>
      </c>
      <c r="AB18" s="130" t="s">
        <v>1</v>
      </c>
      <c r="AC18" s="282">
        <f>'PK-Sätze'!G30</f>
        <v>11.25</v>
      </c>
    </row>
    <row r="19" spans="1:29" s="48" customFormat="1" ht="15" hidden="1" outlineLevel="1">
      <c r="A19" s="48" t="s">
        <v>10</v>
      </c>
      <c r="B19" s="147">
        <f>'SV-Sätze'!C13</f>
        <v>2.5999999999999999E-3</v>
      </c>
      <c r="C19" s="140">
        <f>+$B$19*C12</f>
        <v>0</v>
      </c>
      <c r="D19" s="294"/>
      <c r="E19" s="139"/>
      <c r="F19" s="140">
        <f>+$B$19*F12</f>
        <v>0</v>
      </c>
      <c r="G19" s="141"/>
      <c r="H19" s="139"/>
      <c r="I19" s="140">
        <f>+$B$19*I12</f>
        <v>0</v>
      </c>
      <c r="J19" s="141"/>
      <c r="K19" s="139"/>
      <c r="L19" s="140">
        <f>+$B$19*L12</f>
        <v>0</v>
      </c>
      <c r="M19" s="141"/>
      <c r="N19" s="143"/>
      <c r="O19" s="140">
        <f>+$B$19*O12</f>
        <v>0</v>
      </c>
      <c r="P19" s="141"/>
      <c r="Q19" s="143"/>
      <c r="R19" s="140">
        <f>+$B$19*R12</f>
        <v>0</v>
      </c>
      <c r="S19" s="141"/>
      <c r="T19" s="139"/>
      <c r="U19" s="140">
        <f>+$B$19*U12</f>
        <v>0</v>
      </c>
      <c r="V19" s="141"/>
      <c r="Y19" s="48" t="s">
        <v>25</v>
      </c>
      <c r="Z19" s="48" t="s">
        <v>27</v>
      </c>
      <c r="AB19" s="130" t="s">
        <v>2</v>
      </c>
      <c r="AC19" s="282">
        <f>'PK-Sätze'!G31</f>
        <v>13.45</v>
      </c>
    </row>
    <row r="20" spans="1:29" s="48" customFormat="1" ht="15" hidden="1" outlineLevel="1">
      <c r="A20" s="128" t="s">
        <v>11</v>
      </c>
      <c r="B20" s="147">
        <f>IF(D9="ZH",'SV-Sätze'!C16,IF(D9="LU",'SV-Sätze'!C18,0))</f>
        <v>1.0999999999999999E-2</v>
      </c>
      <c r="C20" s="302">
        <f>+$B$20*C12</f>
        <v>0</v>
      </c>
      <c r="D20" s="294"/>
      <c r="E20" s="139"/>
      <c r="F20" s="302">
        <f>+$B$20*F12</f>
        <v>0</v>
      </c>
      <c r="G20" s="141"/>
      <c r="H20" s="139"/>
      <c r="I20" s="302">
        <f>+$B$20*I12</f>
        <v>0</v>
      </c>
      <c r="J20" s="141"/>
      <c r="K20" s="139"/>
      <c r="L20" s="302">
        <f>+$B$20*L12</f>
        <v>0</v>
      </c>
      <c r="M20" s="141"/>
      <c r="N20" s="143"/>
      <c r="O20" s="302">
        <f>+$B$20*O12</f>
        <v>0</v>
      </c>
      <c r="P20" s="141"/>
      <c r="Q20" s="143"/>
      <c r="R20" s="302">
        <f>+$B$20*R12</f>
        <v>0</v>
      </c>
      <c r="S20" s="141"/>
      <c r="T20" s="139"/>
      <c r="U20" s="302">
        <f>+$B$20*U12</f>
        <v>0</v>
      </c>
      <c r="V20" s="141"/>
      <c r="Y20" s="48" t="s">
        <v>26</v>
      </c>
      <c r="Z20" s="48" t="s">
        <v>28</v>
      </c>
      <c r="AB20" s="130" t="s">
        <v>5</v>
      </c>
      <c r="AC20" s="282">
        <f>'PK-Sätze'!G32</f>
        <v>21.45</v>
      </c>
    </row>
    <row r="21" spans="1:29" s="48" customFormat="1" ht="15" hidden="1" outlineLevel="1">
      <c r="B21" s="139"/>
      <c r="C21" s="140"/>
      <c r="D21" s="294"/>
      <c r="E21" s="139"/>
      <c r="F21" s="140"/>
      <c r="G21" s="141"/>
      <c r="H21" s="139"/>
      <c r="I21" s="140"/>
      <c r="J21" s="141"/>
      <c r="K21" s="139"/>
      <c r="L21" s="140"/>
      <c r="M21" s="141"/>
      <c r="N21" s="143"/>
      <c r="O21" s="140"/>
      <c r="P21" s="141"/>
      <c r="Q21" s="143"/>
      <c r="R21" s="140"/>
      <c r="S21" s="141"/>
      <c r="T21" s="143"/>
      <c r="U21" s="140"/>
      <c r="V21" s="141"/>
      <c r="AB21" s="130" t="s">
        <v>6</v>
      </c>
      <c r="AC21" s="282">
        <f>'PK-Sätze'!G32</f>
        <v>21.45</v>
      </c>
    </row>
    <row r="22" spans="1:29" s="48" customFormat="1" ht="15" hidden="1" outlineLevel="1">
      <c r="A22" s="48" t="s">
        <v>296</v>
      </c>
      <c r="B22" s="270">
        <f>IF($D$6&lt;35,AC3%,IF($D$6&lt;45,AC4%,IF($D$6&lt;55,AC5%,IF($D$6&lt;70,AC7%))))</f>
        <v>9.3999999999999986E-2</v>
      </c>
      <c r="C22" s="140">
        <f>IF($D$4="Standardplan",C13*$B$22*B12,"")</f>
        <v>0</v>
      </c>
      <c r="D22" s="294"/>
      <c r="E22" s="139"/>
      <c r="F22" s="140">
        <f>IF($D$4="Standardplan",F13*$B$22*E12,"")</f>
        <v>0</v>
      </c>
      <c r="G22" s="141"/>
      <c r="H22" s="139"/>
      <c r="I22" s="140">
        <f>IF($D$4="Standardplan",I13*$B$22*H12,"")</f>
        <v>0</v>
      </c>
      <c r="J22" s="141"/>
      <c r="K22" s="139"/>
      <c r="L22" s="140">
        <f>IF($D$4="Standardplan",L13*$B$22*K12,"")</f>
        <v>0</v>
      </c>
      <c r="M22" s="141"/>
      <c r="N22" s="143"/>
      <c r="O22" s="140">
        <f>IF($D$4="Standardplan",O13*$B$22*N12,"")</f>
        <v>0</v>
      </c>
      <c r="P22" s="141"/>
      <c r="Q22" s="143"/>
      <c r="R22" s="140">
        <f>IF($D$4="Standardplan",R13*$B$22*Q12,"")</f>
        <v>0</v>
      </c>
      <c r="S22" s="141"/>
      <c r="T22" s="143"/>
      <c r="U22" s="140">
        <f>IF($D$4="Standardplan",U13*$B$22*T12,"")</f>
        <v>0</v>
      </c>
      <c r="V22" s="141"/>
      <c r="AB22" s="130" t="s">
        <v>4</v>
      </c>
      <c r="AC22" s="282">
        <f>'PK-Sätze'!G33</f>
        <v>26.25</v>
      </c>
    </row>
    <row r="23" spans="1:29" s="48" customFormat="1" ht="15" hidden="1" outlineLevel="1">
      <c r="A23" s="48" t="s">
        <v>297</v>
      </c>
      <c r="B23" s="270">
        <f>IF($D$6&lt;35,AC11%,IF($D$6&lt;45,AC12%,IF($D$6&lt;55,AC13%,IF($D$6&lt;70,AC15%))))</f>
        <v>9.3999999999999986E-2</v>
      </c>
      <c r="C23" s="140" t="str">
        <f>IF($D$4="Kaderplan 1",C13*$B$23*B12,"")</f>
        <v/>
      </c>
      <c r="D23" s="294"/>
      <c r="E23" s="139"/>
      <c r="F23" s="140" t="str">
        <f>IF($D$4="Kaderplan 1",F13*$B$23*E12,"")</f>
        <v/>
      </c>
      <c r="G23" s="141"/>
      <c r="H23" s="139"/>
      <c r="I23" s="140" t="str">
        <f>IF($D$4="Kaderplan 1",I13*$B$23*H12,"")</f>
        <v/>
      </c>
      <c r="J23" s="141"/>
      <c r="K23" s="139"/>
      <c r="L23" s="140" t="str">
        <f>IF($D$4="Kaderplan 1",L13*$B$23*K12,"")</f>
        <v/>
      </c>
      <c r="M23" s="141"/>
      <c r="N23" s="143"/>
      <c r="O23" s="140" t="str">
        <f>IF($D$4="Kaderplan 1",O13*$B$23*N12,"")</f>
        <v/>
      </c>
      <c r="P23" s="141"/>
      <c r="Q23" s="143"/>
      <c r="R23" s="140" t="str">
        <f>IF($D$4="Kaderplan 1",R13*$B$23*Q12,"")</f>
        <v/>
      </c>
      <c r="S23" s="141"/>
      <c r="T23" s="143"/>
      <c r="U23" s="140" t="str">
        <f>IF($D$4="Kaderplan 1",U13*$B$23*T12,"")</f>
        <v/>
      </c>
      <c r="V23" s="141"/>
      <c r="AB23" s="295"/>
      <c r="AC23" s="282"/>
    </row>
    <row r="24" spans="1:29" s="48" customFormat="1" ht="15" hidden="1" outlineLevel="1">
      <c r="A24" s="48" t="s">
        <v>298</v>
      </c>
      <c r="B24" s="270">
        <f>IF($D$6&lt;35,AC18%,IF($D$6&lt;45,AC19%,IF($D$6&lt;55,AC21%,IF($D$6&lt;70,AC22%))))</f>
        <v>0.1125</v>
      </c>
      <c r="C24" s="140" t="str">
        <f>IF($D$4="Kaderplan 2",C13*$B$24*B12,"")</f>
        <v/>
      </c>
      <c r="D24" s="294"/>
      <c r="E24" s="139"/>
      <c r="F24" s="140" t="str">
        <f>IF($D$4="Kaderplan 2",F13*$B$24*E12,"")</f>
        <v/>
      </c>
      <c r="G24" s="141"/>
      <c r="H24" s="139"/>
      <c r="I24" s="140" t="str">
        <f>IF($D$4="Kaderplan 2",I13*$B$24*H12,"")</f>
        <v/>
      </c>
      <c r="J24" s="141"/>
      <c r="K24" s="139"/>
      <c r="L24" s="140" t="str">
        <f>IF($D$4="Kaderplan 2",L13*$B$24*K12,"")</f>
        <v/>
      </c>
      <c r="M24" s="141"/>
      <c r="N24" s="143"/>
      <c r="O24" s="140" t="str">
        <f>IF($D$4="Kaderplan 2",O13*$B$24*N12,"")</f>
        <v/>
      </c>
      <c r="P24" s="141"/>
      <c r="Q24" s="143"/>
      <c r="R24" s="140" t="str">
        <f>IF($D$4="Kaderplan 2",R13*$B$24*Q12,"")</f>
        <v/>
      </c>
      <c r="S24" s="141"/>
      <c r="T24" s="143"/>
      <c r="U24" s="140" t="str">
        <f>IF($D$4="Kaderplan 2",U13*$B$24*T12,"")</f>
        <v/>
      </c>
      <c r="V24" s="141"/>
      <c r="Y24" s="48" t="s">
        <v>287</v>
      </c>
      <c r="AB24" s="299">
        <v>24885</v>
      </c>
    </row>
    <row r="25" spans="1:29" s="48" customFormat="1" ht="15" hidden="1" outlineLevel="1">
      <c r="A25" s="48" t="s">
        <v>286</v>
      </c>
      <c r="B25" s="296">
        <v>250</v>
      </c>
      <c r="C25" s="140">
        <f>IF(C13&gt;0,$B$25,0)</f>
        <v>0</v>
      </c>
      <c r="D25" s="294"/>
      <c r="E25" s="139"/>
      <c r="F25" s="140">
        <f>IF(F13&gt;0,$B$25,0)</f>
        <v>0</v>
      </c>
      <c r="G25" s="141"/>
      <c r="H25" s="139"/>
      <c r="I25" s="140">
        <f>IF(I13&gt;0,$B$25,0)</f>
        <v>0</v>
      </c>
      <c r="J25" s="141"/>
      <c r="K25" s="139"/>
      <c r="L25" s="140">
        <f>IF(L13&gt;0,$B$25,0)</f>
        <v>0</v>
      </c>
      <c r="M25" s="141"/>
      <c r="N25" s="143"/>
      <c r="O25" s="140">
        <f>IF(O13&gt;0,$B$25,0)</f>
        <v>0</v>
      </c>
      <c r="P25" s="141"/>
      <c r="Q25" s="143"/>
      <c r="R25" s="140">
        <f>IF(R13&gt;0,$B$25,0)</f>
        <v>0</v>
      </c>
      <c r="S25" s="141"/>
      <c r="T25" s="143"/>
      <c r="U25" s="140">
        <f>IF(U13&gt;0,$B$25,0)</f>
        <v>0</v>
      </c>
      <c r="V25" s="141"/>
      <c r="Y25" s="48" t="s">
        <v>288</v>
      </c>
      <c r="AB25" s="185"/>
    </row>
    <row r="26" spans="1:29" s="48" customFormat="1" ht="15" hidden="1" outlineLevel="1">
      <c r="B26" s="139"/>
      <c r="C26" s="140"/>
      <c r="D26" s="294"/>
      <c r="E26" s="139"/>
      <c r="F26" s="53"/>
      <c r="G26" s="141"/>
      <c r="H26" s="139"/>
      <c r="I26" s="53"/>
      <c r="J26" s="141"/>
      <c r="K26" s="139"/>
      <c r="L26" s="53"/>
      <c r="M26" s="141"/>
      <c r="N26" s="143"/>
      <c r="O26" s="53"/>
      <c r="P26" s="141"/>
      <c r="Q26" s="143"/>
      <c r="R26" s="53"/>
      <c r="S26" s="141"/>
      <c r="T26" s="143"/>
      <c r="U26" s="53"/>
      <c r="V26" s="141"/>
      <c r="Y26" s="128" t="s">
        <v>283</v>
      </c>
      <c r="Z26" s="128"/>
      <c r="AA26" s="128"/>
      <c r="AB26" s="301" t="s">
        <v>284</v>
      </c>
    </row>
    <row r="27" spans="1:29" s="48" customFormat="1" ht="15" hidden="1" outlineLevel="1">
      <c r="A27" s="48" t="s">
        <v>11</v>
      </c>
      <c r="B27" s="139"/>
      <c r="C27" s="149"/>
      <c r="D27" s="294"/>
      <c r="E27" s="139"/>
      <c r="F27" s="53"/>
      <c r="G27" s="141"/>
      <c r="H27" s="139"/>
      <c r="I27" s="53"/>
      <c r="J27" s="141"/>
      <c r="K27" s="139"/>
      <c r="L27" s="53"/>
      <c r="M27" s="141"/>
      <c r="N27" s="143"/>
      <c r="O27" s="53"/>
      <c r="P27" s="141"/>
      <c r="Q27" s="143"/>
      <c r="R27" s="53"/>
      <c r="S27" s="141"/>
      <c r="T27" s="143"/>
      <c r="U27" s="53"/>
      <c r="V27" s="141"/>
      <c r="Y27" s="128"/>
      <c r="Z27" s="128"/>
      <c r="AA27" s="128"/>
      <c r="AB27" s="301" t="s">
        <v>285</v>
      </c>
    </row>
    <row r="28" spans="1:29" s="48" customFormat="1" ht="15" hidden="1" outlineLevel="1">
      <c r="A28" s="48" t="s">
        <v>33</v>
      </c>
      <c r="B28" s="164">
        <f>IF($D$9="ZH",FAK!F9-FAK!$F$17,IF($D$9="LU",FAK!F9-FAK!$F$19,""))</f>
        <v>2097</v>
      </c>
      <c r="C28" s="140">
        <f>IF($D$7&lt;2,$D$7*B28,B28*1)</f>
        <v>0</v>
      </c>
      <c r="D28" s="141"/>
      <c r="E28" s="139"/>
      <c r="F28" s="140">
        <f>+C28</f>
        <v>0</v>
      </c>
      <c r="G28" s="141"/>
      <c r="H28" s="139"/>
      <c r="I28" s="140">
        <f>+F28</f>
        <v>0</v>
      </c>
      <c r="J28" s="141"/>
      <c r="K28" s="139"/>
      <c r="L28" s="140">
        <f>+I28</f>
        <v>0</v>
      </c>
      <c r="M28" s="141"/>
      <c r="N28" s="143"/>
      <c r="O28" s="140">
        <f>+L28</f>
        <v>0</v>
      </c>
      <c r="P28" s="141"/>
      <c r="Q28" s="143"/>
      <c r="R28" s="140">
        <f>+O28</f>
        <v>0</v>
      </c>
      <c r="S28" s="141"/>
      <c r="T28" s="143"/>
      <c r="U28" s="140">
        <f>+R28</f>
        <v>0</v>
      </c>
      <c r="V28" s="141"/>
    </row>
    <row r="29" spans="1:29" s="48" customFormat="1" ht="15" hidden="1" outlineLevel="1">
      <c r="A29" s="48" t="s">
        <v>34</v>
      </c>
      <c r="B29" s="164">
        <f>IF($D$9="ZH",FAK!F11-FAK!$F$17,IF($D$9="LU",FAK!F11-FAK!$F$19,""))</f>
        <v>504</v>
      </c>
      <c r="C29" s="140">
        <f>IF($D$7&gt;1,($D$7-1)*B29,0)</f>
        <v>0</v>
      </c>
      <c r="D29" s="141"/>
      <c r="E29" s="139"/>
      <c r="F29" s="140">
        <f>+C29</f>
        <v>0</v>
      </c>
      <c r="G29" s="141"/>
      <c r="H29" s="139"/>
      <c r="I29" s="140">
        <f>+F29</f>
        <v>0</v>
      </c>
      <c r="J29" s="141"/>
      <c r="K29" s="139"/>
      <c r="L29" s="140">
        <f>+I29</f>
        <v>0</v>
      </c>
      <c r="M29" s="141"/>
      <c r="N29" s="143"/>
      <c r="O29" s="140">
        <f>+L29</f>
        <v>0</v>
      </c>
      <c r="P29" s="141"/>
      <c r="Q29" s="143"/>
      <c r="R29" s="140">
        <f>+O29</f>
        <v>0</v>
      </c>
      <c r="S29" s="141"/>
      <c r="T29" s="143"/>
      <c r="U29" s="140">
        <f>+S29</f>
        <v>0</v>
      </c>
      <c r="V29" s="141"/>
    </row>
    <row r="30" spans="1:29" s="48" customFormat="1" ht="15" hidden="1" outlineLevel="1">
      <c r="A30" s="48" t="s">
        <v>35</v>
      </c>
      <c r="B30" s="164">
        <f>IF($D$9="ZH",FAK!F12-FAK!$F$18,IF($D$9="LU",FAK!F12-FAK!$F$20,""))</f>
        <v>282</v>
      </c>
      <c r="C30" s="140">
        <f>+D8*B30</f>
        <v>0</v>
      </c>
      <c r="D30" s="141"/>
      <c r="E30" s="139"/>
      <c r="F30" s="140">
        <f>+C30</f>
        <v>0</v>
      </c>
      <c r="G30" s="141"/>
      <c r="H30" s="139"/>
      <c r="I30" s="140">
        <f>+F30</f>
        <v>0</v>
      </c>
      <c r="J30" s="141"/>
      <c r="K30" s="139"/>
      <c r="L30" s="140">
        <f>+I30</f>
        <v>0</v>
      </c>
      <c r="M30" s="141"/>
      <c r="N30" s="143"/>
      <c r="O30" s="140">
        <f>+L30</f>
        <v>0</v>
      </c>
      <c r="P30" s="141"/>
      <c r="Q30" s="143"/>
      <c r="R30" s="140">
        <f>+O30</f>
        <v>0</v>
      </c>
      <c r="S30" s="141"/>
      <c r="T30" s="143"/>
      <c r="U30" s="140">
        <f>+R30</f>
        <v>0</v>
      </c>
      <c r="V30" s="141"/>
    </row>
    <row r="31" spans="1:29" s="48" customFormat="1" ht="15" collapsed="1">
      <c r="B31" s="150"/>
      <c r="C31" s="140"/>
      <c r="D31" s="141"/>
      <c r="E31" s="139"/>
      <c r="F31" s="53"/>
      <c r="G31" s="141"/>
      <c r="H31" s="139"/>
      <c r="I31" s="53"/>
      <c r="J31" s="141"/>
      <c r="K31" s="139"/>
      <c r="L31" s="53"/>
      <c r="M31" s="141"/>
      <c r="N31" s="143"/>
      <c r="O31" s="53"/>
      <c r="P31" s="141"/>
      <c r="Q31" s="143"/>
      <c r="R31" s="53"/>
      <c r="S31" s="141"/>
      <c r="T31" s="143"/>
      <c r="U31" s="53"/>
      <c r="V31" s="141"/>
    </row>
    <row r="32" spans="1:29" s="48" customFormat="1" ht="15">
      <c r="A32" s="151"/>
      <c r="B32" s="152"/>
      <c r="C32" s="153"/>
      <c r="D32" s="154"/>
      <c r="E32" s="139"/>
      <c r="F32" s="151"/>
      <c r="G32" s="154"/>
      <c r="H32" s="139"/>
      <c r="I32" s="151"/>
      <c r="J32" s="154"/>
      <c r="K32" s="139"/>
      <c r="L32" s="151"/>
      <c r="M32" s="154"/>
      <c r="N32" s="143"/>
      <c r="O32" s="151"/>
      <c r="P32" s="154"/>
      <c r="Q32" s="143"/>
      <c r="R32" s="151"/>
      <c r="S32" s="154"/>
      <c r="T32" s="143"/>
      <c r="U32" s="151"/>
      <c r="V32" s="154"/>
      <c r="W32" s="155"/>
    </row>
    <row r="33" spans="1:24" s="48" customFormat="1" ht="15">
      <c r="A33" s="156"/>
      <c r="B33" s="139"/>
      <c r="C33" s="157">
        <v>2019</v>
      </c>
      <c r="D33" s="141"/>
      <c r="E33" s="139"/>
      <c r="F33" s="157">
        <v>2020</v>
      </c>
      <c r="G33" s="141"/>
      <c r="H33" s="139"/>
      <c r="I33" s="157">
        <v>2021</v>
      </c>
      <c r="J33" s="141"/>
      <c r="K33" s="139"/>
      <c r="L33" s="157">
        <v>2022</v>
      </c>
      <c r="M33" s="141"/>
      <c r="N33" s="143"/>
      <c r="O33" s="157">
        <v>2023</v>
      </c>
      <c r="P33" s="141"/>
      <c r="Q33" s="143"/>
      <c r="R33" s="157">
        <v>2024</v>
      </c>
      <c r="S33" s="141"/>
      <c r="T33" s="143"/>
      <c r="U33" s="157">
        <v>2025</v>
      </c>
      <c r="V33" s="141"/>
      <c r="W33" s="159" t="s">
        <v>46</v>
      </c>
    </row>
    <row r="34" spans="1:24" s="48" customFormat="1" ht="15">
      <c r="A34" s="160"/>
      <c r="B34" s="139"/>
      <c r="C34" s="161"/>
      <c r="D34" s="141"/>
      <c r="E34" s="139"/>
      <c r="F34" s="162">
        <v>1.02</v>
      </c>
      <c r="G34" s="141" t="s">
        <v>94</v>
      </c>
      <c r="H34" s="139"/>
      <c r="I34" s="162">
        <v>1.02</v>
      </c>
      <c r="J34" s="141" t="s">
        <v>94</v>
      </c>
      <c r="K34" s="139"/>
      <c r="L34" s="162">
        <v>1.02</v>
      </c>
      <c r="M34" s="141" t="s">
        <v>94</v>
      </c>
      <c r="N34" s="143"/>
      <c r="O34" s="162">
        <v>1.02</v>
      </c>
      <c r="P34" s="141" t="s">
        <v>94</v>
      </c>
      <c r="Q34" s="143"/>
      <c r="R34" s="162">
        <v>1.02</v>
      </c>
      <c r="S34" s="141" t="s">
        <v>94</v>
      </c>
      <c r="T34" s="143"/>
      <c r="U34" s="162">
        <v>1.02</v>
      </c>
      <c r="V34" s="141" t="s">
        <v>94</v>
      </c>
      <c r="W34" s="159"/>
    </row>
    <row r="35" spans="1:24" s="48" customFormat="1" ht="15">
      <c r="A35" s="160"/>
      <c r="B35" s="139"/>
      <c r="C35" s="163"/>
      <c r="D35" s="141"/>
      <c r="E35" s="139"/>
      <c r="F35" s="163"/>
      <c r="G35" s="141"/>
      <c r="H35" s="139"/>
      <c r="I35" s="163"/>
      <c r="J35" s="141"/>
      <c r="K35" s="139"/>
      <c r="L35" s="163"/>
      <c r="M35" s="141"/>
      <c r="N35" s="143"/>
      <c r="O35" s="163"/>
      <c r="P35" s="141"/>
      <c r="Q35" s="143"/>
      <c r="R35" s="163"/>
      <c r="S35" s="141"/>
      <c r="T35" s="143"/>
      <c r="U35" s="163"/>
      <c r="V35" s="141"/>
      <c r="W35" s="159"/>
    </row>
    <row r="36" spans="1:24" s="48" customFormat="1" ht="15">
      <c r="A36" s="160"/>
      <c r="B36" s="139"/>
      <c r="C36" s="163" t="s">
        <v>40</v>
      </c>
      <c r="D36" s="141" t="s">
        <v>41</v>
      </c>
      <c r="E36" s="139"/>
      <c r="F36" s="163" t="s">
        <v>40</v>
      </c>
      <c r="G36" s="141" t="s">
        <v>41</v>
      </c>
      <c r="H36" s="139"/>
      <c r="I36" s="163" t="s">
        <v>40</v>
      </c>
      <c r="J36" s="141" t="s">
        <v>41</v>
      </c>
      <c r="K36" s="139"/>
      <c r="L36" s="163" t="s">
        <v>40</v>
      </c>
      <c r="M36" s="141" t="s">
        <v>41</v>
      </c>
      <c r="N36" s="143"/>
      <c r="O36" s="163" t="s">
        <v>40</v>
      </c>
      <c r="P36" s="141" t="s">
        <v>41</v>
      </c>
      <c r="Q36" s="143"/>
      <c r="R36" s="163" t="s">
        <v>40</v>
      </c>
      <c r="S36" s="141" t="s">
        <v>41</v>
      </c>
      <c r="T36" s="143"/>
      <c r="U36" s="163" t="s">
        <v>40</v>
      </c>
      <c r="V36" s="141" t="s">
        <v>41</v>
      </c>
      <c r="W36" s="159"/>
    </row>
    <row r="37" spans="1:24" s="48" customFormat="1" ht="15">
      <c r="A37" s="160" t="s">
        <v>93</v>
      </c>
      <c r="B37" s="139"/>
      <c r="C37" s="163">
        <f>+C12+C28+C29+C30</f>
        <v>0</v>
      </c>
      <c r="D37" s="142">
        <f>+C37/12</f>
        <v>0</v>
      </c>
      <c r="E37" s="139"/>
      <c r="F37" s="163">
        <f>(+F12+F28+F29+F30)*F34</f>
        <v>0</v>
      </c>
      <c r="G37" s="142">
        <f>+F37/12</f>
        <v>0</v>
      </c>
      <c r="H37" s="139"/>
      <c r="I37" s="163">
        <f>(+I12+I28+I29+I30)*I34^2</f>
        <v>0</v>
      </c>
      <c r="J37" s="142">
        <f>+I37/12</f>
        <v>0</v>
      </c>
      <c r="K37" s="139"/>
      <c r="L37" s="163">
        <f>(+L12+L28+L29+L30)*L34^3</f>
        <v>0</v>
      </c>
      <c r="M37" s="142">
        <f>+L37/12</f>
        <v>0</v>
      </c>
      <c r="N37" s="164"/>
      <c r="O37" s="163">
        <f>(+O12+O28+O29+O30)*O34^4</f>
        <v>0</v>
      </c>
      <c r="P37" s="142">
        <f>+O37/12</f>
        <v>0</v>
      </c>
      <c r="Q37" s="164"/>
      <c r="R37" s="163">
        <f>(+R12+R28+R29+R30)*R34^5</f>
        <v>0</v>
      </c>
      <c r="S37" s="142">
        <f>+R37/12</f>
        <v>0</v>
      </c>
      <c r="T37" s="164"/>
      <c r="U37" s="163">
        <f>(+U12+U28+U29+U30)*U34^6</f>
        <v>0</v>
      </c>
      <c r="V37" s="142">
        <f>+U37/12</f>
        <v>0</v>
      </c>
      <c r="W37" s="165">
        <f>+I37+F37+C37+L37+O37+R37+U37</f>
        <v>0</v>
      </c>
    </row>
    <row r="38" spans="1:24" s="48" customFormat="1" ht="15">
      <c r="A38" s="160" t="s">
        <v>38</v>
      </c>
      <c r="B38" s="148" t="e">
        <f>+C38/C37</f>
        <v>#DIV/0!</v>
      </c>
      <c r="C38" s="163">
        <f>SUM(C15:C25)</f>
        <v>0</v>
      </c>
      <c r="D38" s="142">
        <f>+C38/12</f>
        <v>0</v>
      </c>
      <c r="E38" s="139"/>
      <c r="F38" s="163">
        <f>SUM(F15:F24)</f>
        <v>0</v>
      </c>
      <c r="G38" s="142">
        <f>+F38/12</f>
        <v>0</v>
      </c>
      <c r="H38" s="139"/>
      <c r="I38" s="163">
        <f>SUM(I15:I24)</f>
        <v>0</v>
      </c>
      <c r="J38" s="142">
        <f>+I38/12</f>
        <v>0</v>
      </c>
      <c r="K38" s="139"/>
      <c r="L38" s="163">
        <f>SUM(L15:L24)</f>
        <v>0</v>
      </c>
      <c r="M38" s="142">
        <f>+L38/12</f>
        <v>0</v>
      </c>
      <c r="N38" s="164"/>
      <c r="O38" s="163">
        <f>SUM(O15:O24)</f>
        <v>0</v>
      </c>
      <c r="P38" s="142">
        <f>+O38/12</f>
        <v>0</v>
      </c>
      <c r="Q38" s="164"/>
      <c r="R38" s="163">
        <f>SUM(R15:R24)</f>
        <v>0</v>
      </c>
      <c r="S38" s="142">
        <f>+R38/12</f>
        <v>0</v>
      </c>
      <c r="T38" s="164"/>
      <c r="U38" s="163">
        <f>SUM(U15:U24)</f>
        <v>0</v>
      </c>
      <c r="V38" s="142">
        <f>+U38/12</f>
        <v>0</v>
      </c>
      <c r="W38" s="165">
        <f>+I38+F38+C38+L38+O38+R38+U38</f>
        <v>0</v>
      </c>
    </row>
    <row r="39" spans="1:24" s="48" customFormat="1" ht="15">
      <c r="A39" s="156" t="s">
        <v>39</v>
      </c>
      <c r="B39" s="166"/>
      <c r="C39" s="167">
        <f>+C38+C37</f>
        <v>0</v>
      </c>
      <c r="D39" s="168">
        <f>+D38+D37</f>
        <v>0</v>
      </c>
      <c r="E39" s="139"/>
      <c r="F39" s="167">
        <f>+F38+F37</f>
        <v>0</v>
      </c>
      <c r="G39" s="168">
        <f>+G38+G37</f>
        <v>0</v>
      </c>
      <c r="H39" s="139"/>
      <c r="I39" s="167">
        <f>+I38+I37</f>
        <v>0</v>
      </c>
      <c r="J39" s="168">
        <f>+J38+J37</f>
        <v>0</v>
      </c>
      <c r="K39" s="139"/>
      <c r="L39" s="167">
        <f>+L38+L37</f>
        <v>0</v>
      </c>
      <c r="M39" s="168">
        <f>+M38+M37</f>
        <v>0</v>
      </c>
      <c r="N39" s="169"/>
      <c r="O39" s="167">
        <f>+O38+O37</f>
        <v>0</v>
      </c>
      <c r="P39" s="168">
        <f>+P38+P37</f>
        <v>0</v>
      </c>
      <c r="Q39" s="169"/>
      <c r="R39" s="167">
        <f>+R38+R37</f>
        <v>0</v>
      </c>
      <c r="S39" s="168">
        <f>+S38+S37</f>
        <v>0</v>
      </c>
      <c r="T39" s="169"/>
      <c r="U39" s="167">
        <f>+U38+U37</f>
        <v>0</v>
      </c>
      <c r="V39" s="168">
        <f>+V38+V37</f>
        <v>0</v>
      </c>
      <c r="W39" s="170">
        <f>+I39+F39+C39+L39+O39+R39+U39</f>
        <v>0</v>
      </c>
    </row>
    <row r="40" spans="1:24" s="48" customFormat="1" ht="15">
      <c r="A40" s="83"/>
      <c r="B40" s="171"/>
      <c r="C40" s="80"/>
      <c r="D40" s="172"/>
      <c r="E40" s="139"/>
      <c r="F40" s="83"/>
      <c r="G40" s="172"/>
      <c r="H40" s="139"/>
      <c r="I40" s="83"/>
      <c r="J40" s="172"/>
      <c r="K40" s="139"/>
      <c r="L40" s="83"/>
      <c r="M40" s="172"/>
      <c r="N40" s="143"/>
      <c r="O40" s="83"/>
      <c r="P40" s="172"/>
      <c r="Q40" s="143"/>
      <c r="R40" s="83"/>
      <c r="S40" s="172"/>
      <c r="T40" s="143"/>
      <c r="U40" s="83"/>
      <c r="V40" s="172"/>
      <c r="W40" s="173"/>
    </row>
    <row r="41" spans="1:24" s="48" customFormat="1" ht="15">
      <c r="B41" s="139"/>
      <c r="C41" s="140"/>
      <c r="D41" s="141"/>
      <c r="E41" s="139"/>
      <c r="F41" s="53"/>
      <c r="G41" s="141"/>
      <c r="H41" s="139"/>
      <c r="I41" s="53"/>
      <c r="J41" s="141"/>
      <c r="K41" s="139"/>
      <c r="L41" s="53"/>
      <c r="M41" s="141"/>
      <c r="N41" s="174"/>
      <c r="O41" s="53"/>
      <c r="P41" s="141"/>
      <c r="Q41" s="174"/>
      <c r="R41" s="53"/>
      <c r="S41" s="141"/>
      <c r="T41" s="174"/>
      <c r="U41" s="53"/>
      <c r="V41" s="141"/>
    </row>
    <row r="42" spans="1:24" s="48" customFormat="1" ht="15">
      <c r="A42" s="151"/>
      <c r="B42" s="152"/>
      <c r="C42" s="175"/>
      <c r="D42" s="154"/>
      <c r="E42" s="152"/>
      <c r="F42" s="176"/>
      <c r="G42" s="154"/>
      <c r="H42" s="152"/>
      <c r="I42" s="176"/>
      <c r="J42" s="154"/>
      <c r="K42" s="152"/>
      <c r="L42" s="176"/>
      <c r="M42" s="154"/>
      <c r="N42" s="143"/>
      <c r="O42" s="176"/>
      <c r="P42" s="154"/>
      <c r="Q42" s="143"/>
      <c r="R42" s="176"/>
      <c r="S42" s="154"/>
      <c r="T42" s="143"/>
      <c r="U42" s="176"/>
      <c r="V42" s="154"/>
      <c r="W42" s="192" t="s">
        <v>137</v>
      </c>
    </row>
    <row r="43" spans="1:24" s="48" customFormat="1" ht="15">
      <c r="A43" s="160" t="s">
        <v>45</v>
      </c>
      <c r="B43" s="177"/>
      <c r="C43" s="140"/>
      <c r="D43" s="142">
        <f>+D39*B43</f>
        <v>0</v>
      </c>
      <c r="E43" s="177"/>
      <c r="F43" s="53"/>
      <c r="G43" s="142">
        <f>+G39*E43</f>
        <v>0</v>
      </c>
      <c r="H43" s="177"/>
      <c r="I43" s="53"/>
      <c r="J43" s="142">
        <f>+J39*H43</f>
        <v>0</v>
      </c>
      <c r="K43" s="177"/>
      <c r="L43" s="140"/>
      <c r="M43" s="142">
        <f>+M39*K43</f>
        <v>0</v>
      </c>
      <c r="N43" s="177"/>
      <c r="O43" s="140"/>
      <c r="P43" s="142">
        <f>+P39*N43</f>
        <v>0</v>
      </c>
      <c r="Q43" s="177"/>
      <c r="R43" s="140"/>
      <c r="S43" s="142">
        <f>+S39*Q43</f>
        <v>0</v>
      </c>
      <c r="T43" s="177"/>
      <c r="U43" s="140"/>
      <c r="V43" s="142">
        <f>+V39*T43</f>
        <v>0</v>
      </c>
      <c r="W43" s="266">
        <f>+J43+G43+D43+M43+P43+S43+V43</f>
        <v>0</v>
      </c>
    </row>
    <row r="44" spans="1:24" s="48" customFormat="1" ht="15">
      <c r="A44" s="160"/>
      <c r="B44" s="139"/>
      <c r="C44" s="140"/>
      <c r="D44" s="141"/>
      <c r="E44" s="139"/>
      <c r="F44" s="53"/>
      <c r="G44" s="141"/>
      <c r="H44" s="139"/>
      <c r="I44" s="53"/>
      <c r="J44" s="141"/>
      <c r="K44" s="139"/>
      <c r="L44" s="53"/>
      <c r="M44" s="141"/>
      <c r="N44" s="143"/>
      <c r="O44" s="53"/>
      <c r="P44" s="141"/>
      <c r="Q44" s="143"/>
      <c r="R44" s="53"/>
      <c r="S44" s="141"/>
      <c r="T44" s="143"/>
      <c r="U44" s="53"/>
      <c r="V44" s="141"/>
      <c r="W44" s="193"/>
    </row>
    <row r="45" spans="1:24" s="48" customFormat="1" ht="15.75" thickBot="1">
      <c r="A45" s="83"/>
      <c r="B45" s="178"/>
      <c r="C45" s="179"/>
      <c r="D45" s="180"/>
      <c r="E45" s="178"/>
      <c r="F45" s="181"/>
      <c r="G45" s="180"/>
      <c r="H45" s="178"/>
      <c r="I45" s="181"/>
      <c r="J45" s="180"/>
      <c r="K45" s="178"/>
      <c r="L45" s="181"/>
      <c r="M45" s="180"/>
      <c r="N45" s="182"/>
      <c r="O45" s="181"/>
      <c r="P45" s="180"/>
      <c r="Q45" s="182"/>
      <c r="R45" s="181"/>
      <c r="S45" s="180"/>
      <c r="T45" s="182"/>
      <c r="U45" s="181"/>
      <c r="V45" s="180"/>
      <c r="W45" s="194">
        <f>+B43+E43+H43+K43+N43+Q43+T43</f>
        <v>0</v>
      </c>
    </row>
    <row r="46" spans="1:24" s="48" customFormat="1" ht="15">
      <c r="C46" s="47"/>
      <c r="N46" s="129"/>
      <c r="Q46" s="129"/>
    </row>
    <row r="47" spans="1:24" s="48" customFormat="1" ht="15">
      <c r="C47" s="47"/>
      <c r="N47" s="129"/>
      <c r="Q47" s="129"/>
    </row>
    <row r="48" spans="1:24" s="48" customFormat="1" ht="15" hidden="1" outlineLevel="1">
      <c r="A48" s="107" t="s">
        <v>136</v>
      </c>
      <c r="C48" s="47"/>
      <c r="N48" s="129"/>
      <c r="Q48" s="129"/>
      <c r="W48" s="183" t="s">
        <v>137</v>
      </c>
      <c r="X48" s="184" t="s">
        <v>136</v>
      </c>
    </row>
    <row r="49" spans="1:30" s="48" customFormat="1" ht="15" hidden="1" outlineLevel="1">
      <c r="A49" s="48" t="s">
        <v>68</v>
      </c>
      <c r="C49" s="47"/>
      <c r="D49" s="185">
        <f>+D43</f>
        <v>0</v>
      </c>
      <c r="E49" s="185"/>
      <c r="F49" s="185"/>
      <c r="G49" s="185">
        <f>+G43</f>
        <v>0</v>
      </c>
      <c r="H49" s="185"/>
      <c r="I49" s="185"/>
      <c r="J49" s="185">
        <f>+J43</f>
        <v>0</v>
      </c>
      <c r="K49" s="185"/>
      <c r="L49" s="185"/>
      <c r="M49" s="185">
        <f>+M43</f>
        <v>0</v>
      </c>
      <c r="N49" s="185"/>
      <c r="O49" s="185"/>
      <c r="P49" s="185">
        <f>+P43</f>
        <v>0</v>
      </c>
      <c r="Q49" s="185"/>
      <c r="R49" s="185"/>
      <c r="S49" s="185">
        <f>+S43</f>
        <v>0</v>
      </c>
      <c r="T49" s="185"/>
      <c r="U49" s="185"/>
      <c r="V49" s="185">
        <f>+V43</f>
        <v>0</v>
      </c>
      <c r="W49" s="186">
        <f>SUM(B49:V49)</f>
        <v>0</v>
      </c>
      <c r="X49" s="183" t="s">
        <v>68</v>
      </c>
    </row>
    <row r="50" spans="1:30" s="48" customFormat="1" ht="15" hidden="1" outlineLevel="1">
      <c r="A50" s="48" t="s">
        <v>135</v>
      </c>
      <c r="C50" s="47"/>
      <c r="D50" s="47">
        <f>D49/1.16</f>
        <v>0</v>
      </c>
      <c r="G50" s="47">
        <f>G49/1.16</f>
        <v>0</v>
      </c>
      <c r="J50" s="47">
        <f>J49/1.16</f>
        <v>0</v>
      </c>
      <c r="M50" s="47">
        <f>M49/1.16</f>
        <v>0</v>
      </c>
      <c r="N50" s="129"/>
      <c r="P50" s="47">
        <f>P49/1.16</f>
        <v>0</v>
      </c>
      <c r="Q50" s="129"/>
      <c r="S50" s="47">
        <f>S49/1.16</f>
        <v>0</v>
      </c>
      <c r="V50" s="47">
        <f>V49/1.16</f>
        <v>0</v>
      </c>
      <c r="W50" s="186">
        <f>SUM(B50:V50)</f>
        <v>0</v>
      </c>
      <c r="X50" s="183" t="s">
        <v>135</v>
      </c>
    </row>
    <row r="51" spans="1:30" s="48" customFormat="1" ht="15" hidden="1" outlineLevel="1">
      <c r="A51" s="48" t="s">
        <v>329</v>
      </c>
      <c r="C51" s="47"/>
      <c r="D51" s="47">
        <f>D49*0.16</f>
        <v>0</v>
      </c>
      <c r="G51" s="47">
        <f>G49*0.16</f>
        <v>0</v>
      </c>
      <c r="J51" s="47">
        <f>J49*0.16</f>
        <v>0</v>
      </c>
      <c r="M51" s="47">
        <f>M49*0.16</f>
        <v>0</v>
      </c>
      <c r="N51" s="129"/>
      <c r="P51" s="47">
        <f>P49*0.16</f>
        <v>0</v>
      </c>
      <c r="Q51" s="129"/>
      <c r="S51" s="47">
        <f>S49*0.16</f>
        <v>0</v>
      </c>
      <c r="V51" s="47">
        <f>V49*0.16</f>
        <v>0</v>
      </c>
      <c r="W51" s="186">
        <f>SUM(B51:V51)</f>
        <v>0</v>
      </c>
      <c r="X51" s="183" t="str">
        <f>A51</f>
        <v>Social Security (16 %)</v>
      </c>
    </row>
    <row r="52" spans="1:30" s="48" customFormat="1" ht="15" collapsed="1">
      <c r="C52" s="47"/>
      <c r="N52" s="129"/>
      <c r="Q52" s="129"/>
    </row>
    <row r="53" spans="1:30" s="48" customFormat="1" ht="15">
      <c r="C53" s="47"/>
      <c r="N53" s="129"/>
      <c r="Q53" s="129"/>
    </row>
    <row r="54" spans="1:30" s="48" customFormat="1" ht="15">
      <c r="C54" s="47"/>
      <c r="N54" s="129"/>
      <c r="Q54" s="129"/>
    </row>
    <row r="55" spans="1:30" s="48" customFormat="1" ht="15">
      <c r="C55" s="47"/>
      <c r="N55" s="129"/>
      <c r="Q55" s="129"/>
    </row>
    <row r="56" spans="1:30" s="48" customFormat="1" ht="15">
      <c r="C56" s="47"/>
      <c r="N56" s="129"/>
      <c r="Q56" s="129"/>
      <c r="Y56" s="3"/>
      <c r="Z56" s="3"/>
      <c r="AA56" s="3"/>
      <c r="AB56" s="3"/>
      <c r="AC56" s="3"/>
    </row>
    <row r="57" spans="1:30" s="48" customFormat="1" ht="15">
      <c r="C57" s="47"/>
      <c r="N57" s="129"/>
      <c r="Q57" s="129"/>
      <c r="Y57" s="3"/>
      <c r="Z57" s="3"/>
      <c r="AA57" s="3"/>
      <c r="AB57" s="3"/>
      <c r="AC57" s="3"/>
      <c r="AD57" s="3"/>
    </row>
  </sheetData>
  <sheetProtection algorithmName="SHA-512" hashValue="ZbN28oT4xgbsUWw5gFy+jAagvz9VbQvsQ10aBXk7/g3zJGOgO78RP4+jl9m1LdbMk04pTbkIckdOdzsn6Ah4XA==" saltValue="lCPGK0sIUEshS5po13jgWg==" spinCount="100000" sheet="1" objects="1" scenarios="1"/>
  <mergeCells count="7">
    <mergeCell ref="B8:C8"/>
    <mergeCell ref="B2:C2"/>
    <mergeCell ref="B3:C3"/>
    <mergeCell ref="B4:C4"/>
    <mergeCell ref="B5:C5"/>
    <mergeCell ref="B6:C6"/>
    <mergeCell ref="B7:C7"/>
  </mergeCells>
  <conditionalFormatting sqref="D2 G2 J2:V2">
    <cfRule type="cellIs" priority="1" stopIfTrue="1" operator="between">
      <formula>$Y$5</formula>
      <formula>$Y$14</formula>
    </cfRule>
  </conditionalFormatting>
  <dataValidations count="3">
    <dataValidation type="list" allowBlank="1" showInputMessage="1" showErrorMessage="1" sqref="K2:L2 N2:O2 Q2:R2 T2:U2">
      <formula1>$Y$4:$Y$14</formula1>
    </dataValidation>
    <dataValidation type="list" allowBlank="1" showInputMessage="1" showErrorMessage="1" sqref="D3">
      <formula1>$Y$18:$Y$20</formula1>
    </dataValidation>
    <dataValidation type="list" allowBlank="1" showInputMessage="1" showErrorMessage="1" sqref="D9">
      <formula1>$AB$26:$AB$27</formula1>
    </dataValidation>
  </dataValidations>
  <pageMargins left="0.19685039370078741" right="0.19685039370078741" top="0.59055118110236227" bottom="0.78740157480314965" header="0.31496062992125984" footer="0.39370078740157483"/>
  <pageSetup scale="55" orientation="landscape" r:id="rId1"/>
  <headerFooter alignWithMargins="0">
    <oddFooter>&amp;L&amp;8&amp;F, &amp;A, 11.07.2019 / AG</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pageSetUpPr fitToPage="1"/>
  </sheetPr>
  <dimension ref="A1:P41"/>
  <sheetViews>
    <sheetView zoomScaleNormal="100" workbookViewId="0">
      <pane xSplit="2" topLeftCell="C1" activePane="topRight" state="frozenSplit"/>
      <selection pane="topRight" activeCell="T22" sqref="T22"/>
    </sheetView>
  </sheetViews>
  <sheetFormatPr baseColWidth="10" defaultColWidth="12.5703125" defaultRowHeight="15"/>
  <cols>
    <col min="1" max="1" width="32.7109375" style="201" customWidth="1"/>
    <col min="2" max="2" width="1.5703125" style="202" customWidth="1"/>
    <col min="3" max="8" width="10.28515625" style="202" customWidth="1"/>
    <col min="9" max="9" width="5.140625" style="202" customWidth="1"/>
    <col min="10" max="11" width="9.140625" style="202" bestFit="1" customWidth="1"/>
    <col min="12" max="12" width="10.28515625" style="202" bestFit="1" customWidth="1"/>
    <col min="13" max="13" width="15.85546875" style="202" bestFit="1" customWidth="1"/>
    <col min="14" max="14" width="9.140625" style="202" bestFit="1" customWidth="1"/>
    <col min="15" max="15" width="10.28515625" style="202" bestFit="1" customWidth="1"/>
    <col min="16" max="16" width="5.140625" style="202" customWidth="1"/>
  </cols>
  <sheetData>
    <row r="1" spans="1:16" ht="15.75">
      <c r="C1" s="203" t="s">
        <v>361</v>
      </c>
      <c r="D1" s="203"/>
      <c r="E1" s="203"/>
      <c r="F1" s="203"/>
      <c r="G1" s="203"/>
      <c r="H1" s="203"/>
      <c r="I1" s="203"/>
      <c r="J1" s="203" t="s">
        <v>341</v>
      </c>
      <c r="K1" s="203"/>
      <c r="L1" s="203"/>
      <c r="M1" s="203"/>
      <c r="N1" s="203"/>
      <c r="O1" s="203"/>
      <c r="P1" s="203"/>
    </row>
    <row r="2" spans="1:16">
      <c r="A2" s="204"/>
    </row>
    <row r="3" spans="1:16">
      <c r="C3" s="205" t="s">
        <v>212</v>
      </c>
      <c r="D3" s="206"/>
      <c r="E3" s="207"/>
      <c r="F3" s="208" t="s">
        <v>213</v>
      </c>
      <c r="G3" s="209"/>
      <c r="H3" s="210"/>
      <c r="J3" s="205" t="s">
        <v>212</v>
      </c>
      <c r="K3" s="206"/>
      <c r="L3" s="207"/>
      <c r="M3" s="208" t="s">
        <v>213</v>
      </c>
      <c r="N3" s="209"/>
      <c r="O3" s="210"/>
    </row>
    <row r="4" spans="1:16" s="217" customFormat="1">
      <c r="A4" s="211" t="s">
        <v>214</v>
      </c>
      <c r="B4" s="212"/>
      <c r="C4" s="213" t="s">
        <v>215</v>
      </c>
      <c r="D4" s="213" t="s">
        <v>216</v>
      </c>
      <c r="E4" s="214" t="s">
        <v>68</v>
      </c>
      <c r="F4" s="215" t="s">
        <v>215</v>
      </c>
      <c r="G4" s="215" t="s">
        <v>216</v>
      </c>
      <c r="H4" s="216" t="s">
        <v>68</v>
      </c>
      <c r="I4" s="212"/>
      <c r="J4" s="213" t="s">
        <v>215</v>
      </c>
      <c r="K4" s="213" t="s">
        <v>216</v>
      </c>
      <c r="L4" s="214" t="s">
        <v>68</v>
      </c>
      <c r="M4" s="215" t="s">
        <v>215</v>
      </c>
      <c r="N4" s="215" t="s">
        <v>216</v>
      </c>
      <c r="O4" s="216" t="s">
        <v>68</v>
      </c>
      <c r="P4" s="212"/>
    </row>
    <row r="5" spans="1:16">
      <c r="A5" s="218" t="s">
        <v>217</v>
      </c>
      <c r="C5" s="321">
        <v>4.2000000000000003E-2</v>
      </c>
      <c r="D5" s="321">
        <v>4.2000000000000003E-2</v>
      </c>
      <c r="E5" s="321">
        <f>C5+D5</f>
        <v>8.4000000000000005E-2</v>
      </c>
      <c r="F5" s="321">
        <v>4.2000000000000003E-2</v>
      </c>
      <c r="G5" s="321">
        <v>4.2000000000000003E-2</v>
      </c>
      <c r="H5" s="321">
        <f>F5+G5</f>
        <v>8.4000000000000005E-2</v>
      </c>
      <c r="J5" s="321">
        <v>4.2000000000000003E-2</v>
      </c>
      <c r="K5" s="321">
        <v>4.2000000000000003E-2</v>
      </c>
      <c r="L5" s="321">
        <f>J5+K5</f>
        <v>8.4000000000000005E-2</v>
      </c>
      <c r="M5" s="321">
        <v>4.2000000000000003E-2</v>
      </c>
      <c r="N5" s="321">
        <v>4.2000000000000003E-2</v>
      </c>
      <c r="O5" s="321">
        <f>M5+N5</f>
        <v>8.4000000000000005E-2</v>
      </c>
    </row>
    <row r="6" spans="1:16">
      <c r="A6" s="218" t="s">
        <v>218</v>
      </c>
      <c r="C6" s="321">
        <v>7.0000000000000001E-3</v>
      </c>
      <c r="D6" s="321">
        <v>7.0000000000000001E-3</v>
      </c>
      <c r="E6" s="321">
        <f t="shared" ref="E6:E7" si="0">C6+D6</f>
        <v>1.4E-2</v>
      </c>
      <c r="F6" s="321">
        <v>7.0000000000000001E-3</v>
      </c>
      <c r="G6" s="321">
        <v>7.0000000000000001E-3</v>
      </c>
      <c r="H6" s="321">
        <f t="shared" ref="H6:H7" si="1">F6+G6</f>
        <v>1.4E-2</v>
      </c>
      <c r="J6" s="321">
        <v>7.0000000000000001E-3</v>
      </c>
      <c r="K6" s="321">
        <v>7.0000000000000001E-3</v>
      </c>
      <c r="L6" s="321">
        <f t="shared" ref="L6:L7" si="2">J6+K6</f>
        <v>1.4E-2</v>
      </c>
      <c r="M6" s="321">
        <v>7.0000000000000001E-3</v>
      </c>
      <c r="N6" s="321">
        <v>7.0000000000000001E-3</v>
      </c>
      <c r="O6" s="321">
        <f t="shared" ref="O6:O7" si="3">M6+N6</f>
        <v>1.4E-2</v>
      </c>
    </row>
    <row r="7" spans="1:16" s="1" customFormat="1">
      <c r="A7" s="219" t="s">
        <v>219</v>
      </c>
      <c r="B7" s="220"/>
      <c r="C7" s="321">
        <v>2.2499999999999998E-3</v>
      </c>
      <c r="D7" s="321">
        <v>2.2499999999999998E-3</v>
      </c>
      <c r="E7" s="321">
        <f t="shared" si="0"/>
        <v>4.4999999999999997E-3</v>
      </c>
      <c r="F7" s="321">
        <v>2.2499999999999998E-3</v>
      </c>
      <c r="G7" s="321">
        <v>2.2499999999999998E-3</v>
      </c>
      <c r="H7" s="321">
        <f t="shared" si="1"/>
        <v>4.4999999999999997E-3</v>
      </c>
      <c r="I7" s="220"/>
      <c r="J7" s="321">
        <v>2.2499999999999998E-3</v>
      </c>
      <c r="K7" s="321">
        <v>2.2499999999999998E-3</v>
      </c>
      <c r="L7" s="321">
        <f t="shared" si="2"/>
        <v>4.4999999999999997E-3</v>
      </c>
      <c r="M7" s="321">
        <v>2.2499999999999998E-3</v>
      </c>
      <c r="N7" s="321">
        <v>2.2499999999999998E-3</v>
      </c>
      <c r="O7" s="321">
        <f t="shared" si="3"/>
        <v>4.4999999999999997E-3</v>
      </c>
      <c r="P7" s="220"/>
    </row>
    <row r="8" spans="1:16" s="1" customFormat="1">
      <c r="A8" s="221" t="s">
        <v>220</v>
      </c>
      <c r="B8" s="220"/>
      <c r="C8" s="222">
        <f t="shared" ref="C8:H8" si="4">SUM(C5:C7)</f>
        <v>5.1250000000000004E-2</v>
      </c>
      <c r="D8" s="222">
        <f t="shared" si="4"/>
        <v>5.1250000000000004E-2</v>
      </c>
      <c r="E8" s="222">
        <f t="shared" si="4"/>
        <v>0.10250000000000001</v>
      </c>
      <c r="F8" s="222">
        <f t="shared" si="4"/>
        <v>5.1250000000000004E-2</v>
      </c>
      <c r="G8" s="222">
        <f t="shared" si="4"/>
        <v>5.1250000000000004E-2</v>
      </c>
      <c r="H8" s="222">
        <f t="shared" si="4"/>
        <v>0.10250000000000001</v>
      </c>
      <c r="I8" s="220"/>
      <c r="J8" s="222">
        <f t="shared" ref="J8:O8" si="5">SUM(J5:J7)</f>
        <v>5.1250000000000004E-2</v>
      </c>
      <c r="K8" s="222">
        <f t="shared" si="5"/>
        <v>5.1250000000000004E-2</v>
      </c>
      <c r="L8" s="222">
        <f t="shared" si="5"/>
        <v>0.10250000000000001</v>
      </c>
      <c r="M8" s="222">
        <f t="shared" si="5"/>
        <v>5.1250000000000004E-2</v>
      </c>
      <c r="N8" s="222">
        <f t="shared" si="5"/>
        <v>5.1250000000000004E-2</v>
      </c>
      <c r="O8" s="222">
        <f t="shared" si="5"/>
        <v>0.10250000000000001</v>
      </c>
      <c r="P8" s="220"/>
    </row>
    <row r="9" spans="1:16" s="1" customFormat="1" ht="30">
      <c r="A9" s="223" t="s">
        <v>221</v>
      </c>
      <c r="B9" s="220"/>
      <c r="C9" s="322">
        <v>6.0000000000000001E-3</v>
      </c>
      <c r="D9" s="322">
        <v>0</v>
      </c>
      <c r="E9" s="321">
        <v>6.0000000000000001E-3</v>
      </c>
      <c r="F9" s="357">
        <v>1.2E-2</v>
      </c>
      <c r="G9" s="357">
        <v>0</v>
      </c>
      <c r="H9" s="325">
        <f>F9+G9</f>
        <v>1.2E-2</v>
      </c>
      <c r="I9" s="220"/>
      <c r="J9" s="322">
        <v>6.0000000000000001E-3</v>
      </c>
      <c r="K9" s="322">
        <v>0</v>
      </c>
      <c r="L9" s="321">
        <v>6.0000000000000001E-3</v>
      </c>
      <c r="M9" s="322">
        <v>8.0000000000000002E-3</v>
      </c>
      <c r="N9" s="322">
        <v>0</v>
      </c>
      <c r="O9" s="321">
        <f>M9+N9</f>
        <v>8.0000000000000002E-3</v>
      </c>
      <c r="P9" s="220"/>
    </row>
    <row r="10" spans="1:16" s="1" customFormat="1" ht="30">
      <c r="A10" s="223" t="s">
        <v>222</v>
      </c>
      <c r="B10" s="220"/>
      <c r="C10" s="322">
        <v>1.0999999999999999E-2</v>
      </c>
      <c r="D10" s="322">
        <v>1.0999999999999999E-2</v>
      </c>
      <c r="E10" s="321">
        <f>SUM(C10:D10)</f>
        <v>2.1999999999999999E-2</v>
      </c>
      <c r="F10" s="322">
        <v>1.0999999999999999E-2</v>
      </c>
      <c r="G10" s="322">
        <v>1.0999999999999999E-2</v>
      </c>
      <c r="H10" s="321">
        <f>SUM(F10:G10)</f>
        <v>2.1999999999999999E-2</v>
      </c>
      <c r="I10" s="220"/>
      <c r="J10" s="322">
        <v>1.0999999999999999E-2</v>
      </c>
      <c r="K10" s="322">
        <v>1.0999999999999999E-2</v>
      </c>
      <c r="L10" s="321">
        <f>SUM(J10:K10)</f>
        <v>2.1999999999999999E-2</v>
      </c>
      <c r="M10" s="322">
        <v>1.0999999999999999E-2</v>
      </c>
      <c r="N10" s="322">
        <v>1.0999999999999999E-2</v>
      </c>
      <c r="O10" s="321">
        <f>SUM(M10:N10)</f>
        <v>2.1999999999999999E-2</v>
      </c>
      <c r="P10" s="220"/>
    </row>
    <row r="11" spans="1:16" s="1" customFormat="1" ht="30">
      <c r="A11" s="223" t="s">
        <v>223</v>
      </c>
      <c r="B11" s="220"/>
      <c r="C11" s="323">
        <v>5.0000000000000001E-3</v>
      </c>
      <c r="D11" s="323">
        <v>5.0000000000000001E-3</v>
      </c>
      <c r="E11" s="324">
        <f>SUM(C11:D11)</f>
        <v>0.01</v>
      </c>
      <c r="F11" s="323">
        <v>5.0000000000000001E-3</v>
      </c>
      <c r="G11" s="323">
        <v>5.0000000000000001E-3</v>
      </c>
      <c r="H11" s="324">
        <f>SUM(F11:G11)</f>
        <v>0.01</v>
      </c>
      <c r="I11" s="220"/>
      <c r="J11" s="323">
        <v>5.0000000000000001E-3</v>
      </c>
      <c r="K11" s="323">
        <v>5.0000000000000001E-3</v>
      </c>
      <c r="L11" s="324">
        <f>SUM(J11:K11)</f>
        <v>0.01</v>
      </c>
      <c r="M11" s="323">
        <v>5.0000000000000001E-3</v>
      </c>
      <c r="N11" s="323">
        <v>5.0000000000000001E-3</v>
      </c>
      <c r="O11" s="324">
        <f>SUM(M11:N11)</f>
        <v>0.01</v>
      </c>
      <c r="P11" s="220"/>
    </row>
    <row r="12" spans="1:16">
      <c r="A12" s="218" t="s">
        <v>224</v>
      </c>
      <c r="C12" s="339">
        <v>1.1440000000000001E-3</v>
      </c>
      <c r="D12" s="326" t="s">
        <v>318</v>
      </c>
      <c r="E12" s="339">
        <f t="shared" ref="E12:E13" si="6">SUM(C12:D12)</f>
        <v>1.1440000000000001E-3</v>
      </c>
      <c r="F12" s="321">
        <v>1.3600000000000001E-3</v>
      </c>
      <c r="G12" s="326" t="s">
        <v>318</v>
      </c>
      <c r="H12" s="324">
        <f>SUM(F12:G12)</f>
        <v>1.3600000000000001E-3</v>
      </c>
      <c r="J12" s="321">
        <v>1.09E-3</v>
      </c>
      <c r="K12" s="326" t="s">
        <v>318</v>
      </c>
      <c r="L12" s="321">
        <f t="shared" ref="L12:L13" si="7">SUM(J12:K12)</f>
        <v>1.09E-3</v>
      </c>
      <c r="M12" s="321">
        <v>1.3600000000000001E-3</v>
      </c>
      <c r="N12" s="326" t="s">
        <v>318</v>
      </c>
      <c r="O12" s="324">
        <f>SUM(M12:N12)</f>
        <v>1.3600000000000001E-3</v>
      </c>
    </row>
    <row r="13" spans="1:16">
      <c r="A13" s="225" t="s">
        <v>225</v>
      </c>
      <c r="C13" s="338">
        <v>2.5999999999999999E-3</v>
      </c>
      <c r="D13" s="338">
        <v>5.1000000000000004E-3</v>
      </c>
      <c r="E13" s="339">
        <f t="shared" si="6"/>
        <v>7.7000000000000002E-3</v>
      </c>
      <c r="F13" s="324">
        <v>0</v>
      </c>
      <c r="G13" s="324">
        <v>9.3200000000000002E-3</v>
      </c>
      <c r="H13" s="324">
        <f>SUM(F13:G13)</f>
        <v>9.3200000000000002E-3</v>
      </c>
      <c r="J13" s="327">
        <v>3.0000000000000001E-3</v>
      </c>
      <c r="K13" s="327">
        <v>6.0000000000000001E-3</v>
      </c>
      <c r="L13" s="325">
        <f t="shared" si="7"/>
        <v>9.0000000000000011E-3</v>
      </c>
      <c r="M13" s="324">
        <v>0</v>
      </c>
      <c r="N13" s="324">
        <v>9.3200000000000002E-3</v>
      </c>
      <c r="O13" s="324">
        <f>SUM(M13:N13)</f>
        <v>9.3200000000000002E-3</v>
      </c>
    </row>
    <row r="14" spans="1:16" s="1" customFormat="1">
      <c r="A14" s="218" t="s">
        <v>226</v>
      </c>
      <c r="B14" s="220"/>
      <c r="C14" s="224"/>
      <c r="D14" s="224"/>
      <c r="E14" s="224"/>
      <c r="F14" s="224"/>
      <c r="G14" s="224"/>
      <c r="H14" s="224"/>
      <c r="I14" s="220"/>
      <c r="J14" s="224"/>
      <c r="K14" s="224"/>
      <c r="L14" s="224"/>
      <c r="M14" s="224"/>
      <c r="N14" s="224"/>
      <c r="O14" s="224"/>
      <c r="P14" s="220"/>
    </row>
    <row r="15" spans="1:16">
      <c r="A15" s="218" t="s">
        <v>227</v>
      </c>
      <c r="C15" s="224"/>
      <c r="D15" s="224"/>
      <c r="E15" s="224"/>
      <c r="F15" s="224"/>
      <c r="G15" s="224"/>
      <c r="H15" s="224"/>
      <c r="J15" s="224"/>
      <c r="K15" s="224"/>
      <c r="L15" s="224"/>
      <c r="M15" s="224"/>
      <c r="N15" s="224"/>
      <c r="O15" s="224"/>
    </row>
    <row r="16" spans="1:16">
      <c r="A16" s="225" t="s">
        <v>228</v>
      </c>
      <c r="C16" s="324">
        <v>1.0999999999999999E-2</v>
      </c>
      <c r="D16" s="324">
        <v>0</v>
      </c>
      <c r="E16" s="321">
        <f t="shared" ref="E16:E18" si="8">SUM(C16:D16)</f>
        <v>1.0999999999999999E-2</v>
      </c>
      <c r="F16" s="324">
        <v>1.0999999999999999E-2</v>
      </c>
      <c r="G16" s="324">
        <v>0</v>
      </c>
      <c r="H16" s="324">
        <f>SUM(F16:G16)</f>
        <v>1.0999999999999999E-2</v>
      </c>
      <c r="J16" s="324">
        <v>1.0999999999999999E-2</v>
      </c>
      <c r="K16" s="324">
        <v>0</v>
      </c>
      <c r="L16" s="321">
        <f t="shared" ref="L16:L18" si="9">SUM(J16:K16)</f>
        <v>1.0999999999999999E-2</v>
      </c>
      <c r="M16" s="324">
        <v>1.0999999999999999E-2</v>
      </c>
      <c r="N16" s="324">
        <v>0</v>
      </c>
      <c r="O16" s="324">
        <f>SUM(M16:N16)</f>
        <v>1.0999999999999999E-2</v>
      </c>
    </row>
    <row r="17" spans="1:15">
      <c r="A17" s="225" t="s">
        <v>229</v>
      </c>
      <c r="C17" s="338">
        <v>1.4500000000000001E-2</v>
      </c>
      <c r="D17" s="327">
        <v>0</v>
      </c>
      <c r="E17" s="325">
        <f t="shared" si="8"/>
        <v>1.4500000000000001E-2</v>
      </c>
      <c r="F17" s="224"/>
      <c r="G17" s="224"/>
      <c r="H17" s="224"/>
      <c r="J17" s="324">
        <v>1.35E-2</v>
      </c>
      <c r="K17" s="324">
        <v>0</v>
      </c>
      <c r="L17" s="321">
        <f t="shared" si="9"/>
        <v>1.35E-2</v>
      </c>
      <c r="M17" s="224"/>
      <c r="N17" s="224"/>
      <c r="O17" s="224"/>
    </row>
    <row r="18" spans="1:15">
      <c r="A18" s="225" t="s">
        <v>230</v>
      </c>
      <c r="C18" s="338">
        <v>1.4999999999999999E-2</v>
      </c>
      <c r="D18" s="327">
        <v>0</v>
      </c>
      <c r="E18" s="325">
        <f t="shared" si="8"/>
        <v>1.4999999999999999E-2</v>
      </c>
      <c r="F18" s="224"/>
      <c r="G18" s="224"/>
      <c r="H18" s="224"/>
      <c r="J18" s="324">
        <v>1.4500000000000001E-2</v>
      </c>
      <c r="K18" s="324">
        <v>0</v>
      </c>
      <c r="L18" s="321">
        <f t="shared" si="9"/>
        <v>1.4500000000000001E-2</v>
      </c>
      <c r="M18" s="224"/>
      <c r="N18" s="224"/>
      <c r="O18" s="224"/>
    </row>
    <row r="19" spans="1:15">
      <c r="A19" s="225" t="s">
        <v>231</v>
      </c>
      <c r="C19" s="224"/>
      <c r="D19" s="224"/>
      <c r="E19" s="224"/>
      <c r="F19" s="224"/>
      <c r="G19" s="224"/>
      <c r="H19" s="224"/>
      <c r="J19" s="224"/>
      <c r="K19" s="224"/>
      <c r="L19" s="224"/>
      <c r="M19" s="224"/>
      <c r="N19" s="224"/>
      <c r="O19" s="224"/>
    </row>
    <row r="20" spans="1:15">
      <c r="A20" s="225" t="s">
        <v>232</v>
      </c>
      <c r="C20" s="224"/>
      <c r="D20" s="224"/>
      <c r="E20" s="224"/>
      <c r="F20" s="224"/>
      <c r="G20" s="224"/>
      <c r="H20" s="224"/>
      <c r="J20" s="224"/>
      <c r="K20" s="224"/>
      <c r="L20" s="224"/>
      <c r="M20" s="224"/>
      <c r="N20" s="224"/>
      <c r="O20" s="224"/>
    </row>
    <row r="21" spans="1:15">
      <c r="A21" s="225" t="s">
        <v>233</v>
      </c>
      <c r="C21" s="338">
        <v>2.5999999999999999E-2</v>
      </c>
      <c r="D21" s="338">
        <v>1.5E-3</v>
      </c>
      <c r="E21" s="338">
        <v>2.75E-2</v>
      </c>
      <c r="F21" s="224"/>
      <c r="G21" s="224"/>
      <c r="H21" s="224"/>
      <c r="J21" s="224"/>
      <c r="K21" s="224"/>
      <c r="L21" s="224"/>
      <c r="M21" s="224"/>
      <c r="N21" s="224"/>
      <c r="O21" s="224"/>
    </row>
    <row r="22" spans="1:15" ht="72">
      <c r="A22" s="225" t="s">
        <v>234</v>
      </c>
      <c r="C22" s="340" t="s">
        <v>319</v>
      </c>
      <c r="D22" s="341" t="s">
        <v>320</v>
      </c>
      <c r="E22" s="227"/>
      <c r="F22" s="340" t="s">
        <v>319</v>
      </c>
      <c r="G22" s="341" t="s">
        <v>320</v>
      </c>
      <c r="H22" s="227"/>
      <c r="J22" s="340" t="s">
        <v>319</v>
      </c>
      <c r="K22" s="341" t="s">
        <v>320</v>
      </c>
      <c r="L22" s="227"/>
      <c r="M22" s="340" t="s">
        <v>319</v>
      </c>
      <c r="N22" s="341" t="s">
        <v>320</v>
      </c>
      <c r="O22" s="227"/>
    </row>
    <row r="23" spans="1:15" ht="30">
      <c r="A23" s="228" t="s">
        <v>235</v>
      </c>
      <c r="C23" s="340" t="s">
        <v>319</v>
      </c>
      <c r="D23" s="229"/>
      <c r="E23" s="227"/>
      <c r="F23" s="340" t="s">
        <v>319</v>
      </c>
      <c r="G23" s="229"/>
      <c r="H23" s="227"/>
      <c r="J23" s="340" t="s">
        <v>319</v>
      </c>
      <c r="K23" s="328"/>
      <c r="L23" s="227"/>
      <c r="M23" s="340" t="s">
        <v>319</v>
      </c>
      <c r="N23" s="229"/>
      <c r="O23" s="227"/>
    </row>
    <row r="24" spans="1:15" ht="57.75">
      <c r="A24" s="225" t="s">
        <v>236</v>
      </c>
      <c r="C24" s="226"/>
      <c r="D24" s="226"/>
      <c r="E24" s="224"/>
      <c r="F24" s="269" t="s">
        <v>270</v>
      </c>
      <c r="G24" s="269" t="s">
        <v>270</v>
      </c>
      <c r="H24" s="269" t="s">
        <v>237</v>
      </c>
      <c r="J24" s="226"/>
      <c r="K24" s="226"/>
      <c r="L24" s="224"/>
      <c r="M24" s="269" t="s">
        <v>270</v>
      </c>
      <c r="N24" s="269" t="s">
        <v>270</v>
      </c>
      <c r="O24" s="269" t="s">
        <v>237</v>
      </c>
    </row>
    <row r="33" spans="1:16" ht="12.75">
      <c r="A33"/>
      <c r="B33"/>
      <c r="C33"/>
      <c r="D33"/>
      <c r="E33"/>
      <c r="F33"/>
      <c r="G33"/>
      <c r="H33"/>
      <c r="I33"/>
      <c r="J33"/>
      <c r="K33"/>
      <c r="L33"/>
      <c r="M33"/>
      <c r="N33"/>
      <c r="O33"/>
      <c r="P33"/>
    </row>
    <row r="34" spans="1:16" ht="12.75">
      <c r="A34"/>
      <c r="B34"/>
      <c r="C34"/>
      <c r="D34"/>
      <c r="E34"/>
      <c r="F34"/>
      <c r="G34"/>
      <c r="H34"/>
      <c r="I34"/>
      <c r="J34"/>
      <c r="K34"/>
      <c r="L34"/>
      <c r="M34"/>
      <c r="N34"/>
      <c r="O34"/>
      <c r="P34"/>
    </row>
    <row r="35" spans="1:16" ht="12.75">
      <c r="A35"/>
      <c r="B35"/>
      <c r="C35"/>
      <c r="D35"/>
      <c r="E35"/>
      <c r="F35"/>
      <c r="G35"/>
      <c r="H35"/>
      <c r="I35"/>
      <c r="J35"/>
      <c r="K35"/>
      <c r="L35"/>
      <c r="M35"/>
      <c r="N35"/>
      <c r="O35"/>
      <c r="P35"/>
    </row>
    <row r="36" spans="1:16" ht="12.75">
      <c r="A36"/>
      <c r="B36"/>
      <c r="C36"/>
      <c r="D36"/>
      <c r="E36"/>
      <c r="F36"/>
      <c r="G36"/>
      <c r="H36"/>
      <c r="I36"/>
      <c r="J36"/>
      <c r="K36"/>
      <c r="L36"/>
      <c r="M36"/>
      <c r="N36"/>
      <c r="O36"/>
      <c r="P36"/>
    </row>
    <row r="37" spans="1:16" ht="12.75">
      <c r="A37"/>
      <c r="B37"/>
      <c r="C37"/>
      <c r="D37"/>
      <c r="E37"/>
      <c r="F37"/>
      <c r="G37"/>
      <c r="H37"/>
      <c r="I37"/>
      <c r="J37"/>
      <c r="K37"/>
      <c r="L37"/>
      <c r="M37"/>
      <c r="N37"/>
      <c r="O37"/>
      <c r="P37"/>
    </row>
    <row r="38" spans="1:16" ht="12.75">
      <c r="A38"/>
      <c r="B38"/>
      <c r="C38"/>
      <c r="D38"/>
      <c r="E38"/>
      <c r="F38"/>
      <c r="G38"/>
      <c r="H38"/>
      <c r="I38"/>
      <c r="J38"/>
      <c r="K38"/>
      <c r="L38"/>
      <c r="M38"/>
      <c r="N38"/>
      <c r="O38"/>
      <c r="P38"/>
    </row>
    <row r="39" spans="1:16" ht="12.75">
      <c r="A39"/>
      <c r="B39"/>
      <c r="C39"/>
      <c r="D39"/>
      <c r="E39"/>
      <c r="F39"/>
      <c r="G39"/>
      <c r="H39"/>
      <c r="I39"/>
      <c r="J39"/>
      <c r="K39"/>
      <c r="L39"/>
      <c r="M39"/>
      <c r="N39"/>
      <c r="O39"/>
      <c r="P39"/>
    </row>
    <row r="40" spans="1:16" ht="12.75">
      <c r="A40"/>
      <c r="B40"/>
      <c r="C40"/>
      <c r="D40"/>
      <c r="E40"/>
      <c r="F40"/>
      <c r="G40"/>
      <c r="H40"/>
      <c r="I40"/>
      <c r="J40"/>
      <c r="K40"/>
      <c r="L40"/>
      <c r="M40"/>
      <c r="N40"/>
      <c r="O40"/>
      <c r="P40"/>
    </row>
    <row r="41" spans="1:16" ht="12.75">
      <c r="A41"/>
      <c r="B41"/>
      <c r="C41"/>
      <c r="D41"/>
      <c r="E41"/>
      <c r="F41"/>
      <c r="G41"/>
      <c r="H41"/>
      <c r="I41"/>
      <c r="J41"/>
      <c r="K41"/>
      <c r="L41"/>
      <c r="M41"/>
      <c r="N41"/>
      <c r="O41"/>
      <c r="P41"/>
    </row>
  </sheetData>
  <protectedRanges>
    <protectedRange sqref="B8:B14 B32:B38 B20:B26" name="Bereich1"/>
  </protectedRanges>
  <phoneticPr fontId="10" type="noConversion"/>
  <pageMargins left="0.25" right="0.25" top="0.75" bottom="0.75" header="0.3" footer="0.3"/>
  <pageSetup paperSize="9" scale="85" orientation="landscape" r:id="rId1"/>
  <headerFooter alignWithMargins="0">
    <oddFooter>&amp;L&amp;8&amp;F, &amp;A,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8"/>
  <sheetViews>
    <sheetView workbookViewId="0">
      <selection activeCell="T26" sqref="T26"/>
    </sheetView>
  </sheetViews>
  <sheetFormatPr baseColWidth="10" defaultColWidth="12.85546875" defaultRowHeight="15"/>
  <cols>
    <col min="1" max="1" width="5.5703125" style="253" customWidth="1"/>
    <col min="2" max="2" width="25.5703125" style="253" bestFit="1" customWidth="1"/>
    <col min="3" max="3" width="7.5703125" style="253" bestFit="1" customWidth="1"/>
    <col min="4" max="4" width="5" style="253" bestFit="1" customWidth="1"/>
    <col min="5" max="5" width="7.85546875" style="253" bestFit="1" customWidth="1"/>
    <col min="6" max="6" width="5" style="253" bestFit="1" customWidth="1"/>
    <col min="7" max="7" width="7" style="274" bestFit="1" customWidth="1"/>
    <col min="8" max="8" width="12.85546875" style="253"/>
    <col min="9" max="9" width="4.28515625" style="253" customWidth="1"/>
    <col min="10" max="10" width="5.5703125" style="253" customWidth="1"/>
    <col min="11" max="11" width="25.5703125" style="253" bestFit="1" customWidth="1"/>
    <col min="12" max="12" width="6" style="253" bestFit="1" customWidth="1"/>
    <col min="13" max="13" width="5" style="253" bestFit="1" customWidth="1"/>
    <col min="14" max="14" width="7.85546875" style="253" bestFit="1" customWidth="1"/>
    <col min="15" max="15" width="5" style="253" bestFit="1" customWidth="1"/>
    <col min="16" max="16" width="7" style="274" bestFit="1" customWidth="1"/>
    <col min="17" max="17" width="12.85546875" style="253"/>
    <col min="18" max="16384" width="12.85546875" style="230"/>
  </cols>
  <sheetData>
    <row r="1" spans="2:17">
      <c r="H1" s="274" t="s">
        <v>362</v>
      </c>
      <c r="Q1" s="274" t="s">
        <v>302</v>
      </c>
    </row>
    <row r="2" spans="2:17">
      <c r="B2" s="254" t="s">
        <v>257</v>
      </c>
      <c r="C2" s="397" t="s">
        <v>250</v>
      </c>
      <c r="D2" s="397"/>
      <c r="E2" s="397"/>
      <c r="F2" s="397"/>
      <c r="G2" s="397"/>
      <c r="K2" s="254" t="s">
        <v>257</v>
      </c>
      <c r="L2" s="397" t="s">
        <v>250</v>
      </c>
      <c r="M2" s="397"/>
      <c r="N2" s="397"/>
      <c r="O2" s="397"/>
      <c r="P2" s="397"/>
    </row>
    <row r="3" spans="2:17">
      <c r="B3" s="255" t="s">
        <v>3</v>
      </c>
      <c r="C3" s="256" t="s">
        <v>251</v>
      </c>
      <c r="D3" s="256">
        <v>6653</v>
      </c>
      <c r="E3" s="256" t="s">
        <v>252</v>
      </c>
      <c r="F3" s="256">
        <v>6656</v>
      </c>
      <c r="G3" s="271" t="s">
        <v>253</v>
      </c>
      <c r="K3" s="255" t="s">
        <v>3</v>
      </c>
      <c r="L3" s="256" t="s">
        <v>251</v>
      </c>
      <c r="M3" s="256">
        <v>6653</v>
      </c>
      <c r="N3" s="256" t="s">
        <v>252</v>
      </c>
      <c r="O3" s="256">
        <v>6656</v>
      </c>
      <c r="P3" s="271" t="s">
        <v>253</v>
      </c>
    </row>
    <row r="4" spans="2:17">
      <c r="B4" s="255" t="s">
        <v>1</v>
      </c>
      <c r="C4" s="257">
        <v>8.4499999999999993</v>
      </c>
      <c r="D4" s="258">
        <v>0</v>
      </c>
      <c r="E4" s="257">
        <v>0.95</v>
      </c>
      <c r="F4" s="258">
        <v>0</v>
      </c>
      <c r="G4" s="272">
        <f>SUM(C4+E4)</f>
        <v>9.3999999999999986</v>
      </c>
      <c r="I4" s="276"/>
      <c r="K4" s="255" t="s">
        <v>1</v>
      </c>
      <c r="L4" s="257">
        <v>8.15</v>
      </c>
      <c r="M4" s="258">
        <v>0</v>
      </c>
      <c r="N4" s="257">
        <v>1.25</v>
      </c>
      <c r="O4" s="258">
        <v>0</v>
      </c>
      <c r="P4" s="272">
        <f>SUM(L4+N4)</f>
        <v>9.4</v>
      </c>
    </row>
    <row r="5" spans="2:17">
      <c r="B5" s="275" t="s">
        <v>2</v>
      </c>
      <c r="C5" s="257">
        <v>10.7</v>
      </c>
      <c r="D5" s="258">
        <v>0</v>
      </c>
      <c r="E5" s="257">
        <v>0.95</v>
      </c>
      <c r="F5" s="258">
        <v>0</v>
      </c>
      <c r="G5" s="272">
        <f t="shared" ref="G5:G11" si="0">SUM(C5+E5)</f>
        <v>11.649999999999999</v>
      </c>
      <c r="I5" s="276"/>
      <c r="K5" s="275" t="s">
        <v>2</v>
      </c>
      <c r="L5" s="257">
        <v>10.4</v>
      </c>
      <c r="M5" s="258">
        <v>0</v>
      </c>
      <c r="N5" s="257">
        <v>1.25</v>
      </c>
      <c r="O5" s="258">
        <v>0</v>
      </c>
      <c r="P5" s="272">
        <f t="shared" ref="P5:P7" si="1">SUM(L5+N5)</f>
        <v>11.65</v>
      </c>
    </row>
    <row r="6" spans="2:17">
      <c r="B6" s="275" t="s">
        <v>254</v>
      </c>
      <c r="C6" s="257">
        <v>16.75</v>
      </c>
      <c r="D6" s="258">
        <v>0</v>
      </c>
      <c r="E6" s="257">
        <v>0.95</v>
      </c>
      <c r="F6" s="258">
        <v>0</v>
      </c>
      <c r="G6" s="272">
        <f t="shared" si="0"/>
        <v>17.7</v>
      </c>
      <c r="I6" s="276"/>
      <c r="K6" s="275" t="s">
        <v>254</v>
      </c>
      <c r="L6" s="257">
        <v>15.15</v>
      </c>
      <c r="M6" s="258">
        <v>0</v>
      </c>
      <c r="N6" s="257">
        <v>1.25</v>
      </c>
      <c r="O6" s="258">
        <v>0</v>
      </c>
      <c r="P6" s="272">
        <f t="shared" si="1"/>
        <v>16.399999999999999</v>
      </c>
    </row>
    <row r="7" spans="2:17">
      <c r="B7" s="275" t="s">
        <v>4</v>
      </c>
      <c r="C7" s="257">
        <v>21.6</v>
      </c>
      <c r="D7" s="258">
        <v>0</v>
      </c>
      <c r="E7" s="257">
        <v>0.95</v>
      </c>
      <c r="F7" s="258">
        <v>0</v>
      </c>
      <c r="G7" s="272">
        <f t="shared" si="0"/>
        <v>22.55</v>
      </c>
      <c r="I7" s="276"/>
      <c r="K7" s="275" t="s">
        <v>4</v>
      </c>
      <c r="L7" s="257">
        <v>20</v>
      </c>
      <c r="M7" s="258">
        <v>0</v>
      </c>
      <c r="N7" s="257">
        <v>1.25</v>
      </c>
      <c r="O7" s="258">
        <v>0</v>
      </c>
      <c r="P7" s="272">
        <f t="shared" si="1"/>
        <v>21.25</v>
      </c>
    </row>
    <row r="8" spans="2:17" ht="3.95" customHeight="1">
      <c r="B8" s="259"/>
      <c r="C8" s="260"/>
      <c r="D8" s="261"/>
      <c r="E8" s="260"/>
      <c r="F8" s="261"/>
      <c r="G8" s="273"/>
      <c r="K8" s="259"/>
      <c r="L8" s="260"/>
      <c r="M8" s="261"/>
      <c r="N8" s="260"/>
      <c r="O8" s="261"/>
      <c r="P8" s="273"/>
    </row>
    <row r="9" spans="2:17">
      <c r="B9" s="286" t="s">
        <v>5</v>
      </c>
      <c r="C9" s="287"/>
      <c r="D9" s="288"/>
      <c r="E9" s="287"/>
      <c r="F9" s="288">
        <v>0</v>
      </c>
      <c r="G9" s="289">
        <f t="shared" si="0"/>
        <v>0</v>
      </c>
      <c r="I9" s="276"/>
      <c r="K9" s="286" t="s">
        <v>5</v>
      </c>
      <c r="L9" s="287"/>
      <c r="M9" s="288"/>
      <c r="N9" s="287"/>
      <c r="O9" s="288">
        <v>0</v>
      </c>
      <c r="P9" s="289">
        <f t="shared" ref="P9:P11" si="2">SUM(L9+N9)</f>
        <v>0</v>
      </c>
    </row>
    <row r="10" spans="2:17">
      <c r="B10" s="286" t="s">
        <v>6</v>
      </c>
      <c r="C10" s="287"/>
      <c r="D10" s="288"/>
      <c r="E10" s="287"/>
      <c r="F10" s="288">
        <v>0</v>
      </c>
      <c r="G10" s="289">
        <f t="shared" si="0"/>
        <v>0</v>
      </c>
      <c r="I10" s="276"/>
      <c r="K10" s="286" t="s">
        <v>6</v>
      </c>
      <c r="L10" s="287"/>
      <c r="M10" s="288"/>
      <c r="N10" s="287"/>
      <c r="O10" s="288">
        <v>0</v>
      </c>
      <c r="P10" s="289">
        <f t="shared" si="2"/>
        <v>0</v>
      </c>
    </row>
    <row r="11" spans="2:17">
      <c r="B11" s="286" t="s">
        <v>4</v>
      </c>
      <c r="C11" s="287"/>
      <c r="D11" s="288"/>
      <c r="E11" s="287"/>
      <c r="F11" s="288">
        <v>0</v>
      </c>
      <c r="G11" s="289">
        <f t="shared" si="0"/>
        <v>0</v>
      </c>
      <c r="I11" s="276"/>
      <c r="K11" s="286" t="s">
        <v>4</v>
      </c>
      <c r="L11" s="287"/>
      <c r="M11" s="288"/>
      <c r="N11" s="287"/>
      <c r="O11" s="288">
        <v>0</v>
      </c>
      <c r="P11" s="289">
        <f t="shared" si="2"/>
        <v>0</v>
      </c>
    </row>
    <row r="12" spans="2:17">
      <c r="B12" s="290" t="s">
        <v>255</v>
      </c>
      <c r="C12" s="290" t="s">
        <v>256</v>
      </c>
      <c r="D12" s="291"/>
      <c r="E12" s="291"/>
      <c r="F12" s="291"/>
      <c r="G12" s="292"/>
      <c r="K12" s="290" t="s">
        <v>255</v>
      </c>
      <c r="L12" s="290" t="s">
        <v>256</v>
      </c>
      <c r="M12" s="291"/>
      <c r="N12" s="291"/>
      <c r="O12" s="291"/>
      <c r="P12" s="292"/>
    </row>
    <row r="15" spans="2:17">
      <c r="B15" s="254" t="s">
        <v>258</v>
      </c>
      <c r="C15" s="397" t="s">
        <v>250</v>
      </c>
      <c r="D15" s="397"/>
      <c r="E15" s="397"/>
      <c r="F15" s="397"/>
      <c r="G15" s="397"/>
      <c r="K15" s="254" t="s">
        <v>258</v>
      </c>
      <c r="L15" s="397" t="s">
        <v>250</v>
      </c>
      <c r="M15" s="397"/>
      <c r="N15" s="397"/>
      <c r="O15" s="397"/>
      <c r="P15" s="397"/>
    </row>
    <row r="16" spans="2:17">
      <c r="B16" s="255" t="s">
        <v>3</v>
      </c>
      <c r="C16" s="256" t="s">
        <v>251</v>
      </c>
      <c r="D16" s="256">
        <v>6653</v>
      </c>
      <c r="E16" s="256" t="s">
        <v>252</v>
      </c>
      <c r="F16" s="256">
        <v>6656</v>
      </c>
      <c r="G16" s="271" t="s">
        <v>253</v>
      </c>
      <c r="K16" s="255" t="s">
        <v>3</v>
      </c>
      <c r="L16" s="256" t="s">
        <v>251</v>
      </c>
      <c r="M16" s="256">
        <v>6653</v>
      </c>
      <c r="N16" s="256" t="s">
        <v>252</v>
      </c>
      <c r="O16" s="256">
        <v>6656</v>
      </c>
      <c r="P16" s="271" t="s">
        <v>253</v>
      </c>
    </row>
    <row r="17" spans="2:16">
      <c r="B17" s="255" t="s">
        <v>1</v>
      </c>
      <c r="C17" s="257">
        <v>8.4499999999999993</v>
      </c>
      <c r="D17" s="258">
        <v>0</v>
      </c>
      <c r="E17" s="257">
        <v>0.95</v>
      </c>
      <c r="F17" s="258">
        <v>0</v>
      </c>
      <c r="G17" s="272">
        <f t="shared" ref="G17:G24" si="3">SUM(C17+E17)</f>
        <v>9.3999999999999986</v>
      </c>
      <c r="I17" s="276"/>
      <c r="K17" s="255" t="s">
        <v>1</v>
      </c>
      <c r="L17" s="257">
        <v>8.15</v>
      </c>
      <c r="M17" s="258">
        <v>0</v>
      </c>
      <c r="N17" s="257">
        <v>1.25</v>
      </c>
      <c r="O17" s="258">
        <v>0</v>
      </c>
      <c r="P17" s="272">
        <f t="shared" ref="P17:P20" si="4">SUM(L17+N17)</f>
        <v>9.4</v>
      </c>
    </row>
    <row r="18" spans="2:16">
      <c r="B18" s="275" t="s">
        <v>2</v>
      </c>
      <c r="C18" s="257">
        <v>10.7</v>
      </c>
      <c r="D18" s="258">
        <v>0</v>
      </c>
      <c r="E18" s="257">
        <v>0.95</v>
      </c>
      <c r="F18" s="258">
        <v>0</v>
      </c>
      <c r="G18" s="272">
        <f t="shared" si="3"/>
        <v>11.649999999999999</v>
      </c>
      <c r="I18" s="276"/>
      <c r="K18" s="275" t="s">
        <v>2</v>
      </c>
      <c r="L18" s="257">
        <v>10.4</v>
      </c>
      <c r="M18" s="258">
        <v>0</v>
      </c>
      <c r="N18" s="257">
        <v>1.25</v>
      </c>
      <c r="O18" s="258">
        <v>0</v>
      </c>
      <c r="P18" s="272">
        <f t="shared" si="4"/>
        <v>11.65</v>
      </c>
    </row>
    <row r="19" spans="2:16">
      <c r="B19" s="275" t="s">
        <v>254</v>
      </c>
      <c r="C19" s="257">
        <v>18.600000000000001</v>
      </c>
      <c r="D19" s="258">
        <v>0</v>
      </c>
      <c r="E19" s="257">
        <v>0.95</v>
      </c>
      <c r="F19" s="258">
        <v>0</v>
      </c>
      <c r="G19" s="272">
        <f t="shared" si="3"/>
        <v>19.55</v>
      </c>
      <c r="I19" s="276"/>
      <c r="K19" s="275" t="s">
        <v>254</v>
      </c>
      <c r="L19" s="257">
        <v>17</v>
      </c>
      <c r="M19" s="258">
        <v>0</v>
      </c>
      <c r="N19" s="257">
        <v>1.25</v>
      </c>
      <c r="O19" s="258">
        <v>0</v>
      </c>
      <c r="P19" s="272">
        <f t="shared" si="4"/>
        <v>18.25</v>
      </c>
    </row>
    <row r="20" spans="2:16">
      <c r="B20" s="275" t="s">
        <v>4</v>
      </c>
      <c r="C20" s="257">
        <v>23.45</v>
      </c>
      <c r="D20" s="258">
        <v>0</v>
      </c>
      <c r="E20" s="257">
        <v>0.95</v>
      </c>
      <c r="F20" s="258">
        <v>0</v>
      </c>
      <c r="G20" s="272">
        <f t="shared" si="3"/>
        <v>24.4</v>
      </c>
      <c r="I20" s="276"/>
      <c r="K20" s="275" t="s">
        <v>4</v>
      </c>
      <c r="L20" s="257">
        <v>21.85</v>
      </c>
      <c r="M20" s="258">
        <v>0</v>
      </c>
      <c r="N20" s="257">
        <v>1.25</v>
      </c>
      <c r="O20" s="258">
        <v>0</v>
      </c>
      <c r="P20" s="272">
        <f t="shared" si="4"/>
        <v>23.1</v>
      </c>
    </row>
    <row r="21" spans="2:16" ht="3.95" customHeight="1">
      <c r="B21" s="259"/>
      <c r="C21" s="260"/>
      <c r="D21" s="261"/>
      <c r="E21" s="260"/>
      <c r="F21" s="261"/>
      <c r="G21" s="273"/>
      <c r="K21" s="259"/>
      <c r="L21" s="260"/>
      <c r="M21" s="261"/>
      <c r="N21" s="260"/>
      <c r="O21" s="261"/>
      <c r="P21" s="273"/>
    </row>
    <row r="22" spans="2:16">
      <c r="B22" s="286" t="s">
        <v>5</v>
      </c>
      <c r="C22" s="287"/>
      <c r="D22" s="288"/>
      <c r="E22" s="287"/>
      <c r="F22" s="288">
        <v>0</v>
      </c>
      <c r="G22" s="289">
        <f t="shared" si="3"/>
        <v>0</v>
      </c>
      <c r="I22" s="276"/>
      <c r="K22" s="286" t="s">
        <v>5</v>
      </c>
      <c r="L22" s="287"/>
      <c r="M22" s="288"/>
      <c r="N22" s="287"/>
      <c r="O22" s="288">
        <v>0</v>
      </c>
      <c r="P22" s="289">
        <f t="shared" ref="P22:P24" si="5">SUM(L22+N22)</f>
        <v>0</v>
      </c>
    </row>
    <row r="23" spans="2:16">
      <c r="B23" s="286" t="s">
        <v>6</v>
      </c>
      <c r="C23" s="287"/>
      <c r="D23" s="288"/>
      <c r="E23" s="287"/>
      <c r="F23" s="288">
        <v>0</v>
      </c>
      <c r="G23" s="289">
        <f t="shared" si="3"/>
        <v>0</v>
      </c>
      <c r="I23" s="276"/>
      <c r="K23" s="286" t="s">
        <v>6</v>
      </c>
      <c r="L23" s="287"/>
      <c r="M23" s="288"/>
      <c r="N23" s="287"/>
      <c r="O23" s="288">
        <v>0</v>
      </c>
      <c r="P23" s="289">
        <f t="shared" si="5"/>
        <v>0</v>
      </c>
    </row>
    <row r="24" spans="2:16">
      <c r="B24" s="286" t="s">
        <v>4</v>
      </c>
      <c r="C24" s="287"/>
      <c r="D24" s="288"/>
      <c r="E24" s="287"/>
      <c r="F24" s="288">
        <v>0</v>
      </c>
      <c r="G24" s="289">
        <f t="shared" si="3"/>
        <v>0</v>
      </c>
      <c r="I24" s="276"/>
      <c r="K24" s="286" t="s">
        <v>4</v>
      </c>
      <c r="L24" s="287"/>
      <c r="M24" s="288"/>
      <c r="N24" s="287"/>
      <c r="O24" s="288">
        <v>0</v>
      </c>
      <c r="P24" s="289">
        <f t="shared" si="5"/>
        <v>0</v>
      </c>
    </row>
    <row r="25" spans="2:16">
      <c r="B25" s="290" t="s">
        <v>255</v>
      </c>
      <c r="C25" s="290" t="s">
        <v>256</v>
      </c>
      <c r="D25" s="291"/>
      <c r="E25" s="291"/>
      <c r="F25" s="291"/>
      <c r="G25" s="292"/>
      <c r="K25" s="290" t="s">
        <v>255</v>
      </c>
      <c r="L25" s="290" t="s">
        <v>256</v>
      </c>
      <c r="M25" s="291"/>
      <c r="N25" s="291"/>
      <c r="O25" s="291"/>
      <c r="P25" s="292"/>
    </row>
    <row r="28" spans="2:16">
      <c r="B28" s="254" t="s">
        <v>281</v>
      </c>
      <c r="C28" s="397" t="s">
        <v>250</v>
      </c>
      <c r="D28" s="397"/>
      <c r="E28" s="397"/>
      <c r="F28" s="397"/>
      <c r="G28" s="397"/>
      <c r="K28" s="254" t="s">
        <v>281</v>
      </c>
      <c r="L28" s="397" t="s">
        <v>250</v>
      </c>
      <c r="M28" s="397"/>
      <c r="N28" s="397"/>
      <c r="O28" s="397"/>
      <c r="P28" s="397"/>
    </row>
    <row r="29" spans="2:16">
      <c r="B29" s="255" t="s">
        <v>3</v>
      </c>
      <c r="C29" s="256" t="s">
        <v>251</v>
      </c>
      <c r="D29" s="256">
        <v>6653</v>
      </c>
      <c r="E29" s="256" t="s">
        <v>252</v>
      </c>
      <c r="F29" s="256">
        <v>6656</v>
      </c>
      <c r="G29" s="271" t="s">
        <v>253</v>
      </c>
      <c r="K29" s="255" t="s">
        <v>3</v>
      </c>
      <c r="L29" s="256" t="s">
        <v>251</v>
      </c>
      <c r="M29" s="256">
        <v>6653</v>
      </c>
      <c r="N29" s="256" t="s">
        <v>252</v>
      </c>
      <c r="O29" s="256">
        <v>6656</v>
      </c>
      <c r="P29" s="271" t="s">
        <v>253</v>
      </c>
    </row>
    <row r="30" spans="2:16">
      <c r="B30" s="275" t="s">
        <v>1</v>
      </c>
      <c r="C30" s="257">
        <v>10.3</v>
      </c>
      <c r="D30" s="258">
        <v>0</v>
      </c>
      <c r="E30" s="257">
        <v>0.95</v>
      </c>
      <c r="F30" s="258">
        <v>0</v>
      </c>
      <c r="G30" s="272">
        <f t="shared" ref="G30:G37" si="6">SUM(C30+E30)</f>
        <v>11.25</v>
      </c>
      <c r="I30" s="276"/>
      <c r="K30" s="275" t="s">
        <v>1</v>
      </c>
      <c r="L30" s="257">
        <v>10</v>
      </c>
      <c r="M30" s="258">
        <v>0</v>
      </c>
      <c r="N30" s="257">
        <v>1.25</v>
      </c>
      <c r="O30" s="258">
        <v>0</v>
      </c>
      <c r="P30" s="272">
        <f t="shared" ref="P30:P33" si="7">SUM(L30+N30)</f>
        <v>11.25</v>
      </c>
    </row>
    <row r="31" spans="2:16">
      <c r="B31" s="275" t="s">
        <v>2</v>
      </c>
      <c r="C31" s="257">
        <v>12.5</v>
      </c>
      <c r="D31" s="258">
        <v>0</v>
      </c>
      <c r="E31" s="257">
        <v>0.95</v>
      </c>
      <c r="F31" s="258">
        <v>0</v>
      </c>
      <c r="G31" s="272">
        <f t="shared" si="6"/>
        <v>13.45</v>
      </c>
      <c r="I31" s="276"/>
      <c r="K31" s="275" t="s">
        <v>2</v>
      </c>
      <c r="L31" s="257">
        <v>12.2</v>
      </c>
      <c r="M31" s="258">
        <v>0</v>
      </c>
      <c r="N31" s="257">
        <v>1.25</v>
      </c>
      <c r="O31" s="258">
        <v>0</v>
      </c>
      <c r="P31" s="272">
        <f t="shared" si="7"/>
        <v>13.45</v>
      </c>
    </row>
    <row r="32" spans="2:16">
      <c r="B32" s="275" t="s">
        <v>254</v>
      </c>
      <c r="C32" s="257">
        <v>20.5</v>
      </c>
      <c r="D32" s="258">
        <v>0</v>
      </c>
      <c r="E32" s="257">
        <v>0.95</v>
      </c>
      <c r="F32" s="258">
        <v>0</v>
      </c>
      <c r="G32" s="272">
        <f t="shared" si="6"/>
        <v>21.45</v>
      </c>
      <c r="I32" s="276"/>
      <c r="K32" s="275" t="s">
        <v>254</v>
      </c>
      <c r="L32" s="257">
        <v>18.899999999999999</v>
      </c>
      <c r="M32" s="258">
        <v>0</v>
      </c>
      <c r="N32" s="257">
        <v>1.25</v>
      </c>
      <c r="O32" s="258">
        <v>0</v>
      </c>
      <c r="P32" s="272">
        <f t="shared" si="7"/>
        <v>20.149999999999999</v>
      </c>
    </row>
    <row r="33" spans="2:16">
      <c r="B33" s="275" t="s">
        <v>4</v>
      </c>
      <c r="C33" s="257">
        <v>25.3</v>
      </c>
      <c r="D33" s="258">
        <v>0</v>
      </c>
      <c r="E33" s="257">
        <v>0.95</v>
      </c>
      <c r="F33" s="258">
        <v>0</v>
      </c>
      <c r="G33" s="272">
        <f t="shared" si="6"/>
        <v>26.25</v>
      </c>
      <c r="I33" s="276"/>
      <c r="K33" s="275" t="s">
        <v>4</v>
      </c>
      <c r="L33" s="257">
        <v>23.7</v>
      </c>
      <c r="M33" s="258">
        <v>0</v>
      </c>
      <c r="N33" s="257">
        <v>1.25</v>
      </c>
      <c r="O33" s="258">
        <v>0</v>
      </c>
      <c r="P33" s="272">
        <f t="shared" si="7"/>
        <v>24.95</v>
      </c>
    </row>
    <row r="34" spans="2:16" ht="3.95" customHeight="1">
      <c r="B34" s="259"/>
      <c r="C34" s="260"/>
      <c r="D34" s="261"/>
      <c r="E34" s="260"/>
      <c r="F34" s="261"/>
      <c r="G34" s="273"/>
      <c r="I34" s="276"/>
      <c r="K34" s="259"/>
      <c r="L34" s="260"/>
      <c r="M34" s="261"/>
      <c r="N34" s="260"/>
      <c r="O34" s="261"/>
      <c r="P34" s="273"/>
    </row>
    <row r="35" spans="2:16">
      <c r="B35" s="286" t="s">
        <v>5</v>
      </c>
      <c r="C35" s="287"/>
      <c r="D35" s="288">
        <v>0</v>
      </c>
      <c r="E35" s="287"/>
      <c r="F35" s="288">
        <v>0</v>
      </c>
      <c r="G35" s="289">
        <f t="shared" si="6"/>
        <v>0</v>
      </c>
      <c r="I35" s="276"/>
      <c r="K35" s="286" t="s">
        <v>5</v>
      </c>
      <c r="L35" s="287"/>
      <c r="M35" s="288">
        <v>0</v>
      </c>
      <c r="N35" s="287"/>
      <c r="O35" s="288">
        <v>0</v>
      </c>
      <c r="P35" s="289">
        <f t="shared" ref="P35:P37" si="8">SUM(L35+N35)</f>
        <v>0</v>
      </c>
    </row>
    <row r="36" spans="2:16">
      <c r="B36" s="286" t="s">
        <v>6</v>
      </c>
      <c r="C36" s="287"/>
      <c r="D36" s="288">
        <v>0</v>
      </c>
      <c r="E36" s="287"/>
      <c r="F36" s="288">
        <v>0</v>
      </c>
      <c r="G36" s="289">
        <f t="shared" si="6"/>
        <v>0</v>
      </c>
      <c r="I36" s="276"/>
      <c r="K36" s="286" t="s">
        <v>6</v>
      </c>
      <c r="L36" s="287"/>
      <c r="M36" s="288">
        <v>0</v>
      </c>
      <c r="N36" s="287"/>
      <c r="O36" s="288">
        <v>0</v>
      </c>
      <c r="P36" s="289">
        <f t="shared" si="8"/>
        <v>0</v>
      </c>
    </row>
    <row r="37" spans="2:16">
      <c r="B37" s="286" t="s">
        <v>4</v>
      </c>
      <c r="C37" s="287"/>
      <c r="D37" s="288">
        <v>0</v>
      </c>
      <c r="E37" s="287"/>
      <c r="F37" s="288">
        <v>0</v>
      </c>
      <c r="G37" s="289">
        <f t="shared" si="6"/>
        <v>0</v>
      </c>
      <c r="I37" s="276"/>
      <c r="K37" s="286" t="s">
        <v>4</v>
      </c>
      <c r="L37" s="287"/>
      <c r="M37" s="288">
        <v>0</v>
      </c>
      <c r="N37" s="287"/>
      <c r="O37" s="288">
        <v>0</v>
      </c>
      <c r="P37" s="289">
        <f t="shared" si="8"/>
        <v>0</v>
      </c>
    </row>
    <row r="38" spans="2:16">
      <c r="B38" s="290" t="s">
        <v>255</v>
      </c>
      <c r="C38" s="290" t="s">
        <v>256</v>
      </c>
      <c r="D38" s="291"/>
      <c r="E38" s="291"/>
      <c r="F38" s="291"/>
      <c r="G38" s="292"/>
      <c r="K38" s="290" t="s">
        <v>255</v>
      </c>
      <c r="L38" s="290" t="s">
        <v>256</v>
      </c>
      <c r="M38" s="291"/>
      <c r="N38" s="291"/>
      <c r="O38" s="291"/>
      <c r="P38" s="292"/>
    </row>
  </sheetData>
  <mergeCells count="6">
    <mergeCell ref="C2:G2"/>
    <mergeCell ref="C15:G15"/>
    <mergeCell ref="C28:G28"/>
    <mergeCell ref="L2:P2"/>
    <mergeCell ref="L15:P15"/>
    <mergeCell ref="L28:P28"/>
  </mergeCells>
  <pageMargins left="0.59055118110236227" right="0.19685039370078741" top="0.78740157480314965" bottom="0.39370078740157483" header="0.39370078740157483" footer="0.19685039370078741"/>
  <pageSetup paperSize="9" scale="115" orientation="portrait" r:id="rId1"/>
  <headerFooter>
    <oddFooter>&amp;L&amp;8&amp;F -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K131"/>
  <sheetViews>
    <sheetView workbookViewId="0">
      <selection activeCell="L19" sqref="L19"/>
    </sheetView>
  </sheetViews>
  <sheetFormatPr baseColWidth="10" defaultColWidth="11.42578125" defaultRowHeight="12.75" outlineLevelCol="1"/>
  <cols>
    <col min="1" max="1" width="9.140625" customWidth="1"/>
    <col min="2" max="2" width="30" customWidth="1"/>
    <col min="5" max="5" width="11" customWidth="1"/>
    <col min="7" max="7" width="11.42578125" customWidth="1" outlineLevel="1"/>
  </cols>
  <sheetData>
    <row r="2" spans="2:11">
      <c r="B2" s="231"/>
      <c r="C2" s="232"/>
      <c r="D2" s="232"/>
      <c r="E2" s="232"/>
      <c r="F2" s="232"/>
      <c r="G2" s="232"/>
      <c r="H2" s="233"/>
    </row>
    <row r="3" spans="2:11" ht="18">
      <c r="B3" s="398" t="s">
        <v>364</v>
      </c>
      <c r="C3" s="399"/>
      <c r="D3" s="399"/>
      <c r="E3" s="399"/>
      <c r="F3" s="399"/>
      <c r="G3" s="399"/>
      <c r="H3" s="400"/>
    </row>
    <row r="4" spans="2:11">
      <c r="B4" s="234"/>
      <c r="C4" s="235"/>
      <c r="D4" s="235"/>
      <c r="E4" s="235"/>
      <c r="F4" s="235"/>
      <c r="G4" s="235"/>
      <c r="H4" s="236"/>
    </row>
    <row r="5" spans="2:11">
      <c r="B5" s="237"/>
      <c r="C5" s="238"/>
      <c r="D5" s="238"/>
      <c r="E5" s="238"/>
      <c r="F5" s="238"/>
      <c r="G5" s="238"/>
      <c r="H5" s="239"/>
    </row>
    <row r="6" spans="2:11">
      <c r="B6" s="240" t="s">
        <v>239</v>
      </c>
      <c r="C6" s="401" t="s">
        <v>340</v>
      </c>
      <c r="D6" s="403"/>
      <c r="E6" s="402"/>
      <c r="F6" s="401" t="s">
        <v>366</v>
      </c>
      <c r="G6" s="403"/>
      <c r="H6" s="402"/>
    </row>
    <row r="7" spans="2:11">
      <c r="B7" s="243"/>
      <c r="C7" s="244"/>
      <c r="D7" s="244"/>
      <c r="E7" s="245"/>
      <c r="F7" s="244"/>
      <c r="G7" s="244"/>
      <c r="H7" s="245"/>
    </row>
    <row r="8" spans="2:11">
      <c r="B8" s="243"/>
      <c r="C8" s="246" t="s">
        <v>242</v>
      </c>
      <c r="D8" s="246" t="s">
        <v>243</v>
      </c>
      <c r="E8" s="248" t="s">
        <v>243</v>
      </c>
      <c r="F8" s="246" t="s">
        <v>242</v>
      </c>
      <c r="G8" s="246" t="s">
        <v>243</v>
      </c>
      <c r="H8" s="248" t="s">
        <v>243</v>
      </c>
    </row>
    <row r="9" spans="2:11">
      <c r="B9" s="245" t="s">
        <v>244</v>
      </c>
      <c r="C9" s="352">
        <v>4462</v>
      </c>
      <c r="D9" s="352">
        <v>371.8</v>
      </c>
      <c r="E9" s="352">
        <v>371.8</v>
      </c>
      <c r="F9" s="342">
        <v>4497</v>
      </c>
      <c r="G9" s="342">
        <v>374.75</v>
      </c>
      <c r="H9" s="342">
        <v>374.75</v>
      </c>
    </row>
    <row r="10" spans="2:11">
      <c r="B10" s="245"/>
      <c r="C10" s="353"/>
      <c r="D10" s="353"/>
      <c r="E10" s="353"/>
      <c r="F10" s="343"/>
      <c r="G10" s="343"/>
      <c r="H10" s="343"/>
    </row>
    <row r="11" spans="2:11">
      <c r="B11" s="245" t="s">
        <v>245</v>
      </c>
      <c r="C11" s="354">
        <v>2881</v>
      </c>
      <c r="D11" s="355">
        <v>240.1</v>
      </c>
      <c r="E11" s="355">
        <v>240.1</v>
      </c>
      <c r="F11" s="344">
        <v>2904</v>
      </c>
      <c r="G11" s="345">
        <v>242</v>
      </c>
      <c r="H11" s="345">
        <v>242</v>
      </c>
    </row>
    <row r="12" spans="2:11">
      <c r="B12" s="245" t="s">
        <v>246</v>
      </c>
      <c r="C12" s="354">
        <v>3256</v>
      </c>
      <c r="D12" s="353">
        <v>271.35000000000002</v>
      </c>
      <c r="E12" s="353">
        <v>271.35000000000002</v>
      </c>
      <c r="F12" s="344">
        <v>3282</v>
      </c>
      <c r="G12" s="343">
        <v>273.5</v>
      </c>
      <c r="H12" s="343">
        <v>273.5</v>
      </c>
    </row>
    <row r="13" spans="2:11">
      <c r="B13" s="243"/>
      <c r="C13" s="243"/>
      <c r="D13" s="243"/>
      <c r="E13" s="243"/>
      <c r="F13" s="243"/>
      <c r="G13" s="243"/>
      <c r="H13" s="243"/>
    </row>
    <row r="14" spans="2:11">
      <c r="B14" s="240" t="s">
        <v>239</v>
      </c>
      <c r="C14" s="401" t="s">
        <v>247</v>
      </c>
      <c r="D14" s="403"/>
      <c r="E14" s="402"/>
      <c r="F14" s="401" t="s">
        <v>247</v>
      </c>
      <c r="G14" s="403"/>
      <c r="H14" s="402"/>
      <c r="J14" s="356"/>
      <c r="K14" s="242"/>
    </row>
    <row r="15" spans="2:11">
      <c r="B15" s="243"/>
      <c r="C15" s="244"/>
      <c r="D15" s="244"/>
      <c r="E15" s="245"/>
      <c r="F15" s="235"/>
      <c r="G15" s="235"/>
      <c r="H15" s="235"/>
    </row>
    <row r="16" spans="2:11">
      <c r="B16" s="243"/>
      <c r="C16" s="246" t="s">
        <v>242</v>
      </c>
      <c r="D16" s="246" t="s">
        <v>243</v>
      </c>
      <c r="E16" s="248" t="s">
        <v>243</v>
      </c>
      <c r="F16" s="246" t="s">
        <v>242</v>
      </c>
      <c r="G16" s="246" t="s">
        <v>243</v>
      </c>
      <c r="H16" s="248" t="s">
        <v>243</v>
      </c>
    </row>
    <row r="17" spans="2:10">
      <c r="B17" s="310" t="s">
        <v>248</v>
      </c>
      <c r="C17" s="313">
        <f>E17*12</f>
        <v>2400</v>
      </c>
      <c r="D17" s="235"/>
      <c r="E17" s="243">
        <v>200</v>
      </c>
      <c r="F17" s="313">
        <f>H17*12</f>
        <v>2400</v>
      </c>
      <c r="G17" s="235"/>
      <c r="H17" s="243">
        <v>200</v>
      </c>
    </row>
    <row r="18" spans="2:10">
      <c r="B18" s="310" t="s">
        <v>249</v>
      </c>
      <c r="C18" s="313">
        <f>E18*12</f>
        <v>3000</v>
      </c>
      <c r="D18" s="235"/>
      <c r="E18" s="243">
        <v>250</v>
      </c>
      <c r="F18" s="313">
        <f>H18*12</f>
        <v>3000</v>
      </c>
      <c r="G18" s="235"/>
      <c r="H18" s="243">
        <v>250</v>
      </c>
    </row>
    <row r="19" spans="2:10">
      <c r="B19" s="310" t="s">
        <v>289</v>
      </c>
      <c r="C19" s="313">
        <f t="shared" ref="C19:C20" si="0">E19*12</f>
        <v>2400</v>
      </c>
      <c r="D19" s="235"/>
      <c r="E19" s="243">
        <v>200</v>
      </c>
      <c r="F19" s="313">
        <f t="shared" ref="F19:F20" si="1">H19*12</f>
        <v>2400</v>
      </c>
      <c r="G19" s="235"/>
      <c r="H19" s="243">
        <v>200</v>
      </c>
    </row>
    <row r="20" spans="2:10">
      <c r="B20" s="310" t="s">
        <v>290</v>
      </c>
      <c r="C20" s="313">
        <f t="shared" si="0"/>
        <v>2520</v>
      </c>
      <c r="D20" s="238"/>
      <c r="E20" s="243">
        <v>210</v>
      </c>
      <c r="F20" s="313">
        <f t="shared" si="1"/>
        <v>2520</v>
      </c>
      <c r="G20" s="238"/>
      <c r="H20" s="243">
        <v>210</v>
      </c>
      <c r="J20" s="202" t="s">
        <v>365</v>
      </c>
    </row>
    <row r="23" spans="2:10">
      <c r="B23" s="231"/>
      <c r="C23" s="232"/>
      <c r="D23" s="232"/>
      <c r="E23" s="232"/>
      <c r="F23" s="232"/>
      <c r="G23" s="232"/>
      <c r="H23" s="233"/>
    </row>
    <row r="24" spans="2:10" ht="18">
      <c r="B24" s="398" t="s">
        <v>350</v>
      </c>
      <c r="C24" s="399"/>
      <c r="D24" s="399"/>
      <c r="E24" s="399"/>
      <c r="F24" s="399"/>
      <c r="G24" s="399"/>
      <c r="H24" s="400"/>
    </row>
    <row r="25" spans="2:10">
      <c r="B25" s="234"/>
      <c r="C25" s="235"/>
      <c r="D25" s="235"/>
      <c r="E25" s="235"/>
      <c r="F25" s="235"/>
      <c r="G25" s="235"/>
      <c r="H25" s="236"/>
    </row>
    <row r="26" spans="2:10">
      <c r="B26" s="237"/>
      <c r="C26" s="238"/>
      <c r="D26" s="238"/>
      <c r="E26" s="238"/>
      <c r="F26" s="238"/>
      <c r="G26" s="238"/>
      <c r="H26" s="239"/>
    </row>
    <row r="27" spans="2:10">
      <c r="B27" s="240" t="s">
        <v>239</v>
      </c>
      <c r="C27" s="401" t="s">
        <v>322</v>
      </c>
      <c r="D27" s="403"/>
      <c r="E27" s="402"/>
      <c r="F27" s="401" t="s">
        <v>340</v>
      </c>
      <c r="G27" s="403"/>
      <c r="H27" s="402"/>
    </row>
    <row r="28" spans="2:10">
      <c r="B28" s="243"/>
      <c r="C28" s="244"/>
      <c r="D28" s="244"/>
      <c r="E28" s="245"/>
      <c r="F28" s="244"/>
      <c r="G28" s="244"/>
      <c r="H28" s="245"/>
    </row>
    <row r="29" spans="2:10">
      <c r="B29" s="243"/>
      <c r="C29" s="246" t="s">
        <v>242</v>
      </c>
      <c r="D29" s="246" t="s">
        <v>243</v>
      </c>
      <c r="E29" s="248" t="s">
        <v>243</v>
      </c>
      <c r="F29" s="246" t="s">
        <v>242</v>
      </c>
      <c r="G29" s="246" t="s">
        <v>243</v>
      </c>
      <c r="H29" s="248" t="s">
        <v>243</v>
      </c>
    </row>
    <row r="30" spans="2:10">
      <c r="B30" s="245" t="s">
        <v>244</v>
      </c>
      <c r="C30" s="309">
        <v>4435.2</v>
      </c>
      <c r="D30" s="245">
        <f>+C30/12</f>
        <v>369.59999999999997</v>
      </c>
      <c r="E30" s="245">
        <f>ROUND((D30/5),2)*5</f>
        <v>369.6</v>
      </c>
      <c r="F30" s="342">
        <v>4462</v>
      </c>
      <c r="G30" s="342">
        <v>371.8</v>
      </c>
      <c r="H30" s="342">
        <v>371.8</v>
      </c>
    </row>
    <row r="31" spans="2:10">
      <c r="B31" s="245"/>
      <c r="C31" s="252"/>
      <c r="D31" s="245"/>
      <c r="E31" s="245"/>
      <c r="F31" s="343"/>
      <c r="G31" s="343"/>
      <c r="H31" s="343"/>
    </row>
    <row r="32" spans="2:10">
      <c r="B32" s="245" t="s">
        <v>245</v>
      </c>
      <c r="C32" s="309">
        <v>2863.8</v>
      </c>
      <c r="D32" s="245">
        <f>+C32/12</f>
        <v>238.65</v>
      </c>
      <c r="E32" s="245">
        <f t="shared" ref="E32:E33" si="2">ROUND((D32/5),2)*5</f>
        <v>238.64999999999998</v>
      </c>
      <c r="F32" s="344">
        <v>2881</v>
      </c>
      <c r="G32" s="345">
        <v>240.1</v>
      </c>
      <c r="H32" s="345">
        <v>240.1</v>
      </c>
    </row>
    <row r="33" spans="2:10">
      <c r="B33" s="245" t="s">
        <v>246</v>
      </c>
      <c r="C33" s="309">
        <v>3237</v>
      </c>
      <c r="D33" s="245">
        <f>+C33/12</f>
        <v>269.75</v>
      </c>
      <c r="E33" s="245">
        <f t="shared" si="2"/>
        <v>269.75</v>
      </c>
      <c r="F33" s="344">
        <v>3256</v>
      </c>
      <c r="G33" s="343">
        <v>271.35000000000002</v>
      </c>
      <c r="H33" s="343">
        <v>271.35000000000002</v>
      </c>
    </row>
    <row r="34" spans="2:10">
      <c r="B34" s="243"/>
      <c r="C34" s="243"/>
      <c r="D34" s="243"/>
      <c r="E34" s="243"/>
      <c r="F34" s="243"/>
      <c r="G34" s="243"/>
      <c r="H34" s="243"/>
    </row>
    <row r="35" spans="2:10">
      <c r="B35" s="240" t="s">
        <v>239</v>
      </c>
      <c r="C35" s="401" t="s">
        <v>247</v>
      </c>
      <c r="D35" s="403"/>
      <c r="E35" s="402"/>
      <c r="F35" s="401" t="s">
        <v>247</v>
      </c>
      <c r="G35" s="403"/>
      <c r="H35" s="402"/>
    </row>
    <row r="36" spans="2:10">
      <c r="B36" s="243"/>
      <c r="C36" s="244"/>
      <c r="D36" s="244"/>
      <c r="E36" s="245"/>
      <c r="F36" s="235"/>
      <c r="G36" s="235"/>
      <c r="H36" s="235"/>
    </row>
    <row r="37" spans="2:10">
      <c r="B37" s="243"/>
      <c r="C37" s="246" t="s">
        <v>242</v>
      </c>
      <c r="D37" s="246" t="s">
        <v>243</v>
      </c>
      <c r="E37" s="248" t="s">
        <v>243</v>
      </c>
      <c r="F37" s="246" t="s">
        <v>242</v>
      </c>
      <c r="G37" s="246" t="s">
        <v>243</v>
      </c>
      <c r="H37" s="248" t="s">
        <v>243</v>
      </c>
    </row>
    <row r="38" spans="2:10">
      <c r="B38" s="310" t="s">
        <v>248</v>
      </c>
      <c r="C38" s="313">
        <v>2400</v>
      </c>
      <c r="D38" s="335"/>
      <c r="E38" s="310">
        <f>+C38/12</f>
        <v>200</v>
      </c>
      <c r="F38" s="313">
        <f>H38*12</f>
        <v>2400</v>
      </c>
      <c r="G38" s="235"/>
      <c r="H38" s="243">
        <v>200</v>
      </c>
    </row>
    <row r="39" spans="2:10">
      <c r="B39" s="310" t="s">
        <v>249</v>
      </c>
      <c r="C39" s="313">
        <v>3000</v>
      </c>
      <c r="D39" s="335"/>
      <c r="E39" s="310">
        <f>+C39/12</f>
        <v>250</v>
      </c>
      <c r="F39" s="313">
        <f>H39*12</f>
        <v>3000</v>
      </c>
      <c r="G39" s="235"/>
      <c r="H39" s="243">
        <v>250</v>
      </c>
    </row>
    <row r="40" spans="2:10">
      <c r="B40" s="310" t="s">
        <v>289</v>
      </c>
      <c r="C40" s="313">
        <v>2520</v>
      </c>
      <c r="D40" s="335"/>
      <c r="E40" s="310">
        <f t="shared" ref="E40:E41" si="3">+C40/12</f>
        <v>210</v>
      </c>
      <c r="F40" s="313">
        <f t="shared" ref="F40:F41" si="4">H40*12</f>
        <v>2400</v>
      </c>
      <c r="G40" s="235"/>
      <c r="H40" s="243">
        <v>200</v>
      </c>
    </row>
    <row r="41" spans="2:10">
      <c r="B41" s="310" t="s">
        <v>290</v>
      </c>
      <c r="C41" s="313">
        <v>3000</v>
      </c>
      <c r="D41" s="336"/>
      <c r="E41" s="310">
        <f t="shared" si="3"/>
        <v>250</v>
      </c>
      <c r="F41" s="313">
        <f t="shared" si="4"/>
        <v>2520</v>
      </c>
      <c r="G41" s="238"/>
      <c r="H41" s="243">
        <v>210</v>
      </c>
      <c r="J41" s="202" t="s">
        <v>351</v>
      </c>
    </row>
    <row r="46" spans="2:10">
      <c r="B46" s="231"/>
      <c r="C46" s="232"/>
      <c r="D46" s="232"/>
      <c r="E46" s="232"/>
      <c r="F46" s="232"/>
      <c r="G46" s="232"/>
      <c r="H46" s="233"/>
    </row>
    <row r="47" spans="2:10" ht="18">
      <c r="B47" s="398" t="s">
        <v>321</v>
      </c>
      <c r="C47" s="399"/>
      <c r="D47" s="399"/>
      <c r="E47" s="399"/>
      <c r="F47" s="399"/>
      <c r="G47" s="399"/>
      <c r="H47" s="400"/>
    </row>
    <row r="48" spans="2:10">
      <c r="B48" s="234"/>
      <c r="C48" s="235"/>
      <c r="D48" s="235"/>
      <c r="E48" s="235"/>
      <c r="F48" s="235"/>
      <c r="G48" s="235"/>
      <c r="H48" s="236"/>
    </row>
    <row r="49" spans="2:10">
      <c r="B49" s="237"/>
      <c r="C49" s="238"/>
      <c r="D49" s="238"/>
      <c r="E49" s="238"/>
      <c r="F49" s="238"/>
      <c r="G49" s="238"/>
      <c r="H49" s="239"/>
    </row>
    <row r="50" spans="2:10">
      <c r="B50" s="240" t="s">
        <v>239</v>
      </c>
      <c r="C50" s="401" t="s">
        <v>304</v>
      </c>
      <c r="D50" s="403"/>
      <c r="E50" s="402"/>
      <c r="F50" s="401" t="s">
        <v>322</v>
      </c>
      <c r="G50" s="403"/>
      <c r="H50" s="402"/>
    </row>
    <row r="51" spans="2:10">
      <c r="B51" s="243"/>
      <c r="C51" s="244"/>
      <c r="D51" s="244"/>
      <c r="E51" s="245"/>
      <c r="F51" s="244"/>
      <c r="G51" s="244"/>
      <c r="H51" s="245"/>
    </row>
    <row r="52" spans="2:10">
      <c r="B52" s="243"/>
      <c r="C52" s="246" t="s">
        <v>242</v>
      </c>
      <c r="D52" s="246" t="s">
        <v>243</v>
      </c>
      <c r="E52" s="248" t="s">
        <v>243</v>
      </c>
      <c r="F52" s="246" t="s">
        <v>242</v>
      </c>
      <c r="G52" s="246" t="s">
        <v>243</v>
      </c>
      <c r="H52" s="248" t="s">
        <v>243</v>
      </c>
    </row>
    <row r="53" spans="2:10">
      <c r="B53" s="245" t="s">
        <v>244</v>
      </c>
      <c r="C53" s="309">
        <v>4435.2</v>
      </c>
      <c r="D53" s="245">
        <f>+C53/12</f>
        <v>369.59999999999997</v>
      </c>
      <c r="E53" s="245">
        <f>ROUND((D53/5),2)*5</f>
        <v>369.6</v>
      </c>
      <c r="F53" s="243">
        <v>4435</v>
      </c>
      <c r="G53" s="329">
        <v>369.6</v>
      </c>
      <c r="H53" s="329">
        <v>369.6</v>
      </c>
    </row>
    <row r="54" spans="2:10">
      <c r="B54" s="245"/>
      <c r="C54" s="252"/>
      <c r="D54" s="245"/>
      <c r="E54" s="245"/>
      <c r="F54" s="243"/>
      <c r="G54" s="243"/>
      <c r="H54" s="243"/>
    </row>
    <row r="55" spans="2:10">
      <c r="B55" s="245" t="s">
        <v>245</v>
      </c>
      <c r="C55" s="309">
        <v>2863.8</v>
      </c>
      <c r="D55" s="245">
        <f>+C55/12</f>
        <v>238.65</v>
      </c>
      <c r="E55" s="245">
        <f t="shared" ref="E55:E56" si="5">ROUND((D55/5),2)*5</f>
        <v>238.64999999999998</v>
      </c>
      <c r="F55" s="309">
        <v>2864</v>
      </c>
      <c r="G55" s="243">
        <v>238.65</v>
      </c>
      <c r="H55" s="243">
        <v>238.65</v>
      </c>
    </row>
    <row r="56" spans="2:10">
      <c r="B56" s="245" t="s">
        <v>246</v>
      </c>
      <c r="C56" s="309">
        <v>3237</v>
      </c>
      <c r="D56" s="245">
        <f>+C56/12</f>
        <v>269.75</v>
      </c>
      <c r="E56" s="245">
        <f t="shared" si="5"/>
        <v>269.75</v>
      </c>
      <c r="F56" s="309">
        <v>3237</v>
      </c>
      <c r="G56" s="243">
        <v>269.75</v>
      </c>
      <c r="H56" s="243">
        <v>269.75</v>
      </c>
    </row>
    <row r="57" spans="2:10">
      <c r="B57" s="243"/>
      <c r="C57" s="243"/>
      <c r="D57" s="243"/>
      <c r="E57" s="243"/>
      <c r="F57" s="243"/>
      <c r="G57" s="243"/>
      <c r="H57" s="243"/>
    </row>
    <row r="58" spans="2:10">
      <c r="B58" s="240" t="s">
        <v>239</v>
      </c>
      <c r="C58" s="401" t="s">
        <v>247</v>
      </c>
      <c r="D58" s="403"/>
      <c r="E58" s="402"/>
      <c r="F58" s="401" t="s">
        <v>247</v>
      </c>
      <c r="G58" s="403"/>
      <c r="H58" s="402"/>
    </row>
    <row r="59" spans="2:10">
      <c r="B59" s="243"/>
      <c r="C59" s="244"/>
      <c r="D59" s="244"/>
      <c r="E59" s="245"/>
    </row>
    <row r="60" spans="2:10">
      <c r="B60" s="243"/>
      <c r="C60" s="246" t="s">
        <v>242</v>
      </c>
      <c r="D60" s="246" t="s">
        <v>243</v>
      </c>
      <c r="E60" s="248" t="s">
        <v>243</v>
      </c>
      <c r="F60" s="246" t="s">
        <v>242</v>
      </c>
      <c r="G60" s="246" t="s">
        <v>243</v>
      </c>
      <c r="H60" s="248" t="s">
        <v>243</v>
      </c>
    </row>
    <row r="61" spans="2:10">
      <c r="B61" s="310" t="s">
        <v>248</v>
      </c>
      <c r="C61" s="313">
        <v>2400</v>
      </c>
      <c r="D61" s="314"/>
      <c r="E61" s="310">
        <f>+C61/12</f>
        <v>200</v>
      </c>
      <c r="F61" s="313">
        <f>H61*12</f>
        <v>2400</v>
      </c>
      <c r="H61" s="243">
        <v>200</v>
      </c>
    </row>
    <row r="62" spans="2:10">
      <c r="B62" s="310" t="s">
        <v>249</v>
      </c>
      <c r="C62" s="313">
        <v>3000</v>
      </c>
      <c r="D62" s="314"/>
      <c r="E62" s="310">
        <f>+C62/12</f>
        <v>250</v>
      </c>
      <c r="F62" s="313">
        <f>H62*12</f>
        <v>3000</v>
      </c>
      <c r="H62" s="243">
        <v>250</v>
      </c>
    </row>
    <row r="63" spans="2:10">
      <c r="B63" s="310" t="s">
        <v>289</v>
      </c>
      <c r="C63" s="313">
        <v>2520</v>
      </c>
      <c r="D63" s="314"/>
      <c r="E63" s="310">
        <f t="shared" ref="E63:E64" si="6">+C63/12</f>
        <v>210</v>
      </c>
      <c r="F63" s="313">
        <f t="shared" ref="F63:F64" si="7">H63*12</f>
        <v>2520</v>
      </c>
      <c r="H63" s="243">
        <v>210</v>
      </c>
    </row>
    <row r="64" spans="2:10">
      <c r="B64" s="310" t="s">
        <v>290</v>
      </c>
      <c r="C64" s="313">
        <v>3000</v>
      </c>
      <c r="D64" s="314"/>
      <c r="E64" s="310">
        <f t="shared" si="6"/>
        <v>250</v>
      </c>
      <c r="F64" s="313">
        <f t="shared" si="7"/>
        <v>3000</v>
      </c>
      <c r="H64" s="243">
        <v>250</v>
      </c>
      <c r="J64" t="s">
        <v>323</v>
      </c>
    </row>
    <row r="67" spans="2:9">
      <c r="B67" s="231"/>
      <c r="C67" s="232"/>
      <c r="D67" s="232"/>
      <c r="E67" s="232"/>
      <c r="F67" s="232"/>
      <c r="G67" s="232"/>
      <c r="H67" s="233"/>
    </row>
    <row r="68" spans="2:9" ht="18">
      <c r="B68" s="398" t="s">
        <v>303</v>
      </c>
      <c r="C68" s="399"/>
      <c r="D68" s="399"/>
      <c r="E68" s="399"/>
      <c r="F68" s="399"/>
      <c r="G68" s="399"/>
      <c r="H68" s="400"/>
    </row>
    <row r="69" spans="2:9">
      <c r="B69" s="234"/>
      <c r="C69" s="235"/>
      <c r="D69" s="235"/>
      <c r="E69" s="235"/>
      <c r="F69" s="235"/>
      <c r="G69" s="235"/>
      <c r="H69" s="236"/>
    </row>
    <row r="70" spans="2:9">
      <c r="B70" s="237"/>
      <c r="C70" s="238"/>
      <c r="D70" s="238"/>
      <c r="E70" s="238"/>
      <c r="F70" s="238"/>
      <c r="G70" s="238"/>
      <c r="H70" s="239"/>
    </row>
    <row r="71" spans="2:9">
      <c r="B71" s="240" t="s">
        <v>239</v>
      </c>
      <c r="C71" s="401" t="s">
        <v>271</v>
      </c>
      <c r="D71" s="402"/>
      <c r="E71" s="241"/>
      <c r="F71" s="401" t="s">
        <v>304</v>
      </c>
      <c r="G71" s="403"/>
      <c r="H71" s="402"/>
      <c r="I71" s="242"/>
    </row>
    <row r="72" spans="2:9">
      <c r="B72" s="243"/>
      <c r="C72" s="244"/>
      <c r="D72" s="244"/>
      <c r="E72" s="244"/>
      <c r="F72" s="244"/>
      <c r="G72" s="244"/>
      <c r="H72" s="245"/>
    </row>
    <row r="73" spans="2:9">
      <c r="B73" s="243"/>
      <c r="C73" s="246" t="s">
        <v>242</v>
      </c>
      <c r="D73" s="246" t="s">
        <v>243</v>
      </c>
      <c r="E73" s="247"/>
      <c r="F73" s="246" t="s">
        <v>242</v>
      </c>
      <c r="G73" s="246" t="s">
        <v>243</v>
      </c>
      <c r="H73" s="248" t="s">
        <v>243</v>
      </c>
      <c r="I73" s="249"/>
    </row>
    <row r="74" spans="2:9">
      <c r="B74" s="245" t="s">
        <v>244</v>
      </c>
      <c r="C74" s="250">
        <v>4435</v>
      </c>
      <c r="D74" s="251">
        <v>369.6</v>
      </c>
      <c r="E74" s="245"/>
      <c r="F74" s="309">
        <v>4435.2</v>
      </c>
      <c r="G74" s="245">
        <f>+F74/12</f>
        <v>369.59999999999997</v>
      </c>
      <c r="H74" s="245">
        <f>ROUND((G74/5),2)*5</f>
        <v>369.6</v>
      </c>
    </row>
    <row r="75" spans="2:9">
      <c r="B75" s="245"/>
      <c r="C75" s="250"/>
      <c r="D75" s="251"/>
      <c r="E75" s="245"/>
      <c r="F75" s="252"/>
      <c r="G75" s="245"/>
      <c r="H75" s="245"/>
    </row>
    <row r="76" spans="2:9">
      <c r="B76" s="245" t="s">
        <v>245</v>
      </c>
      <c r="C76" s="250">
        <v>2864</v>
      </c>
      <c r="D76" s="251">
        <v>238.64999999999998</v>
      </c>
      <c r="E76" s="245"/>
      <c r="F76" s="309">
        <v>2863.8</v>
      </c>
      <c r="G76" s="245">
        <f>+F76/12</f>
        <v>238.65</v>
      </c>
      <c r="H76" s="245">
        <f t="shared" ref="H76:H77" si="8">ROUND((G76/5),2)*5</f>
        <v>238.64999999999998</v>
      </c>
    </row>
    <row r="77" spans="2:9">
      <c r="B77" s="245" t="s">
        <v>246</v>
      </c>
      <c r="C77" s="250">
        <v>3237</v>
      </c>
      <c r="D77" s="251">
        <v>269.75</v>
      </c>
      <c r="E77" s="245"/>
      <c r="F77" s="309">
        <v>3237</v>
      </c>
      <c r="G77" s="245">
        <f>+F77/12</f>
        <v>269.75</v>
      </c>
      <c r="H77" s="245">
        <f t="shared" si="8"/>
        <v>269.75</v>
      </c>
    </row>
    <row r="78" spans="2:9">
      <c r="B78" s="243"/>
      <c r="C78" s="243"/>
      <c r="D78" s="243"/>
      <c r="E78" s="243"/>
      <c r="F78" s="243"/>
      <c r="G78" s="243"/>
      <c r="H78" s="243"/>
    </row>
    <row r="79" spans="2:9">
      <c r="B79" s="240" t="s">
        <v>239</v>
      </c>
      <c r="C79" s="401" t="s">
        <v>247</v>
      </c>
      <c r="D79" s="402"/>
      <c r="E79" s="241"/>
      <c r="F79" s="401" t="s">
        <v>247</v>
      </c>
      <c r="G79" s="403"/>
      <c r="H79" s="402"/>
    </row>
    <row r="80" spans="2:9">
      <c r="B80" s="243"/>
      <c r="C80" s="244"/>
      <c r="D80" s="244"/>
      <c r="E80" s="244"/>
      <c r="F80" s="244"/>
      <c r="G80" s="244"/>
      <c r="H80" s="245"/>
    </row>
    <row r="81" spans="2:10">
      <c r="B81" s="243"/>
      <c r="C81" s="246" t="s">
        <v>242</v>
      </c>
      <c r="D81" s="246" t="s">
        <v>243</v>
      </c>
      <c r="E81" s="247"/>
      <c r="F81" s="246" t="s">
        <v>242</v>
      </c>
      <c r="G81" s="246" t="s">
        <v>243</v>
      </c>
      <c r="H81" s="248" t="s">
        <v>243</v>
      </c>
    </row>
    <row r="82" spans="2:10" s="314" customFormat="1">
      <c r="B82" s="310" t="s">
        <v>248</v>
      </c>
      <c r="C82" s="311">
        <v>2400</v>
      </c>
      <c r="D82" s="312">
        <v>200</v>
      </c>
      <c r="E82" s="310"/>
      <c r="F82" s="313">
        <f>C82</f>
        <v>2400</v>
      </c>
      <c r="H82" s="310">
        <f>+F82/12</f>
        <v>200</v>
      </c>
    </row>
    <row r="83" spans="2:10" s="314" customFormat="1">
      <c r="B83" s="310" t="s">
        <v>249</v>
      </c>
      <c r="C83" s="311">
        <v>3000</v>
      </c>
      <c r="D83" s="312">
        <v>250</v>
      </c>
      <c r="E83" s="310"/>
      <c r="F83" s="313">
        <f>C83</f>
        <v>3000</v>
      </c>
      <c r="H83" s="310">
        <f>+F83/12</f>
        <v>250</v>
      </c>
    </row>
    <row r="84" spans="2:10" s="314" customFormat="1">
      <c r="B84" s="310" t="s">
        <v>289</v>
      </c>
      <c r="F84" s="313">
        <v>2520</v>
      </c>
      <c r="H84" s="310">
        <f t="shared" ref="H84:H85" si="9">+F84/12</f>
        <v>210</v>
      </c>
      <c r="J84" t="s">
        <v>306</v>
      </c>
    </row>
    <row r="85" spans="2:10" s="314" customFormat="1">
      <c r="B85" s="310" t="s">
        <v>290</v>
      </c>
      <c r="F85" s="313">
        <v>3000</v>
      </c>
      <c r="H85" s="310">
        <f t="shared" si="9"/>
        <v>250</v>
      </c>
    </row>
    <row r="90" spans="2:10">
      <c r="B90" s="231"/>
      <c r="C90" s="232"/>
      <c r="D90" s="232"/>
      <c r="E90" s="232"/>
      <c r="F90" s="232"/>
      <c r="G90" s="232"/>
      <c r="H90" s="233"/>
    </row>
    <row r="91" spans="2:10" ht="18">
      <c r="B91" s="398" t="s">
        <v>280</v>
      </c>
      <c r="C91" s="399"/>
      <c r="D91" s="399"/>
      <c r="E91" s="399"/>
      <c r="F91" s="399"/>
      <c r="G91" s="399"/>
      <c r="H91" s="400"/>
    </row>
    <row r="92" spans="2:10">
      <c r="B92" s="234"/>
      <c r="C92" s="235"/>
      <c r="D92" s="235"/>
      <c r="E92" s="235"/>
      <c r="F92" s="235"/>
      <c r="G92" s="235"/>
      <c r="H92" s="236"/>
    </row>
    <row r="93" spans="2:10">
      <c r="B93" s="237"/>
      <c r="C93" s="238"/>
      <c r="D93" s="238"/>
      <c r="E93" s="238"/>
      <c r="F93" s="238"/>
      <c r="G93" s="238"/>
      <c r="H93" s="239"/>
    </row>
    <row r="94" spans="2:10">
      <c r="B94" s="240" t="s">
        <v>239</v>
      </c>
      <c r="C94" s="401" t="s">
        <v>241</v>
      </c>
      <c r="D94" s="402"/>
      <c r="E94" s="241"/>
      <c r="F94" s="401" t="s">
        <v>271</v>
      </c>
      <c r="G94" s="403"/>
      <c r="H94" s="402"/>
      <c r="I94" s="242"/>
    </row>
    <row r="95" spans="2:10">
      <c r="B95" s="243"/>
      <c r="C95" s="244"/>
      <c r="D95" s="244"/>
      <c r="E95" s="244"/>
      <c r="F95" s="244"/>
      <c r="G95" s="244"/>
      <c r="H95" s="245"/>
    </row>
    <row r="96" spans="2:10">
      <c r="B96" s="243"/>
      <c r="C96" s="246" t="s">
        <v>242</v>
      </c>
      <c r="D96" s="246" t="s">
        <v>243</v>
      </c>
      <c r="E96" s="247"/>
      <c r="F96" s="246" t="s">
        <v>242</v>
      </c>
      <c r="G96" s="246" t="s">
        <v>243</v>
      </c>
      <c r="H96" s="248" t="s">
        <v>243</v>
      </c>
      <c r="I96" s="249"/>
    </row>
    <row r="97" spans="2:11">
      <c r="B97" s="245" t="s">
        <v>244</v>
      </c>
      <c r="C97" s="250">
        <v>4431.0450000000001</v>
      </c>
      <c r="D97" s="251">
        <v>369.25</v>
      </c>
      <c r="E97" s="245"/>
      <c r="F97" s="277">
        <v>4435</v>
      </c>
      <c r="G97" s="245">
        <f>+F97/12</f>
        <v>369.58333333333331</v>
      </c>
      <c r="H97" s="245">
        <f>ROUND((G97/5),2)*5</f>
        <v>369.6</v>
      </c>
    </row>
    <row r="98" spans="2:11">
      <c r="B98" s="245"/>
      <c r="C98" s="250"/>
      <c r="D98" s="251"/>
      <c r="E98" s="245"/>
      <c r="F98" s="252"/>
      <c r="G98" s="245"/>
      <c r="H98" s="245"/>
    </row>
    <row r="99" spans="2:11">
      <c r="B99" s="245" t="s">
        <v>245</v>
      </c>
      <c r="C99" s="250">
        <v>2861.2350000000001</v>
      </c>
      <c r="D99" s="251">
        <v>238.45</v>
      </c>
      <c r="E99" s="245"/>
      <c r="F99" s="277">
        <v>2864</v>
      </c>
      <c r="G99" s="245">
        <f>+F99/12</f>
        <v>238.66666666666666</v>
      </c>
      <c r="H99" s="245">
        <f t="shared" ref="H99:H100" si="10">ROUND((G99/5),2)*5</f>
        <v>238.64999999999998</v>
      </c>
    </row>
    <row r="100" spans="2:11">
      <c r="B100" s="245" t="s">
        <v>246</v>
      </c>
      <c r="C100" s="250">
        <v>3234.09</v>
      </c>
      <c r="D100" s="251">
        <v>269.5</v>
      </c>
      <c r="E100" s="245"/>
      <c r="F100" s="277">
        <v>3237</v>
      </c>
      <c r="G100" s="245">
        <f>+F100/12</f>
        <v>269.75</v>
      </c>
      <c r="H100" s="245">
        <f t="shared" si="10"/>
        <v>269.75</v>
      </c>
    </row>
    <row r="101" spans="2:11">
      <c r="B101" s="243"/>
      <c r="C101" s="243"/>
      <c r="D101" s="243"/>
      <c r="E101" s="243"/>
      <c r="F101" s="243"/>
      <c r="G101" s="243"/>
      <c r="H101" s="243"/>
    </row>
    <row r="102" spans="2:11">
      <c r="B102" s="240" t="s">
        <v>239</v>
      </c>
      <c r="C102" s="401" t="s">
        <v>247</v>
      </c>
      <c r="D102" s="402"/>
      <c r="E102" s="241"/>
      <c r="F102" s="401" t="s">
        <v>247</v>
      </c>
      <c r="G102" s="403"/>
      <c r="H102" s="402"/>
    </row>
    <row r="103" spans="2:11">
      <c r="B103" s="243"/>
      <c r="C103" s="244"/>
      <c r="D103" s="244"/>
      <c r="E103" s="244"/>
      <c r="F103" s="244"/>
      <c r="G103" s="244"/>
      <c r="H103" s="245"/>
    </row>
    <row r="104" spans="2:11">
      <c r="B104" s="243"/>
      <c r="C104" s="246" t="s">
        <v>242</v>
      </c>
      <c r="D104" s="246" t="s">
        <v>243</v>
      </c>
      <c r="E104" s="247"/>
      <c r="F104" s="246" t="s">
        <v>242</v>
      </c>
      <c r="G104" s="246" t="s">
        <v>243</v>
      </c>
      <c r="H104" s="248" t="s">
        <v>243</v>
      </c>
    </row>
    <row r="105" spans="2:11">
      <c r="B105" s="278" t="s">
        <v>248</v>
      </c>
      <c r="C105" s="279">
        <v>2400</v>
      </c>
      <c r="D105" s="280">
        <v>200</v>
      </c>
      <c r="E105" s="278"/>
      <c r="F105" s="281">
        <f>C105</f>
        <v>2400</v>
      </c>
      <c r="G105" s="278"/>
      <c r="H105" s="278">
        <f>+F105/12</f>
        <v>200</v>
      </c>
    </row>
    <row r="106" spans="2:11">
      <c r="B106" s="278" t="s">
        <v>249</v>
      </c>
      <c r="C106" s="279">
        <v>3000</v>
      </c>
      <c r="D106" s="280">
        <v>250</v>
      </c>
      <c r="E106" s="278"/>
      <c r="F106" s="281">
        <f>C106</f>
        <v>3000</v>
      </c>
      <c r="G106" s="278"/>
      <c r="H106" s="278">
        <f>+F106/12</f>
        <v>250</v>
      </c>
    </row>
    <row r="107" spans="2:11">
      <c r="B107" s="278" t="s">
        <v>289</v>
      </c>
      <c r="F107" s="281">
        <v>2500</v>
      </c>
      <c r="H107" s="278">
        <f t="shared" ref="H107:H108" si="11">+F107/12</f>
        <v>208.33333333333334</v>
      </c>
      <c r="J107" t="s">
        <v>305</v>
      </c>
      <c r="K107" t="s">
        <v>306</v>
      </c>
    </row>
    <row r="108" spans="2:11">
      <c r="B108" s="278" t="s">
        <v>290</v>
      </c>
      <c r="F108" s="281">
        <v>3000</v>
      </c>
      <c r="H108" s="278">
        <f t="shared" si="11"/>
        <v>250</v>
      </c>
    </row>
    <row r="115" spans="2:8">
      <c r="B115" s="231"/>
      <c r="C115" s="232"/>
      <c r="D115" s="232"/>
      <c r="E115" s="232"/>
      <c r="F115" s="232"/>
      <c r="G115" s="232"/>
      <c r="H115" s="233"/>
    </row>
    <row r="116" spans="2:8" ht="18">
      <c r="B116" s="398" t="s">
        <v>238</v>
      </c>
      <c r="C116" s="399"/>
      <c r="D116" s="399"/>
      <c r="E116" s="399"/>
      <c r="F116" s="399"/>
      <c r="G116" s="399"/>
      <c r="H116" s="400"/>
    </row>
    <row r="117" spans="2:8">
      <c r="B117" s="234"/>
      <c r="C117" s="235"/>
      <c r="D117" s="235"/>
      <c r="E117" s="235"/>
      <c r="F117" s="235"/>
      <c r="G117" s="235"/>
      <c r="H117" s="236"/>
    </row>
    <row r="118" spans="2:8">
      <c r="B118" s="237"/>
      <c r="C118" s="238"/>
      <c r="D118" s="238"/>
      <c r="E118" s="238"/>
      <c r="F118" s="238"/>
      <c r="G118" s="238"/>
      <c r="H118" s="239"/>
    </row>
    <row r="119" spans="2:8">
      <c r="B119" s="240" t="s">
        <v>239</v>
      </c>
      <c r="C119" s="401" t="s">
        <v>240</v>
      </c>
      <c r="D119" s="402"/>
      <c r="E119" s="241"/>
      <c r="F119" s="401" t="s">
        <v>241</v>
      </c>
      <c r="G119" s="403"/>
      <c r="H119" s="402"/>
    </row>
    <row r="120" spans="2:8">
      <c r="B120" s="243"/>
      <c r="C120" s="244"/>
      <c r="D120" s="244"/>
      <c r="E120" s="244"/>
      <c r="F120" s="244"/>
      <c r="G120" s="244"/>
      <c r="H120" s="245"/>
    </row>
    <row r="121" spans="2:8">
      <c r="B121" s="243"/>
      <c r="C121" s="246" t="s">
        <v>242</v>
      </c>
      <c r="D121" s="246" t="s">
        <v>243</v>
      </c>
      <c r="E121" s="247"/>
      <c r="F121" s="246" t="s">
        <v>242</v>
      </c>
      <c r="G121" s="246" t="s">
        <v>243</v>
      </c>
      <c r="H121" s="248" t="s">
        <v>243</v>
      </c>
    </row>
    <row r="122" spans="2:8">
      <c r="B122" s="245" t="s">
        <v>244</v>
      </c>
      <c r="C122" s="250">
        <v>4409</v>
      </c>
      <c r="D122" s="251">
        <v>367.45</v>
      </c>
      <c r="E122" s="245"/>
      <c r="F122" s="252">
        <f>C122*100.5/100</f>
        <v>4431.0450000000001</v>
      </c>
      <c r="G122" s="245">
        <f>F122/12</f>
        <v>369.25375000000003</v>
      </c>
      <c r="H122" s="245">
        <f>ROUND((G122/5),2)*5</f>
        <v>369.25</v>
      </c>
    </row>
    <row r="123" spans="2:8">
      <c r="B123" s="245"/>
      <c r="C123" s="250"/>
      <c r="D123" s="251"/>
      <c r="E123" s="245"/>
      <c r="F123" s="252"/>
      <c r="G123" s="245"/>
      <c r="H123" s="245"/>
    </row>
    <row r="124" spans="2:8">
      <c r="B124" s="245" t="s">
        <v>245</v>
      </c>
      <c r="C124" s="250">
        <v>2847</v>
      </c>
      <c r="D124" s="251">
        <v>237.25</v>
      </c>
      <c r="E124" s="245"/>
      <c r="F124" s="252">
        <f>C124*100.5/100</f>
        <v>2861.2350000000001</v>
      </c>
      <c r="G124" s="245">
        <f>F124/12</f>
        <v>238.43625</v>
      </c>
      <c r="H124" s="245">
        <f t="shared" ref="H124:H125" si="12">ROUND((G124/5),2)*5</f>
        <v>238.45</v>
      </c>
    </row>
    <row r="125" spans="2:8">
      <c r="B125" s="245" t="s">
        <v>246</v>
      </c>
      <c r="C125" s="250">
        <v>3218</v>
      </c>
      <c r="D125" s="251">
        <v>268.2</v>
      </c>
      <c r="E125" s="245"/>
      <c r="F125" s="252">
        <f>C125*100.5/100</f>
        <v>3234.09</v>
      </c>
      <c r="G125" s="245">
        <f>F125/12</f>
        <v>269.50749999999999</v>
      </c>
      <c r="H125" s="245">
        <f t="shared" si="12"/>
        <v>269.5</v>
      </c>
    </row>
    <row r="126" spans="2:8">
      <c r="B126" s="243"/>
      <c r="C126" s="243"/>
      <c r="D126" s="243"/>
      <c r="E126" s="243"/>
      <c r="F126" s="243"/>
      <c r="G126" s="243"/>
      <c r="H126" s="243"/>
    </row>
    <row r="127" spans="2:8">
      <c r="B127" s="240" t="s">
        <v>239</v>
      </c>
      <c r="C127" s="401" t="s">
        <v>247</v>
      </c>
      <c r="D127" s="402"/>
      <c r="E127" s="241"/>
      <c r="F127" s="401" t="s">
        <v>247</v>
      </c>
      <c r="G127" s="403"/>
      <c r="H127" s="402"/>
    </row>
    <row r="128" spans="2:8">
      <c r="B128" s="243"/>
      <c r="C128" s="244"/>
      <c r="D128" s="244"/>
      <c r="E128" s="244"/>
      <c r="F128" s="244"/>
      <c r="G128" s="244"/>
      <c r="H128" s="245"/>
    </row>
    <row r="129" spans="2:8">
      <c r="B129" s="243"/>
      <c r="C129" s="246" t="s">
        <v>242</v>
      </c>
      <c r="D129" s="246" t="s">
        <v>243</v>
      </c>
      <c r="E129" s="247"/>
      <c r="F129" s="246" t="s">
        <v>242</v>
      </c>
      <c r="G129" s="246" t="s">
        <v>243</v>
      </c>
      <c r="H129" s="248" t="s">
        <v>243</v>
      </c>
    </row>
    <row r="130" spans="2:8">
      <c r="B130" s="245" t="s">
        <v>248</v>
      </c>
      <c r="C130" s="250">
        <v>2400</v>
      </c>
      <c r="D130" s="251">
        <v>200</v>
      </c>
      <c r="E130" s="245"/>
      <c r="F130" s="252">
        <f>C130</f>
        <v>2400</v>
      </c>
      <c r="G130" s="245">
        <f>F130/12</f>
        <v>200</v>
      </c>
      <c r="H130" s="245">
        <f>D130</f>
        <v>200</v>
      </c>
    </row>
    <row r="131" spans="2:8">
      <c r="B131" s="245" t="s">
        <v>249</v>
      </c>
      <c r="C131" s="250">
        <v>3000</v>
      </c>
      <c r="D131" s="251">
        <v>250</v>
      </c>
      <c r="E131" s="245"/>
      <c r="F131" s="252">
        <f>C131</f>
        <v>3000</v>
      </c>
      <c r="G131" s="245"/>
      <c r="H131" s="245">
        <f>D131</f>
        <v>250</v>
      </c>
    </row>
  </sheetData>
  <mergeCells count="30">
    <mergeCell ref="B24:H24"/>
    <mergeCell ref="C27:E27"/>
    <mergeCell ref="F27:H27"/>
    <mergeCell ref="C35:E35"/>
    <mergeCell ref="F35:H35"/>
    <mergeCell ref="B3:H3"/>
    <mergeCell ref="C6:E6"/>
    <mergeCell ref="F6:H6"/>
    <mergeCell ref="C14:E14"/>
    <mergeCell ref="F14:H14"/>
    <mergeCell ref="B47:H47"/>
    <mergeCell ref="C50:E50"/>
    <mergeCell ref="C58:E58"/>
    <mergeCell ref="F50:H50"/>
    <mergeCell ref="F58:H58"/>
    <mergeCell ref="B68:H68"/>
    <mergeCell ref="C71:D71"/>
    <mergeCell ref="F71:H71"/>
    <mergeCell ref="C79:D79"/>
    <mergeCell ref="F79:H79"/>
    <mergeCell ref="B116:H116"/>
    <mergeCell ref="C119:D119"/>
    <mergeCell ref="F119:H119"/>
    <mergeCell ref="C127:D127"/>
    <mergeCell ref="F127:H127"/>
    <mergeCell ref="B91:H91"/>
    <mergeCell ref="C94:D94"/>
    <mergeCell ref="F94:H94"/>
    <mergeCell ref="C102:D102"/>
    <mergeCell ref="F102:H102"/>
  </mergeCells>
  <pageMargins left="0.39370078740157483" right="0.19685039370078741" top="0.78740157480314965" bottom="0.39370078740157483" header="0.39370078740157483" footer="0.19685039370078741"/>
  <pageSetup paperSize="9" orientation="portrait" r:id="rId1"/>
  <headerFooter>
    <oddFooter>&amp;L&amp;8&amp;F -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baseColWidth="10" defaultColWidth="12.42578125" defaultRowHeight="12.75"/>
  <cols>
    <col min="1" max="16384" width="12.42578125" style="283"/>
  </cols>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F12"/>
    </sheetView>
  </sheetViews>
  <sheetFormatPr baseColWidth="10" defaultColWidth="12.85546875" defaultRowHeight="12.75"/>
  <cols>
    <col min="1" max="16384" width="12.85546875" style="300"/>
  </cols>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Q226"/>
  <sheetViews>
    <sheetView showGridLines="0" tabSelected="1" zoomScaleNormal="100" workbookViewId="0">
      <selection sqref="A1:I1"/>
    </sheetView>
  </sheetViews>
  <sheetFormatPr baseColWidth="10" defaultColWidth="9.140625" defaultRowHeight="12.75" outlineLevelRow="1" outlineLevelCol="1"/>
  <cols>
    <col min="1" max="1" width="27.140625" style="3" customWidth="1"/>
    <col min="2" max="2" width="14.7109375" style="3" customWidth="1"/>
    <col min="3" max="9" width="11.7109375" style="3" customWidth="1"/>
    <col min="10" max="10" width="9.85546875" style="42" bestFit="1" customWidth="1"/>
    <col min="11" max="11" width="13.42578125" style="3" bestFit="1" customWidth="1"/>
    <col min="12" max="14" width="9.140625" style="3" customWidth="1"/>
    <col min="15" max="15" width="26.140625" style="3" hidden="1" customWidth="1" outlineLevel="1"/>
    <col min="16" max="16" width="10.42578125" style="3" hidden="1" customWidth="1" outlineLevel="1"/>
    <col min="17" max="17" width="9.140625" style="3" customWidth="1" collapsed="1"/>
    <col min="18" max="16384" width="9.140625" style="3"/>
  </cols>
  <sheetData>
    <row r="1" spans="1:16" ht="27" customHeight="1">
      <c r="A1" s="378" t="s">
        <v>92</v>
      </c>
      <c r="B1" s="379"/>
      <c r="C1" s="379"/>
      <c r="D1" s="379"/>
      <c r="E1" s="379"/>
      <c r="F1" s="379"/>
      <c r="G1" s="379"/>
      <c r="H1" s="379"/>
      <c r="I1" s="380"/>
    </row>
    <row r="2" spans="1:16" s="48" customFormat="1" ht="25.5" customHeight="1">
      <c r="A2" s="98" t="s">
        <v>71</v>
      </c>
      <c r="B2" s="99"/>
      <c r="C2" s="383"/>
      <c r="D2" s="383"/>
      <c r="E2" s="45"/>
      <c r="F2" s="45"/>
      <c r="G2" s="45"/>
      <c r="H2" s="45"/>
      <c r="I2" s="46"/>
      <c r="J2" s="47"/>
      <c r="O2" s="49" t="s">
        <v>52</v>
      </c>
    </row>
    <row r="3" spans="1:16" s="48" customFormat="1" ht="27.75" customHeight="1">
      <c r="A3" s="98" t="s">
        <v>70</v>
      </c>
      <c r="B3" s="99"/>
      <c r="C3" s="383"/>
      <c r="D3" s="383"/>
      <c r="E3" s="45"/>
      <c r="F3" s="45"/>
      <c r="G3" s="45"/>
      <c r="H3" s="45"/>
      <c r="I3" s="46"/>
      <c r="J3" s="47"/>
      <c r="O3" s="49" t="s">
        <v>48</v>
      </c>
    </row>
    <row r="4" spans="1:16" s="48" customFormat="1" ht="15">
      <c r="A4" s="50"/>
      <c r="B4" s="45"/>
      <c r="C4" s="117"/>
      <c r="D4" s="117"/>
      <c r="E4" s="45"/>
      <c r="F4" s="45"/>
      <c r="G4" s="45"/>
      <c r="H4" s="45"/>
      <c r="I4" s="46"/>
      <c r="J4" s="47"/>
      <c r="O4" s="49" t="s">
        <v>49</v>
      </c>
    </row>
    <row r="5" spans="1:16" s="48" customFormat="1" ht="30" customHeight="1">
      <c r="A5" s="318" t="s">
        <v>52</v>
      </c>
      <c r="B5" s="319" t="s">
        <v>51</v>
      </c>
      <c r="C5" s="387"/>
      <c r="D5" s="387"/>
      <c r="E5" s="45"/>
      <c r="F5" s="45"/>
      <c r="G5" s="45"/>
      <c r="H5" s="45"/>
      <c r="I5" s="46"/>
      <c r="J5" s="47"/>
      <c r="O5" s="49" t="s">
        <v>50</v>
      </c>
    </row>
    <row r="6" spans="1:16" s="48" customFormat="1" ht="6.75" customHeight="1">
      <c r="A6" s="195"/>
      <c r="B6" s="51"/>
      <c r="C6" s="117"/>
      <c r="D6" s="117"/>
      <c r="E6" s="45"/>
      <c r="F6" s="45"/>
      <c r="G6" s="45"/>
      <c r="H6" s="45"/>
      <c r="I6" s="46"/>
      <c r="J6" s="47"/>
      <c r="O6" s="49"/>
    </row>
    <row r="7" spans="1:16" s="48" customFormat="1" ht="81" customHeight="1">
      <c r="A7" s="267" t="s">
        <v>134</v>
      </c>
      <c r="B7" s="392"/>
      <c r="C7" s="392"/>
      <c r="D7" s="392"/>
      <c r="E7" s="45"/>
      <c r="F7" s="45"/>
      <c r="G7" s="45"/>
      <c r="H7" s="45"/>
      <c r="I7" s="46"/>
      <c r="J7" s="47"/>
      <c r="O7" s="49"/>
    </row>
    <row r="8" spans="1:16" s="48" customFormat="1" ht="7.5" customHeight="1">
      <c r="A8" s="50"/>
      <c r="B8" s="45"/>
      <c r="C8" s="381"/>
      <c r="D8" s="381"/>
      <c r="E8" s="45"/>
      <c r="F8" s="45"/>
      <c r="G8" s="45"/>
      <c r="H8" s="45"/>
      <c r="I8" s="46"/>
      <c r="J8" s="47"/>
      <c r="O8" s="49" t="s">
        <v>51</v>
      </c>
    </row>
    <row r="9" spans="1:16" s="48" customFormat="1" ht="9.9499999999999993" customHeight="1">
      <c r="A9" s="50"/>
      <c r="B9" s="45"/>
      <c r="C9" s="381"/>
      <c r="D9" s="382"/>
      <c r="E9" s="45"/>
      <c r="F9" s="45"/>
      <c r="G9" s="45"/>
      <c r="H9" s="45"/>
      <c r="I9" s="46"/>
      <c r="J9" s="47"/>
    </row>
    <row r="10" spans="1:16" s="48" customFormat="1" ht="15" customHeight="1">
      <c r="A10" s="95" t="s">
        <v>55</v>
      </c>
      <c r="B10" s="96" t="s">
        <v>56</v>
      </c>
      <c r="C10" s="389"/>
      <c r="D10" s="390"/>
      <c r="E10" s="45"/>
      <c r="F10" s="45"/>
      <c r="G10" s="45"/>
      <c r="H10" s="45"/>
      <c r="I10" s="46"/>
      <c r="J10" s="47"/>
      <c r="O10" s="49" t="s">
        <v>82</v>
      </c>
      <c r="P10" s="49" t="s">
        <v>87</v>
      </c>
    </row>
    <row r="11" spans="1:16" s="48" customFormat="1" ht="15">
      <c r="A11" s="97"/>
      <c r="B11" s="96" t="s">
        <v>57</v>
      </c>
      <c r="C11" s="391"/>
      <c r="D11" s="391"/>
      <c r="E11" s="45"/>
      <c r="F11" s="45"/>
      <c r="G11" s="45"/>
      <c r="H11" s="45"/>
      <c r="I11" s="46"/>
      <c r="J11" s="47"/>
      <c r="O11" s="49" t="s">
        <v>58</v>
      </c>
      <c r="P11" s="52">
        <v>7.6999999999999999E-2</v>
      </c>
    </row>
    <row r="12" spans="1:16" s="48" customFormat="1" ht="12" customHeight="1">
      <c r="A12" s="50"/>
      <c r="B12" s="45"/>
      <c r="C12" s="45"/>
      <c r="D12" s="53"/>
      <c r="E12" s="45"/>
      <c r="F12" s="45"/>
      <c r="G12" s="45"/>
      <c r="H12" s="45"/>
      <c r="I12" s="46"/>
      <c r="J12" s="47"/>
      <c r="O12" s="49" t="s">
        <v>59</v>
      </c>
      <c r="P12" s="49">
        <v>0</v>
      </c>
    </row>
    <row r="13" spans="1:16" s="48" customFormat="1" ht="29.25" customHeight="1">
      <c r="A13" s="268" t="s">
        <v>61</v>
      </c>
      <c r="B13" s="87" t="s">
        <v>58</v>
      </c>
      <c r="C13" s="388" t="s">
        <v>88</v>
      </c>
      <c r="D13" s="388"/>
      <c r="E13" s="92"/>
      <c r="F13" s="92"/>
      <c r="G13" s="92"/>
      <c r="H13" s="92"/>
      <c r="I13" s="46"/>
      <c r="J13" s="47"/>
    </row>
    <row r="14" spans="1:16" s="48" customFormat="1" ht="15" customHeight="1">
      <c r="A14" s="93"/>
      <c r="B14" s="91"/>
      <c r="C14" s="388"/>
      <c r="D14" s="388"/>
      <c r="E14" s="92"/>
      <c r="F14" s="92"/>
      <c r="G14" s="92"/>
      <c r="H14" s="92"/>
      <c r="I14" s="46"/>
      <c r="J14" s="47"/>
      <c r="O14" s="54" t="s">
        <v>95</v>
      </c>
    </row>
    <row r="15" spans="1:16" s="48" customFormat="1" ht="29.25" customHeight="1">
      <c r="A15" s="268" t="s">
        <v>60</v>
      </c>
      <c r="B15" s="87" t="s">
        <v>58</v>
      </c>
      <c r="C15" s="388" t="s">
        <v>88</v>
      </c>
      <c r="D15" s="388"/>
      <c r="E15" s="92"/>
      <c r="F15" s="92"/>
      <c r="G15" s="92"/>
      <c r="H15" s="92"/>
      <c r="I15" s="46"/>
      <c r="J15" s="47"/>
      <c r="O15" s="55" t="s">
        <v>96</v>
      </c>
    </row>
    <row r="16" spans="1:16" s="48" customFormat="1" ht="15" customHeight="1">
      <c r="A16" s="90"/>
      <c r="B16" s="91"/>
      <c r="C16" s="118"/>
      <c r="D16" s="118"/>
      <c r="E16" s="92"/>
      <c r="F16" s="92"/>
      <c r="G16" s="92"/>
      <c r="H16" s="92"/>
      <c r="I16" s="46"/>
      <c r="J16" s="47"/>
      <c r="O16" s="55" t="s">
        <v>215</v>
      </c>
    </row>
    <row r="17" spans="1:16" s="48" customFormat="1" ht="29.25" customHeight="1">
      <c r="A17" s="268" t="s">
        <v>152</v>
      </c>
      <c r="B17" s="87"/>
      <c r="C17" s="388" t="s">
        <v>88</v>
      </c>
      <c r="D17" s="388"/>
      <c r="E17" s="92"/>
      <c r="F17" s="94" t="s">
        <v>99</v>
      </c>
      <c r="G17" s="92"/>
      <c r="H17" s="88"/>
      <c r="I17" s="46"/>
      <c r="J17" s="47"/>
      <c r="O17" s="55" t="s">
        <v>97</v>
      </c>
    </row>
    <row r="18" spans="1:16" s="48" customFormat="1" ht="15" customHeight="1">
      <c r="A18" s="90"/>
      <c r="B18" s="91"/>
      <c r="C18" s="118"/>
      <c r="D18" s="118"/>
      <c r="E18" s="92"/>
      <c r="F18" s="92"/>
      <c r="G18" s="92"/>
      <c r="H18" s="92"/>
      <c r="I18" s="46"/>
      <c r="J18" s="47"/>
      <c r="O18" s="55" t="s">
        <v>352</v>
      </c>
    </row>
    <row r="19" spans="1:16" s="48" customFormat="1" ht="45.75" customHeight="1">
      <c r="A19" s="268" t="s">
        <v>269</v>
      </c>
      <c r="B19" s="87"/>
      <c r="C19" s="388" t="s">
        <v>88</v>
      </c>
      <c r="D19" s="388"/>
      <c r="E19" s="92"/>
      <c r="F19" s="94" t="s">
        <v>100</v>
      </c>
      <c r="G19" s="92"/>
      <c r="H19" s="89"/>
      <c r="I19" s="46"/>
      <c r="J19" s="47"/>
      <c r="O19" s="55" t="s">
        <v>261</v>
      </c>
    </row>
    <row r="20" spans="1:16" s="48" customFormat="1" ht="15" customHeight="1" thickBot="1">
      <c r="A20" s="196"/>
      <c r="B20" s="197"/>
      <c r="C20" s="197"/>
      <c r="D20" s="197"/>
      <c r="E20" s="197"/>
      <c r="F20" s="197"/>
      <c r="G20" s="197"/>
      <c r="H20" s="197"/>
      <c r="I20" s="57"/>
      <c r="J20" s="47"/>
      <c r="O20" s="55" t="s">
        <v>264</v>
      </c>
    </row>
    <row r="21" spans="1:16" s="48" customFormat="1" ht="15.75" customHeight="1">
      <c r="A21" s="129"/>
      <c r="B21" s="129"/>
      <c r="C21" s="129"/>
      <c r="D21" s="129"/>
      <c r="E21" s="129"/>
      <c r="F21" s="129"/>
      <c r="G21" s="129"/>
      <c r="H21" s="129"/>
      <c r="I21" s="45"/>
      <c r="J21" s="47"/>
      <c r="O21" s="56" t="s">
        <v>98</v>
      </c>
    </row>
    <row r="22" spans="1:16" s="48" customFormat="1" ht="15" customHeight="1" thickBot="1">
      <c r="A22" s="58"/>
      <c r="B22" s="58"/>
      <c r="C22" s="58"/>
      <c r="D22" s="58"/>
      <c r="E22" s="58"/>
      <c r="F22" s="58"/>
      <c r="G22" s="58"/>
      <c r="H22" s="58"/>
      <c r="I22" s="58"/>
      <c r="J22" s="47"/>
    </row>
    <row r="23" spans="1:16" s="48" customFormat="1" ht="15">
      <c r="A23" s="59" t="s">
        <v>153</v>
      </c>
      <c r="B23" s="384" t="s">
        <v>69</v>
      </c>
      <c r="C23" s="385"/>
      <c r="D23" s="385"/>
      <c r="E23" s="385"/>
      <c r="F23" s="385"/>
      <c r="G23" s="385"/>
      <c r="H23" s="386"/>
      <c r="I23" s="60"/>
      <c r="J23" s="47"/>
      <c r="O23" s="49" t="s">
        <v>83</v>
      </c>
      <c r="P23" s="49" t="s">
        <v>86</v>
      </c>
    </row>
    <row r="24" spans="1:16" s="48" customFormat="1" ht="15">
      <c r="A24" s="61"/>
      <c r="B24" s="62">
        <v>2019</v>
      </c>
      <c r="C24" s="62">
        <v>2020</v>
      </c>
      <c r="D24" s="62">
        <v>2021</v>
      </c>
      <c r="E24" s="62">
        <v>2022</v>
      </c>
      <c r="F24" s="62">
        <v>2023</v>
      </c>
      <c r="G24" s="62">
        <v>2024</v>
      </c>
      <c r="H24" s="62">
        <v>2025</v>
      </c>
      <c r="I24" s="63" t="s">
        <v>68</v>
      </c>
      <c r="J24" s="64" t="s">
        <v>145</v>
      </c>
      <c r="O24" s="49" t="s">
        <v>84</v>
      </c>
      <c r="P24" s="65">
        <v>0.6</v>
      </c>
    </row>
    <row r="25" spans="1:16" s="48" customFormat="1" ht="15">
      <c r="A25" s="66" t="s">
        <v>64</v>
      </c>
      <c r="B25" s="200">
        <f>'Pers Plan 1'!D42+'Pers Plan 2'!D42+'Pers Plan 3'!D42+'Pers NF-Doktorand 1'!D37+'Pers NF Doktorand 2'!D37+'Pers NF PostDoc'!D37+'Pers NF weitere MA'!D37+'Pers Plan NLS 1'!D43+'Pers Plan NLS 2'!D43+'Pers Plan NLS 3'!D43</f>
        <v>0</v>
      </c>
      <c r="C25" s="200">
        <f>'Pers Plan 1'!G42+'Pers Plan 2'!G42+'Pers Plan 3'!G42+'Pers NF-Doktorand 1'!G37+'Pers NF Doktorand 2'!G37+'Pers NF PostDoc'!G37+'Pers NF weitere MA'!G37+'Pers Plan NLS 1'!G43+'Pers Plan NLS 2'!G43+'Pers Plan NLS 3'!G43</f>
        <v>0</v>
      </c>
      <c r="D25" s="200">
        <f>'Pers Plan 1'!J42+'Pers Plan 2'!J42+'Pers Plan 3'!J42+'Pers NF-Doktorand 1'!J37+'Pers NF Doktorand 2'!J37+'Pers NF PostDoc'!J37+'Pers NF weitere MA'!J37+'Pers Plan NLS 1'!J43+'Pers Plan NLS 2'!J43+'Pers Plan NLS 3'!J43</f>
        <v>0</v>
      </c>
      <c r="E25" s="200">
        <f>'Pers Plan 1'!M42+'Pers Plan 2'!M42+'Pers Plan 3'!M42+'Pers NF-Doktorand 1'!M37+'Pers NF Doktorand 2'!M37+'Pers NF PostDoc'!M37+'Pers NF weitere MA'!M37+'Pers Plan NLS 1'!M43+'Pers Plan NLS 2'!M43+'Pers Plan NLS 3'!M43</f>
        <v>0</v>
      </c>
      <c r="F25" s="200">
        <f>'Pers Plan 1'!P42+'Pers Plan 2'!P42+'Pers Plan 3'!P42+'Pers Plan NLS 1'!P43+'Pers Plan NLS 2'!P43+'Pers Plan NLS 3'!P43</f>
        <v>0</v>
      </c>
      <c r="G25" s="200">
        <f>'Pers Plan 1'!S42+'Pers Plan 2'!S42+'Pers Plan 3'!S42+'Pers Plan NLS 1'!S43+'Pers Plan NLS 2'!S43+'Pers Plan NLS 3'!S43</f>
        <v>0</v>
      </c>
      <c r="H25" s="302">
        <f>'Pers Plan 1'!V42+'Pers Plan 2'!V42+'Pers Plan 3'!V42+'Pers Plan NLS 1'!V43+'Pers Plan NLS 2'!V43+'Pers Plan NLS 3'!V43</f>
        <v>0</v>
      </c>
      <c r="I25" s="68">
        <f>SUM(B25:H25)</f>
        <v>0</v>
      </c>
      <c r="J25" s="362">
        <f>+'Pers Plan 1'!W42+'Pers Plan 2'!W42+'Pers Plan 3'!W42+'Pers NF-Doktorand 1'!N37+'Pers NF Doktorand 2'!N37+'Pers NF PostDoc'!N37+'Pers NF weitere MA'!N37+'Pers Plan NLS 1'!W43+'Pers Plan NLS 2'!W43+'Pers Plan NLS 3'!W43-I25</f>
        <v>0</v>
      </c>
      <c r="K25" s="47"/>
      <c r="M25" s="47"/>
      <c r="O25" s="49" t="s">
        <v>85</v>
      </c>
      <c r="P25" s="65">
        <v>0.2</v>
      </c>
    </row>
    <row r="26" spans="1:16" s="48" customFormat="1" ht="15">
      <c r="A26" s="66" t="s">
        <v>62</v>
      </c>
      <c r="B26" s="69"/>
      <c r="C26" s="70"/>
      <c r="D26" s="69"/>
      <c r="E26" s="69"/>
      <c r="F26" s="69"/>
      <c r="G26" s="70"/>
      <c r="H26" s="70"/>
      <c r="I26" s="71">
        <f>'Various Cost Planning'!D8</f>
        <v>0</v>
      </c>
      <c r="J26" s="47">
        <f>SUM(B26:H26)-I26</f>
        <v>0</v>
      </c>
      <c r="K26" s="72" t="s">
        <v>104</v>
      </c>
      <c r="O26" s="49" t="s">
        <v>85</v>
      </c>
      <c r="P26" s="65">
        <v>0.1</v>
      </c>
    </row>
    <row r="27" spans="1:16" s="48" customFormat="1" ht="15">
      <c r="A27" s="66" t="s">
        <v>53</v>
      </c>
      <c r="B27" s="69"/>
      <c r="C27" s="69"/>
      <c r="D27" s="69"/>
      <c r="E27" s="69"/>
      <c r="F27" s="70"/>
      <c r="G27" s="70"/>
      <c r="H27" s="70"/>
      <c r="I27" s="71">
        <f>+'Various Cost Planning'!D20</f>
        <v>0</v>
      </c>
      <c r="J27" s="47">
        <f>SUM(B27:H27)-I27</f>
        <v>0</v>
      </c>
      <c r="K27" s="72" t="s">
        <v>101</v>
      </c>
      <c r="O27" s="49" t="s">
        <v>54</v>
      </c>
      <c r="P27" s="65">
        <v>0.15</v>
      </c>
    </row>
    <row r="28" spans="1:16" s="48" customFormat="1" ht="15">
      <c r="A28" s="66" t="s">
        <v>63</v>
      </c>
      <c r="B28" s="69"/>
      <c r="C28" s="69"/>
      <c r="D28" s="69"/>
      <c r="E28" s="69"/>
      <c r="F28" s="69"/>
      <c r="G28" s="70"/>
      <c r="H28" s="70"/>
      <c r="I28" s="71">
        <f>+'Various Cost Planning'!D32</f>
        <v>0</v>
      </c>
      <c r="J28" s="47">
        <f>SUM(B28:H28)-I28</f>
        <v>0</v>
      </c>
      <c r="K28" s="72" t="s">
        <v>102</v>
      </c>
    </row>
    <row r="29" spans="1:16" s="48" customFormat="1" ht="15">
      <c r="A29" s="66" t="s">
        <v>54</v>
      </c>
      <c r="B29" s="69"/>
      <c r="C29" s="69"/>
      <c r="D29" s="69"/>
      <c r="E29" s="69"/>
      <c r="F29" s="70"/>
      <c r="G29" s="70"/>
      <c r="H29" s="70"/>
      <c r="I29" s="71">
        <f>+'Various Cost Planning'!D41</f>
        <v>0</v>
      </c>
      <c r="J29" s="47">
        <f>SUM(B29:H29)-I29</f>
        <v>0</v>
      </c>
      <c r="K29" s="72" t="s">
        <v>103</v>
      </c>
    </row>
    <row r="30" spans="1:16" s="48" customFormat="1" ht="15.75" thickBot="1">
      <c r="A30" s="73" t="s">
        <v>72</v>
      </c>
      <c r="B30" s="74">
        <f t="shared" ref="B30:I30" si="0">SUM(B25:B29)</f>
        <v>0</v>
      </c>
      <c r="C30" s="74">
        <f>SUM(C25:C29)</f>
        <v>0</v>
      </c>
      <c r="D30" s="74">
        <f>SUM(D25:D29)</f>
        <v>0</v>
      </c>
      <c r="E30" s="74">
        <f>SUM(E25:E29)</f>
        <v>0</v>
      </c>
      <c r="F30" s="74">
        <f>SUM(F25:F29)</f>
        <v>0</v>
      </c>
      <c r="G30" s="74">
        <f t="shared" si="0"/>
        <v>0</v>
      </c>
      <c r="H30" s="74">
        <f t="shared" si="0"/>
        <v>0</v>
      </c>
      <c r="I30" s="75">
        <f t="shared" si="0"/>
        <v>0</v>
      </c>
      <c r="J30" s="47">
        <f>SUM(B30:H30)-I30</f>
        <v>0</v>
      </c>
    </row>
    <row r="31" spans="1:16" s="48" customFormat="1" ht="15.75" thickBot="1">
      <c r="A31" s="306" t="s">
        <v>291</v>
      </c>
      <c r="B31" s="77">
        <f>IF($B$15="Yes",B30*$J$31,0)</f>
        <v>0</v>
      </c>
      <c r="C31" s="77">
        <f t="shared" ref="C31:H31" si="1">IF($B$15="Yes",C30*$J$31,0)</f>
        <v>0</v>
      </c>
      <c r="D31" s="77">
        <f t="shared" si="1"/>
        <v>0</v>
      </c>
      <c r="E31" s="77">
        <f t="shared" si="1"/>
        <v>0</v>
      </c>
      <c r="F31" s="77">
        <f t="shared" si="1"/>
        <v>0</v>
      </c>
      <c r="G31" s="77">
        <f t="shared" si="1"/>
        <v>0</v>
      </c>
      <c r="H31" s="77">
        <f t="shared" si="1"/>
        <v>0</v>
      </c>
      <c r="I31" s="78">
        <f>IF(B15="Yes",I30*J31,0)</f>
        <v>0</v>
      </c>
      <c r="J31" s="358">
        <v>0.15</v>
      </c>
    </row>
    <row r="32" spans="1:16" s="48" customFormat="1" ht="15.75" thickBot="1">
      <c r="A32" s="73" t="s">
        <v>73</v>
      </c>
      <c r="B32" s="359">
        <f>B30+B31</f>
        <v>0</v>
      </c>
      <c r="C32" s="359">
        <f>C30+C31</f>
        <v>0</v>
      </c>
      <c r="D32" s="359">
        <f t="shared" ref="D32:I32" si="2">D30+D31</f>
        <v>0</v>
      </c>
      <c r="E32" s="359">
        <f t="shared" si="2"/>
        <v>0</v>
      </c>
      <c r="F32" s="359">
        <f t="shared" si="2"/>
        <v>0</v>
      </c>
      <c r="G32" s="359">
        <f t="shared" si="2"/>
        <v>0</v>
      </c>
      <c r="H32" s="359">
        <f t="shared" si="2"/>
        <v>0</v>
      </c>
      <c r="I32" s="359">
        <f t="shared" si="2"/>
        <v>0</v>
      </c>
      <c r="J32" s="47"/>
    </row>
    <row r="33" spans="1:16" s="48" customFormat="1" ht="15">
      <c r="A33" s="76" t="s">
        <v>343</v>
      </c>
      <c r="B33" s="79">
        <f>IF($B$13="Yes",B32*7.7/100,0)</f>
        <v>0</v>
      </c>
      <c r="C33" s="79">
        <f t="shared" ref="C33:I33" si="3">IF($B$13="Yes",C32*7.7/100,0)</f>
        <v>0</v>
      </c>
      <c r="D33" s="79">
        <f t="shared" si="3"/>
        <v>0</v>
      </c>
      <c r="E33" s="79">
        <f t="shared" si="3"/>
        <v>0</v>
      </c>
      <c r="F33" s="79">
        <f t="shared" si="3"/>
        <v>0</v>
      </c>
      <c r="G33" s="79">
        <f t="shared" si="3"/>
        <v>0</v>
      </c>
      <c r="H33" s="79">
        <f t="shared" si="3"/>
        <v>0</v>
      </c>
      <c r="I33" s="367">
        <f t="shared" si="3"/>
        <v>0</v>
      </c>
      <c r="J33" s="47"/>
    </row>
    <row r="34" spans="1:16" s="48" customFormat="1" ht="15.75" thickBot="1">
      <c r="A34" s="73" t="s">
        <v>74</v>
      </c>
      <c r="B34" s="359">
        <f>SUM(B32:B33)</f>
        <v>0</v>
      </c>
      <c r="C34" s="359">
        <f t="shared" ref="C34:H34" si="4">SUM(C32:C33)</f>
        <v>0</v>
      </c>
      <c r="D34" s="359">
        <f t="shared" si="4"/>
        <v>0</v>
      </c>
      <c r="E34" s="359">
        <f t="shared" si="4"/>
        <v>0</v>
      </c>
      <c r="F34" s="359">
        <f t="shared" si="4"/>
        <v>0</v>
      </c>
      <c r="G34" s="359">
        <f t="shared" si="4"/>
        <v>0</v>
      </c>
      <c r="H34" s="359">
        <f t="shared" si="4"/>
        <v>0</v>
      </c>
      <c r="I34" s="360">
        <f>SUM(I32:I33)</f>
        <v>0</v>
      </c>
      <c r="J34" s="47"/>
      <c r="K34" s="47"/>
    </row>
    <row r="35" spans="1:16" s="48" customFormat="1" ht="15">
      <c r="A35" s="58"/>
      <c r="B35" s="58"/>
      <c r="C35" s="58"/>
      <c r="D35" s="58"/>
      <c r="E35" s="58"/>
      <c r="F35" s="58"/>
      <c r="G35" s="58"/>
      <c r="H35" s="58"/>
      <c r="I35" s="58"/>
      <c r="J35" s="47"/>
      <c r="O35" s="49" t="s">
        <v>80</v>
      </c>
      <c r="P35" s="49" t="s">
        <v>81</v>
      </c>
    </row>
    <row r="36" spans="1:16" s="48" customFormat="1" ht="15">
      <c r="A36" s="84" t="s">
        <v>76</v>
      </c>
      <c r="B36" s="85" t="s">
        <v>77</v>
      </c>
      <c r="C36" s="58"/>
      <c r="D36" s="58"/>
      <c r="E36" s="58"/>
      <c r="F36" s="58"/>
      <c r="G36" s="58"/>
      <c r="H36" s="58"/>
      <c r="I36" s="58"/>
      <c r="J36" s="47"/>
      <c r="O36" s="49" t="s">
        <v>77</v>
      </c>
      <c r="P36" s="49">
        <v>1.2</v>
      </c>
    </row>
    <row r="37" spans="1:16" s="48" customFormat="1" ht="15">
      <c r="A37" s="84" t="s">
        <v>75</v>
      </c>
      <c r="B37" s="86">
        <v>1</v>
      </c>
      <c r="C37" s="58"/>
      <c r="D37" s="58"/>
      <c r="E37" s="58"/>
      <c r="F37" s="58"/>
      <c r="G37" s="58"/>
      <c r="H37" s="58"/>
      <c r="I37" s="58"/>
      <c r="J37" s="47"/>
      <c r="O37" s="49" t="s">
        <v>79</v>
      </c>
      <c r="P37" s="49">
        <v>0.85</v>
      </c>
    </row>
    <row r="38" spans="1:16" s="48" customFormat="1" ht="15" customHeight="1" thickBot="1">
      <c r="A38" s="58"/>
      <c r="B38" s="58"/>
      <c r="C38" s="58"/>
      <c r="D38" s="58"/>
      <c r="E38" s="58"/>
      <c r="F38" s="58"/>
      <c r="G38" s="58"/>
      <c r="H38" s="58"/>
      <c r="I38" s="58"/>
      <c r="J38" s="47"/>
    </row>
    <row r="39" spans="1:16" s="48" customFormat="1" ht="30">
      <c r="A39" s="59" t="s">
        <v>154</v>
      </c>
      <c r="B39" s="384" t="s">
        <v>69</v>
      </c>
      <c r="C39" s="385"/>
      <c r="D39" s="385"/>
      <c r="E39" s="385"/>
      <c r="F39" s="385"/>
      <c r="G39" s="385"/>
      <c r="H39" s="386"/>
      <c r="I39" s="60"/>
      <c r="J39" s="47"/>
    </row>
    <row r="40" spans="1:16" s="48" customFormat="1" ht="15">
      <c r="A40" s="61"/>
      <c r="B40" s="62">
        <f>B24</f>
        <v>2019</v>
      </c>
      <c r="C40" s="62">
        <f t="shared" ref="C40:H40" si="5">C24</f>
        <v>2020</v>
      </c>
      <c r="D40" s="62">
        <f t="shared" si="5"/>
        <v>2021</v>
      </c>
      <c r="E40" s="62">
        <f t="shared" si="5"/>
        <v>2022</v>
      </c>
      <c r="F40" s="62">
        <f t="shared" si="5"/>
        <v>2023</v>
      </c>
      <c r="G40" s="62">
        <f t="shared" si="5"/>
        <v>2024</v>
      </c>
      <c r="H40" s="62">
        <f t="shared" si="5"/>
        <v>2025</v>
      </c>
      <c r="I40" s="63" t="s">
        <v>68</v>
      </c>
      <c r="J40" s="47"/>
      <c r="O40" s="48" t="s">
        <v>156</v>
      </c>
    </row>
    <row r="41" spans="1:16" s="48" customFormat="1" ht="15">
      <c r="A41" s="66" t="s">
        <v>64</v>
      </c>
      <c r="B41" s="67">
        <f t="shared" ref="B41:H45" si="6">B25/$B$37</f>
        <v>0</v>
      </c>
      <c r="C41" s="67">
        <f t="shared" si="6"/>
        <v>0</v>
      </c>
      <c r="D41" s="67">
        <f t="shared" si="6"/>
        <v>0</v>
      </c>
      <c r="E41" s="67">
        <f t="shared" si="6"/>
        <v>0</v>
      </c>
      <c r="F41" s="67">
        <f t="shared" si="6"/>
        <v>0</v>
      </c>
      <c r="G41" s="67">
        <f t="shared" si="6"/>
        <v>0</v>
      </c>
      <c r="H41" s="67">
        <f t="shared" si="6"/>
        <v>0</v>
      </c>
      <c r="I41" s="68">
        <f t="shared" ref="I41" si="7">I25/$B$37</f>
        <v>0</v>
      </c>
      <c r="J41" s="47"/>
      <c r="O41" s="48" t="s">
        <v>157</v>
      </c>
    </row>
    <row r="42" spans="1:16" s="48" customFormat="1" ht="15">
      <c r="A42" s="66" t="s">
        <v>62</v>
      </c>
      <c r="B42" s="67">
        <f t="shared" si="6"/>
        <v>0</v>
      </c>
      <c r="C42" s="67">
        <f t="shared" si="6"/>
        <v>0</v>
      </c>
      <c r="D42" s="67">
        <f t="shared" si="6"/>
        <v>0</v>
      </c>
      <c r="E42" s="67">
        <f t="shared" si="6"/>
        <v>0</v>
      </c>
      <c r="F42" s="67">
        <f t="shared" si="6"/>
        <v>0</v>
      </c>
      <c r="G42" s="67">
        <f t="shared" si="6"/>
        <v>0</v>
      </c>
      <c r="H42" s="67">
        <f t="shared" si="6"/>
        <v>0</v>
      </c>
      <c r="I42" s="68">
        <f>I26/$B$37</f>
        <v>0</v>
      </c>
      <c r="J42" s="47"/>
      <c r="O42" s="48" t="s">
        <v>325</v>
      </c>
    </row>
    <row r="43" spans="1:16" s="48" customFormat="1" ht="15">
      <c r="A43" s="66" t="s">
        <v>53</v>
      </c>
      <c r="B43" s="67">
        <f t="shared" si="6"/>
        <v>0</v>
      </c>
      <c r="C43" s="67">
        <f t="shared" si="6"/>
        <v>0</v>
      </c>
      <c r="D43" s="67">
        <f t="shared" si="6"/>
        <v>0</v>
      </c>
      <c r="E43" s="67">
        <f t="shared" si="6"/>
        <v>0</v>
      </c>
      <c r="F43" s="67">
        <f t="shared" si="6"/>
        <v>0</v>
      </c>
      <c r="G43" s="67">
        <f t="shared" si="6"/>
        <v>0</v>
      </c>
      <c r="H43" s="67">
        <f t="shared" si="6"/>
        <v>0</v>
      </c>
      <c r="I43" s="68">
        <f>I27/$B$37</f>
        <v>0</v>
      </c>
      <c r="J43" s="47"/>
      <c r="O43" s="48" t="s">
        <v>158</v>
      </c>
    </row>
    <row r="44" spans="1:16" s="48" customFormat="1" ht="15">
      <c r="A44" s="66" t="s">
        <v>63</v>
      </c>
      <c r="B44" s="67">
        <f t="shared" si="6"/>
        <v>0</v>
      </c>
      <c r="C44" s="67">
        <f t="shared" si="6"/>
        <v>0</v>
      </c>
      <c r="D44" s="67">
        <f t="shared" si="6"/>
        <v>0</v>
      </c>
      <c r="E44" s="67">
        <f t="shared" si="6"/>
        <v>0</v>
      </c>
      <c r="F44" s="67">
        <f t="shared" si="6"/>
        <v>0</v>
      </c>
      <c r="G44" s="67">
        <f t="shared" si="6"/>
        <v>0</v>
      </c>
      <c r="H44" s="67">
        <f t="shared" si="6"/>
        <v>0</v>
      </c>
      <c r="I44" s="68">
        <f>I28/$B$37</f>
        <v>0</v>
      </c>
      <c r="J44" s="47"/>
      <c r="O44" s="48" t="s">
        <v>349</v>
      </c>
    </row>
    <row r="45" spans="1:16" s="48" customFormat="1" ht="15">
      <c r="A45" s="66" t="s">
        <v>54</v>
      </c>
      <c r="B45" s="67">
        <f t="shared" si="6"/>
        <v>0</v>
      </c>
      <c r="C45" s="67">
        <f t="shared" si="6"/>
        <v>0</v>
      </c>
      <c r="D45" s="67">
        <f t="shared" si="6"/>
        <v>0</v>
      </c>
      <c r="E45" s="67">
        <f t="shared" si="6"/>
        <v>0</v>
      </c>
      <c r="F45" s="67">
        <f t="shared" si="6"/>
        <v>0</v>
      </c>
      <c r="G45" s="67">
        <f t="shared" si="6"/>
        <v>0</v>
      </c>
      <c r="H45" s="67">
        <f t="shared" si="6"/>
        <v>0</v>
      </c>
      <c r="I45" s="68">
        <f>I29/$B$37</f>
        <v>0</v>
      </c>
      <c r="J45" s="47"/>
      <c r="O45" s="48" t="s">
        <v>209</v>
      </c>
    </row>
    <row r="46" spans="1:16" s="48" customFormat="1" ht="15.75" thickBot="1">
      <c r="A46" s="81" t="s">
        <v>72</v>
      </c>
      <c r="B46" s="74">
        <f t="shared" ref="B46:I46" si="8">SUM(B41:B45)</f>
        <v>0</v>
      </c>
      <c r="C46" s="74">
        <f t="shared" si="8"/>
        <v>0</v>
      </c>
      <c r="D46" s="74">
        <f t="shared" si="8"/>
        <v>0</v>
      </c>
      <c r="E46" s="74">
        <f t="shared" si="8"/>
        <v>0</v>
      </c>
      <c r="F46" s="74">
        <f t="shared" si="8"/>
        <v>0</v>
      </c>
      <c r="G46" s="74">
        <f t="shared" si="8"/>
        <v>0</v>
      </c>
      <c r="H46" s="74">
        <f t="shared" si="8"/>
        <v>0</v>
      </c>
      <c r="I46" s="75">
        <f t="shared" si="8"/>
        <v>0</v>
      </c>
      <c r="J46" s="47"/>
      <c r="O46" s="48" t="s">
        <v>159</v>
      </c>
    </row>
    <row r="47" spans="1:16" s="48" customFormat="1" ht="15">
      <c r="A47" s="76" t="str">
        <f>A31</f>
        <v xml:space="preserve">Overhead </v>
      </c>
      <c r="B47" s="77">
        <f>B31/$B$37</f>
        <v>0</v>
      </c>
      <c r="C47" s="77">
        <f t="shared" ref="C47:I47" si="9">C31/$B$37</f>
        <v>0</v>
      </c>
      <c r="D47" s="77">
        <f t="shared" si="9"/>
        <v>0</v>
      </c>
      <c r="E47" s="77">
        <f t="shared" si="9"/>
        <v>0</v>
      </c>
      <c r="F47" s="77">
        <f t="shared" si="9"/>
        <v>0</v>
      </c>
      <c r="G47" s="77">
        <f t="shared" si="9"/>
        <v>0</v>
      </c>
      <c r="H47" s="77">
        <f t="shared" si="9"/>
        <v>0</v>
      </c>
      <c r="I47" s="368">
        <f t="shared" si="9"/>
        <v>0</v>
      </c>
      <c r="J47" s="47"/>
      <c r="O47" s="48" t="s">
        <v>160</v>
      </c>
    </row>
    <row r="48" spans="1:16" s="48" customFormat="1" ht="15.75" thickBot="1">
      <c r="A48" s="73" t="s">
        <v>73</v>
      </c>
      <c r="B48" s="359">
        <f t="shared" ref="B48:H48" si="10">B32/$B$37</f>
        <v>0</v>
      </c>
      <c r="C48" s="359">
        <f t="shared" si="10"/>
        <v>0</v>
      </c>
      <c r="D48" s="359">
        <f t="shared" si="10"/>
        <v>0</v>
      </c>
      <c r="E48" s="359">
        <f t="shared" si="10"/>
        <v>0</v>
      </c>
      <c r="F48" s="359">
        <f t="shared" si="10"/>
        <v>0</v>
      </c>
      <c r="G48" s="359">
        <f t="shared" si="10"/>
        <v>0</v>
      </c>
      <c r="H48" s="361">
        <f t="shared" si="10"/>
        <v>0</v>
      </c>
      <c r="I48" s="82">
        <f>I32/$B$37</f>
        <v>0</v>
      </c>
      <c r="J48" s="47"/>
      <c r="O48" s="48" t="s">
        <v>161</v>
      </c>
    </row>
    <row r="49" spans="1:15" s="48" customFormat="1" ht="15">
      <c r="A49" s="76" t="s">
        <v>343</v>
      </c>
      <c r="B49" s="363">
        <f t="shared" ref="B49:H49" si="11">B33/$B$37</f>
        <v>0</v>
      </c>
      <c r="C49" s="363">
        <f t="shared" si="11"/>
        <v>0</v>
      </c>
      <c r="D49" s="363">
        <f t="shared" si="11"/>
        <v>0</v>
      </c>
      <c r="E49" s="363">
        <f t="shared" si="11"/>
        <v>0</v>
      </c>
      <c r="F49" s="363">
        <f t="shared" si="11"/>
        <v>0</v>
      </c>
      <c r="G49" s="363">
        <f t="shared" si="11"/>
        <v>0</v>
      </c>
      <c r="H49" s="363">
        <f t="shared" si="11"/>
        <v>0</v>
      </c>
      <c r="I49" s="366">
        <f>I33/$B$37</f>
        <v>0</v>
      </c>
      <c r="J49" s="47"/>
      <c r="O49" s="48" t="s">
        <v>299</v>
      </c>
    </row>
    <row r="50" spans="1:15" s="48" customFormat="1" ht="15.75" thickBot="1">
      <c r="A50" s="73" t="s">
        <v>78</v>
      </c>
      <c r="B50" s="365">
        <f t="shared" ref="B50:H50" si="12">B34/$B$37</f>
        <v>0</v>
      </c>
      <c r="C50" s="365">
        <f t="shared" si="12"/>
        <v>0</v>
      </c>
      <c r="D50" s="365">
        <f t="shared" si="12"/>
        <v>0</v>
      </c>
      <c r="E50" s="365">
        <f t="shared" si="12"/>
        <v>0</v>
      </c>
      <c r="F50" s="365">
        <f t="shared" si="12"/>
        <v>0</v>
      </c>
      <c r="G50" s="365">
        <f t="shared" si="12"/>
        <v>0</v>
      </c>
      <c r="H50" s="365">
        <f t="shared" si="12"/>
        <v>0</v>
      </c>
      <c r="I50" s="364">
        <f>I34/$B$37</f>
        <v>0</v>
      </c>
      <c r="J50" s="47"/>
      <c r="O50" s="48" t="s">
        <v>162</v>
      </c>
    </row>
    <row r="51" spans="1:15" ht="15">
      <c r="O51" s="48" t="s">
        <v>367</v>
      </c>
    </row>
    <row r="52" spans="1:15" ht="15">
      <c r="O52" s="48" t="s">
        <v>208</v>
      </c>
    </row>
    <row r="53" spans="1:15" ht="15" hidden="1" outlineLevel="1">
      <c r="A53" s="43" t="s">
        <v>138</v>
      </c>
      <c r="O53" s="48" t="s">
        <v>163</v>
      </c>
    </row>
    <row r="54" spans="1:15" ht="15" hidden="1" outlineLevel="1">
      <c r="A54" s="3" t="s">
        <v>68</v>
      </c>
      <c r="B54" s="44">
        <f t="shared" ref="B54:G54" si="13">+B25</f>
        <v>0</v>
      </c>
      <c r="C54" s="44">
        <f t="shared" si="13"/>
        <v>0</v>
      </c>
      <c r="D54" s="44">
        <f t="shared" si="13"/>
        <v>0</v>
      </c>
      <c r="E54" s="44">
        <f t="shared" si="13"/>
        <v>0</v>
      </c>
      <c r="F54" s="44">
        <f t="shared" si="13"/>
        <v>0</v>
      </c>
      <c r="G54" s="44">
        <f t="shared" si="13"/>
        <v>0</v>
      </c>
      <c r="H54" s="44">
        <f>+H25</f>
        <v>0</v>
      </c>
      <c r="I54" s="44">
        <f t="shared" ref="I54" si="14">+I25</f>
        <v>0</v>
      </c>
      <c r="O54" s="48" t="s">
        <v>164</v>
      </c>
    </row>
    <row r="55" spans="1:15" ht="15" hidden="1" outlineLevel="1">
      <c r="A55" s="3" t="s">
        <v>135</v>
      </c>
      <c r="B55" s="44">
        <f t="shared" ref="B55:H55" si="15">B54/1.16</f>
        <v>0</v>
      </c>
      <c r="C55" s="44">
        <f t="shared" si="15"/>
        <v>0</v>
      </c>
      <c r="D55" s="44">
        <f t="shared" si="15"/>
        <v>0</v>
      </c>
      <c r="E55" s="44">
        <f t="shared" si="15"/>
        <v>0</v>
      </c>
      <c r="F55" s="44">
        <f t="shared" si="15"/>
        <v>0</v>
      </c>
      <c r="G55" s="44">
        <f t="shared" si="15"/>
        <v>0</v>
      </c>
      <c r="H55" s="44">
        <f t="shared" si="15"/>
        <v>0</v>
      </c>
      <c r="I55" s="44">
        <f>SUM(B55:H55)</f>
        <v>0</v>
      </c>
      <c r="O55" s="48" t="s">
        <v>301</v>
      </c>
    </row>
    <row r="56" spans="1:15" ht="15" hidden="1" outlineLevel="1">
      <c r="A56" s="3" t="s">
        <v>329</v>
      </c>
      <c r="B56" s="44">
        <f t="shared" ref="B56:H56" si="16">B54/1.16*0.16</f>
        <v>0</v>
      </c>
      <c r="C56" s="44">
        <f t="shared" si="16"/>
        <v>0</v>
      </c>
      <c r="D56" s="44">
        <f t="shared" si="16"/>
        <v>0</v>
      </c>
      <c r="E56" s="44">
        <f t="shared" si="16"/>
        <v>0</v>
      </c>
      <c r="F56" s="44">
        <f t="shared" si="16"/>
        <v>0</v>
      </c>
      <c r="G56" s="44">
        <f t="shared" si="16"/>
        <v>0</v>
      </c>
      <c r="H56" s="44">
        <f t="shared" si="16"/>
        <v>0</v>
      </c>
      <c r="I56" s="44">
        <f>SUM(B56:H56)</f>
        <v>0</v>
      </c>
      <c r="O56" s="48" t="s">
        <v>165</v>
      </c>
    </row>
    <row r="57" spans="1:15" ht="15" collapsed="1">
      <c r="O57" s="48" t="s">
        <v>166</v>
      </c>
    </row>
    <row r="58" spans="1:15" ht="15">
      <c r="O58" s="48" t="s">
        <v>167</v>
      </c>
    </row>
    <row r="59" spans="1:15" ht="15">
      <c r="O59" s="48" t="s">
        <v>265</v>
      </c>
    </row>
    <row r="60" spans="1:15" ht="15">
      <c r="O60" s="48" t="s">
        <v>168</v>
      </c>
    </row>
    <row r="61" spans="1:15" ht="15">
      <c r="O61" s="48" t="s">
        <v>266</v>
      </c>
    </row>
    <row r="62" spans="1:15" ht="15">
      <c r="O62" s="48" t="s">
        <v>169</v>
      </c>
    </row>
    <row r="63" spans="1:15" ht="15">
      <c r="O63" s="48" t="s">
        <v>170</v>
      </c>
    </row>
    <row r="64" spans="1:15" ht="15">
      <c r="O64" s="48" t="s">
        <v>171</v>
      </c>
    </row>
    <row r="65" spans="15:15" ht="15">
      <c r="O65" s="48" t="s">
        <v>363</v>
      </c>
    </row>
    <row r="66" spans="15:15" ht="15">
      <c r="O66" s="48" t="s">
        <v>172</v>
      </c>
    </row>
    <row r="67" spans="15:15" ht="15">
      <c r="O67" s="48" t="s">
        <v>173</v>
      </c>
    </row>
    <row r="68" spans="15:15" ht="15">
      <c r="O68" s="48" t="s">
        <v>174</v>
      </c>
    </row>
    <row r="69" spans="15:15" ht="15">
      <c r="O69" s="48" t="s">
        <v>175</v>
      </c>
    </row>
    <row r="70" spans="15:15" ht="15">
      <c r="O70" s="48" t="s">
        <v>312</v>
      </c>
    </row>
    <row r="71" spans="15:15" ht="15">
      <c r="O71" s="48" t="s">
        <v>176</v>
      </c>
    </row>
    <row r="72" spans="15:15" ht="15">
      <c r="O72" s="48" t="s">
        <v>177</v>
      </c>
    </row>
    <row r="73" spans="15:15" ht="15">
      <c r="O73" s="48" t="s">
        <v>353</v>
      </c>
    </row>
    <row r="74" spans="15:15" ht="15">
      <c r="O74" s="48" t="s">
        <v>178</v>
      </c>
    </row>
    <row r="75" spans="15:15" ht="15">
      <c r="O75" s="48" t="s">
        <v>207</v>
      </c>
    </row>
    <row r="76" spans="15:15" ht="15">
      <c r="O76" s="48" t="s">
        <v>179</v>
      </c>
    </row>
    <row r="77" spans="15:15" ht="15">
      <c r="O77" s="48" t="s">
        <v>180</v>
      </c>
    </row>
    <row r="78" spans="15:15" ht="15">
      <c r="O78" s="48" t="s">
        <v>181</v>
      </c>
    </row>
    <row r="79" spans="15:15" ht="15">
      <c r="O79" s="48" t="s">
        <v>262</v>
      </c>
    </row>
    <row r="80" spans="15:15" ht="15">
      <c r="O80" s="48" t="s">
        <v>182</v>
      </c>
    </row>
    <row r="81" spans="15:15" ht="15">
      <c r="O81" s="48" t="s">
        <v>370</v>
      </c>
    </row>
    <row r="82" spans="15:15" ht="15">
      <c r="O82" s="48" t="s">
        <v>183</v>
      </c>
    </row>
    <row r="83" spans="15:15" ht="15">
      <c r="O83" s="48" t="s">
        <v>184</v>
      </c>
    </row>
    <row r="84" spans="15:15" ht="15">
      <c r="O84" s="48" t="s">
        <v>210</v>
      </c>
    </row>
    <row r="85" spans="15:15" ht="15">
      <c r="O85" s="48" t="s">
        <v>263</v>
      </c>
    </row>
    <row r="86" spans="15:15" ht="15">
      <c r="O86" s="48" t="s">
        <v>313</v>
      </c>
    </row>
    <row r="87" spans="15:15" ht="15">
      <c r="O87" s="48" t="s">
        <v>330</v>
      </c>
    </row>
    <row r="88" spans="15:15" ht="15">
      <c r="O88" s="48" t="s">
        <v>267</v>
      </c>
    </row>
    <row r="89" spans="15:15" ht="15">
      <c r="O89" s="48" t="s">
        <v>272</v>
      </c>
    </row>
    <row r="90" spans="15:15" ht="15">
      <c r="O90" s="48" t="s">
        <v>314</v>
      </c>
    </row>
    <row r="91" spans="15:15" ht="15">
      <c r="O91" s="48" t="s">
        <v>185</v>
      </c>
    </row>
    <row r="92" spans="15:15" ht="15">
      <c r="O92" s="48" t="s">
        <v>186</v>
      </c>
    </row>
    <row r="93" spans="15:15" ht="15">
      <c r="O93" s="48" t="s">
        <v>187</v>
      </c>
    </row>
    <row r="94" spans="15:15" ht="15">
      <c r="O94" s="48" t="s">
        <v>188</v>
      </c>
    </row>
    <row r="95" spans="15:15" ht="15">
      <c r="O95" s="48" t="s">
        <v>189</v>
      </c>
    </row>
    <row r="96" spans="15:15" ht="15">
      <c r="O96" s="48" t="s">
        <v>190</v>
      </c>
    </row>
    <row r="97" spans="15:15" ht="15">
      <c r="O97" s="48" t="s">
        <v>191</v>
      </c>
    </row>
    <row r="98" spans="15:15" ht="15">
      <c r="O98" s="48" t="s">
        <v>368</v>
      </c>
    </row>
    <row r="99" spans="15:15" ht="15">
      <c r="O99" s="48" t="s">
        <v>317</v>
      </c>
    </row>
    <row r="100" spans="15:15" ht="15">
      <c r="O100" s="48" t="s">
        <v>273</v>
      </c>
    </row>
    <row r="101" spans="15:15" ht="15">
      <c r="O101" s="48" t="s">
        <v>274</v>
      </c>
    </row>
    <row r="102" spans="15:15" ht="15">
      <c r="O102" s="48" t="s">
        <v>275</v>
      </c>
    </row>
    <row r="103" spans="15:15" ht="15">
      <c r="O103" s="48" t="s">
        <v>276</v>
      </c>
    </row>
    <row r="104" spans="15:15" ht="15">
      <c r="O104" s="48" t="s">
        <v>326</v>
      </c>
    </row>
    <row r="105" spans="15:15" ht="15">
      <c r="O105" s="48" t="s">
        <v>348</v>
      </c>
    </row>
    <row r="106" spans="15:15" ht="15">
      <c r="O106" s="48" t="s">
        <v>347</v>
      </c>
    </row>
    <row r="107" spans="15:15" ht="15">
      <c r="O107" s="48" t="s">
        <v>346</v>
      </c>
    </row>
    <row r="108" spans="15:15" ht="15">
      <c r="O108" s="337" t="s">
        <v>345</v>
      </c>
    </row>
    <row r="109" spans="15:15" ht="16.5" customHeight="1">
      <c r="O109" s="48" t="s">
        <v>344</v>
      </c>
    </row>
    <row r="110" spans="15:15" ht="16.5" customHeight="1">
      <c r="O110" s="48" t="s">
        <v>315</v>
      </c>
    </row>
    <row r="111" spans="15:15" ht="15">
      <c r="O111" s="48" t="s">
        <v>192</v>
      </c>
    </row>
    <row r="112" spans="15:15" ht="15">
      <c r="O112" s="48" t="s">
        <v>193</v>
      </c>
    </row>
    <row r="113" spans="15:15" ht="15">
      <c r="O113" s="48" t="s">
        <v>277</v>
      </c>
    </row>
    <row r="114" spans="15:15" ht="15">
      <c r="O114" s="48" t="s">
        <v>194</v>
      </c>
    </row>
    <row r="115" spans="15:15" ht="15">
      <c r="O115" s="48" t="s">
        <v>268</v>
      </c>
    </row>
    <row r="116" spans="15:15" ht="15">
      <c r="O116" s="48" t="s">
        <v>316</v>
      </c>
    </row>
    <row r="117" spans="15:15" ht="15">
      <c r="O117" s="48" t="s">
        <v>195</v>
      </c>
    </row>
    <row r="118" spans="15:15" ht="15">
      <c r="O118" s="48" t="s">
        <v>196</v>
      </c>
    </row>
    <row r="119" spans="15:15" ht="15">
      <c r="O119" s="48" t="s">
        <v>197</v>
      </c>
    </row>
    <row r="120" spans="15:15" ht="15">
      <c r="O120" s="48" t="s">
        <v>198</v>
      </c>
    </row>
    <row r="121" spans="15:15" ht="15">
      <c r="O121" s="48" t="s">
        <v>324</v>
      </c>
    </row>
    <row r="122" spans="15:15" ht="15">
      <c r="O122" s="48" t="s">
        <v>327</v>
      </c>
    </row>
    <row r="123" spans="15:15" ht="15">
      <c r="O123" s="48" t="s">
        <v>199</v>
      </c>
    </row>
    <row r="124" spans="15:15" ht="15">
      <c r="O124" s="48" t="s">
        <v>200</v>
      </c>
    </row>
    <row r="125" spans="15:15" ht="15">
      <c r="O125" s="48" t="s">
        <v>201</v>
      </c>
    </row>
    <row r="126" spans="15:15" ht="15">
      <c r="O126" s="48" t="s">
        <v>328</v>
      </c>
    </row>
    <row r="127" spans="15:15" ht="15">
      <c r="O127" s="48" t="s">
        <v>211</v>
      </c>
    </row>
    <row r="128" spans="15:15" ht="15">
      <c r="O128" s="48" t="s">
        <v>369</v>
      </c>
    </row>
    <row r="129" spans="15:15" ht="15">
      <c r="O129" s="48" t="s">
        <v>202</v>
      </c>
    </row>
    <row r="130" spans="15:15" ht="15">
      <c r="O130" s="48" t="s">
        <v>203</v>
      </c>
    </row>
    <row r="131" spans="15:15" ht="15">
      <c r="O131" s="48" t="s">
        <v>204</v>
      </c>
    </row>
    <row r="132" spans="15:15" ht="15">
      <c r="O132" s="48" t="s">
        <v>205</v>
      </c>
    </row>
    <row r="133" spans="15:15" ht="15">
      <c r="O133" s="48" t="s">
        <v>206</v>
      </c>
    </row>
    <row r="134" spans="15:15" ht="15">
      <c r="O134" s="48" t="s">
        <v>372</v>
      </c>
    </row>
    <row r="135" spans="15:15" ht="15">
      <c r="O135" s="48" t="s">
        <v>278</v>
      </c>
    </row>
    <row r="136" spans="15:15" ht="15">
      <c r="O136" s="48" t="s">
        <v>279</v>
      </c>
    </row>
    <row r="144" spans="15:15" ht="15">
      <c r="O144" s="48"/>
    </row>
    <row r="145" spans="15:15" ht="15">
      <c r="O145" s="48"/>
    </row>
    <row r="146" spans="15:15" ht="15">
      <c r="O146" s="48"/>
    </row>
    <row r="147" spans="15:15" ht="15">
      <c r="O147" s="48"/>
    </row>
    <row r="148" spans="15:15" ht="15">
      <c r="O148" s="48"/>
    </row>
    <row r="149" spans="15:15" ht="15">
      <c r="O149" s="48"/>
    </row>
    <row r="150" spans="15:15" ht="15">
      <c r="O150" s="48"/>
    </row>
    <row r="151" spans="15:15" ht="15">
      <c r="O151" s="48"/>
    </row>
    <row r="152" spans="15:15" ht="15">
      <c r="O152" s="48"/>
    </row>
    <row r="153" spans="15:15" ht="15">
      <c r="O153" s="48"/>
    </row>
    <row r="154" spans="15:15" ht="15">
      <c r="O154" s="48"/>
    </row>
    <row r="155" spans="15:15" ht="15">
      <c r="O155" s="48"/>
    </row>
    <row r="156" spans="15:15" ht="15">
      <c r="O156" s="48"/>
    </row>
    <row r="157" spans="15:15" ht="15">
      <c r="O157" s="48"/>
    </row>
    <row r="158" spans="15:15" ht="15">
      <c r="O158" s="48"/>
    </row>
    <row r="159" spans="15:15" ht="15">
      <c r="O159" s="48"/>
    </row>
    <row r="160" spans="15:15" ht="15">
      <c r="O160" s="48"/>
    </row>
    <row r="161" spans="15:15" ht="15">
      <c r="O161" s="48"/>
    </row>
    <row r="162" spans="15:15" ht="15">
      <c r="O162" s="48"/>
    </row>
    <row r="163" spans="15:15" ht="15">
      <c r="O163" s="48"/>
    </row>
    <row r="164" spans="15:15" ht="15">
      <c r="O164" s="48"/>
    </row>
    <row r="165" spans="15:15" ht="15">
      <c r="O165" s="48"/>
    </row>
    <row r="166" spans="15:15" ht="15">
      <c r="O166" s="48"/>
    </row>
    <row r="167" spans="15:15" ht="15">
      <c r="O167" s="48"/>
    </row>
    <row r="168" spans="15:15" ht="15">
      <c r="O168" s="48"/>
    </row>
    <row r="169" spans="15:15" ht="15">
      <c r="O169" s="48"/>
    </row>
    <row r="170" spans="15:15" ht="15">
      <c r="O170" s="48"/>
    </row>
    <row r="171" spans="15:15" ht="15">
      <c r="O171" s="48"/>
    </row>
    <row r="172" spans="15:15" ht="15">
      <c r="O172" s="48"/>
    </row>
    <row r="173" spans="15:15" ht="15">
      <c r="O173" s="48"/>
    </row>
    <row r="174" spans="15:15" ht="15">
      <c r="O174" s="48"/>
    </row>
    <row r="175" spans="15:15" ht="15">
      <c r="O175" s="48"/>
    </row>
    <row r="176" spans="15:15" ht="15">
      <c r="O176" s="48"/>
    </row>
    <row r="177" spans="15:15" ht="15">
      <c r="O177" s="48"/>
    </row>
    <row r="178" spans="15:15" ht="15">
      <c r="O178" s="48"/>
    </row>
    <row r="179" spans="15:15" ht="15">
      <c r="O179" s="48"/>
    </row>
    <row r="180" spans="15:15" ht="15">
      <c r="O180" s="48"/>
    </row>
    <row r="181" spans="15:15" ht="15">
      <c r="O181" s="48"/>
    </row>
    <row r="182" spans="15:15" ht="15">
      <c r="O182" s="48"/>
    </row>
    <row r="183" spans="15:15" ht="15">
      <c r="O183" s="48"/>
    </row>
    <row r="184" spans="15:15" ht="15">
      <c r="O184" s="48"/>
    </row>
    <row r="185" spans="15:15" ht="15">
      <c r="O185" s="48"/>
    </row>
    <row r="186" spans="15:15" ht="15">
      <c r="O186" s="48"/>
    </row>
    <row r="187" spans="15:15" ht="15">
      <c r="O187" s="48"/>
    </row>
    <row r="188" spans="15:15" ht="15">
      <c r="O188" s="48"/>
    </row>
    <row r="189" spans="15:15" ht="15">
      <c r="O189" s="48"/>
    </row>
    <row r="190" spans="15:15" ht="15">
      <c r="O190" s="48"/>
    </row>
    <row r="191" spans="15:15" ht="15">
      <c r="O191" s="48"/>
    </row>
    <row r="192" spans="15:15" ht="15">
      <c r="O192" s="48"/>
    </row>
    <row r="193" spans="15:15" ht="15">
      <c r="O193" s="48"/>
    </row>
    <row r="194" spans="15:15" ht="15">
      <c r="O194" s="48"/>
    </row>
    <row r="195" spans="15:15" ht="15">
      <c r="O195" s="48"/>
    </row>
    <row r="196" spans="15:15" ht="15">
      <c r="O196" s="48"/>
    </row>
    <row r="197" spans="15:15" ht="15">
      <c r="O197" s="48"/>
    </row>
    <row r="198" spans="15:15" ht="15">
      <c r="O198" s="48"/>
    </row>
    <row r="199" spans="15:15" ht="15">
      <c r="O199" s="48"/>
    </row>
    <row r="200" spans="15:15" ht="15">
      <c r="O200" s="48"/>
    </row>
    <row r="201" spans="15:15" ht="15">
      <c r="O201" s="48"/>
    </row>
    <row r="202" spans="15:15" ht="15">
      <c r="O202" s="48"/>
    </row>
    <row r="203" spans="15:15" ht="15">
      <c r="O203" s="48"/>
    </row>
    <row r="204" spans="15:15" ht="15">
      <c r="O204" s="48"/>
    </row>
    <row r="205" spans="15:15" ht="15">
      <c r="O205" s="48"/>
    </row>
    <row r="206" spans="15:15" ht="15">
      <c r="O206" s="48"/>
    </row>
    <row r="207" spans="15:15" ht="15">
      <c r="O207" s="48"/>
    </row>
    <row r="208" spans="15:15" ht="15">
      <c r="O208" s="48"/>
    </row>
    <row r="209" spans="15:15" ht="15">
      <c r="O209" s="48"/>
    </row>
    <row r="210" spans="15:15" ht="15">
      <c r="O210" s="48"/>
    </row>
    <row r="211" spans="15:15" ht="15">
      <c r="O211" s="48"/>
    </row>
    <row r="212" spans="15:15" ht="15">
      <c r="O212" s="48"/>
    </row>
    <row r="213" spans="15:15" ht="15">
      <c r="O213" s="48"/>
    </row>
    <row r="214" spans="15:15" ht="15">
      <c r="O214" s="48"/>
    </row>
    <row r="215" spans="15:15" ht="15">
      <c r="O215" s="48"/>
    </row>
    <row r="216" spans="15:15" ht="15">
      <c r="O216" s="48"/>
    </row>
    <row r="217" spans="15:15" ht="15">
      <c r="O217" s="48"/>
    </row>
    <row r="218" spans="15:15" ht="15">
      <c r="O218" s="48"/>
    </row>
    <row r="219" spans="15:15" ht="15">
      <c r="O219" s="48"/>
    </row>
    <row r="220" spans="15:15" ht="15">
      <c r="O220" s="48"/>
    </row>
    <row r="221" spans="15:15" ht="15">
      <c r="O221" s="48"/>
    </row>
    <row r="222" spans="15:15" ht="15">
      <c r="O222" s="48"/>
    </row>
    <row r="223" spans="15:15" ht="15">
      <c r="O223" s="48"/>
    </row>
    <row r="224" spans="15:15" ht="15">
      <c r="O224" s="48"/>
    </row>
    <row r="225" spans="15:15" ht="15">
      <c r="O225" s="48"/>
    </row>
    <row r="226" spans="15:15" ht="15">
      <c r="O226" s="48"/>
    </row>
  </sheetData>
  <sheetProtection algorithmName="SHA-512" hashValue="ebwo4his34kvrpabXEQpUTG5kqEeAMvE4BHg31XBVcxGM9ZMb++WV6cyshFJ/huhGNCMJF9kF+5JYoNBPMXCzw==" saltValue="j+pQN7EPW9Y8jlpGlCgINw==" spinCount="100000" sheet="1" objects="1" scenarios="1"/>
  <mergeCells count="16">
    <mergeCell ref="A1:I1"/>
    <mergeCell ref="C9:D9"/>
    <mergeCell ref="C2:D2"/>
    <mergeCell ref="C3:D3"/>
    <mergeCell ref="B39:H39"/>
    <mergeCell ref="C5:D5"/>
    <mergeCell ref="C8:D8"/>
    <mergeCell ref="C17:D17"/>
    <mergeCell ref="C19:D19"/>
    <mergeCell ref="C10:D10"/>
    <mergeCell ref="C11:D11"/>
    <mergeCell ref="C13:D13"/>
    <mergeCell ref="C14:D14"/>
    <mergeCell ref="C15:D15"/>
    <mergeCell ref="B23:H23"/>
    <mergeCell ref="B7:D7"/>
  </mergeCells>
  <phoneticPr fontId="10" type="noConversion"/>
  <dataValidations count="8">
    <dataValidation type="list" allowBlank="1" showInputMessage="1" showErrorMessage="1" sqref="B13 B15">
      <formula1>$O$11:$O$12</formula1>
    </dataValidation>
    <dataValidation type="list" allowBlank="1" showInputMessage="1" showErrorMessage="1" sqref="B5:B6">
      <formula1>$O$3:$O$8</formula1>
    </dataValidation>
    <dataValidation type="list" allowBlank="1" showInputMessage="1" showErrorMessage="1" sqref="B36">
      <formula1>$O$36:$O$37</formula1>
    </dataValidation>
    <dataValidation type="list" allowBlank="1" showInputMessage="1" showErrorMessage="1" sqref="L13">
      <formula1>$O$14:$O$18</formula1>
    </dataValidation>
    <dataValidation type="list" allowBlank="1" showInputMessage="1" showErrorMessage="1" sqref="F58">
      <formula1>"a,b,c"</formula1>
    </dataValidation>
    <dataValidation type="list" allowBlank="1" showInputMessage="1" showErrorMessage="1" sqref="K13">
      <formula1>"ja, nein, vielleicht"</formula1>
    </dataValidation>
    <dataValidation type="list" allowBlank="1" showInputMessage="1" showErrorMessage="1" sqref="H17">
      <formula1>Checked</formula1>
    </dataValidation>
    <dataValidation type="list" allowBlank="1" showInputMessage="1" showErrorMessage="1" sqref="B19">
      <formula1>$O$40:$O$136</formula1>
    </dataValidation>
  </dataValidations>
  <pageMargins left="0.39370078740157483" right="0.19685039370078741" top="0.31496062992125984" bottom="0.31496062992125984" header="0.19685039370078741" footer="0.19685039370078741"/>
  <pageSetup paperSize="9" scale="60" orientation="landscape" r:id="rId1"/>
  <headerFooter alignWithMargins="0">
    <oddFooter>&amp;L&amp;8&amp;F, &amp;A, 11.07.2019 / AG</oddFooter>
  </headerFooter>
  <ignoredErrors>
    <ignoredError sqref="I46"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D41"/>
  <sheetViews>
    <sheetView showGridLines="0" zoomScaleNormal="100" workbookViewId="0">
      <selection activeCell="C12" sqref="C12"/>
    </sheetView>
  </sheetViews>
  <sheetFormatPr baseColWidth="10" defaultColWidth="9.140625" defaultRowHeight="12.75"/>
  <cols>
    <col min="1" max="1" width="4" style="3" customWidth="1"/>
    <col min="2" max="2" width="4.7109375" style="102" customWidth="1"/>
    <col min="3" max="3" width="49.5703125" style="41" customWidth="1"/>
    <col min="4" max="4" width="13.7109375" style="103" bestFit="1" customWidth="1"/>
    <col min="5" max="16384" width="9.140625" style="3"/>
  </cols>
  <sheetData>
    <row r="1" spans="2:4" ht="33" customHeight="1">
      <c r="B1" s="393" t="s">
        <v>62</v>
      </c>
      <c r="C1" s="394"/>
      <c r="D1" s="395"/>
    </row>
    <row r="2" spans="2:4" s="107" customFormat="1" ht="15">
      <c r="B2" s="104" t="s">
        <v>65</v>
      </c>
      <c r="C2" s="105" t="s">
        <v>66</v>
      </c>
      <c r="D2" s="106" t="s">
        <v>133</v>
      </c>
    </row>
    <row r="3" spans="2:4" s="48" customFormat="1" ht="15">
      <c r="B3" s="108">
        <v>1</v>
      </c>
      <c r="C3" s="109"/>
      <c r="D3" s="110"/>
    </row>
    <row r="4" spans="2:4" s="48" customFormat="1" ht="15">
      <c r="B4" s="108">
        <v>2</v>
      </c>
      <c r="C4" s="305"/>
      <c r="D4" s="110"/>
    </row>
    <row r="5" spans="2:4" s="48" customFormat="1" ht="15">
      <c r="B5" s="108">
        <v>3</v>
      </c>
      <c r="C5" s="109"/>
      <c r="D5" s="110"/>
    </row>
    <row r="6" spans="2:4" s="48" customFormat="1" ht="15">
      <c r="B6" s="108">
        <v>4</v>
      </c>
      <c r="C6" s="109"/>
      <c r="D6" s="110"/>
    </row>
    <row r="7" spans="2:4" s="48" customFormat="1" ht="15">
      <c r="B7" s="108">
        <v>5</v>
      </c>
      <c r="C7" s="109"/>
      <c r="D7" s="110"/>
    </row>
    <row r="8" spans="2:4" s="48" customFormat="1" ht="15.75" thickBot="1">
      <c r="B8" s="111"/>
      <c r="C8" s="112" t="s">
        <v>68</v>
      </c>
      <c r="D8" s="113">
        <f>SUM(D3:D7)</f>
        <v>0</v>
      </c>
    </row>
    <row r="9" spans="2:4" ht="13.5" thickBot="1">
      <c r="B9" s="100"/>
      <c r="C9" s="40"/>
      <c r="D9" s="101"/>
    </row>
    <row r="10" spans="2:4" ht="33" customHeight="1">
      <c r="B10" s="393" t="s">
        <v>53</v>
      </c>
      <c r="C10" s="394"/>
      <c r="D10" s="395"/>
    </row>
    <row r="11" spans="2:4" s="107" customFormat="1" ht="15">
      <c r="B11" s="104" t="s">
        <v>65</v>
      </c>
      <c r="C11" s="105" t="s">
        <v>66</v>
      </c>
      <c r="D11" s="106" t="s">
        <v>133</v>
      </c>
    </row>
    <row r="12" spans="2:4" s="48" customFormat="1" ht="15">
      <c r="B12" s="108">
        <v>1</v>
      </c>
      <c r="C12" s="109"/>
      <c r="D12" s="110"/>
    </row>
    <row r="13" spans="2:4" s="48" customFormat="1" ht="15">
      <c r="B13" s="108">
        <v>2</v>
      </c>
      <c r="C13" s="109"/>
      <c r="D13" s="110"/>
    </row>
    <row r="14" spans="2:4" s="48" customFormat="1" ht="15">
      <c r="B14" s="108">
        <v>3</v>
      </c>
      <c r="C14" s="109"/>
      <c r="D14" s="110"/>
    </row>
    <row r="15" spans="2:4" s="48" customFormat="1" ht="15">
      <c r="B15" s="108">
        <v>4</v>
      </c>
      <c r="C15" s="109"/>
      <c r="D15" s="110"/>
    </row>
    <row r="16" spans="2:4" s="48" customFormat="1" ht="15">
      <c r="B16" s="108">
        <v>5</v>
      </c>
      <c r="C16" s="109"/>
      <c r="D16" s="110"/>
    </row>
    <row r="17" spans="2:4" s="48" customFormat="1" ht="15">
      <c r="B17" s="108">
        <v>6</v>
      </c>
      <c r="C17" s="109"/>
      <c r="D17" s="110"/>
    </row>
    <row r="18" spans="2:4" s="48" customFormat="1" ht="15">
      <c r="B18" s="108">
        <v>7</v>
      </c>
      <c r="C18" s="109"/>
      <c r="D18" s="110"/>
    </row>
    <row r="19" spans="2:4" s="48" customFormat="1" ht="15">
      <c r="B19" s="108">
        <v>8</v>
      </c>
      <c r="C19" s="109"/>
      <c r="D19" s="110"/>
    </row>
    <row r="20" spans="2:4" s="48" customFormat="1" ht="15.75" thickBot="1">
      <c r="B20" s="111"/>
      <c r="C20" s="112" t="s">
        <v>68</v>
      </c>
      <c r="D20" s="113">
        <f>SUM(D12:D19)</f>
        <v>0</v>
      </c>
    </row>
    <row r="21" spans="2:4" ht="13.5" thickBot="1">
      <c r="B21" s="100"/>
      <c r="C21" s="40"/>
      <c r="D21" s="101"/>
    </row>
    <row r="22" spans="2:4" ht="33" customHeight="1">
      <c r="B22" s="393" t="s">
        <v>63</v>
      </c>
      <c r="C22" s="394"/>
      <c r="D22" s="395"/>
    </row>
    <row r="23" spans="2:4" s="107" customFormat="1" ht="15">
      <c r="B23" s="104" t="s">
        <v>65</v>
      </c>
      <c r="C23" s="105" t="s">
        <v>67</v>
      </c>
      <c r="D23" s="106" t="s">
        <v>133</v>
      </c>
    </row>
    <row r="24" spans="2:4" s="48" customFormat="1" ht="15">
      <c r="B24" s="108">
        <v>1</v>
      </c>
      <c r="C24" s="109"/>
      <c r="D24" s="110"/>
    </row>
    <row r="25" spans="2:4" s="48" customFormat="1" ht="15">
      <c r="B25" s="108">
        <v>2</v>
      </c>
      <c r="C25" s="109"/>
      <c r="D25" s="110"/>
    </row>
    <row r="26" spans="2:4" s="48" customFormat="1" ht="15">
      <c r="B26" s="108">
        <v>3</v>
      </c>
      <c r="C26" s="109"/>
      <c r="D26" s="110"/>
    </row>
    <row r="27" spans="2:4" s="48" customFormat="1" ht="15">
      <c r="B27" s="108">
        <v>4</v>
      </c>
      <c r="C27" s="109"/>
      <c r="D27" s="110"/>
    </row>
    <row r="28" spans="2:4" s="48" customFormat="1" ht="15">
      <c r="B28" s="108">
        <v>5</v>
      </c>
      <c r="C28" s="109"/>
      <c r="D28" s="110"/>
    </row>
    <row r="29" spans="2:4" s="48" customFormat="1" ht="15">
      <c r="B29" s="108">
        <v>6</v>
      </c>
      <c r="C29" s="109"/>
      <c r="D29" s="110"/>
    </row>
    <row r="30" spans="2:4" s="48" customFormat="1" ht="15">
      <c r="B30" s="108">
        <v>7</v>
      </c>
      <c r="C30" s="109"/>
      <c r="D30" s="110"/>
    </row>
    <row r="31" spans="2:4" s="48" customFormat="1" ht="15">
      <c r="B31" s="108">
        <v>8</v>
      </c>
      <c r="C31" s="109"/>
      <c r="D31" s="110"/>
    </row>
    <row r="32" spans="2:4" s="48" customFormat="1" ht="15.75" thickBot="1">
      <c r="B32" s="111"/>
      <c r="C32" s="112" t="s">
        <v>68</v>
      </c>
      <c r="D32" s="113">
        <f>SUM(D24:D31)</f>
        <v>0</v>
      </c>
    </row>
    <row r="33" spans="2:4" ht="13.5" thickBot="1">
      <c r="B33" s="100"/>
      <c r="C33" s="40"/>
      <c r="D33" s="101"/>
    </row>
    <row r="34" spans="2:4" ht="33" customHeight="1">
      <c r="B34" s="393" t="s">
        <v>300</v>
      </c>
      <c r="C34" s="394"/>
      <c r="D34" s="395"/>
    </row>
    <row r="35" spans="2:4" s="48" customFormat="1" ht="15">
      <c r="B35" s="104" t="s">
        <v>65</v>
      </c>
      <c r="C35" s="105" t="s">
        <v>67</v>
      </c>
      <c r="D35" s="106" t="s">
        <v>133</v>
      </c>
    </row>
    <row r="36" spans="2:4" s="48" customFormat="1" ht="15">
      <c r="B36" s="108">
        <v>1</v>
      </c>
      <c r="C36" s="109"/>
      <c r="D36" s="110"/>
    </row>
    <row r="37" spans="2:4" s="48" customFormat="1" ht="15">
      <c r="B37" s="108">
        <v>2</v>
      </c>
      <c r="C37" s="109"/>
      <c r="D37" s="110"/>
    </row>
    <row r="38" spans="2:4" s="48" customFormat="1" ht="15">
      <c r="B38" s="108">
        <v>3</v>
      </c>
      <c r="C38" s="109"/>
      <c r="D38" s="110"/>
    </row>
    <row r="39" spans="2:4" s="48" customFormat="1" ht="15">
      <c r="B39" s="114">
        <v>4</v>
      </c>
      <c r="C39" s="115"/>
      <c r="D39" s="116"/>
    </row>
    <row r="40" spans="2:4" s="48" customFormat="1" ht="15">
      <c r="B40" s="114">
        <v>5</v>
      </c>
      <c r="C40" s="115"/>
      <c r="D40" s="116"/>
    </row>
    <row r="41" spans="2:4" s="48" customFormat="1" ht="15.75" thickBot="1">
      <c r="B41" s="111"/>
      <c r="C41" s="112" t="s">
        <v>68</v>
      </c>
      <c r="D41" s="113">
        <f>SUM(D36:D40)</f>
        <v>0</v>
      </c>
    </row>
  </sheetData>
  <sheetProtection password="C7AC" sheet="1" objects="1" scenarios="1"/>
  <mergeCells count="4">
    <mergeCell ref="B34:D34"/>
    <mergeCell ref="B1:D1"/>
    <mergeCell ref="B10:D10"/>
    <mergeCell ref="B22:D22"/>
  </mergeCells>
  <phoneticPr fontId="10" type="noConversion"/>
  <pageMargins left="0.78740157480314965" right="0.19685039370078741" top="0.59055118110236227" bottom="0.39370078740157483" header="0.31496062992125984" footer="0.19685039370078741"/>
  <pageSetup paperSize="9" orientation="portrait" r:id="rId1"/>
  <headerFooter alignWithMargins="0">
    <oddHeader>&amp;L&amp;"Arial,Fett"&amp;12Various Cost Planning</oddHeader>
    <oddFooter>&amp;L&amp;8&amp;F, &amp;A, 11.07.2019 / AG</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92D050"/>
    <pageSetUpPr fitToPage="1"/>
  </sheetPr>
  <dimension ref="A1:AE83"/>
  <sheetViews>
    <sheetView showGridLines="0" zoomScaleNormal="100" workbookViewId="0">
      <selection activeCell="A5" sqref="A5"/>
    </sheetView>
  </sheetViews>
  <sheetFormatPr baseColWidth="10" defaultColWidth="9.140625" defaultRowHeight="12.75" outlineLevelRow="1" outlineLevelCol="1"/>
  <cols>
    <col min="1" max="1" width="21.7109375" style="3" customWidth="1"/>
    <col min="2" max="2" width="8.140625" style="3" bestFit="1" customWidth="1"/>
    <col min="3" max="3" width="11.28515625" style="44" customWidth="1"/>
    <col min="4" max="4" width="17"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5.5703125" style="120" bestFit="1" customWidth="1"/>
    <col min="15" max="15" width="8.5703125" style="3" bestFit="1" customWidth="1"/>
    <col min="16" max="16" width="17" style="3" bestFit="1" customWidth="1"/>
    <col min="17" max="17" width="5.5703125" style="120" bestFit="1" customWidth="1"/>
    <col min="18" max="18" width="8.5703125" style="3" bestFit="1" customWidth="1"/>
    <col min="19" max="19" width="17" style="3" bestFit="1" customWidth="1"/>
    <col min="20" max="20" width="5.5703125" style="3" hidden="1" customWidth="1" outlineLevel="1"/>
    <col min="21" max="21" width="9.85546875" style="3" hidden="1" customWidth="1" outlineLevel="1"/>
    <col min="22" max="22" width="17" style="3" hidden="1" customWidth="1" outlineLevel="1"/>
    <col min="23" max="23" width="14.7109375" style="3" bestFit="1" customWidth="1" collapsed="1"/>
    <col min="24" max="24" width="19.85546875" style="3" customWidth="1"/>
    <col min="25" max="25" width="16.140625" style="3" hidden="1" customWidth="1" outlineLevel="1"/>
    <col min="26" max="26" width="11.85546875" style="3" hidden="1" customWidth="1" outlineLevel="1"/>
    <col min="27" max="27" width="9.140625" style="3" hidden="1" customWidth="1" outlineLevel="1"/>
    <col min="28" max="28" width="10.85546875" style="3" hidden="1" customWidth="1" outlineLevel="1"/>
    <col min="29" max="29" width="9.140625" style="262" hidden="1" customWidth="1" outlineLevel="1"/>
    <col min="30" max="30" width="9.140625" style="3" hidden="1" customWidth="1" outlineLevel="1"/>
    <col min="31" max="31" width="9.140625" style="3" customWidth="1" collapsed="1"/>
    <col min="32" max="16384" width="9.140625" style="3"/>
  </cols>
  <sheetData>
    <row r="1" spans="1:31" ht="23.25">
      <c r="A1" s="119" t="s">
        <v>89</v>
      </c>
    </row>
    <row r="2" spans="1:31" s="123" customFormat="1" ht="15">
      <c r="A2" s="121" t="s">
        <v>12</v>
      </c>
      <c r="B2" s="396" t="s">
        <v>13</v>
      </c>
      <c r="C2" s="396"/>
      <c r="D2" s="122"/>
      <c r="G2" s="122"/>
      <c r="J2" s="122"/>
      <c r="K2" s="124"/>
      <c r="L2" s="124"/>
      <c r="M2" s="122"/>
      <c r="N2" s="125"/>
      <c r="O2" s="124"/>
      <c r="P2" s="122"/>
      <c r="Q2" s="125"/>
      <c r="R2" s="124"/>
      <c r="S2" s="122"/>
      <c r="T2" s="124"/>
      <c r="U2" s="124"/>
      <c r="V2" s="122"/>
      <c r="W2" s="124"/>
      <c r="Y2" s="123" t="s">
        <v>30</v>
      </c>
      <c r="Z2" s="126">
        <v>43466</v>
      </c>
    </row>
    <row r="3" spans="1:31" s="48" customFormat="1" ht="15">
      <c r="A3" s="123"/>
      <c r="B3" s="396" t="s">
        <v>24</v>
      </c>
      <c r="C3" s="396"/>
      <c r="D3" s="127" t="s">
        <v>42</v>
      </c>
      <c r="E3" s="123"/>
      <c r="F3" s="123"/>
      <c r="G3" s="123"/>
      <c r="H3" s="123"/>
      <c r="I3" s="123"/>
      <c r="J3" s="123"/>
      <c r="K3" s="124"/>
      <c r="L3" s="124"/>
      <c r="M3" s="124"/>
      <c r="N3" s="125"/>
      <c r="O3" s="124"/>
      <c r="P3" s="124"/>
      <c r="Q3" s="125"/>
      <c r="R3" s="124"/>
      <c r="S3" s="124"/>
      <c r="T3" s="124"/>
      <c r="U3" s="124"/>
      <c r="V3" s="124"/>
      <c r="W3" s="124"/>
      <c r="X3" s="123"/>
      <c r="AD3" s="123"/>
      <c r="AE3" s="123"/>
    </row>
    <row r="4" spans="1:31" s="48" customFormat="1" ht="15" customHeight="1">
      <c r="A4" s="131" t="s">
        <v>47</v>
      </c>
      <c r="B4" s="396" t="s">
        <v>23</v>
      </c>
      <c r="C4" s="396"/>
      <c r="D4" s="128" t="s">
        <v>29</v>
      </c>
      <c r="K4" s="128"/>
      <c r="L4" s="128"/>
      <c r="M4" s="128"/>
      <c r="N4" s="129"/>
      <c r="O4" s="128"/>
      <c r="P4" s="128"/>
      <c r="Q4" s="129"/>
      <c r="R4" s="128"/>
      <c r="S4" s="128"/>
      <c r="T4" s="128"/>
      <c r="U4" s="128"/>
      <c r="V4" s="128"/>
      <c r="W4" s="128"/>
      <c r="Y4" s="48" t="s">
        <v>14</v>
      </c>
      <c r="Z4" s="48">
        <v>50800</v>
      </c>
    </row>
    <row r="5" spans="1:31" s="48" customFormat="1" ht="15">
      <c r="A5" s="132"/>
      <c r="B5" s="396" t="s">
        <v>0</v>
      </c>
      <c r="C5" s="396"/>
      <c r="D5" s="133"/>
      <c r="N5" s="129"/>
      <c r="Q5" s="129"/>
      <c r="Y5" s="48" t="s">
        <v>15</v>
      </c>
      <c r="Z5" s="48">
        <v>54400</v>
      </c>
    </row>
    <row r="6" spans="1:31" s="48" customFormat="1" ht="15">
      <c r="B6" s="396" t="s">
        <v>3</v>
      </c>
      <c r="C6" s="396"/>
      <c r="D6" s="134"/>
      <c r="N6" s="129"/>
      <c r="Q6" s="129"/>
      <c r="Y6" s="48" t="s">
        <v>22</v>
      </c>
      <c r="Z6" s="48">
        <v>58000</v>
      </c>
    </row>
    <row r="7" spans="1:31" s="48" customFormat="1" ht="15" customHeight="1">
      <c r="B7" s="396" t="s">
        <v>36</v>
      </c>
      <c r="C7" s="396"/>
      <c r="D7" s="134"/>
      <c r="N7" s="129"/>
      <c r="Q7" s="129"/>
      <c r="Y7" s="48" t="s">
        <v>16</v>
      </c>
      <c r="Z7" s="48">
        <v>85000</v>
      </c>
    </row>
    <row r="8" spans="1:31" s="48" customFormat="1" ht="15" customHeight="1">
      <c r="B8" s="396" t="s">
        <v>37</v>
      </c>
      <c r="C8" s="396"/>
      <c r="D8" s="134"/>
      <c r="N8" s="129"/>
      <c r="Q8" s="129"/>
      <c r="Y8" s="48" t="s">
        <v>17</v>
      </c>
      <c r="Z8" s="48">
        <v>88000</v>
      </c>
      <c r="AC8" s="282"/>
    </row>
    <row r="9" spans="1:31" s="48" customFormat="1" ht="15">
      <c r="B9" s="285" t="s">
        <v>283</v>
      </c>
      <c r="C9" s="285"/>
      <c r="D9" s="298" t="s">
        <v>284</v>
      </c>
      <c r="N9" s="129"/>
      <c r="Q9" s="129"/>
      <c r="Y9" s="48" t="s">
        <v>18</v>
      </c>
      <c r="Z9" s="48">
        <v>92000</v>
      </c>
      <c r="AC9" s="282"/>
    </row>
    <row r="10" spans="1:31" s="330" customFormat="1" ht="15.75" thickBot="1">
      <c r="C10" s="331"/>
      <c r="N10" s="332"/>
      <c r="Q10" s="332"/>
      <c r="Y10" s="330" t="s">
        <v>44</v>
      </c>
      <c r="Z10" s="351">
        <v>103005</v>
      </c>
      <c r="AC10" s="333"/>
    </row>
    <row r="11" spans="1:31" s="48" customFormat="1" ht="15">
      <c r="A11" s="107" t="s">
        <v>293</v>
      </c>
      <c r="B11" s="188">
        <v>1</v>
      </c>
      <c r="C11" s="136">
        <f>IF(D2=$Y$4,$Z$4,IF(D2=$Y$5,$Z$5,IF(D2=$Y$6,$Z$6,IF(D2=$Y$7,$Z$7,IF(D2=$Y$8,$Z$8,IF(D2=$Y$9,$Z$9,IF(D2=$Y$10,$Z$10,IF(D2=$Y$11,$Z$11,0))))))))</f>
        <v>0</v>
      </c>
      <c r="D11" s="293">
        <f>+C11/12</f>
        <v>0</v>
      </c>
      <c r="E11" s="188">
        <f>+B11</f>
        <v>1</v>
      </c>
      <c r="F11" s="136">
        <f>IF(G2=$Y$4,$Z$4,IF(G2=$Y$5,$Z$5,IF(G2=$Y$6,$Z$6,IF(G2=$Y$7,$Z$7,IF(G2=$Y$8,$Z$8,IF(G2=$Y$9,$Z$9,IF(G2=$Y$10,$Z$10,IF(G2=$Y$11,$Z$11,0))))))))</f>
        <v>0</v>
      </c>
      <c r="G11" s="138"/>
      <c r="H11" s="188">
        <f>+B11</f>
        <v>1</v>
      </c>
      <c r="I11" s="136">
        <f>IF(J2=$Y$4,$Z$4,IF(J2=$Y$5,$Z$5,IF(J2=$Y$6,$Z$6,IF(J2=$Y$7,$Z$7,IF(J2=$Y$8,$Z$8,IF(J2=$Y$9,$Z$9,IF(J2=$Y$10,$Z$10,IF(J2=$Y$11,$Z$11,0))))))))</f>
        <v>0</v>
      </c>
      <c r="J11" s="137"/>
      <c r="K11" s="188">
        <f>+B11</f>
        <v>1</v>
      </c>
      <c r="L11" s="136">
        <f>IF(M2=$Y$4,$Z$4,IF(M2=$Y$5,$Z$5,IF(M2=$Y$6,$Z$6,IF(M2=$Y$7,$Z$7,IF(M2=$Y$8,$Z$8,IF(M2=$Y$9,$Z$9,IF(M2=$Y$10,$Z$10,IF(M2=$Y$11,$Z$11,0))))))))</f>
        <v>0</v>
      </c>
      <c r="M11" s="137"/>
      <c r="N11" s="188">
        <f>+B11</f>
        <v>1</v>
      </c>
      <c r="O11" s="136">
        <f>IF(P2=$Y$4,$Z$4,IF(P2=$Y$5,$Z$5,IF(P2=$Y$6,$Z$6,IF(P2=$Y$7,$Z$7,IF(P2=$Y$8,$Z$8,IF(P2=$Y$9,$Z$9,IF(P2=$Y$10,$Z$10,IF(P2=$Y$11,$Z$11,0))))))))</f>
        <v>0</v>
      </c>
      <c r="P11" s="137"/>
      <c r="Q11" s="188">
        <f>+B11</f>
        <v>1</v>
      </c>
      <c r="R11" s="136">
        <f>IF(S2=$Y$4,$Z$4,IF(S2=$Y$5,$Z$5,IF(S2=$Y$6,$Z$6,IF(S2=$Y$7,$Z$7,IF(S2=$Y$8,$Z$8,IF(S2=$Y$9,$Z$9,IF(S2=$Y$10,$Z$10,IF(S2=$Y$11,$Z$11,0))))))))</f>
        <v>0</v>
      </c>
      <c r="S11" s="137"/>
      <c r="T11" s="188">
        <f>+B11</f>
        <v>1</v>
      </c>
      <c r="U11" s="136">
        <f>IF(V2=$Y$4,$Z$4,IF(V2=$Y$5,$Z$5,IF(V2=$Y$6,$Z$6,IF(V2=$Y$7,$Z$7,IF(V2=$Y$8,$Z$8,IF(V2=$Y$9,$Z$9,IF(V2=$Y$10,$Z$10,IF(V2=$Y$11,$Z$11,0))))))))</f>
        <v>0</v>
      </c>
      <c r="V11" s="137"/>
      <c r="Y11" s="48" t="s">
        <v>19</v>
      </c>
      <c r="Z11" s="48">
        <v>70300</v>
      </c>
      <c r="AC11" s="282"/>
    </row>
    <row r="12" spans="1:31" s="48" customFormat="1" ht="15">
      <c r="A12" s="107" t="s">
        <v>293</v>
      </c>
      <c r="B12" s="303">
        <v>1</v>
      </c>
      <c r="C12" s="140">
        <f>IF(D2=$Y$12,$Z$12,IF(D2=$Y$13,$Z$13,IF(D2=$Y$14,$Z$14,0)))</f>
        <v>0</v>
      </c>
      <c r="D12" s="294"/>
      <c r="E12" s="303">
        <f>+E11</f>
        <v>1</v>
      </c>
      <c r="F12" s="140">
        <f>IF(G2=$Y$12,$Z$12,IF(G2=$Y$13,$Z$13,IF(G2=$Y$14,$Z$14,0)))</f>
        <v>0</v>
      </c>
      <c r="G12" s="142"/>
      <c r="H12" s="303">
        <f>+H11</f>
        <v>1</v>
      </c>
      <c r="I12" s="140">
        <f>IF(J2=$Y$12,$Z$12,IF(J2=$Y$13,$Z$13,IF(J2=$Y$14,$Z$14,0)))</f>
        <v>0</v>
      </c>
      <c r="J12" s="141"/>
      <c r="K12" s="303">
        <f>+K11</f>
        <v>1</v>
      </c>
      <c r="L12" s="140">
        <f>IF(M2=$Y$12,$Z$12,IF(M2=$Y$13,$Z$13,IF(M2=$Y$14,$Z$14,0)))</f>
        <v>0</v>
      </c>
      <c r="M12" s="141"/>
      <c r="N12" s="303">
        <f>+N11</f>
        <v>1</v>
      </c>
      <c r="O12" s="140">
        <f>IF(P2=$Y$12,$Z$12,IF(P2=$Y$13,$Z$13,IF(P2=$Y$14,$Z$14,0)))</f>
        <v>0</v>
      </c>
      <c r="P12" s="141"/>
      <c r="Q12" s="303">
        <f>+Q11</f>
        <v>1</v>
      </c>
      <c r="R12" s="140">
        <f>IF(S2=$Y$12,$Z$12,IF(S2=$Y$13,$Z$13,IF(S2=$Y$14,$Z$14,0)))</f>
        <v>0</v>
      </c>
      <c r="S12" s="141"/>
      <c r="T12" s="303">
        <f>+T11</f>
        <v>1</v>
      </c>
      <c r="U12" s="140">
        <f>IF(V2=$Y$12,$Z$12,IF(V2=$Y$13,$Z$13,IF(V2=$Y$14,$Z$14,0)))</f>
        <v>0</v>
      </c>
      <c r="V12" s="141"/>
      <c r="Y12" s="48" t="s">
        <v>20</v>
      </c>
      <c r="Z12" s="48">
        <v>75300</v>
      </c>
      <c r="AA12" s="107"/>
      <c r="AC12" s="282"/>
    </row>
    <row r="13" spans="1:31" s="107" customFormat="1" ht="15">
      <c r="A13" s="107" t="s">
        <v>292</v>
      </c>
      <c r="B13" s="144">
        <f>+D5</f>
        <v>0</v>
      </c>
      <c r="C13" s="145">
        <f>+C11*B13+C12*B13</f>
        <v>0</v>
      </c>
      <c r="D13" s="146"/>
      <c r="E13" s="144">
        <f>+$D$5</f>
        <v>0</v>
      </c>
      <c r="F13" s="145">
        <f>+F11*E13+F12*E13</f>
        <v>0</v>
      </c>
      <c r="G13" s="146"/>
      <c r="H13" s="144">
        <f>+$D$5</f>
        <v>0</v>
      </c>
      <c r="I13" s="145">
        <f>+I11*H13+I12*H13</f>
        <v>0</v>
      </c>
      <c r="J13" s="146"/>
      <c r="K13" s="144">
        <f>+$D$5</f>
        <v>0</v>
      </c>
      <c r="L13" s="145">
        <f>+L11*K13+L12*K13</f>
        <v>0</v>
      </c>
      <c r="M13" s="146"/>
      <c r="N13" s="144">
        <f>+$D$5</f>
        <v>0</v>
      </c>
      <c r="O13" s="145">
        <f>+O11*N13+O12*N13</f>
        <v>0</v>
      </c>
      <c r="P13" s="146"/>
      <c r="Q13" s="144">
        <f>+$D$5</f>
        <v>0</v>
      </c>
      <c r="R13" s="145">
        <f>+R11*Q13+R12*Q13</f>
        <v>0</v>
      </c>
      <c r="S13" s="146"/>
      <c r="T13" s="144">
        <f>+$D$5</f>
        <v>0</v>
      </c>
      <c r="U13" s="145">
        <f>+U11*T13+U12*T13</f>
        <v>0</v>
      </c>
      <c r="V13" s="146"/>
      <c r="Y13" s="48" t="s">
        <v>21</v>
      </c>
      <c r="Z13" s="48">
        <v>80320</v>
      </c>
      <c r="AA13" s="48"/>
      <c r="AB13" s="48"/>
      <c r="AC13" s="282"/>
    </row>
    <row r="14" spans="1:31" s="48" customFormat="1" ht="15">
      <c r="A14" s="107" t="s">
        <v>282</v>
      </c>
      <c r="B14" s="144"/>
      <c r="C14" s="149">
        <f>IF((C12+C11)/100*(B13*100)&lt;=$AB$25,0,IF((C12+C11)&gt;($AB$24*100/30),(C12+C11)-$AB$24,(C12+C11)*0.7))</f>
        <v>0</v>
      </c>
      <c r="D14" s="146"/>
      <c r="E14" s="144"/>
      <c r="F14" s="149">
        <f>IF((F12+F11)/100*(E13*100)&lt;=$AB$25,0,IF((F12+F11)&gt;($AB$24*100/30),(F12+F11)-$AB$24,(F12+F11)*0.7))</f>
        <v>0</v>
      </c>
      <c r="G14" s="146"/>
      <c r="H14" s="144"/>
      <c r="I14" s="149">
        <f>IF((I12+I11)/100*(H13*100)&lt;=$AB$25,0,IF((I12+I11)&gt;($AB$24*100/30),(I12+I11)-$AB$24,(I12+I11)*0.7))</f>
        <v>0</v>
      </c>
      <c r="J14" s="146"/>
      <c r="K14" s="144"/>
      <c r="L14" s="149">
        <f>IF((L12+L11)/100*(K13*100)&lt;=$AB$25,0,IF((L12+L11)&gt;($AB$24*100/30),(L12+L11)-$AB$24,(L12+L11)*0.7))</f>
        <v>0</v>
      </c>
      <c r="M14" s="146"/>
      <c r="N14" s="144"/>
      <c r="O14" s="149">
        <f>IF((O12+O11)/100*(N13*100)&lt;=$AB$25,0,IF((O12+O11)&gt;($AB$24*100/30),(O12+O11)-$AB$24,(O12+O11)*0.7))</f>
        <v>0</v>
      </c>
      <c r="P14" s="146"/>
      <c r="Q14" s="144"/>
      <c r="R14" s="149">
        <f>IF((R12+R11)/100*(Q13*100)&lt;=$AB$25,0,IF((R12+R11)&gt;($AB$24*100/30),(R12+R11)-$AB$24,(R12+R11)*0.7))</f>
        <v>0</v>
      </c>
      <c r="S14" s="146"/>
      <c r="T14" s="144"/>
      <c r="U14" s="149">
        <f>IF((U12+U11)/100*(T13*100)&lt;=$AB$25,0,IF((U12+U11)&gt;($AB$24*100/30),(U12+U11)-$AB$24,(U12+U11)*0.7))</f>
        <v>0</v>
      </c>
      <c r="V14" s="146"/>
      <c r="W14" s="107"/>
      <c r="X14" s="107"/>
      <c r="Y14" s="48" t="s">
        <v>43</v>
      </c>
      <c r="Z14" s="128">
        <v>88541</v>
      </c>
      <c r="AC14" s="282"/>
      <c r="AD14" s="107"/>
      <c r="AE14" s="107"/>
    </row>
    <row r="15" spans="1:31" s="48" customFormat="1" ht="15" hidden="1" outlineLevel="1">
      <c r="B15" s="139"/>
      <c r="C15" s="140"/>
      <c r="D15" s="141"/>
      <c r="E15" s="139"/>
      <c r="F15" s="53"/>
      <c r="G15" s="141"/>
      <c r="H15" s="139"/>
      <c r="I15" s="53"/>
      <c r="J15" s="141"/>
      <c r="K15" s="139"/>
      <c r="L15" s="53"/>
      <c r="M15" s="141"/>
      <c r="N15" s="143"/>
      <c r="O15" s="53"/>
      <c r="P15" s="141"/>
      <c r="Q15" s="143"/>
      <c r="R15" s="53"/>
      <c r="S15" s="141"/>
      <c r="T15" s="143"/>
      <c r="U15" s="53"/>
      <c r="V15" s="141"/>
      <c r="Z15" s="128"/>
      <c r="AC15" s="282"/>
    </row>
    <row r="16" spans="1:31" s="48" customFormat="1" ht="15" hidden="1" outlineLevel="1">
      <c r="A16" s="48" t="s">
        <v>7</v>
      </c>
      <c r="B16" s="147">
        <f>'SV-Sätze'!C8</f>
        <v>5.1250000000000004E-2</v>
      </c>
      <c r="C16" s="140">
        <f>+$B$16*C13</f>
        <v>0</v>
      </c>
      <c r="D16" s="294"/>
      <c r="E16" s="139"/>
      <c r="F16" s="140">
        <f>+$B$16*F13</f>
        <v>0</v>
      </c>
      <c r="G16" s="141"/>
      <c r="H16" s="139"/>
      <c r="I16" s="140">
        <f>+$B$16*I13</f>
        <v>0</v>
      </c>
      <c r="J16" s="141"/>
      <c r="K16" s="139"/>
      <c r="L16" s="140">
        <f>+$B$16*L13</f>
        <v>0</v>
      </c>
      <c r="M16" s="141"/>
      <c r="N16" s="143"/>
      <c r="O16" s="140">
        <f>+$B$16*O13</f>
        <v>0</v>
      </c>
      <c r="P16" s="141"/>
      <c r="Q16" s="143"/>
      <c r="R16" s="140">
        <f>+$B$16*R13</f>
        <v>0</v>
      </c>
      <c r="S16" s="141"/>
      <c r="T16" s="139"/>
      <c r="U16" s="140">
        <f>+$B$16*U13</f>
        <v>0</v>
      </c>
      <c r="V16" s="141"/>
      <c r="AC16" s="282"/>
    </row>
    <row r="17" spans="1:29" s="48" customFormat="1" ht="15" hidden="1" outlineLevel="1">
      <c r="A17" s="48" t="s">
        <v>150</v>
      </c>
      <c r="B17" s="147">
        <f>'SV-Sätze'!C9</f>
        <v>6.0000000000000001E-3</v>
      </c>
      <c r="C17" s="140">
        <f>$B$17*C13</f>
        <v>0</v>
      </c>
      <c r="D17" s="294"/>
      <c r="E17" s="139"/>
      <c r="F17" s="140">
        <f>$B$17*F13</f>
        <v>0</v>
      </c>
      <c r="G17" s="141"/>
      <c r="H17" s="139"/>
      <c r="I17" s="140">
        <f>$B$17*I13</f>
        <v>0</v>
      </c>
      <c r="J17" s="141"/>
      <c r="K17" s="139"/>
      <c r="L17" s="140">
        <f>$B$17*L13</f>
        <v>0</v>
      </c>
      <c r="M17" s="141"/>
      <c r="N17" s="143"/>
      <c r="O17" s="140">
        <f>$B$17*O13</f>
        <v>0</v>
      </c>
      <c r="P17" s="141"/>
      <c r="Q17" s="143"/>
      <c r="R17" s="140">
        <f>$B$17*R13</f>
        <v>0</v>
      </c>
      <c r="S17" s="141"/>
      <c r="T17" s="139"/>
      <c r="U17" s="140">
        <f>$B$17*U13</f>
        <v>0</v>
      </c>
      <c r="V17" s="141"/>
      <c r="Y17" s="48" t="s">
        <v>42</v>
      </c>
      <c r="Z17" s="48" t="s">
        <v>29</v>
      </c>
      <c r="AB17" s="123" t="s">
        <v>31</v>
      </c>
      <c r="AC17" s="265" t="s">
        <v>251</v>
      </c>
    </row>
    <row r="18" spans="1:29" s="48" customFormat="1" ht="15" hidden="1" outlineLevel="1">
      <c r="A18" s="48" t="s">
        <v>8</v>
      </c>
      <c r="B18" s="147">
        <f>'SV-Sätze'!C10</f>
        <v>1.0999999999999999E-2</v>
      </c>
      <c r="C18" s="140">
        <f>+$B$18*C13</f>
        <v>0</v>
      </c>
      <c r="D18" s="294"/>
      <c r="E18" s="139"/>
      <c r="F18" s="140">
        <f>+$B$18*F13</f>
        <v>0</v>
      </c>
      <c r="G18" s="141"/>
      <c r="H18" s="139"/>
      <c r="I18" s="140">
        <f>+$B$18*I13</f>
        <v>0</v>
      </c>
      <c r="J18" s="141"/>
      <c r="K18" s="139"/>
      <c r="L18" s="140">
        <f>+$B$18*L13</f>
        <v>0</v>
      </c>
      <c r="M18" s="141"/>
      <c r="N18" s="143"/>
      <c r="O18" s="140">
        <f>+$B$18*O13</f>
        <v>0</v>
      </c>
      <c r="P18" s="141"/>
      <c r="Q18" s="143"/>
      <c r="R18" s="140">
        <f>+$B$18*R13</f>
        <v>0</v>
      </c>
      <c r="S18" s="141"/>
      <c r="T18" s="139"/>
      <c r="U18" s="140">
        <f>+$B$18*U13</f>
        <v>0</v>
      </c>
      <c r="V18" s="141"/>
      <c r="AB18" s="130" t="s">
        <v>1</v>
      </c>
      <c r="AC18" s="282">
        <f>+'PK-Sätze'!G4</f>
        <v>9.3999999999999986</v>
      </c>
    </row>
    <row r="19" spans="1:29" s="48" customFormat="1" ht="15" hidden="1" outlineLevel="1">
      <c r="A19" s="48" t="s">
        <v>9</v>
      </c>
      <c r="B19" s="147">
        <f>'SV-Sätze'!C12</f>
        <v>1.1440000000000001E-3</v>
      </c>
      <c r="C19" s="140">
        <f>+$B$19*C13</f>
        <v>0</v>
      </c>
      <c r="D19" s="294"/>
      <c r="E19" s="139"/>
      <c r="F19" s="140">
        <f>+$B$19*F13</f>
        <v>0</v>
      </c>
      <c r="G19" s="141"/>
      <c r="H19" s="139"/>
      <c r="I19" s="140">
        <f>+$B$19*I13</f>
        <v>0</v>
      </c>
      <c r="J19" s="141"/>
      <c r="K19" s="139"/>
      <c r="L19" s="140">
        <f>+$B$19*L13</f>
        <v>0</v>
      </c>
      <c r="M19" s="141"/>
      <c r="N19" s="143"/>
      <c r="O19" s="140">
        <f>+$B$19*O13</f>
        <v>0</v>
      </c>
      <c r="P19" s="141"/>
      <c r="Q19" s="143"/>
      <c r="R19" s="140">
        <f>+$B$19*R13</f>
        <v>0</v>
      </c>
      <c r="S19" s="141"/>
      <c r="T19" s="139"/>
      <c r="U19" s="140">
        <f>+$B$19*U13</f>
        <v>0</v>
      </c>
      <c r="V19" s="141"/>
      <c r="AB19" s="130" t="s">
        <v>2</v>
      </c>
      <c r="AC19" s="282">
        <f>+'PK-Sätze'!G5</f>
        <v>11.649999999999999</v>
      </c>
    </row>
    <row r="20" spans="1:29" s="48" customFormat="1" ht="15" hidden="1" outlineLevel="1">
      <c r="A20" s="48" t="s">
        <v>10</v>
      </c>
      <c r="B20" s="147">
        <f>'SV-Sätze'!C13</f>
        <v>2.5999999999999999E-3</v>
      </c>
      <c r="C20" s="140">
        <f>+$B$20*C13</f>
        <v>0</v>
      </c>
      <c r="D20" s="294"/>
      <c r="E20" s="139"/>
      <c r="F20" s="140">
        <f>+$B$20*F13</f>
        <v>0</v>
      </c>
      <c r="G20" s="141"/>
      <c r="H20" s="139"/>
      <c r="I20" s="140">
        <f>+$B$20*I13</f>
        <v>0</v>
      </c>
      <c r="J20" s="141"/>
      <c r="K20" s="139"/>
      <c r="L20" s="140">
        <f>+$B$20*L13</f>
        <v>0</v>
      </c>
      <c r="M20" s="141"/>
      <c r="N20" s="143"/>
      <c r="O20" s="140">
        <f>+$B$20*O13</f>
        <v>0</v>
      </c>
      <c r="P20" s="141"/>
      <c r="Q20" s="143"/>
      <c r="R20" s="140">
        <f>+$B$20*R13</f>
        <v>0</v>
      </c>
      <c r="S20" s="141"/>
      <c r="T20" s="139"/>
      <c r="U20" s="140">
        <f>+$B$20*U13</f>
        <v>0</v>
      </c>
      <c r="V20" s="141"/>
      <c r="AB20" s="130" t="s">
        <v>5</v>
      </c>
      <c r="AC20" s="282">
        <f>+'PK-Sätze'!G6</f>
        <v>17.7</v>
      </c>
    </row>
    <row r="21" spans="1:29" s="48" customFormat="1" ht="15" hidden="1" outlineLevel="1">
      <c r="A21" s="128" t="s">
        <v>11</v>
      </c>
      <c r="B21" s="147">
        <f>IF(D9="ZH",'SV-Sätze'!C16,IF(D9="LU",'SV-Sätze'!C18,0))</f>
        <v>1.0999999999999999E-2</v>
      </c>
      <c r="C21" s="302">
        <f>+$B$21*C13</f>
        <v>0</v>
      </c>
      <c r="D21" s="294"/>
      <c r="E21" s="139"/>
      <c r="F21" s="302">
        <f>+$B$21*F13</f>
        <v>0</v>
      </c>
      <c r="G21" s="141"/>
      <c r="H21" s="139"/>
      <c r="I21" s="302">
        <f>+$B$21*I13</f>
        <v>0</v>
      </c>
      <c r="J21" s="141"/>
      <c r="K21" s="139"/>
      <c r="L21" s="302">
        <f>+$B$21*L13</f>
        <v>0</v>
      </c>
      <c r="M21" s="141"/>
      <c r="N21" s="143"/>
      <c r="O21" s="302">
        <f>+$B$21*O13</f>
        <v>0</v>
      </c>
      <c r="P21" s="141"/>
      <c r="Q21" s="143"/>
      <c r="R21" s="302">
        <f>+$B$21*R13</f>
        <v>0</v>
      </c>
      <c r="S21" s="141"/>
      <c r="T21" s="139"/>
      <c r="U21" s="302">
        <f>+$B$21*U13</f>
        <v>0</v>
      </c>
      <c r="V21" s="141"/>
      <c r="AB21" s="130" t="s">
        <v>6</v>
      </c>
      <c r="AC21" s="282">
        <f>+'PK-Sätze'!G6</f>
        <v>17.7</v>
      </c>
    </row>
    <row r="22" spans="1:29" s="48" customFormat="1" ht="15" hidden="1" outlineLevel="1">
      <c r="B22" s="139"/>
      <c r="C22" s="140"/>
      <c r="D22" s="294"/>
      <c r="E22" s="139"/>
      <c r="F22" s="140"/>
      <c r="G22" s="141"/>
      <c r="H22" s="139"/>
      <c r="I22" s="140"/>
      <c r="J22" s="141"/>
      <c r="K22" s="139"/>
      <c r="L22" s="140"/>
      <c r="M22" s="141"/>
      <c r="N22" s="143"/>
      <c r="O22" s="140"/>
      <c r="P22" s="141"/>
      <c r="Q22" s="143"/>
      <c r="R22" s="140"/>
      <c r="S22" s="141"/>
      <c r="T22" s="143"/>
      <c r="U22" s="140"/>
      <c r="V22" s="141"/>
      <c r="AB22" s="130" t="s">
        <v>4</v>
      </c>
      <c r="AC22" s="282">
        <f>+'PK-Sätze'!G7</f>
        <v>22.55</v>
      </c>
    </row>
    <row r="23" spans="1:29" s="48" customFormat="1" ht="15" hidden="1" outlineLevel="1">
      <c r="A23" s="48" t="s">
        <v>296</v>
      </c>
      <c r="B23" s="147">
        <f>IF($D$6&lt;35,AC18%,IF($D$6&lt;45,AC19%,IF($D$6&lt;55,AC20%,IF($D$6&lt;70,AC22%))))</f>
        <v>9.3999999999999986E-2</v>
      </c>
      <c r="C23" s="140">
        <f>IF($D$4="Standardplan",C14*$B$23*B13,"")</f>
        <v>0</v>
      </c>
      <c r="D23" s="294"/>
      <c r="E23" s="139"/>
      <c r="F23" s="140">
        <f>IF($D$4="Standardplan",F14*$B$23*E13,"")</f>
        <v>0</v>
      </c>
      <c r="G23" s="141"/>
      <c r="H23" s="139"/>
      <c r="I23" s="140">
        <f>IF($D$4="Standardplan",I14*$B$23*H13,"")</f>
        <v>0</v>
      </c>
      <c r="J23" s="141"/>
      <c r="K23" s="139"/>
      <c r="L23" s="140">
        <f>IF($D$4="Standardplan",L14*$B$23*K13,"")</f>
        <v>0</v>
      </c>
      <c r="M23" s="141"/>
      <c r="N23" s="143"/>
      <c r="O23" s="140">
        <f>IF($D$4="Standardplan",O14*$B$23*N13,"")</f>
        <v>0</v>
      </c>
      <c r="P23" s="141"/>
      <c r="Q23" s="143"/>
      <c r="R23" s="140">
        <f>IF($D$4="Standardplan",R14*$B$23*Q13,"")</f>
        <v>0</v>
      </c>
      <c r="S23" s="141"/>
      <c r="T23" s="143"/>
      <c r="U23" s="140">
        <f>IF($D$4="Standardplan",U14*$B$23*T13,"")</f>
        <v>0</v>
      </c>
      <c r="V23" s="141"/>
    </row>
    <row r="24" spans="1:29" s="48" customFormat="1" ht="15" hidden="1" outlineLevel="1">
      <c r="A24" s="48" t="s">
        <v>286</v>
      </c>
      <c r="B24" s="315">
        <v>250</v>
      </c>
      <c r="C24" s="140">
        <f>IF(C14&gt;0,$B$24,0)</f>
        <v>0</v>
      </c>
      <c r="D24" s="294"/>
      <c r="E24" s="139"/>
      <c r="F24" s="140">
        <f>IF(F14&gt;0,$B$24,0)</f>
        <v>0</v>
      </c>
      <c r="G24" s="141"/>
      <c r="H24" s="139"/>
      <c r="I24" s="140">
        <f>IF(I14&gt;0,$B$24,0)</f>
        <v>0</v>
      </c>
      <c r="J24" s="141"/>
      <c r="K24" s="139"/>
      <c r="L24" s="140">
        <f>IF(L14&gt;0,$B$24,0)</f>
        <v>0</v>
      </c>
      <c r="M24" s="141"/>
      <c r="N24" s="143"/>
      <c r="O24" s="140">
        <f>IF(O14&gt;0,$B$24,0)</f>
        <v>0</v>
      </c>
      <c r="P24" s="141"/>
      <c r="Q24" s="143"/>
      <c r="R24" s="140">
        <f>IF(R14&gt;0,$B$24,0)</f>
        <v>0</v>
      </c>
      <c r="S24" s="141"/>
      <c r="T24" s="143"/>
      <c r="U24" s="140">
        <f>IF(U14&gt;0,$B$24,0)</f>
        <v>0</v>
      </c>
      <c r="V24" s="141"/>
      <c r="Y24" s="48" t="s">
        <v>287</v>
      </c>
      <c r="AB24" s="299">
        <v>24885</v>
      </c>
    </row>
    <row r="25" spans="1:29" s="48" customFormat="1" ht="15" hidden="1" outlineLevel="1">
      <c r="B25" s="139"/>
      <c r="C25" s="140"/>
      <c r="D25" s="294"/>
      <c r="E25" s="139"/>
      <c r="F25" s="53"/>
      <c r="G25" s="141"/>
      <c r="H25" s="139"/>
      <c r="I25" s="53"/>
      <c r="J25" s="141"/>
      <c r="K25" s="139"/>
      <c r="L25" s="53"/>
      <c r="M25" s="141"/>
      <c r="N25" s="143"/>
      <c r="O25" s="53"/>
      <c r="P25" s="141"/>
      <c r="Q25" s="143"/>
      <c r="R25" s="53"/>
      <c r="S25" s="141"/>
      <c r="T25" s="143"/>
      <c r="U25" s="53"/>
      <c r="V25" s="141"/>
      <c r="Y25" s="48" t="s">
        <v>288</v>
      </c>
      <c r="AB25" s="185"/>
    </row>
    <row r="26" spans="1:29" s="48" customFormat="1" ht="15" hidden="1" outlineLevel="1">
      <c r="A26" s="48" t="s">
        <v>11</v>
      </c>
      <c r="B26" s="139"/>
      <c r="C26" s="149"/>
      <c r="D26" s="294"/>
      <c r="E26" s="139"/>
      <c r="F26" s="53"/>
      <c r="G26" s="141"/>
      <c r="H26" s="139"/>
      <c r="I26" s="53"/>
      <c r="J26" s="141"/>
      <c r="K26" s="139"/>
      <c r="L26" s="53"/>
      <c r="M26" s="141"/>
      <c r="N26" s="143"/>
      <c r="O26" s="53"/>
      <c r="P26" s="141"/>
      <c r="Q26" s="143"/>
      <c r="R26" s="53"/>
      <c r="S26" s="141"/>
      <c r="T26" s="143"/>
      <c r="U26" s="53"/>
      <c r="V26" s="141"/>
      <c r="Y26" s="128" t="s">
        <v>283</v>
      </c>
      <c r="Z26" s="128"/>
      <c r="AA26" s="128"/>
      <c r="AB26" s="350" t="s">
        <v>284</v>
      </c>
    </row>
    <row r="27" spans="1:29" s="48" customFormat="1" ht="15" hidden="1" outlineLevel="1">
      <c r="A27" s="48" t="s">
        <v>33</v>
      </c>
      <c r="B27" s="164">
        <f>IF($D$9="ZH",FAK!F9-FAK!$F$17,IF($D$9="LU",FAK!F9-FAK!$F$19,""))</f>
        <v>2097</v>
      </c>
      <c r="C27" s="140">
        <f>IF($D$7&lt;2,$D$7*B27,B27*1)</f>
        <v>0</v>
      </c>
      <c r="D27" s="141"/>
      <c r="E27" s="139"/>
      <c r="F27" s="140">
        <f>+C27</f>
        <v>0</v>
      </c>
      <c r="G27" s="141"/>
      <c r="H27" s="139"/>
      <c r="I27" s="140">
        <f>+F27</f>
        <v>0</v>
      </c>
      <c r="J27" s="141"/>
      <c r="K27" s="139"/>
      <c r="L27" s="140">
        <f>+I27</f>
        <v>0</v>
      </c>
      <c r="M27" s="141"/>
      <c r="N27" s="143"/>
      <c r="O27" s="140">
        <f>+L27</f>
        <v>0</v>
      </c>
      <c r="P27" s="141"/>
      <c r="Q27" s="143"/>
      <c r="R27" s="140">
        <f>+O27</f>
        <v>0</v>
      </c>
      <c r="S27" s="141"/>
      <c r="T27" s="143"/>
      <c r="U27" s="140">
        <f>+R27</f>
        <v>0</v>
      </c>
      <c r="V27" s="141"/>
      <c r="Y27" s="128"/>
      <c r="Z27" s="128"/>
      <c r="AA27" s="128"/>
      <c r="AB27" s="350" t="s">
        <v>285</v>
      </c>
    </row>
    <row r="28" spans="1:29" s="48" customFormat="1" ht="15" hidden="1" outlineLevel="1">
      <c r="A28" s="48" t="s">
        <v>34</v>
      </c>
      <c r="B28" s="164">
        <f>IF($D$9="ZH",FAK!F11-FAK!$F$17,IF($D$9="LU",FAK!F11-FAK!$F$19,""))</f>
        <v>504</v>
      </c>
      <c r="C28" s="140">
        <f>IF($D$7&gt;1,($D$7-1)*B28,0)</f>
        <v>0</v>
      </c>
      <c r="D28" s="141"/>
      <c r="E28" s="139"/>
      <c r="F28" s="140">
        <f>+C28</f>
        <v>0</v>
      </c>
      <c r="G28" s="141"/>
      <c r="H28" s="139"/>
      <c r="I28" s="140">
        <f>+F28</f>
        <v>0</v>
      </c>
      <c r="J28" s="141"/>
      <c r="K28" s="139"/>
      <c r="L28" s="140">
        <f>+I28</f>
        <v>0</v>
      </c>
      <c r="M28" s="141"/>
      <c r="N28" s="143"/>
      <c r="O28" s="140">
        <f>+L28</f>
        <v>0</v>
      </c>
      <c r="P28" s="141"/>
      <c r="Q28" s="143"/>
      <c r="R28" s="140">
        <f>+O28</f>
        <v>0</v>
      </c>
      <c r="S28" s="141"/>
      <c r="T28" s="143"/>
      <c r="U28" s="140">
        <f t="shared" ref="U28:U29" si="0">+R28</f>
        <v>0</v>
      </c>
      <c r="V28" s="141"/>
    </row>
    <row r="29" spans="1:29" s="48" customFormat="1" ht="15" hidden="1" outlineLevel="1">
      <c r="A29" s="48" t="s">
        <v>35</v>
      </c>
      <c r="B29" s="164">
        <f>IF($D$9="ZH",FAK!F12-FAK!$F$18,IF($D$9="LU",FAK!F12-FAK!$F$20,""))</f>
        <v>282</v>
      </c>
      <c r="C29" s="140">
        <f>+D8*B29</f>
        <v>0</v>
      </c>
      <c r="D29" s="141"/>
      <c r="E29" s="139"/>
      <c r="F29" s="140">
        <f>+C29</f>
        <v>0</v>
      </c>
      <c r="G29" s="141"/>
      <c r="H29" s="139"/>
      <c r="I29" s="140">
        <f>+F29</f>
        <v>0</v>
      </c>
      <c r="J29" s="141"/>
      <c r="K29" s="139"/>
      <c r="L29" s="140">
        <f>+I29</f>
        <v>0</v>
      </c>
      <c r="M29" s="141"/>
      <c r="N29" s="143"/>
      <c r="O29" s="140">
        <f>+L29</f>
        <v>0</v>
      </c>
      <c r="P29" s="141"/>
      <c r="Q29" s="143"/>
      <c r="R29" s="140">
        <f>+O29</f>
        <v>0</v>
      </c>
      <c r="S29" s="141"/>
      <c r="T29" s="143"/>
      <c r="U29" s="140">
        <f t="shared" si="0"/>
        <v>0</v>
      </c>
      <c r="V29" s="141"/>
    </row>
    <row r="30" spans="1:29" s="48" customFormat="1" ht="15" collapsed="1">
      <c r="B30" s="150"/>
      <c r="C30" s="140"/>
      <c r="D30" s="141"/>
      <c r="E30" s="139"/>
      <c r="F30" s="53"/>
      <c r="G30" s="141"/>
      <c r="H30" s="139"/>
      <c r="I30" s="53"/>
      <c r="J30" s="141"/>
      <c r="K30" s="139"/>
      <c r="L30" s="53"/>
      <c r="M30" s="141"/>
      <c r="N30" s="143"/>
      <c r="O30" s="53"/>
      <c r="P30" s="141"/>
      <c r="Q30" s="143"/>
      <c r="R30" s="53"/>
      <c r="S30" s="141"/>
      <c r="T30" s="143"/>
      <c r="U30" s="53"/>
      <c r="V30" s="141"/>
    </row>
    <row r="31" spans="1:29" s="48" customFormat="1" ht="15">
      <c r="A31" s="151"/>
      <c r="B31" s="152"/>
      <c r="C31" s="153"/>
      <c r="D31" s="154"/>
      <c r="E31" s="139"/>
      <c r="F31" s="151"/>
      <c r="G31" s="154"/>
      <c r="H31" s="139"/>
      <c r="I31" s="151"/>
      <c r="J31" s="154"/>
      <c r="K31" s="139"/>
      <c r="L31" s="151"/>
      <c r="M31" s="154"/>
      <c r="N31" s="143"/>
      <c r="O31" s="151"/>
      <c r="P31" s="154"/>
      <c r="Q31" s="143"/>
      <c r="R31" s="151"/>
      <c r="S31" s="154"/>
      <c r="T31" s="143"/>
      <c r="U31" s="151"/>
      <c r="V31" s="154"/>
      <c r="W31" s="155"/>
    </row>
    <row r="32" spans="1:29" s="48" customFormat="1" ht="15">
      <c r="A32" s="156"/>
      <c r="B32" s="139"/>
      <c r="C32" s="157">
        <v>2019</v>
      </c>
      <c r="D32" s="141"/>
      <c r="E32" s="139"/>
      <c r="F32" s="157">
        <v>2020</v>
      </c>
      <c r="G32" s="141"/>
      <c r="H32" s="139"/>
      <c r="I32" s="157">
        <v>2021</v>
      </c>
      <c r="J32" s="141"/>
      <c r="K32" s="139"/>
      <c r="L32" s="157">
        <v>2022</v>
      </c>
      <c r="M32" s="141"/>
      <c r="N32" s="143"/>
      <c r="O32" s="157">
        <v>2023</v>
      </c>
      <c r="P32" s="141"/>
      <c r="Q32" s="143"/>
      <c r="R32" s="157">
        <v>2024</v>
      </c>
      <c r="S32" s="141"/>
      <c r="T32" s="143"/>
      <c r="U32" s="157">
        <v>2025</v>
      </c>
      <c r="V32" s="141"/>
      <c r="W32" s="159" t="s">
        <v>46</v>
      </c>
    </row>
    <row r="33" spans="1:24" s="48" customFormat="1" ht="15">
      <c r="A33" s="160"/>
      <c r="B33" s="139"/>
      <c r="C33" s="161"/>
      <c r="D33" s="141"/>
      <c r="E33" s="139"/>
      <c r="F33" s="162">
        <v>1.02</v>
      </c>
      <c r="G33" s="141" t="s">
        <v>94</v>
      </c>
      <c r="H33" s="139"/>
      <c r="I33" s="162">
        <v>1.02</v>
      </c>
      <c r="J33" s="141" t="s">
        <v>94</v>
      </c>
      <c r="K33" s="139"/>
      <c r="L33" s="162">
        <v>1.02</v>
      </c>
      <c r="M33" s="141" t="s">
        <v>94</v>
      </c>
      <c r="N33" s="143"/>
      <c r="O33" s="162">
        <v>1.02</v>
      </c>
      <c r="P33" s="141" t="s">
        <v>94</v>
      </c>
      <c r="Q33" s="143"/>
      <c r="R33" s="162">
        <v>1.02</v>
      </c>
      <c r="S33" s="141" t="s">
        <v>94</v>
      </c>
      <c r="T33" s="143"/>
      <c r="U33" s="162">
        <v>1.02</v>
      </c>
      <c r="V33" s="141" t="s">
        <v>94</v>
      </c>
      <c r="W33" s="159"/>
    </row>
    <row r="34" spans="1:24" s="48" customFormat="1" ht="15">
      <c r="A34" s="160"/>
      <c r="B34" s="139"/>
      <c r="C34" s="163"/>
      <c r="D34" s="141"/>
      <c r="E34" s="139"/>
      <c r="F34" s="163"/>
      <c r="G34" s="141"/>
      <c r="H34" s="139"/>
      <c r="I34" s="163"/>
      <c r="J34" s="141"/>
      <c r="K34" s="139"/>
      <c r="L34" s="163"/>
      <c r="M34" s="141"/>
      <c r="N34" s="143"/>
      <c r="O34" s="163"/>
      <c r="P34" s="141"/>
      <c r="Q34" s="143"/>
      <c r="R34" s="163"/>
      <c r="S34" s="141"/>
      <c r="T34" s="143"/>
      <c r="U34" s="163"/>
      <c r="V34" s="141"/>
      <c r="W34" s="159"/>
    </row>
    <row r="35" spans="1:24" s="48" customFormat="1" ht="15">
      <c r="A35" s="160"/>
      <c r="B35" s="139"/>
      <c r="C35" s="163" t="s">
        <v>40</v>
      </c>
      <c r="D35" s="141" t="s">
        <v>41</v>
      </c>
      <c r="E35" s="139"/>
      <c r="F35" s="163" t="s">
        <v>40</v>
      </c>
      <c r="G35" s="141" t="s">
        <v>41</v>
      </c>
      <c r="H35" s="139"/>
      <c r="I35" s="163" t="s">
        <v>40</v>
      </c>
      <c r="J35" s="141" t="s">
        <v>41</v>
      </c>
      <c r="K35" s="139"/>
      <c r="L35" s="163" t="s">
        <v>40</v>
      </c>
      <c r="M35" s="141" t="s">
        <v>41</v>
      </c>
      <c r="N35" s="143"/>
      <c r="O35" s="163" t="s">
        <v>40</v>
      </c>
      <c r="P35" s="141" t="s">
        <v>41</v>
      </c>
      <c r="Q35" s="143"/>
      <c r="R35" s="163" t="s">
        <v>40</v>
      </c>
      <c r="S35" s="141" t="s">
        <v>41</v>
      </c>
      <c r="T35" s="143"/>
      <c r="U35" s="163" t="s">
        <v>40</v>
      </c>
      <c r="V35" s="141" t="s">
        <v>41</v>
      </c>
      <c r="W35" s="159"/>
    </row>
    <row r="36" spans="1:24" s="48" customFormat="1" ht="15">
      <c r="A36" s="160" t="s">
        <v>93</v>
      </c>
      <c r="B36" s="139"/>
      <c r="C36" s="163">
        <f>+C13+C27+C28+C29</f>
        <v>0</v>
      </c>
      <c r="D36" s="142">
        <f>+C36/12</f>
        <v>0</v>
      </c>
      <c r="E36" s="139"/>
      <c r="F36" s="163">
        <f>(+F13+F27+F28+F29)*F33</f>
        <v>0</v>
      </c>
      <c r="G36" s="142">
        <f>+F36/12</f>
        <v>0</v>
      </c>
      <c r="H36" s="139"/>
      <c r="I36" s="163">
        <f>(+I13+I27+I28+I29)*I33^2</f>
        <v>0</v>
      </c>
      <c r="J36" s="142">
        <f>+I36/12</f>
        <v>0</v>
      </c>
      <c r="K36" s="139"/>
      <c r="L36" s="163">
        <f>(+L13+L27+L28+L29)*L33^3</f>
        <v>0</v>
      </c>
      <c r="M36" s="142">
        <f>+L36/12</f>
        <v>0</v>
      </c>
      <c r="N36" s="164"/>
      <c r="O36" s="163">
        <f>(+O13+O27+O28+O29)*O33^4</f>
        <v>0</v>
      </c>
      <c r="P36" s="142">
        <f>+O36/12</f>
        <v>0</v>
      </c>
      <c r="Q36" s="164"/>
      <c r="R36" s="163">
        <f>(+R13+R27+R28+R29)*R33^5</f>
        <v>0</v>
      </c>
      <c r="S36" s="142">
        <f>+R36/12</f>
        <v>0</v>
      </c>
      <c r="T36" s="164"/>
      <c r="U36" s="163">
        <f>(+U13+U27+U28+U29)*U33^6</f>
        <v>0</v>
      </c>
      <c r="V36" s="142">
        <f>+U36/12</f>
        <v>0</v>
      </c>
      <c r="W36" s="165">
        <f>+I36+F36+C36+L36+O36+R36+U36</f>
        <v>0</v>
      </c>
    </row>
    <row r="37" spans="1:24" s="48" customFormat="1" ht="15">
      <c r="A37" s="160" t="s">
        <v>38</v>
      </c>
      <c r="B37" s="148" t="e">
        <f>+C37/C36</f>
        <v>#DIV/0!</v>
      </c>
      <c r="C37" s="163">
        <f>SUM(C16:C24)</f>
        <v>0</v>
      </c>
      <c r="D37" s="142">
        <f>+C37/12</f>
        <v>0</v>
      </c>
      <c r="E37" s="139"/>
      <c r="F37" s="163">
        <f>SUM(F16:F23)</f>
        <v>0</v>
      </c>
      <c r="G37" s="142">
        <f>+F37/12</f>
        <v>0</v>
      </c>
      <c r="H37" s="139"/>
      <c r="I37" s="163">
        <f>SUM(I16:I23)</f>
        <v>0</v>
      </c>
      <c r="J37" s="142">
        <f>+I37/12</f>
        <v>0</v>
      </c>
      <c r="K37" s="139"/>
      <c r="L37" s="163">
        <f>SUM(L16:L23)</f>
        <v>0</v>
      </c>
      <c r="M37" s="142">
        <f>+L37/12</f>
        <v>0</v>
      </c>
      <c r="N37" s="164"/>
      <c r="O37" s="163">
        <f>SUM(O16:O23)</f>
        <v>0</v>
      </c>
      <c r="P37" s="142">
        <f>+O37/12</f>
        <v>0</v>
      </c>
      <c r="Q37" s="164"/>
      <c r="R37" s="163">
        <f>SUM(R16:R23)</f>
        <v>0</v>
      </c>
      <c r="S37" s="142">
        <f>+R37/12</f>
        <v>0</v>
      </c>
      <c r="T37" s="164"/>
      <c r="U37" s="163">
        <f>SUM(U16:U23)</f>
        <v>0</v>
      </c>
      <c r="V37" s="142">
        <f>+U37/12</f>
        <v>0</v>
      </c>
      <c r="W37" s="165">
        <f>+I37+F37+C37+L37+O37+R37+U37</f>
        <v>0</v>
      </c>
    </row>
    <row r="38" spans="1:24" s="48" customFormat="1" ht="15">
      <c r="A38" s="156" t="s">
        <v>39</v>
      </c>
      <c r="B38" s="166"/>
      <c r="C38" s="167">
        <f>+C37+C36</f>
        <v>0</v>
      </c>
      <c r="D38" s="168">
        <f>+D37+D36</f>
        <v>0</v>
      </c>
      <c r="E38" s="139"/>
      <c r="F38" s="167">
        <f>+F37+F36</f>
        <v>0</v>
      </c>
      <c r="G38" s="168">
        <f>+G37+G36</f>
        <v>0</v>
      </c>
      <c r="H38" s="139"/>
      <c r="I38" s="167">
        <f>+I37+I36</f>
        <v>0</v>
      </c>
      <c r="J38" s="168">
        <f>+J37+J36</f>
        <v>0</v>
      </c>
      <c r="K38" s="139"/>
      <c r="L38" s="167">
        <f>+L37+L36</f>
        <v>0</v>
      </c>
      <c r="M38" s="168">
        <f>+M37+M36</f>
        <v>0</v>
      </c>
      <c r="N38" s="169"/>
      <c r="O38" s="167">
        <f>+O37+O36</f>
        <v>0</v>
      </c>
      <c r="P38" s="168">
        <f>+P37+P36</f>
        <v>0</v>
      </c>
      <c r="Q38" s="169"/>
      <c r="R38" s="167">
        <f>+R37+R36</f>
        <v>0</v>
      </c>
      <c r="S38" s="168">
        <f>+S37+S36</f>
        <v>0</v>
      </c>
      <c r="T38" s="169"/>
      <c r="U38" s="167">
        <f>+U37+U36</f>
        <v>0</v>
      </c>
      <c r="V38" s="168">
        <f>+V37+V36</f>
        <v>0</v>
      </c>
      <c r="W38" s="170">
        <f>+I38+F38+C38+L38+O38+R38+U38</f>
        <v>0</v>
      </c>
    </row>
    <row r="39" spans="1:24" s="48" customFormat="1" ht="15">
      <c r="A39" s="83"/>
      <c r="B39" s="171"/>
      <c r="C39" s="80"/>
      <c r="D39" s="172"/>
      <c r="E39" s="139"/>
      <c r="F39" s="83"/>
      <c r="G39" s="172"/>
      <c r="H39" s="139"/>
      <c r="I39" s="83"/>
      <c r="J39" s="172"/>
      <c r="K39" s="139"/>
      <c r="L39" s="83"/>
      <c r="M39" s="172"/>
      <c r="N39" s="143"/>
      <c r="O39" s="83"/>
      <c r="P39" s="172"/>
      <c r="Q39" s="143"/>
      <c r="R39" s="83"/>
      <c r="S39" s="172"/>
      <c r="T39" s="143"/>
      <c r="U39" s="83"/>
      <c r="V39" s="172"/>
      <c r="W39" s="173"/>
    </row>
    <row r="40" spans="1:24" s="48" customFormat="1" ht="15">
      <c r="B40" s="139"/>
      <c r="C40" s="140"/>
      <c r="D40" s="141"/>
      <c r="E40" s="139"/>
      <c r="F40" s="53"/>
      <c r="G40" s="141"/>
      <c r="H40" s="139"/>
      <c r="I40" s="53"/>
      <c r="J40" s="141"/>
      <c r="K40" s="139"/>
      <c r="L40" s="53"/>
      <c r="M40" s="141"/>
      <c r="N40" s="174"/>
      <c r="O40" s="53"/>
      <c r="P40" s="141"/>
      <c r="Q40" s="174"/>
      <c r="R40" s="53"/>
      <c r="S40" s="141"/>
      <c r="T40" s="174"/>
      <c r="U40" s="53"/>
      <c r="V40" s="141"/>
    </row>
    <row r="41" spans="1:24" s="48" customFormat="1" ht="15">
      <c r="A41" s="151"/>
      <c r="B41" s="152"/>
      <c r="C41" s="175"/>
      <c r="D41" s="154"/>
      <c r="E41" s="152"/>
      <c r="F41" s="176"/>
      <c r="G41" s="154"/>
      <c r="H41" s="152"/>
      <c r="I41" s="176"/>
      <c r="J41" s="154"/>
      <c r="K41" s="152"/>
      <c r="L41" s="176"/>
      <c r="M41" s="154"/>
      <c r="N41" s="143"/>
      <c r="O41" s="176"/>
      <c r="P41" s="154"/>
      <c r="Q41" s="143"/>
      <c r="R41" s="176"/>
      <c r="S41" s="154"/>
      <c r="T41" s="143"/>
      <c r="U41" s="176"/>
      <c r="V41" s="154"/>
      <c r="W41" s="192" t="s">
        <v>137</v>
      </c>
    </row>
    <row r="42" spans="1:24" s="48" customFormat="1" ht="15">
      <c r="A42" s="160" t="s">
        <v>45</v>
      </c>
      <c r="B42" s="177"/>
      <c r="C42" s="140"/>
      <c r="D42" s="142">
        <f>+D38*B42</f>
        <v>0</v>
      </c>
      <c r="E42" s="177"/>
      <c r="F42" s="53"/>
      <c r="G42" s="142">
        <f>+G38*E42</f>
        <v>0</v>
      </c>
      <c r="H42" s="177"/>
      <c r="I42" s="53"/>
      <c r="J42" s="142">
        <f>+J38*H42</f>
        <v>0</v>
      </c>
      <c r="K42" s="177"/>
      <c r="L42" s="140"/>
      <c r="M42" s="142">
        <f>+M38*K42</f>
        <v>0</v>
      </c>
      <c r="N42" s="177"/>
      <c r="O42" s="140"/>
      <c r="P42" s="142">
        <f>+P38*N42</f>
        <v>0</v>
      </c>
      <c r="Q42" s="177"/>
      <c r="R42" s="140"/>
      <c r="S42" s="142">
        <f>+S38*Q42</f>
        <v>0</v>
      </c>
      <c r="T42" s="177"/>
      <c r="U42" s="140"/>
      <c r="V42" s="142">
        <f>+V38*T42</f>
        <v>0</v>
      </c>
      <c r="W42" s="266">
        <f>+J42+G42+D42+M42+P42+S42+V42</f>
        <v>0</v>
      </c>
    </row>
    <row r="43" spans="1:24" s="48" customFormat="1" ht="15">
      <c r="A43" s="160"/>
      <c r="B43" s="139"/>
      <c r="C43" s="140"/>
      <c r="D43" s="141"/>
      <c r="E43" s="139"/>
      <c r="F43" s="53"/>
      <c r="G43" s="141"/>
      <c r="H43" s="139"/>
      <c r="I43" s="53"/>
      <c r="J43" s="141"/>
      <c r="K43" s="139"/>
      <c r="L43" s="53"/>
      <c r="M43" s="141"/>
      <c r="N43" s="143"/>
      <c r="O43" s="53"/>
      <c r="P43" s="141"/>
      <c r="Q43" s="143"/>
      <c r="R43" s="53"/>
      <c r="S43" s="141"/>
      <c r="T43" s="143"/>
      <c r="U43" s="53"/>
      <c r="V43" s="141"/>
      <c r="W43" s="193"/>
    </row>
    <row r="44" spans="1:24" s="48" customFormat="1" ht="15.75" thickBot="1">
      <c r="A44" s="83"/>
      <c r="B44" s="178"/>
      <c r="C44" s="179"/>
      <c r="D44" s="180"/>
      <c r="E44" s="178"/>
      <c r="F44" s="181"/>
      <c r="G44" s="180"/>
      <c r="H44" s="178"/>
      <c r="I44" s="181"/>
      <c r="J44" s="180"/>
      <c r="K44" s="178"/>
      <c r="L44" s="181"/>
      <c r="M44" s="180"/>
      <c r="N44" s="182"/>
      <c r="O44" s="181"/>
      <c r="P44" s="180"/>
      <c r="Q44" s="182"/>
      <c r="R44" s="181"/>
      <c r="S44" s="180"/>
      <c r="T44" s="182"/>
      <c r="U44" s="181"/>
      <c r="V44" s="180"/>
      <c r="W44" s="194">
        <f>+B42+E42+H42+K42+N42+Q42+T42</f>
        <v>0</v>
      </c>
    </row>
    <row r="45" spans="1:24" s="48" customFormat="1" ht="15">
      <c r="C45" s="47"/>
      <c r="N45" s="129"/>
      <c r="Q45" s="129"/>
    </row>
    <row r="46" spans="1:24" s="48" customFormat="1" ht="16.5" hidden="1" customHeight="1" outlineLevel="1">
      <c r="C46" s="47"/>
      <c r="N46" s="129"/>
      <c r="Q46" s="129"/>
    </row>
    <row r="47" spans="1:24" s="48" customFormat="1" ht="15" hidden="1" customHeight="1" outlineLevel="1">
      <c r="A47" s="107" t="s">
        <v>136</v>
      </c>
      <c r="C47" s="47"/>
      <c r="N47" s="129"/>
      <c r="Q47" s="129"/>
      <c r="W47" s="183" t="s">
        <v>137</v>
      </c>
      <c r="X47" s="184" t="s">
        <v>136</v>
      </c>
    </row>
    <row r="48" spans="1:24" s="48" customFormat="1" ht="15" hidden="1" customHeight="1" outlineLevel="1">
      <c r="A48" s="48" t="s">
        <v>68</v>
      </c>
      <c r="C48" s="47"/>
      <c r="D48" s="185">
        <f>+D42</f>
        <v>0</v>
      </c>
      <c r="E48" s="185"/>
      <c r="F48" s="185"/>
      <c r="G48" s="185">
        <f>+G42</f>
        <v>0</v>
      </c>
      <c r="H48" s="185"/>
      <c r="I48" s="185"/>
      <c r="J48" s="185">
        <f>+J42</f>
        <v>0</v>
      </c>
      <c r="K48" s="185"/>
      <c r="L48" s="185"/>
      <c r="M48" s="185">
        <f>+M42</f>
        <v>0</v>
      </c>
      <c r="N48" s="185"/>
      <c r="O48" s="185"/>
      <c r="P48" s="185">
        <f>+P42</f>
        <v>0</v>
      </c>
      <c r="Q48" s="185"/>
      <c r="R48" s="185"/>
      <c r="S48" s="185">
        <f>+S42</f>
        <v>0</v>
      </c>
      <c r="T48" s="185"/>
      <c r="U48" s="185"/>
      <c r="V48" s="185">
        <f>+V42</f>
        <v>0</v>
      </c>
      <c r="W48" s="186">
        <f>SUM(B48:V48)</f>
        <v>0</v>
      </c>
      <c r="X48" s="183" t="s">
        <v>68</v>
      </c>
    </row>
    <row r="49" spans="1:31" s="48" customFormat="1" ht="15" hidden="1" customHeight="1" outlineLevel="1">
      <c r="A49" s="48" t="s">
        <v>135</v>
      </c>
      <c r="C49" s="47"/>
      <c r="D49" s="47">
        <f>D48/1.16</f>
        <v>0</v>
      </c>
      <c r="G49" s="47">
        <f>G48/1.16</f>
        <v>0</v>
      </c>
      <c r="J49" s="47">
        <f>J48/1.16</f>
        <v>0</v>
      </c>
      <c r="M49" s="47">
        <f>M48/1.16</f>
        <v>0</v>
      </c>
      <c r="N49" s="129"/>
      <c r="P49" s="47">
        <f>P48/1.16</f>
        <v>0</v>
      </c>
      <c r="Q49" s="129"/>
      <c r="S49" s="47">
        <f>S48/1.16</f>
        <v>0</v>
      </c>
      <c r="V49" s="47">
        <f>V48/1.14</f>
        <v>0</v>
      </c>
      <c r="W49" s="186">
        <f>SUM(B49:V49)</f>
        <v>0</v>
      </c>
      <c r="X49" s="183" t="s">
        <v>135</v>
      </c>
    </row>
    <row r="50" spans="1:31" ht="15" hidden="1" outlineLevel="1">
      <c r="A50" s="48" t="s">
        <v>329</v>
      </c>
      <c r="B50" s="48"/>
      <c r="C50" s="47"/>
      <c r="D50" s="47">
        <f>D48/1.16*0.16</f>
        <v>0</v>
      </c>
      <c r="E50" s="48"/>
      <c r="F50" s="48"/>
      <c r="G50" s="47">
        <f>G48/1.16*0.16</f>
        <v>0</v>
      </c>
      <c r="H50" s="48"/>
      <c r="I50" s="48"/>
      <c r="J50" s="47">
        <f>J48/1.16*0.16</f>
        <v>0</v>
      </c>
      <c r="K50" s="48"/>
      <c r="L50" s="48"/>
      <c r="M50" s="47">
        <f>M48/1.16*0.16</f>
        <v>0</v>
      </c>
      <c r="N50" s="129"/>
      <c r="O50" s="48"/>
      <c r="P50" s="47">
        <f>P48/1.16*0.16</f>
        <v>0</v>
      </c>
      <c r="Q50" s="129"/>
      <c r="R50" s="48"/>
      <c r="S50" s="47">
        <f>S48/1.16*0.16</f>
        <v>0</v>
      </c>
      <c r="T50" s="48"/>
      <c r="U50" s="48"/>
      <c r="V50" s="47">
        <f>V48/1.14*0.14</f>
        <v>0</v>
      </c>
      <c r="W50" s="186">
        <f>SUM(B50:V50)</f>
        <v>0</v>
      </c>
      <c r="X50" s="183" t="str">
        <f>A50</f>
        <v>Social Security (16 %)</v>
      </c>
      <c r="Y50" s="48"/>
      <c r="Z50" s="48"/>
      <c r="AA50" s="48"/>
      <c r="AB50" s="48"/>
      <c r="AC50" s="48"/>
      <c r="AD50" s="48"/>
      <c r="AE50" s="48"/>
    </row>
    <row r="51" spans="1:31" ht="15" hidden="1" outlineLevel="1">
      <c r="A51" s="48"/>
      <c r="B51" s="48"/>
      <c r="C51" s="47"/>
      <c r="D51" s="48"/>
      <c r="E51" s="48"/>
      <c r="F51" s="48"/>
      <c r="G51" s="48"/>
      <c r="H51" s="48"/>
      <c r="I51" s="48"/>
      <c r="J51" s="48"/>
      <c r="K51" s="48"/>
      <c r="L51" s="48"/>
      <c r="M51" s="48"/>
      <c r="N51" s="129"/>
      <c r="O51" s="48"/>
      <c r="P51" s="48"/>
      <c r="Q51" s="129"/>
      <c r="R51" s="48"/>
      <c r="S51" s="48"/>
      <c r="T51" s="48"/>
      <c r="U51" s="48"/>
      <c r="V51" s="48"/>
      <c r="W51" s="48"/>
      <c r="Y51" s="48"/>
      <c r="Z51" s="48"/>
      <c r="AA51" s="48"/>
      <c r="AB51" s="48"/>
      <c r="AC51" s="48"/>
      <c r="AD51" s="48"/>
      <c r="AE51" s="48"/>
    </row>
    <row r="52" spans="1:31" ht="15" collapsed="1">
      <c r="A52" s="48"/>
      <c r="B52" s="48"/>
      <c r="C52" s="47"/>
      <c r="D52" s="48"/>
      <c r="E52" s="48"/>
      <c r="F52" s="48"/>
      <c r="G52" s="48"/>
      <c r="H52" s="48"/>
      <c r="I52" s="48"/>
      <c r="J52" s="48"/>
      <c r="K52" s="48"/>
      <c r="L52" s="48"/>
      <c r="M52" s="48"/>
      <c r="N52" s="129"/>
      <c r="O52" s="48"/>
      <c r="P52" s="48"/>
      <c r="Q52" s="129"/>
      <c r="R52" s="48"/>
      <c r="S52" s="48"/>
      <c r="T52" s="48"/>
      <c r="U52" s="48"/>
      <c r="V52" s="48"/>
      <c r="W52" s="48"/>
      <c r="Y52" s="48"/>
      <c r="Z52" s="48"/>
      <c r="AA52" s="48"/>
      <c r="AB52" s="48"/>
      <c r="AC52" s="48"/>
      <c r="AD52" s="48"/>
      <c r="AE52" s="48"/>
    </row>
    <row r="53" spans="1:31" ht="15">
      <c r="A53" s="48"/>
      <c r="B53" s="48"/>
      <c r="C53" s="47"/>
      <c r="D53" s="48"/>
      <c r="E53" s="48"/>
      <c r="F53" s="48"/>
      <c r="G53" s="48"/>
      <c r="H53" s="48"/>
      <c r="I53" s="48"/>
      <c r="J53" s="48"/>
      <c r="K53" s="48"/>
      <c r="L53" s="48"/>
      <c r="M53" s="48"/>
      <c r="N53" s="129"/>
      <c r="O53" s="48"/>
      <c r="P53" s="48"/>
      <c r="Q53" s="129"/>
      <c r="R53" s="48"/>
      <c r="S53" s="48"/>
      <c r="T53" s="48"/>
      <c r="U53" s="48"/>
      <c r="V53" s="48"/>
      <c r="W53" s="48"/>
      <c r="X53" s="48"/>
      <c r="Y53" s="48"/>
      <c r="Z53" s="48"/>
      <c r="AA53" s="48"/>
      <c r="AB53" s="48"/>
      <c r="AC53" s="48"/>
      <c r="AD53" s="48"/>
      <c r="AE53" s="48"/>
    </row>
    <row r="54" spans="1:31" ht="15">
      <c r="A54" s="48"/>
      <c r="B54" s="48"/>
      <c r="C54" s="47"/>
      <c r="D54" s="48"/>
      <c r="E54" s="48"/>
      <c r="F54" s="48"/>
      <c r="G54" s="48"/>
      <c r="H54" s="48"/>
      <c r="I54" s="48"/>
      <c r="J54" s="48"/>
      <c r="K54" s="48"/>
      <c r="L54" s="48"/>
      <c r="M54" s="48"/>
      <c r="N54" s="129"/>
      <c r="O54" s="48"/>
      <c r="P54" s="48"/>
      <c r="Q54" s="129"/>
      <c r="R54" s="48"/>
      <c r="S54" s="48"/>
      <c r="T54" s="48"/>
      <c r="U54" s="48"/>
      <c r="V54" s="48"/>
      <c r="W54" s="48"/>
      <c r="X54" s="48"/>
      <c r="Y54" s="48"/>
      <c r="Z54" s="48"/>
      <c r="AA54" s="48"/>
      <c r="AB54" s="48"/>
      <c r="AC54" s="48"/>
      <c r="AD54" s="48"/>
      <c r="AE54" s="48"/>
    </row>
    <row r="55" spans="1:31" ht="15">
      <c r="A55" s="48"/>
      <c r="B55" s="48"/>
      <c r="C55" s="47"/>
      <c r="D55" s="48"/>
      <c r="E55" s="48"/>
      <c r="F55" s="48"/>
      <c r="G55" s="48"/>
      <c r="H55" s="48"/>
      <c r="I55" s="48"/>
      <c r="J55" s="48"/>
      <c r="K55" s="48"/>
      <c r="L55" s="48"/>
      <c r="M55" s="48"/>
      <c r="N55" s="129"/>
      <c r="O55" s="48"/>
      <c r="P55" s="48"/>
      <c r="Q55" s="129"/>
      <c r="R55" s="48"/>
      <c r="S55" s="48"/>
      <c r="T55" s="48"/>
      <c r="U55" s="48"/>
      <c r="V55" s="48"/>
      <c r="W55" s="48"/>
      <c r="X55" s="48"/>
      <c r="Y55" s="48"/>
      <c r="Z55" s="48"/>
      <c r="AA55" s="48"/>
      <c r="AB55" s="48"/>
      <c r="AC55" s="48"/>
      <c r="AD55" s="48"/>
      <c r="AE55" s="48"/>
    </row>
    <row r="56" spans="1:31" ht="15">
      <c r="A56" s="48"/>
      <c r="B56" s="48"/>
      <c r="C56" s="47"/>
      <c r="D56" s="48"/>
      <c r="E56" s="48"/>
      <c r="F56" s="48"/>
      <c r="G56" s="48"/>
      <c r="H56" s="48"/>
      <c r="I56" s="48"/>
      <c r="J56" s="48"/>
      <c r="K56" s="48"/>
      <c r="L56" s="48"/>
      <c r="M56" s="48"/>
      <c r="N56" s="129"/>
      <c r="O56" s="48"/>
      <c r="P56" s="48"/>
      <c r="Q56" s="129"/>
      <c r="R56" s="48"/>
      <c r="S56" s="48"/>
      <c r="T56" s="48"/>
      <c r="U56" s="48"/>
      <c r="V56" s="48"/>
      <c r="W56" s="48"/>
      <c r="X56" s="48"/>
      <c r="AC56" s="3"/>
      <c r="AD56" s="48"/>
      <c r="AE56" s="48"/>
    </row>
    <row r="57" spans="1:31" ht="15">
      <c r="X57" s="48"/>
      <c r="AC57" s="3"/>
      <c r="AD57" s="48"/>
      <c r="AE57" s="48"/>
    </row>
    <row r="58" spans="1:31" ht="15">
      <c r="X58" s="48"/>
      <c r="AC58" s="3"/>
      <c r="AE58" s="48"/>
    </row>
    <row r="59" spans="1:31">
      <c r="AC59" s="3"/>
    </row>
    <row r="60" spans="1:31">
      <c r="AC60" s="3"/>
    </row>
    <row r="61" spans="1:31">
      <c r="AC61" s="3"/>
    </row>
    <row r="62" spans="1:31">
      <c r="AC62" s="3"/>
    </row>
    <row r="63" spans="1:31">
      <c r="AC63" s="3"/>
    </row>
    <row r="64" spans="1:31">
      <c r="AC64" s="3"/>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sheetData>
  <sheetProtection algorithmName="SHA-512" hashValue="1EjGwzY9FrFk9bD49bu/kLDXA02pT2x/1mRqt6mt1Ry2vwc3vQCzIZpIog4a3kaopaeknObqUR3usIUCpb9KLg==" saltValue="EgdDSdtlwUUbFH3dP74B2w==" spinCount="100000" sheet="1" objects="1" scenarios="1"/>
  <mergeCells count="7">
    <mergeCell ref="B6:C6"/>
    <mergeCell ref="B7:C7"/>
    <mergeCell ref="B8:C8"/>
    <mergeCell ref="B2:C2"/>
    <mergeCell ref="B3:C3"/>
    <mergeCell ref="B4:C4"/>
    <mergeCell ref="B5:C5"/>
  </mergeCells>
  <phoneticPr fontId="10" type="noConversion"/>
  <conditionalFormatting sqref="D2 G2 J2:V2">
    <cfRule type="cellIs" priority="12" stopIfTrue="1" operator="between">
      <formula>$Y$5</formula>
      <formula>$Y$14</formula>
    </cfRule>
  </conditionalFormatting>
  <dataValidations count="2">
    <dataValidation type="list" allowBlank="1" showInputMessage="1" showErrorMessage="1" sqref="D2 J2:V2 G2">
      <formula1>$Y$4:$Y$14</formula1>
    </dataValidation>
    <dataValidation type="list" allowBlank="1" showInputMessage="1" showErrorMessage="1" sqref="D9">
      <formula1>$AB$26:$AB$27</formula1>
    </dataValidation>
  </dataValidations>
  <pageMargins left="0.19685039370078741" right="0.19685039370078741" top="0.59055118110236227" bottom="0.78740157480314965" header="0.31496062992125984" footer="0.39370078740157483"/>
  <pageSetup scale="60" orientation="landscape" r:id="rId1"/>
  <headerFooter alignWithMargins="0">
    <oddFooter>&amp;L&amp;8&amp;F, &amp;A, 11.07.2019 / AG</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92D050"/>
    <pageSetUpPr fitToPage="1"/>
  </sheetPr>
  <dimension ref="A1:AE83"/>
  <sheetViews>
    <sheetView showGridLines="0" zoomScaleNormal="100" workbookViewId="0">
      <selection activeCell="A5" sqref="A5"/>
    </sheetView>
  </sheetViews>
  <sheetFormatPr baseColWidth="10" defaultColWidth="9.140625" defaultRowHeight="12.75" outlineLevelRow="1" outlineLevelCol="1"/>
  <cols>
    <col min="1" max="1" width="21.7109375" style="3" customWidth="1"/>
    <col min="2" max="2" width="8.140625" style="3" bestFit="1" customWidth="1"/>
    <col min="3" max="3" width="11.28515625" style="44" customWidth="1"/>
    <col min="4" max="4" width="17"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5.5703125" style="120" bestFit="1" customWidth="1"/>
    <col min="15" max="15" width="8.5703125" style="3" bestFit="1" customWidth="1"/>
    <col min="16" max="16" width="17" style="3" bestFit="1" customWidth="1"/>
    <col min="17" max="17" width="5.5703125" style="120" bestFit="1" customWidth="1"/>
    <col min="18" max="18" width="8.5703125" style="3" bestFit="1" customWidth="1"/>
    <col min="19" max="19" width="17" style="3" bestFit="1" customWidth="1"/>
    <col min="20" max="20" width="5.5703125" style="3" hidden="1" customWidth="1" outlineLevel="1"/>
    <col min="21" max="21" width="9.85546875" style="3" hidden="1" customWidth="1" outlineLevel="1"/>
    <col min="22" max="22" width="17" style="3" hidden="1" customWidth="1" outlineLevel="1"/>
    <col min="23" max="23" width="14.7109375" style="3" bestFit="1" customWidth="1" collapsed="1"/>
    <col min="24" max="24" width="19.85546875" style="3" customWidth="1"/>
    <col min="25" max="25" width="16.140625" style="3" hidden="1" customWidth="1" outlineLevel="1"/>
    <col min="26" max="26" width="11.85546875" style="3" hidden="1" customWidth="1" outlineLevel="1"/>
    <col min="27" max="27" width="9.140625" style="3" hidden="1" customWidth="1" outlineLevel="1"/>
    <col min="28" max="28" width="10.85546875" style="3" hidden="1" customWidth="1" outlineLevel="1"/>
    <col min="29" max="29" width="9.140625" style="262" hidden="1" customWidth="1" outlineLevel="1"/>
    <col min="30" max="30" width="9.140625" style="3" hidden="1" customWidth="1" outlineLevel="1"/>
    <col min="31" max="31" width="9.140625" style="3" customWidth="1" collapsed="1"/>
    <col min="32" max="16384" width="9.140625" style="3"/>
  </cols>
  <sheetData>
    <row r="1" spans="1:31" ht="23.25">
      <c r="A1" s="119" t="s">
        <v>90</v>
      </c>
    </row>
    <row r="2" spans="1:31" s="123" customFormat="1" ht="15">
      <c r="A2" s="121" t="s">
        <v>12</v>
      </c>
      <c r="B2" s="396" t="s">
        <v>13</v>
      </c>
      <c r="C2" s="396"/>
      <c r="D2" s="122"/>
      <c r="G2" s="122"/>
      <c r="J2" s="122"/>
      <c r="K2" s="124"/>
      <c r="L2" s="124"/>
      <c r="M2" s="122"/>
      <c r="N2" s="125"/>
      <c r="O2" s="124"/>
      <c r="P2" s="122"/>
      <c r="Q2" s="125"/>
      <c r="R2" s="124"/>
      <c r="S2" s="122"/>
      <c r="T2" s="124"/>
      <c r="U2" s="124"/>
      <c r="V2" s="122"/>
      <c r="W2" s="124"/>
      <c r="Y2" s="123" t="s">
        <v>30</v>
      </c>
      <c r="Z2" s="126">
        <v>43466</v>
      </c>
    </row>
    <row r="3" spans="1:31" s="48" customFormat="1" ht="15">
      <c r="A3" s="123"/>
      <c r="B3" s="396" t="s">
        <v>24</v>
      </c>
      <c r="C3" s="396"/>
      <c r="D3" s="127" t="s">
        <v>42</v>
      </c>
      <c r="E3" s="123"/>
      <c r="F3" s="123"/>
      <c r="G3" s="123"/>
      <c r="H3" s="123"/>
      <c r="I3" s="123"/>
      <c r="J3" s="123"/>
      <c r="K3" s="124"/>
      <c r="L3" s="124"/>
      <c r="M3" s="124"/>
      <c r="N3" s="125"/>
      <c r="O3" s="124"/>
      <c r="P3" s="124"/>
      <c r="Q3" s="125"/>
      <c r="R3" s="124"/>
      <c r="S3" s="124"/>
      <c r="T3" s="124"/>
      <c r="U3" s="124"/>
      <c r="V3" s="124"/>
      <c r="W3" s="124"/>
      <c r="X3" s="123"/>
      <c r="AD3" s="123"/>
      <c r="AE3" s="123"/>
    </row>
    <row r="4" spans="1:31" s="48" customFormat="1" ht="15" customHeight="1">
      <c r="A4" s="131" t="s">
        <v>47</v>
      </c>
      <c r="B4" s="396" t="s">
        <v>23</v>
      </c>
      <c r="C4" s="396"/>
      <c r="D4" s="128" t="s">
        <v>29</v>
      </c>
      <c r="K4" s="128"/>
      <c r="L4" s="128"/>
      <c r="M4" s="128"/>
      <c r="N4" s="129"/>
      <c r="O4" s="128"/>
      <c r="P4" s="128"/>
      <c r="Q4" s="129"/>
      <c r="R4" s="128"/>
      <c r="S4" s="128"/>
      <c r="T4" s="128"/>
      <c r="U4" s="128"/>
      <c r="V4" s="128"/>
      <c r="W4" s="128"/>
      <c r="Y4" s="48" t="s">
        <v>14</v>
      </c>
      <c r="Z4" s="48">
        <v>50800</v>
      </c>
    </row>
    <row r="5" spans="1:31" s="48" customFormat="1" ht="15">
      <c r="A5" s="132"/>
      <c r="B5" s="396" t="s">
        <v>0</v>
      </c>
      <c r="C5" s="396"/>
      <c r="D5" s="133"/>
      <c r="N5" s="129"/>
      <c r="Q5" s="129"/>
      <c r="Y5" s="48" t="s">
        <v>15</v>
      </c>
      <c r="Z5" s="48">
        <v>54400</v>
      </c>
    </row>
    <row r="6" spans="1:31" s="48" customFormat="1" ht="15">
      <c r="B6" s="396" t="s">
        <v>3</v>
      </c>
      <c r="C6" s="396"/>
      <c r="D6" s="134"/>
      <c r="N6" s="129"/>
      <c r="Q6" s="129"/>
      <c r="Y6" s="48" t="s">
        <v>22</v>
      </c>
      <c r="Z6" s="48">
        <v>58000</v>
      </c>
    </row>
    <row r="7" spans="1:31" s="48" customFormat="1" ht="15" customHeight="1">
      <c r="B7" s="396" t="s">
        <v>36</v>
      </c>
      <c r="C7" s="396"/>
      <c r="D7" s="134"/>
      <c r="N7" s="129"/>
      <c r="Q7" s="129"/>
      <c r="Y7" s="48" t="s">
        <v>16</v>
      </c>
      <c r="Z7" s="48">
        <v>85000</v>
      </c>
    </row>
    <row r="8" spans="1:31" s="48" customFormat="1" ht="15" customHeight="1">
      <c r="B8" s="396" t="s">
        <v>37</v>
      </c>
      <c r="C8" s="396"/>
      <c r="D8" s="134"/>
      <c r="N8" s="129"/>
      <c r="Q8" s="129"/>
      <c r="Y8" s="48" t="s">
        <v>17</v>
      </c>
      <c r="Z8" s="48">
        <v>88000</v>
      </c>
      <c r="AC8" s="282"/>
    </row>
    <row r="9" spans="1:31" s="48" customFormat="1" ht="15">
      <c r="B9" s="297" t="s">
        <v>283</v>
      </c>
      <c r="C9" s="297"/>
      <c r="D9" s="298" t="s">
        <v>284</v>
      </c>
      <c r="N9" s="129"/>
      <c r="Q9" s="129"/>
      <c r="Y9" s="48" t="s">
        <v>18</v>
      </c>
      <c r="Z9" s="48">
        <v>92000</v>
      </c>
      <c r="AC9" s="282"/>
    </row>
    <row r="10" spans="1:31" s="330" customFormat="1" ht="15.75" thickBot="1">
      <c r="C10" s="331"/>
      <c r="N10" s="332"/>
      <c r="Q10" s="332"/>
      <c r="Y10" s="330" t="s">
        <v>44</v>
      </c>
      <c r="Z10" s="351">
        <v>103005</v>
      </c>
      <c r="AC10" s="333"/>
    </row>
    <row r="11" spans="1:31" s="48" customFormat="1" ht="15">
      <c r="A11" s="107" t="s">
        <v>293</v>
      </c>
      <c r="B11" s="188">
        <v>1</v>
      </c>
      <c r="C11" s="136">
        <f>IF(D2=$Y$4,$Z$4,IF(D2=$Y$5,$Z$5,IF(D2=$Y$6,$Z$6,IF(D2=$Y$7,$Z$7,IF(D2=$Y$8,$Z$8,IF(D2=$Y$9,$Z$9,IF(D2=$Y$10,$Z$10,IF(D2=$Y$11,$Z$11,0))))))))</f>
        <v>0</v>
      </c>
      <c r="D11" s="293">
        <f>+C11/12</f>
        <v>0</v>
      </c>
      <c r="E11" s="188">
        <f>+B11</f>
        <v>1</v>
      </c>
      <c r="F11" s="136">
        <f>IF(G2=$Y$4,$Z$4,IF(G2=$Y$5,$Z$5,IF(G2=$Y$6,$Z$6,IF(G2=$Y$7,$Z$7,IF(G2=$Y$8,$Z$8,IF(G2=$Y$9,$Z$9,IF(G2=$Y$10,$Z$10,IF(G2=$Y$11,$Z$11,0))))))))</f>
        <v>0</v>
      </c>
      <c r="G11" s="138"/>
      <c r="H11" s="188">
        <f>+B11</f>
        <v>1</v>
      </c>
      <c r="I11" s="136">
        <f>IF(J2=$Y$4,$Z$4,IF(J2=$Y$5,$Z$5,IF(J2=$Y$6,$Z$6,IF(J2=$Y$7,$Z$7,IF(J2=$Y$8,$Z$8,IF(J2=$Y$9,$Z$9,IF(J2=$Y$10,$Z$10,IF(J2=$Y$11,$Z$11,0))))))))</f>
        <v>0</v>
      </c>
      <c r="J11" s="137"/>
      <c r="K11" s="188">
        <f>+B11</f>
        <v>1</v>
      </c>
      <c r="L11" s="136">
        <f>IF(M2=$Y$4,$Z$4,IF(M2=$Y$5,$Z$5,IF(M2=$Y$6,$Z$6,IF(M2=$Y$7,$Z$7,IF(M2=$Y$8,$Z$8,IF(M2=$Y$9,$Z$9,IF(M2=$Y$10,$Z$10,IF(M2=$Y$11,$Z$11,0))))))))</f>
        <v>0</v>
      </c>
      <c r="M11" s="137"/>
      <c r="N11" s="188">
        <f>+B11</f>
        <v>1</v>
      </c>
      <c r="O11" s="136">
        <f>IF(P2=$Y$4,$Z$4,IF(P2=$Y$5,$Z$5,IF(P2=$Y$6,$Z$6,IF(P2=$Y$7,$Z$7,IF(P2=$Y$8,$Z$8,IF(P2=$Y$9,$Z$9,IF(P2=$Y$10,$Z$10,IF(P2=$Y$11,$Z$11,0))))))))</f>
        <v>0</v>
      </c>
      <c r="P11" s="137"/>
      <c r="Q11" s="188">
        <f>+B11</f>
        <v>1</v>
      </c>
      <c r="R11" s="136">
        <f>IF(S2=$Y$4,$Z$4,IF(S2=$Y$5,$Z$5,IF(S2=$Y$6,$Z$6,IF(S2=$Y$7,$Z$7,IF(S2=$Y$8,$Z$8,IF(S2=$Y$9,$Z$9,IF(S2=$Y$10,$Z$10,IF(S2=$Y$11,$Z$11,0))))))))</f>
        <v>0</v>
      </c>
      <c r="S11" s="137"/>
      <c r="T11" s="188">
        <f>+B11</f>
        <v>1</v>
      </c>
      <c r="U11" s="136">
        <f>IF(V2=$Y$4,$Z$4,IF(V2=$Y$5,$Z$5,IF(V2=$Y$6,$Z$6,IF(V2=$Y$7,$Z$7,IF(V2=$Y$8,$Z$8,IF(V2=$Y$9,$Z$9,IF(V2=$Y$10,$Z$10,IF(V2=$Y$11,$Z$11,0))))))))</f>
        <v>0</v>
      </c>
      <c r="V11" s="137"/>
      <c r="Y11" s="48" t="s">
        <v>19</v>
      </c>
      <c r="Z11" s="48">
        <v>70300</v>
      </c>
      <c r="AC11" s="282"/>
    </row>
    <row r="12" spans="1:31" s="48" customFormat="1" ht="15">
      <c r="A12" s="107" t="s">
        <v>293</v>
      </c>
      <c r="B12" s="303">
        <f>+B11</f>
        <v>1</v>
      </c>
      <c r="C12" s="140">
        <f>IF(D2=$Y$12,$Z$12,IF(D2=$Y$13,$Z$13,IF(D2=$Y$14,$Z$14,0)))</f>
        <v>0</v>
      </c>
      <c r="D12" s="294"/>
      <c r="E12" s="303">
        <f>+E11</f>
        <v>1</v>
      </c>
      <c r="F12" s="140">
        <f>IF(G2=$Y$12,$Z$12,IF(G2=$Y$13,$Z$13,IF(G2=$Y$14,$Z$14,0)))</f>
        <v>0</v>
      </c>
      <c r="G12" s="142"/>
      <c r="H12" s="303">
        <f>+H11</f>
        <v>1</v>
      </c>
      <c r="I12" s="140">
        <f>IF(J2=$Y$12,$Z$12,IF(J2=$Y$13,$Z$13,IF(J2=$Y$14,$Z$14,0)))</f>
        <v>0</v>
      </c>
      <c r="J12" s="141"/>
      <c r="K12" s="303">
        <f>+K11</f>
        <v>1</v>
      </c>
      <c r="L12" s="140">
        <f>IF(M2=$Y$12,$Z$12,IF(M2=$Y$13,$Z$13,IF(M2=$Y$14,$Z$14,0)))</f>
        <v>0</v>
      </c>
      <c r="M12" s="141"/>
      <c r="N12" s="303">
        <f>+N11</f>
        <v>1</v>
      </c>
      <c r="O12" s="140">
        <f>IF(P2=$Y$12,$Z$12,IF(P2=$Y$13,$Z$13,IF(P2=$Y$14,$Z$14,0)))</f>
        <v>0</v>
      </c>
      <c r="P12" s="141"/>
      <c r="Q12" s="303">
        <f>+Q11</f>
        <v>1</v>
      </c>
      <c r="R12" s="140">
        <f>IF(S2=$Y$12,$Z$12,IF(S2=$Y$13,$Z$13,IF(S2=$Y$14,$Z$14,0)))</f>
        <v>0</v>
      </c>
      <c r="S12" s="141"/>
      <c r="T12" s="303">
        <f>+T11</f>
        <v>1</v>
      </c>
      <c r="U12" s="140">
        <f>IF(V2=$Y$12,$Z$12,IF(V2=$Y$13,$Z$13,IF(V2=$Y$14,$Z$14,0)))</f>
        <v>0</v>
      </c>
      <c r="V12" s="141"/>
      <c r="Y12" s="48" t="s">
        <v>20</v>
      </c>
      <c r="Z12" s="48">
        <v>75300</v>
      </c>
      <c r="AA12" s="107"/>
      <c r="AC12" s="282"/>
    </row>
    <row r="13" spans="1:31" s="107" customFormat="1" ht="15">
      <c r="A13" s="107" t="s">
        <v>292</v>
      </c>
      <c r="B13" s="144">
        <f>+D5</f>
        <v>0</v>
      </c>
      <c r="C13" s="145">
        <f>+C11*B13+C12*B13</f>
        <v>0</v>
      </c>
      <c r="D13" s="146"/>
      <c r="E13" s="144">
        <f>+$D$5</f>
        <v>0</v>
      </c>
      <c r="F13" s="145">
        <f>+F11*E13+F12*E13</f>
        <v>0</v>
      </c>
      <c r="G13" s="146"/>
      <c r="H13" s="144">
        <f>+$D$5</f>
        <v>0</v>
      </c>
      <c r="I13" s="145">
        <f>+I11*H13+I12*H13</f>
        <v>0</v>
      </c>
      <c r="J13" s="146"/>
      <c r="K13" s="144">
        <f>+$D$5</f>
        <v>0</v>
      </c>
      <c r="L13" s="145">
        <f>+L11*K13+L12*K13</f>
        <v>0</v>
      </c>
      <c r="M13" s="146"/>
      <c r="N13" s="144">
        <f>+$D$5</f>
        <v>0</v>
      </c>
      <c r="O13" s="145">
        <f>+O11*N13+O12*N13</f>
        <v>0</v>
      </c>
      <c r="P13" s="146"/>
      <c r="Q13" s="144">
        <f>+$D$5</f>
        <v>0</v>
      </c>
      <c r="R13" s="145">
        <f>+R11*Q13+R12*Q13</f>
        <v>0</v>
      </c>
      <c r="S13" s="146"/>
      <c r="T13" s="144">
        <f>+$D$5</f>
        <v>0</v>
      </c>
      <c r="U13" s="145">
        <f>+U11*T13+U12*T13</f>
        <v>0</v>
      </c>
      <c r="V13" s="146"/>
      <c r="Y13" s="48" t="s">
        <v>21</v>
      </c>
      <c r="Z13" s="48">
        <v>80320</v>
      </c>
      <c r="AA13" s="48"/>
      <c r="AB13" s="48"/>
      <c r="AC13" s="282"/>
    </row>
    <row r="14" spans="1:31" s="48" customFormat="1" ht="15">
      <c r="A14" s="107" t="s">
        <v>282</v>
      </c>
      <c r="B14" s="144"/>
      <c r="C14" s="149">
        <f>IF((C12+C11)/100*(B13*100)&lt;=$AB$25,0,IF((C12+C11)&gt;($AB$24*100/30),(C12+C11)-$AB$24,(C12+C11)*0.7))</f>
        <v>0</v>
      </c>
      <c r="D14" s="146"/>
      <c r="E14" s="144"/>
      <c r="F14" s="149">
        <f>IF((F12+F11)/100*(E13*100)&lt;=$AB$25,0,IF((F12+F11)&gt;($AB$24*100/30),(F12+F11)-$AB$24,(F12+F11)*0.7))</f>
        <v>0</v>
      </c>
      <c r="G14" s="146"/>
      <c r="H14" s="144"/>
      <c r="I14" s="149">
        <f>IF((I12+I11)/100*(H13*100)&lt;=$AB$25,0,IF((I12+I11)&gt;($AB$24*100/30),(I12+I11)-$AB$24,(I12+I11)*0.7))</f>
        <v>0</v>
      </c>
      <c r="J14" s="146"/>
      <c r="K14" s="144"/>
      <c r="L14" s="149">
        <f>IF((L12+L11)/100*(K13*100)&lt;=$AB$25,0,IF((L12+L11)&gt;($AB$24*100/30),(L12+L11)-$AB$24,(L12+L11)*0.7))</f>
        <v>0</v>
      </c>
      <c r="M14" s="146"/>
      <c r="N14" s="144"/>
      <c r="O14" s="149">
        <f>IF((O12+O11)/100*(N13*100)&lt;=$AB$25,0,IF((O12+O11)&gt;($AB$24*100/30),(O12+O11)-$AB$24,(O12+O11)*0.7))</f>
        <v>0</v>
      </c>
      <c r="P14" s="146"/>
      <c r="Q14" s="144"/>
      <c r="R14" s="149">
        <f>IF((R12+R11)/100*(Q13*100)&lt;=$AB$25,0,IF((R12+R11)&gt;($AB$24*100/30),(R12+R11)-$AB$24,(R12+R11)*0.7))</f>
        <v>0</v>
      </c>
      <c r="S14" s="146"/>
      <c r="T14" s="144"/>
      <c r="U14" s="149">
        <f>IF((U12+U11)/100*(T13*100)&lt;=$AB$25,0,IF((U12+U11)&gt;($AB$24*100/30),(U12+U11)-$AB$24,(U12+U11)*0.7))</f>
        <v>0</v>
      </c>
      <c r="V14" s="146"/>
      <c r="W14" s="107"/>
      <c r="X14" s="107"/>
      <c r="Y14" s="48" t="s">
        <v>43</v>
      </c>
      <c r="Z14" s="128">
        <v>88541</v>
      </c>
      <c r="AC14" s="282"/>
      <c r="AD14" s="107"/>
      <c r="AE14" s="107"/>
    </row>
    <row r="15" spans="1:31" s="48" customFormat="1" ht="15" hidden="1" outlineLevel="1">
      <c r="B15" s="139"/>
      <c r="C15" s="140"/>
      <c r="D15" s="141"/>
      <c r="E15" s="139"/>
      <c r="F15" s="53"/>
      <c r="G15" s="141"/>
      <c r="H15" s="139"/>
      <c r="I15" s="53"/>
      <c r="J15" s="141"/>
      <c r="K15" s="139"/>
      <c r="L15" s="53"/>
      <c r="M15" s="141"/>
      <c r="N15" s="143"/>
      <c r="O15" s="53"/>
      <c r="P15" s="141"/>
      <c r="Q15" s="143"/>
      <c r="R15" s="53"/>
      <c r="S15" s="141"/>
      <c r="T15" s="143"/>
      <c r="U15" s="53"/>
      <c r="V15" s="141"/>
      <c r="Z15" s="128"/>
      <c r="AC15" s="282"/>
    </row>
    <row r="16" spans="1:31" s="48" customFormat="1" ht="15" hidden="1" outlineLevel="1">
      <c r="A16" s="48" t="s">
        <v>7</v>
      </c>
      <c r="B16" s="147">
        <f>'SV-Sätze'!C8</f>
        <v>5.1250000000000004E-2</v>
      </c>
      <c r="C16" s="140">
        <f>+$B$16*C13</f>
        <v>0</v>
      </c>
      <c r="D16" s="294"/>
      <c r="E16" s="139"/>
      <c r="F16" s="140">
        <f>+$B$16*F13</f>
        <v>0</v>
      </c>
      <c r="G16" s="141"/>
      <c r="H16" s="139"/>
      <c r="I16" s="140">
        <f>+$B$16*I13</f>
        <v>0</v>
      </c>
      <c r="J16" s="141"/>
      <c r="K16" s="139"/>
      <c r="L16" s="140">
        <f>+$B$16*L13</f>
        <v>0</v>
      </c>
      <c r="M16" s="141"/>
      <c r="N16" s="143"/>
      <c r="O16" s="140">
        <f>+$B$16*O13</f>
        <v>0</v>
      </c>
      <c r="P16" s="141"/>
      <c r="Q16" s="143"/>
      <c r="R16" s="140">
        <f>+$B$16*R13</f>
        <v>0</v>
      </c>
      <c r="S16" s="141"/>
      <c r="T16" s="139"/>
      <c r="U16" s="140">
        <f>+$B$16*U13</f>
        <v>0</v>
      </c>
      <c r="V16" s="141"/>
      <c r="AC16" s="282"/>
    </row>
    <row r="17" spans="1:29" s="48" customFormat="1" ht="15" hidden="1" outlineLevel="1">
      <c r="A17" s="48" t="s">
        <v>150</v>
      </c>
      <c r="B17" s="317">
        <f>'SV-Sätze'!C9</f>
        <v>6.0000000000000001E-3</v>
      </c>
      <c r="C17" s="140">
        <f>$B$17*C13</f>
        <v>0</v>
      </c>
      <c r="D17" s="294"/>
      <c r="E17" s="139"/>
      <c r="F17" s="140">
        <f>$B$17*F13</f>
        <v>0</v>
      </c>
      <c r="G17" s="141"/>
      <c r="H17" s="139"/>
      <c r="I17" s="140">
        <f>$B$17*I13</f>
        <v>0</v>
      </c>
      <c r="J17" s="141"/>
      <c r="K17" s="139"/>
      <c r="L17" s="140">
        <f>$B$17*L13</f>
        <v>0</v>
      </c>
      <c r="M17" s="141"/>
      <c r="N17" s="143"/>
      <c r="O17" s="140">
        <f>$B$17*O13</f>
        <v>0</v>
      </c>
      <c r="P17" s="141"/>
      <c r="Q17" s="143"/>
      <c r="R17" s="140">
        <f>$B$17*R13</f>
        <v>0</v>
      </c>
      <c r="S17" s="141"/>
      <c r="T17" s="139"/>
      <c r="U17" s="140">
        <f>$B$17*U13</f>
        <v>0</v>
      </c>
      <c r="V17" s="141"/>
      <c r="Y17" s="48" t="s">
        <v>42</v>
      </c>
      <c r="Z17" s="48" t="s">
        <v>29</v>
      </c>
      <c r="AB17" s="123" t="s">
        <v>31</v>
      </c>
      <c r="AC17" s="265" t="s">
        <v>251</v>
      </c>
    </row>
    <row r="18" spans="1:29" s="48" customFormat="1" ht="15" hidden="1" outlineLevel="1">
      <c r="A18" s="48" t="s">
        <v>8</v>
      </c>
      <c r="B18" s="147">
        <f>'SV-Sätze'!C10</f>
        <v>1.0999999999999999E-2</v>
      </c>
      <c r="C18" s="140">
        <f>+$B$18*C13</f>
        <v>0</v>
      </c>
      <c r="D18" s="294"/>
      <c r="E18" s="139"/>
      <c r="F18" s="140">
        <f>+$B$18*F13</f>
        <v>0</v>
      </c>
      <c r="G18" s="141"/>
      <c r="H18" s="139"/>
      <c r="I18" s="140">
        <f>+$B$18*I13</f>
        <v>0</v>
      </c>
      <c r="J18" s="141"/>
      <c r="K18" s="139"/>
      <c r="L18" s="140">
        <f>+$B$18*L13</f>
        <v>0</v>
      </c>
      <c r="M18" s="141"/>
      <c r="N18" s="143"/>
      <c r="O18" s="140">
        <f>+$B$18*O13</f>
        <v>0</v>
      </c>
      <c r="P18" s="141"/>
      <c r="Q18" s="143"/>
      <c r="R18" s="140">
        <f>+$B$18*R13</f>
        <v>0</v>
      </c>
      <c r="S18" s="141"/>
      <c r="T18" s="139"/>
      <c r="U18" s="140">
        <f>+$B$18*U13</f>
        <v>0</v>
      </c>
      <c r="V18" s="141"/>
      <c r="AB18" s="130" t="s">
        <v>1</v>
      </c>
      <c r="AC18" s="282">
        <f>+'PK-Sätze'!G4</f>
        <v>9.3999999999999986</v>
      </c>
    </row>
    <row r="19" spans="1:29" s="48" customFormat="1" ht="15" hidden="1" outlineLevel="1">
      <c r="A19" s="48" t="s">
        <v>9</v>
      </c>
      <c r="B19" s="147">
        <f>'SV-Sätze'!C12</f>
        <v>1.1440000000000001E-3</v>
      </c>
      <c r="C19" s="140">
        <f>+$B$19*C13</f>
        <v>0</v>
      </c>
      <c r="D19" s="294"/>
      <c r="E19" s="139"/>
      <c r="F19" s="140">
        <f>+$B$19*F13</f>
        <v>0</v>
      </c>
      <c r="G19" s="141"/>
      <c r="H19" s="139"/>
      <c r="I19" s="140">
        <f>+$B$19*I13</f>
        <v>0</v>
      </c>
      <c r="J19" s="141"/>
      <c r="K19" s="139"/>
      <c r="L19" s="140">
        <f>+$B$19*L13</f>
        <v>0</v>
      </c>
      <c r="M19" s="141"/>
      <c r="N19" s="143"/>
      <c r="O19" s="140">
        <f>+$B$19*O13</f>
        <v>0</v>
      </c>
      <c r="P19" s="141"/>
      <c r="Q19" s="143"/>
      <c r="R19" s="140">
        <f>+$B$19*R13</f>
        <v>0</v>
      </c>
      <c r="S19" s="141"/>
      <c r="T19" s="139"/>
      <c r="U19" s="140">
        <f>+$B$19*U13</f>
        <v>0</v>
      </c>
      <c r="V19" s="141"/>
      <c r="AB19" s="130" t="s">
        <v>2</v>
      </c>
      <c r="AC19" s="282">
        <f>+'PK-Sätze'!G5</f>
        <v>11.649999999999999</v>
      </c>
    </row>
    <row r="20" spans="1:29" s="48" customFormat="1" ht="15" hidden="1" outlineLevel="1">
      <c r="A20" s="48" t="s">
        <v>10</v>
      </c>
      <c r="B20" s="147">
        <f>'SV-Sätze'!C13</f>
        <v>2.5999999999999999E-3</v>
      </c>
      <c r="C20" s="140">
        <f>+$B$20*C13</f>
        <v>0</v>
      </c>
      <c r="D20" s="294"/>
      <c r="E20" s="139"/>
      <c r="F20" s="140">
        <f>+$B$20*F13</f>
        <v>0</v>
      </c>
      <c r="G20" s="141"/>
      <c r="H20" s="139"/>
      <c r="I20" s="140">
        <f>+$B$20*I13</f>
        <v>0</v>
      </c>
      <c r="J20" s="141"/>
      <c r="K20" s="139"/>
      <c r="L20" s="140">
        <f>+$B$20*L13</f>
        <v>0</v>
      </c>
      <c r="M20" s="141"/>
      <c r="N20" s="143"/>
      <c r="O20" s="140">
        <f>+$B$20*O13</f>
        <v>0</v>
      </c>
      <c r="P20" s="141"/>
      <c r="Q20" s="143"/>
      <c r="R20" s="140">
        <f>+$B$20*R13</f>
        <v>0</v>
      </c>
      <c r="S20" s="141"/>
      <c r="T20" s="139"/>
      <c r="U20" s="140">
        <f>+$B$20*U13</f>
        <v>0</v>
      </c>
      <c r="V20" s="141"/>
      <c r="AB20" s="130" t="s">
        <v>5</v>
      </c>
      <c r="AC20" s="282">
        <f>+'PK-Sätze'!G6</f>
        <v>17.7</v>
      </c>
    </row>
    <row r="21" spans="1:29" s="48" customFormat="1" ht="15" hidden="1" outlineLevel="1">
      <c r="A21" s="128" t="s">
        <v>11</v>
      </c>
      <c r="B21" s="147">
        <f>IF(D9="ZH",'SV-Sätze'!C16,IF(D9="LU",'SV-Sätze'!C18,0))</f>
        <v>1.0999999999999999E-2</v>
      </c>
      <c r="C21" s="302">
        <f>+$B$21*C13</f>
        <v>0</v>
      </c>
      <c r="D21" s="294"/>
      <c r="E21" s="139"/>
      <c r="F21" s="302">
        <f>+$B$21*F13</f>
        <v>0</v>
      </c>
      <c r="G21" s="141"/>
      <c r="H21" s="139"/>
      <c r="I21" s="302">
        <f>+$B$21*I13</f>
        <v>0</v>
      </c>
      <c r="J21" s="141"/>
      <c r="K21" s="139"/>
      <c r="L21" s="302">
        <f>+$B$21*L13</f>
        <v>0</v>
      </c>
      <c r="M21" s="141"/>
      <c r="N21" s="143"/>
      <c r="O21" s="302">
        <f>+$B$21*O13</f>
        <v>0</v>
      </c>
      <c r="P21" s="141"/>
      <c r="Q21" s="143"/>
      <c r="R21" s="302">
        <f>+$B$21*R13</f>
        <v>0</v>
      </c>
      <c r="S21" s="141"/>
      <c r="T21" s="139"/>
      <c r="U21" s="302">
        <f>+$B$21*U13</f>
        <v>0</v>
      </c>
      <c r="V21" s="141"/>
      <c r="AB21" s="130" t="s">
        <v>6</v>
      </c>
      <c r="AC21" s="282">
        <f>+'PK-Sätze'!G6</f>
        <v>17.7</v>
      </c>
    </row>
    <row r="22" spans="1:29" s="48" customFormat="1" ht="15" hidden="1" outlineLevel="1">
      <c r="B22" s="139"/>
      <c r="C22" s="140"/>
      <c r="D22" s="294"/>
      <c r="E22" s="139"/>
      <c r="F22" s="140"/>
      <c r="G22" s="141"/>
      <c r="H22" s="139"/>
      <c r="I22" s="140"/>
      <c r="J22" s="141"/>
      <c r="K22" s="139"/>
      <c r="L22" s="140"/>
      <c r="M22" s="141"/>
      <c r="N22" s="143"/>
      <c r="O22" s="140"/>
      <c r="P22" s="141"/>
      <c r="Q22" s="143"/>
      <c r="R22" s="140"/>
      <c r="S22" s="141"/>
      <c r="T22" s="143"/>
      <c r="U22" s="140"/>
      <c r="V22" s="141"/>
      <c r="AB22" s="130" t="s">
        <v>4</v>
      </c>
      <c r="AC22" s="282">
        <f>+'PK-Sätze'!G7</f>
        <v>22.55</v>
      </c>
    </row>
    <row r="23" spans="1:29" s="48" customFormat="1" ht="15" hidden="1" outlineLevel="1">
      <c r="A23" s="48" t="s">
        <v>296</v>
      </c>
      <c r="B23" s="147">
        <f>IF($D$6&lt;35,AC18%,IF($D$6&lt;45,AC19%,IF($D$6&lt;55,AC20%,IF($D$6&lt;70,AC22%))))</f>
        <v>9.3999999999999986E-2</v>
      </c>
      <c r="C23" s="140">
        <f>IF($D$4="Standardplan",C14*$B$23*B13,"")</f>
        <v>0</v>
      </c>
      <c r="D23" s="294"/>
      <c r="E23" s="139"/>
      <c r="F23" s="140">
        <f>IF($D$4="Standardplan",F14*$B$23*E13,"")</f>
        <v>0</v>
      </c>
      <c r="G23" s="141"/>
      <c r="H23" s="139"/>
      <c r="I23" s="140">
        <f>IF($D$4="Standardplan",I14*$B$23*H13,"")</f>
        <v>0</v>
      </c>
      <c r="J23" s="141"/>
      <c r="K23" s="139"/>
      <c r="L23" s="140">
        <f>IF($D$4="Standardplan",L14*$B$23*K13,"")</f>
        <v>0</v>
      </c>
      <c r="M23" s="141"/>
      <c r="N23" s="143"/>
      <c r="O23" s="140">
        <f>IF($D$4="Standardplan",O14*$B$23*N13,"")</f>
        <v>0</v>
      </c>
      <c r="P23" s="141"/>
      <c r="Q23" s="143"/>
      <c r="R23" s="140">
        <f>IF($D$4="Standardplan",R14*$B$23*Q13,"")</f>
        <v>0</v>
      </c>
      <c r="S23" s="141"/>
      <c r="T23" s="143"/>
      <c r="U23" s="140">
        <f>IF($D$4="Standardplan",U14*$B$23*T13,"")</f>
        <v>0</v>
      </c>
      <c r="V23" s="141"/>
    </row>
    <row r="24" spans="1:29" s="48" customFormat="1" ht="15" hidden="1" outlineLevel="1">
      <c r="A24" s="48" t="s">
        <v>286</v>
      </c>
      <c r="B24" s="315">
        <v>250</v>
      </c>
      <c r="C24" s="140">
        <f>IF(C14&gt;0,$B$24,0)</f>
        <v>0</v>
      </c>
      <c r="D24" s="294"/>
      <c r="E24" s="139"/>
      <c r="F24" s="140">
        <f>IF(F14&gt;0,$B$24,0)</f>
        <v>0</v>
      </c>
      <c r="G24" s="141"/>
      <c r="H24" s="139"/>
      <c r="I24" s="140">
        <f>IF(I14&gt;0,$B$24,0)</f>
        <v>0</v>
      </c>
      <c r="J24" s="141"/>
      <c r="K24" s="139"/>
      <c r="L24" s="140">
        <f>IF(L14&gt;0,$B$24,0)</f>
        <v>0</v>
      </c>
      <c r="M24" s="141"/>
      <c r="N24" s="143"/>
      <c r="O24" s="140">
        <f>IF(O14&gt;0,$B$24,0)</f>
        <v>0</v>
      </c>
      <c r="P24" s="141"/>
      <c r="Q24" s="143"/>
      <c r="R24" s="140">
        <f>IF(R14&gt;0,$B$24,0)</f>
        <v>0</v>
      </c>
      <c r="S24" s="141"/>
      <c r="T24" s="143"/>
      <c r="U24" s="140">
        <f>IF(U14&gt;0,$B$24,0)</f>
        <v>0</v>
      </c>
      <c r="V24" s="141"/>
      <c r="Y24" s="48" t="s">
        <v>287</v>
      </c>
      <c r="AB24" s="299">
        <v>24885</v>
      </c>
    </row>
    <row r="25" spans="1:29" s="48" customFormat="1" ht="15" hidden="1" outlineLevel="1">
      <c r="B25" s="139"/>
      <c r="C25" s="140"/>
      <c r="D25" s="294"/>
      <c r="E25" s="139"/>
      <c r="F25" s="53"/>
      <c r="G25" s="141"/>
      <c r="H25" s="139"/>
      <c r="I25" s="53"/>
      <c r="J25" s="141"/>
      <c r="K25" s="139"/>
      <c r="L25" s="53"/>
      <c r="M25" s="141"/>
      <c r="N25" s="143"/>
      <c r="O25" s="53"/>
      <c r="P25" s="141"/>
      <c r="Q25" s="143"/>
      <c r="R25" s="53"/>
      <c r="S25" s="141"/>
      <c r="T25" s="143"/>
      <c r="U25" s="53"/>
      <c r="V25" s="141"/>
      <c r="Y25" s="48" t="s">
        <v>288</v>
      </c>
      <c r="AB25" s="185"/>
    </row>
    <row r="26" spans="1:29" s="48" customFormat="1" ht="15" hidden="1" outlineLevel="1">
      <c r="A26" s="48" t="s">
        <v>11</v>
      </c>
      <c r="B26" s="139"/>
      <c r="C26" s="149"/>
      <c r="D26" s="294"/>
      <c r="E26" s="139"/>
      <c r="F26" s="53"/>
      <c r="G26" s="141"/>
      <c r="H26" s="139"/>
      <c r="I26" s="53"/>
      <c r="J26" s="141"/>
      <c r="K26" s="139"/>
      <c r="L26" s="53"/>
      <c r="M26" s="141"/>
      <c r="N26" s="143"/>
      <c r="O26" s="53"/>
      <c r="P26" s="141"/>
      <c r="Q26" s="143"/>
      <c r="R26" s="53"/>
      <c r="S26" s="141"/>
      <c r="T26" s="143"/>
      <c r="U26" s="53"/>
      <c r="V26" s="141"/>
      <c r="Y26" s="128" t="s">
        <v>283</v>
      </c>
      <c r="Z26" s="128"/>
      <c r="AA26" s="128"/>
      <c r="AB26" s="301" t="s">
        <v>284</v>
      </c>
    </row>
    <row r="27" spans="1:29" s="48" customFormat="1" ht="15" hidden="1" outlineLevel="1">
      <c r="A27" s="48" t="s">
        <v>33</v>
      </c>
      <c r="B27" s="164">
        <f>IF($D$9="ZH",FAK!F9-FAK!$F$17,IF($D$9="LU",FAK!F9-FAK!$F$19,""))</f>
        <v>2097</v>
      </c>
      <c r="C27" s="140">
        <f>IF($D$7&lt;2,$D$7*B27,B27*1)</f>
        <v>0</v>
      </c>
      <c r="D27" s="141"/>
      <c r="E27" s="139"/>
      <c r="F27" s="140">
        <f>+C27</f>
        <v>0</v>
      </c>
      <c r="G27" s="141"/>
      <c r="H27" s="139"/>
      <c r="I27" s="140">
        <f>+F27</f>
        <v>0</v>
      </c>
      <c r="J27" s="141"/>
      <c r="K27" s="139"/>
      <c r="L27" s="140">
        <f>+I27</f>
        <v>0</v>
      </c>
      <c r="M27" s="141"/>
      <c r="N27" s="143"/>
      <c r="O27" s="140">
        <f>+L27</f>
        <v>0</v>
      </c>
      <c r="P27" s="141"/>
      <c r="Q27" s="143"/>
      <c r="R27" s="140">
        <f>+O27</f>
        <v>0</v>
      </c>
      <c r="S27" s="141"/>
      <c r="T27" s="143"/>
      <c r="U27" s="140">
        <f>+R27</f>
        <v>0</v>
      </c>
      <c r="V27" s="141"/>
      <c r="Y27" s="128"/>
      <c r="Z27" s="128"/>
      <c r="AA27" s="128"/>
      <c r="AB27" s="301" t="s">
        <v>285</v>
      </c>
    </row>
    <row r="28" spans="1:29" s="48" customFormat="1" ht="15" hidden="1" outlineLevel="1">
      <c r="A28" s="48" t="s">
        <v>34</v>
      </c>
      <c r="B28" s="164">
        <f>IF($D$9="ZH",FAK!F11-FAK!$F$17,IF($D$9="LU",FAK!F11-FAK!$F$19,""))</f>
        <v>504</v>
      </c>
      <c r="C28" s="140">
        <f>IF($D$7&gt;1,($D$7-1)*B28,0)</f>
        <v>0</v>
      </c>
      <c r="D28" s="141"/>
      <c r="E28" s="139"/>
      <c r="F28" s="140">
        <f>+C28</f>
        <v>0</v>
      </c>
      <c r="G28" s="141"/>
      <c r="H28" s="139"/>
      <c r="I28" s="140">
        <f>+F28</f>
        <v>0</v>
      </c>
      <c r="J28" s="141"/>
      <c r="K28" s="139"/>
      <c r="L28" s="140">
        <f>+I28</f>
        <v>0</v>
      </c>
      <c r="M28" s="141"/>
      <c r="N28" s="143"/>
      <c r="O28" s="140">
        <f>+L28</f>
        <v>0</v>
      </c>
      <c r="P28" s="141"/>
      <c r="Q28" s="143"/>
      <c r="R28" s="140">
        <f>+O28</f>
        <v>0</v>
      </c>
      <c r="S28" s="141"/>
      <c r="T28" s="143"/>
      <c r="U28" s="140">
        <f t="shared" ref="U28:U29" si="0">+R28</f>
        <v>0</v>
      </c>
      <c r="V28" s="141"/>
    </row>
    <row r="29" spans="1:29" s="48" customFormat="1" ht="15" hidden="1" outlineLevel="1">
      <c r="A29" s="48" t="s">
        <v>35</v>
      </c>
      <c r="B29" s="164">
        <f>IF($D$9="ZH",FAK!F12-FAK!$F$18,IF($D$9="LU",FAK!F12-FAK!$F$20,""))</f>
        <v>282</v>
      </c>
      <c r="C29" s="140">
        <f>+D8*B29</f>
        <v>0</v>
      </c>
      <c r="D29" s="141"/>
      <c r="E29" s="139"/>
      <c r="F29" s="140">
        <f>+C29</f>
        <v>0</v>
      </c>
      <c r="G29" s="141"/>
      <c r="H29" s="139"/>
      <c r="I29" s="140">
        <f>+F29</f>
        <v>0</v>
      </c>
      <c r="J29" s="141"/>
      <c r="K29" s="139"/>
      <c r="L29" s="140">
        <f>+I29</f>
        <v>0</v>
      </c>
      <c r="M29" s="141"/>
      <c r="N29" s="143"/>
      <c r="O29" s="140">
        <f>+L29</f>
        <v>0</v>
      </c>
      <c r="P29" s="141"/>
      <c r="Q29" s="143"/>
      <c r="R29" s="140">
        <f>+O29</f>
        <v>0</v>
      </c>
      <c r="S29" s="141"/>
      <c r="T29" s="143"/>
      <c r="U29" s="140">
        <f t="shared" si="0"/>
        <v>0</v>
      </c>
      <c r="V29" s="141"/>
    </row>
    <row r="30" spans="1:29" s="48" customFormat="1" ht="15" collapsed="1">
      <c r="B30" s="150"/>
      <c r="C30" s="140"/>
      <c r="D30" s="141"/>
      <c r="E30" s="139"/>
      <c r="F30" s="53"/>
      <c r="G30" s="141"/>
      <c r="H30" s="139"/>
      <c r="I30" s="53"/>
      <c r="J30" s="141"/>
      <c r="K30" s="139"/>
      <c r="L30" s="53"/>
      <c r="M30" s="141"/>
      <c r="N30" s="143"/>
      <c r="O30" s="53"/>
      <c r="P30" s="141"/>
      <c r="Q30" s="143"/>
      <c r="R30" s="53"/>
      <c r="S30" s="141"/>
      <c r="T30" s="143"/>
      <c r="U30" s="53"/>
      <c r="V30" s="141"/>
    </row>
    <row r="31" spans="1:29" s="48" customFormat="1" ht="15">
      <c r="A31" s="151"/>
      <c r="B31" s="152"/>
      <c r="C31" s="153"/>
      <c r="D31" s="154"/>
      <c r="E31" s="139"/>
      <c r="F31" s="151"/>
      <c r="G31" s="154"/>
      <c r="H31" s="139"/>
      <c r="I31" s="151"/>
      <c r="J31" s="154"/>
      <c r="K31" s="139"/>
      <c r="L31" s="151"/>
      <c r="M31" s="154"/>
      <c r="N31" s="143"/>
      <c r="O31" s="151"/>
      <c r="P31" s="154"/>
      <c r="Q31" s="143"/>
      <c r="R31" s="151"/>
      <c r="S31" s="154"/>
      <c r="T31" s="143"/>
      <c r="U31" s="151"/>
      <c r="V31" s="154"/>
      <c r="W31" s="155"/>
    </row>
    <row r="32" spans="1:29" s="48" customFormat="1" ht="15">
      <c r="A32" s="156"/>
      <c r="B32" s="139"/>
      <c r="C32" s="157">
        <v>2019</v>
      </c>
      <c r="D32" s="141"/>
      <c r="E32" s="139"/>
      <c r="F32" s="157">
        <v>2020</v>
      </c>
      <c r="G32" s="141"/>
      <c r="H32" s="139"/>
      <c r="I32" s="157">
        <v>2021</v>
      </c>
      <c r="J32" s="141"/>
      <c r="K32" s="139"/>
      <c r="L32" s="157">
        <v>2022</v>
      </c>
      <c r="M32" s="141"/>
      <c r="N32" s="143"/>
      <c r="O32" s="157">
        <v>2023</v>
      </c>
      <c r="P32" s="141"/>
      <c r="Q32" s="143"/>
      <c r="R32" s="157">
        <v>2024</v>
      </c>
      <c r="S32" s="141"/>
      <c r="T32" s="143"/>
      <c r="U32" s="157">
        <v>2025</v>
      </c>
      <c r="V32" s="141"/>
      <c r="W32" s="159" t="s">
        <v>46</v>
      </c>
    </row>
    <row r="33" spans="1:24" s="48" customFormat="1" ht="15">
      <c r="A33" s="160"/>
      <c r="B33" s="139"/>
      <c r="C33" s="161"/>
      <c r="D33" s="141"/>
      <c r="E33" s="139"/>
      <c r="F33" s="162">
        <v>1.02</v>
      </c>
      <c r="G33" s="141" t="s">
        <v>94</v>
      </c>
      <c r="H33" s="139"/>
      <c r="I33" s="162">
        <v>1.02</v>
      </c>
      <c r="J33" s="141" t="s">
        <v>94</v>
      </c>
      <c r="K33" s="139"/>
      <c r="L33" s="162">
        <v>1.02</v>
      </c>
      <c r="M33" s="141" t="s">
        <v>94</v>
      </c>
      <c r="N33" s="143"/>
      <c r="O33" s="162">
        <v>1.02</v>
      </c>
      <c r="P33" s="141" t="s">
        <v>94</v>
      </c>
      <c r="Q33" s="143"/>
      <c r="R33" s="162">
        <v>1.02</v>
      </c>
      <c r="S33" s="141" t="s">
        <v>94</v>
      </c>
      <c r="T33" s="143"/>
      <c r="U33" s="162">
        <v>1.02</v>
      </c>
      <c r="V33" s="141" t="s">
        <v>94</v>
      </c>
      <c r="W33" s="159"/>
    </row>
    <row r="34" spans="1:24" s="48" customFormat="1" ht="15">
      <c r="A34" s="160"/>
      <c r="B34" s="139"/>
      <c r="C34" s="163"/>
      <c r="D34" s="141"/>
      <c r="E34" s="139"/>
      <c r="F34" s="163"/>
      <c r="G34" s="141"/>
      <c r="H34" s="139"/>
      <c r="I34" s="163"/>
      <c r="J34" s="141"/>
      <c r="K34" s="139"/>
      <c r="L34" s="163"/>
      <c r="M34" s="141"/>
      <c r="N34" s="143"/>
      <c r="O34" s="163"/>
      <c r="P34" s="141"/>
      <c r="Q34" s="143"/>
      <c r="R34" s="163"/>
      <c r="S34" s="141"/>
      <c r="T34" s="143"/>
      <c r="U34" s="163"/>
      <c r="V34" s="141"/>
      <c r="W34" s="159"/>
    </row>
    <row r="35" spans="1:24" s="48" customFormat="1" ht="15">
      <c r="A35" s="160"/>
      <c r="B35" s="139"/>
      <c r="C35" s="163" t="s">
        <v>40</v>
      </c>
      <c r="D35" s="141" t="s">
        <v>41</v>
      </c>
      <c r="E35" s="139"/>
      <c r="F35" s="163" t="s">
        <v>40</v>
      </c>
      <c r="G35" s="141" t="s">
        <v>41</v>
      </c>
      <c r="H35" s="139"/>
      <c r="I35" s="163" t="s">
        <v>40</v>
      </c>
      <c r="J35" s="141" t="s">
        <v>41</v>
      </c>
      <c r="K35" s="139"/>
      <c r="L35" s="163" t="s">
        <v>40</v>
      </c>
      <c r="M35" s="141" t="s">
        <v>41</v>
      </c>
      <c r="N35" s="143"/>
      <c r="O35" s="163" t="s">
        <v>40</v>
      </c>
      <c r="P35" s="141" t="s">
        <v>41</v>
      </c>
      <c r="Q35" s="143"/>
      <c r="R35" s="163" t="s">
        <v>40</v>
      </c>
      <c r="S35" s="141" t="s">
        <v>41</v>
      </c>
      <c r="T35" s="143"/>
      <c r="U35" s="163" t="s">
        <v>40</v>
      </c>
      <c r="V35" s="141" t="s">
        <v>41</v>
      </c>
      <c r="W35" s="159"/>
    </row>
    <row r="36" spans="1:24" s="48" customFormat="1" ht="15">
      <c r="A36" s="160" t="s">
        <v>93</v>
      </c>
      <c r="B36" s="139"/>
      <c r="C36" s="163">
        <f>+C13+C27+C28+C29</f>
        <v>0</v>
      </c>
      <c r="D36" s="142">
        <f>+C36/12</f>
        <v>0</v>
      </c>
      <c r="E36" s="139"/>
      <c r="F36" s="163">
        <f>(+F13+F27+F28+F29)*F33</f>
        <v>0</v>
      </c>
      <c r="G36" s="142">
        <f>+F36/12</f>
        <v>0</v>
      </c>
      <c r="H36" s="139"/>
      <c r="I36" s="163">
        <f>(+I13+I27+I28+I29)*I33^2</f>
        <v>0</v>
      </c>
      <c r="J36" s="142">
        <f>+I36/12</f>
        <v>0</v>
      </c>
      <c r="K36" s="139"/>
      <c r="L36" s="163">
        <f>(+L13+L27+L28+L29)*L33^3</f>
        <v>0</v>
      </c>
      <c r="M36" s="142">
        <f>+L36/12</f>
        <v>0</v>
      </c>
      <c r="N36" s="164"/>
      <c r="O36" s="163">
        <f>(+O13+O27+O28+O29)*O33^4</f>
        <v>0</v>
      </c>
      <c r="P36" s="142">
        <f>+O36/12</f>
        <v>0</v>
      </c>
      <c r="Q36" s="164"/>
      <c r="R36" s="163">
        <f>(+R13+R27+R28+R29)*R33^5</f>
        <v>0</v>
      </c>
      <c r="S36" s="142">
        <f>+R36/12</f>
        <v>0</v>
      </c>
      <c r="T36" s="164"/>
      <c r="U36" s="163">
        <f>(+U13+U27+U28+U29)*U33^6</f>
        <v>0</v>
      </c>
      <c r="V36" s="142">
        <f>+U36/12</f>
        <v>0</v>
      </c>
      <c r="W36" s="165">
        <f>+I36+F36+C36+L36+O36+R36+U36</f>
        <v>0</v>
      </c>
    </row>
    <row r="37" spans="1:24" s="48" customFormat="1" ht="15">
      <c r="A37" s="160" t="s">
        <v>38</v>
      </c>
      <c r="B37" s="148" t="e">
        <f>+C37/C36</f>
        <v>#DIV/0!</v>
      </c>
      <c r="C37" s="163">
        <f>SUM(C16:C24)</f>
        <v>0</v>
      </c>
      <c r="D37" s="142">
        <f>+C37/12</f>
        <v>0</v>
      </c>
      <c r="E37" s="139"/>
      <c r="F37" s="163">
        <f>SUM(F16:F23)</f>
        <v>0</v>
      </c>
      <c r="G37" s="142">
        <f>+F37/12</f>
        <v>0</v>
      </c>
      <c r="H37" s="139"/>
      <c r="I37" s="163">
        <f>SUM(I16:I23)</f>
        <v>0</v>
      </c>
      <c r="J37" s="142">
        <f>+I37/12</f>
        <v>0</v>
      </c>
      <c r="K37" s="139"/>
      <c r="L37" s="163">
        <f>SUM(L16:L23)</f>
        <v>0</v>
      </c>
      <c r="M37" s="142">
        <f>+L37/12</f>
        <v>0</v>
      </c>
      <c r="N37" s="164"/>
      <c r="O37" s="163">
        <f>SUM(O16:O23)</f>
        <v>0</v>
      </c>
      <c r="P37" s="142">
        <f>+O37/12</f>
        <v>0</v>
      </c>
      <c r="Q37" s="164"/>
      <c r="R37" s="163">
        <f>SUM(R16:R23)</f>
        <v>0</v>
      </c>
      <c r="S37" s="142">
        <f>+R37/12</f>
        <v>0</v>
      </c>
      <c r="T37" s="164"/>
      <c r="U37" s="163">
        <f>SUM(U16:U23)</f>
        <v>0</v>
      </c>
      <c r="V37" s="142">
        <f>+U37/12</f>
        <v>0</v>
      </c>
      <c r="W37" s="165">
        <f>+I37+F37+C37+L37+O37+R37+U37</f>
        <v>0</v>
      </c>
    </row>
    <row r="38" spans="1:24" s="48" customFormat="1" ht="15">
      <c r="A38" s="156" t="s">
        <v>39</v>
      </c>
      <c r="B38" s="166"/>
      <c r="C38" s="167">
        <f>+C37+C36</f>
        <v>0</v>
      </c>
      <c r="D38" s="168">
        <f>+D37+D36</f>
        <v>0</v>
      </c>
      <c r="E38" s="139"/>
      <c r="F38" s="167">
        <f>+F37+F36</f>
        <v>0</v>
      </c>
      <c r="G38" s="168">
        <f>+G37+G36</f>
        <v>0</v>
      </c>
      <c r="H38" s="139"/>
      <c r="I38" s="167">
        <f>+I37+I36</f>
        <v>0</v>
      </c>
      <c r="J38" s="168">
        <f>+J37+J36</f>
        <v>0</v>
      </c>
      <c r="K38" s="139"/>
      <c r="L38" s="167">
        <f>+L37+L36</f>
        <v>0</v>
      </c>
      <c r="M38" s="168">
        <f>+M37+M36</f>
        <v>0</v>
      </c>
      <c r="N38" s="169"/>
      <c r="O38" s="167">
        <f>+O37+O36</f>
        <v>0</v>
      </c>
      <c r="P38" s="168">
        <f>+P37+P36</f>
        <v>0</v>
      </c>
      <c r="Q38" s="169"/>
      <c r="R38" s="167">
        <f>+R37+R36</f>
        <v>0</v>
      </c>
      <c r="S38" s="168">
        <f>+S37+S36</f>
        <v>0</v>
      </c>
      <c r="T38" s="169"/>
      <c r="U38" s="167">
        <f>+U37+U36</f>
        <v>0</v>
      </c>
      <c r="V38" s="168">
        <f>+V37+V36</f>
        <v>0</v>
      </c>
      <c r="W38" s="170">
        <f>+I38+F38+C38+L38+O38+R38+U38</f>
        <v>0</v>
      </c>
    </row>
    <row r="39" spans="1:24" s="48" customFormat="1" ht="15">
      <c r="A39" s="83"/>
      <c r="B39" s="171"/>
      <c r="C39" s="80"/>
      <c r="D39" s="172"/>
      <c r="E39" s="139"/>
      <c r="F39" s="83"/>
      <c r="G39" s="172"/>
      <c r="H39" s="139"/>
      <c r="I39" s="83"/>
      <c r="J39" s="172"/>
      <c r="K39" s="139"/>
      <c r="L39" s="83"/>
      <c r="M39" s="172"/>
      <c r="N39" s="143"/>
      <c r="O39" s="83"/>
      <c r="P39" s="172"/>
      <c r="Q39" s="143"/>
      <c r="R39" s="83"/>
      <c r="S39" s="172"/>
      <c r="T39" s="143"/>
      <c r="U39" s="83"/>
      <c r="V39" s="172"/>
      <c r="W39" s="173"/>
    </row>
    <row r="40" spans="1:24" s="48" customFormat="1" ht="15">
      <c r="B40" s="139"/>
      <c r="C40" s="140"/>
      <c r="D40" s="141"/>
      <c r="E40" s="139"/>
      <c r="F40" s="53"/>
      <c r="G40" s="141"/>
      <c r="H40" s="139"/>
      <c r="I40" s="53"/>
      <c r="J40" s="141"/>
      <c r="K40" s="139"/>
      <c r="L40" s="53"/>
      <c r="M40" s="141"/>
      <c r="N40" s="174"/>
      <c r="O40" s="53"/>
      <c r="P40" s="141"/>
      <c r="Q40" s="174"/>
      <c r="R40" s="53"/>
      <c r="S40" s="141"/>
      <c r="T40" s="174"/>
      <c r="U40" s="53"/>
      <c r="V40" s="141"/>
    </row>
    <row r="41" spans="1:24" s="48" customFormat="1" ht="15">
      <c r="A41" s="151"/>
      <c r="B41" s="152"/>
      <c r="C41" s="175"/>
      <c r="D41" s="154"/>
      <c r="E41" s="152"/>
      <c r="F41" s="176"/>
      <c r="G41" s="154"/>
      <c r="H41" s="152"/>
      <c r="I41" s="176"/>
      <c r="J41" s="154"/>
      <c r="K41" s="152"/>
      <c r="L41" s="176"/>
      <c r="M41" s="154"/>
      <c r="N41" s="143"/>
      <c r="O41" s="176"/>
      <c r="P41" s="154"/>
      <c r="Q41" s="143"/>
      <c r="R41" s="176"/>
      <c r="S41" s="154"/>
      <c r="T41" s="143"/>
      <c r="U41" s="176"/>
      <c r="V41" s="154"/>
      <c r="W41" s="192" t="s">
        <v>137</v>
      </c>
    </row>
    <row r="42" spans="1:24" s="48" customFormat="1" ht="15">
      <c r="A42" s="160" t="s">
        <v>45</v>
      </c>
      <c r="B42" s="177"/>
      <c r="C42" s="140"/>
      <c r="D42" s="142">
        <f>+D38*B42</f>
        <v>0</v>
      </c>
      <c r="E42" s="177"/>
      <c r="F42" s="53"/>
      <c r="G42" s="142">
        <f>+G38*E42</f>
        <v>0</v>
      </c>
      <c r="H42" s="177"/>
      <c r="I42" s="53"/>
      <c r="J42" s="142">
        <f>+J38*H42</f>
        <v>0</v>
      </c>
      <c r="K42" s="177"/>
      <c r="L42" s="140"/>
      <c r="M42" s="142">
        <f>+M38*K42</f>
        <v>0</v>
      </c>
      <c r="N42" s="177"/>
      <c r="O42" s="140"/>
      <c r="P42" s="142">
        <f>+P38*N42</f>
        <v>0</v>
      </c>
      <c r="Q42" s="177"/>
      <c r="R42" s="140"/>
      <c r="S42" s="142">
        <f>+S38*Q42</f>
        <v>0</v>
      </c>
      <c r="T42" s="177"/>
      <c r="U42" s="140"/>
      <c r="V42" s="142">
        <f>+V38*T42</f>
        <v>0</v>
      </c>
      <c r="W42" s="266">
        <f>+J42+G42+D42+M42+P42+S42+V42</f>
        <v>0</v>
      </c>
    </row>
    <row r="43" spans="1:24" s="48" customFormat="1" ht="15">
      <c r="A43" s="160"/>
      <c r="B43" s="139"/>
      <c r="C43" s="140"/>
      <c r="D43" s="141"/>
      <c r="E43" s="139"/>
      <c r="F43" s="53"/>
      <c r="G43" s="141"/>
      <c r="H43" s="139"/>
      <c r="I43" s="53"/>
      <c r="J43" s="141"/>
      <c r="K43" s="139"/>
      <c r="L43" s="53"/>
      <c r="M43" s="141"/>
      <c r="N43" s="143"/>
      <c r="O43" s="53"/>
      <c r="P43" s="141"/>
      <c r="Q43" s="143"/>
      <c r="R43" s="53"/>
      <c r="S43" s="141"/>
      <c r="T43" s="143"/>
      <c r="U43" s="53"/>
      <c r="V43" s="141"/>
      <c r="W43" s="193"/>
    </row>
    <row r="44" spans="1:24" s="48" customFormat="1" ht="15.75" thickBot="1">
      <c r="A44" s="83"/>
      <c r="B44" s="178"/>
      <c r="C44" s="179"/>
      <c r="D44" s="180"/>
      <c r="E44" s="178"/>
      <c r="F44" s="181"/>
      <c r="G44" s="180"/>
      <c r="H44" s="178"/>
      <c r="I44" s="181"/>
      <c r="J44" s="180"/>
      <c r="K44" s="178"/>
      <c r="L44" s="181"/>
      <c r="M44" s="180"/>
      <c r="N44" s="182"/>
      <c r="O44" s="181"/>
      <c r="P44" s="180"/>
      <c r="Q44" s="182"/>
      <c r="R44" s="181"/>
      <c r="S44" s="180"/>
      <c r="T44" s="182"/>
      <c r="U44" s="181"/>
      <c r="V44" s="180"/>
      <c r="W44" s="194">
        <f>+B42+E42+H42+K42+N42+Q42+T42</f>
        <v>0</v>
      </c>
    </row>
    <row r="45" spans="1:24" s="48" customFormat="1" ht="15">
      <c r="C45" s="47"/>
      <c r="N45" s="129"/>
      <c r="Q45" s="129"/>
    </row>
    <row r="46" spans="1:24" s="48" customFormat="1" ht="15" hidden="1" customHeight="1" outlineLevel="1">
      <c r="C46" s="47"/>
      <c r="N46" s="129"/>
      <c r="Q46" s="129"/>
    </row>
    <row r="47" spans="1:24" s="48" customFormat="1" ht="15" hidden="1" customHeight="1" outlineLevel="1">
      <c r="A47" s="107" t="s">
        <v>136</v>
      </c>
      <c r="C47" s="47"/>
      <c r="N47" s="129"/>
      <c r="Q47" s="129"/>
      <c r="W47" s="183" t="s">
        <v>137</v>
      </c>
      <c r="X47" s="184" t="s">
        <v>136</v>
      </c>
    </row>
    <row r="48" spans="1:24" s="48" customFormat="1" ht="15" hidden="1" customHeight="1" outlineLevel="1">
      <c r="A48" s="48" t="s">
        <v>68</v>
      </c>
      <c r="C48" s="47"/>
      <c r="D48" s="185">
        <f>+D42</f>
        <v>0</v>
      </c>
      <c r="E48" s="185"/>
      <c r="F48" s="185"/>
      <c r="G48" s="185">
        <f>+G42</f>
        <v>0</v>
      </c>
      <c r="H48" s="185"/>
      <c r="I48" s="185"/>
      <c r="J48" s="185">
        <f>+J42</f>
        <v>0</v>
      </c>
      <c r="K48" s="185"/>
      <c r="L48" s="185"/>
      <c r="M48" s="185">
        <f>+M42</f>
        <v>0</v>
      </c>
      <c r="N48" s="185"/>
      <c r="O48" s="185"/>
      <c r="P48" s="185">
        <f>+P42</f>
        <v>0</v>
      </c>
      <c r="Q48" s="185"/>
      <c r="R48" s="185"/>
      <c r="S48" s="185">
        <f>+S42</f>
        <v>0</v>
      </c>
      <c r="T48" s="185"/>
      <c r="U48" s="185"/>
      <c r="V48" s="185">
        <f>+V42</f>
        <v>0</v>
      </c>
      <c r="W48" s="186">
        <f>SUM(B48:V48)</f>
        <v>0</v>
      </c>
      <c r="X48" s="183" t="s">
        <v>68</v>
      </c>
    </row>
    <row r="49" spans="1:31" s="48" customFormat="1" ht="15" hidden="1" customHeight="1" outlineLevel="1">
      <c r="A49" s="48" t="s">
        <v>135</v>
      </c>
      <c r="C49" s="47"/>
      <c r="D49" s="47">
        <f>D48/1.16</f>
        <v>0</v>
      </c>
      <c r="G49" s="47">
        <f>G48/1.16</f>
        <v>0</v>
      </c>
      <c r="J49" s="47">
        <f>J48/1.16</f>
        <v>0</v>
      </c>
      <c r="M49" s="47">
        <f>M48/1.16</f>
        <v>0</v>
      </c>
      <c r="N49" s="129"/>
      <c r="P49" s="47">
        <f>P48/1.16</f>
        <v>0</v>
      </c>
      <c r="Q49" s="129"/>
      <c r="S49" s="47">
        <f>S48/1.16</f>
        <v>0</v>
      </c>
      <c r="V49" s="47">
        <f>V48/1.14</f>
        <v>0</v>
      </c>
      <c r="W49" s="186">
        <f>SUM(B49:V49)</f>
        <v>0</v>
      </c>
      <c r="X49" s="183" t="s">
        <v>135</v>
      </c>
    </row>
    <row r="50" spans="1:31" ht="15" hidden="1" outlineLevel="1">
      <c r="A50" s="48" t="s">
        <v>329</v>
      </c>
      <c r="B50" s="48"/>
      <c r="C50" s="47"/>
      <c r="D50" s="47">
        <f>D48/1.16*0.16</f>
        <v>0</v>
      </c>
      <c r="E50" s="48"/>
      <c r="F50" s="48"/>
      <c r="G50" s="47">
        <f>G48/1.16*0.16</f>
        <v>0</v>
      </c>
      <c r="H50" s="48"/>
      <c r="I50" s="48"/>
      <c r="J50" s="47">
        <f>J48/1.16*0.16</f>
        <v>0</v>
      </c>
      <c r="K50" s="48"/>
      <c r="L50" s="48"/>
      <c r="M50" s="47">
        <f>M48/1.16*0.16</f>
        <v>0</v>
      </c>
      <c r="N50" s="129"/>
      <c r="O50" s="48"/>
      <c r="P50" s="47">
        <f>P48/1.16*0.16</f>
        <v>0</v>
      </c>
      <c r="Q50" s="129"/>
      <c r="R50" s="48"/>
      <c r="S50" s="47">
        <f>S48/1.16*0.16</f>
        <v>0</v>
      </c>
      <c r="T50" s="48"/>
      <c r="U50" s="48"/>
      <c r="V50" s="47">
        <f>V48/1.14*0.14</f>
        <v>0</v>
      </c>
      <c r="W50" s="186">
        <f>SUM(B50:V50)</f>
        <v>0</v>
      </c>
      <c r="X50" s="183" t="str">
        <f>A50</f>
        <v>Social Security (16 %)</v>
      </c>
      <c r="Y50" s="48"/>
      <c r="Z50" s="48"/>
      <c r="AA50" s="48"/>
      <c r="AB50" s="48"/>
      <c r="AC50" s="48"/>
      <c r="AD50" s="48"/>
      <c r="AE50" s="48"/>
    </row>
    <row r="51" spans="1:31" ht="15" hidden="1" outlineLevel="1">
      <c r="A51" s="48"/>
      <c r="B51" s="48"/>
      <c r="C51" s="47"/>
      <c r="D51" s="48"/>
      <c r="E51" s="48"/>
      <c r="F51" s="48"/>
      <c r="G51" s="48"/>
      <c r="H51" s="48"/>
      <c r="I51" s="48"/>
      <c r="J51" s="48"/>
      <c r="K51" s="48"/>
      <c r="L51" s="48"/>
      <c r="M51" s="48"/>
      <c r="N51" s="129"/>
      <c r="O51" s="48"/>
      <c r="P51" s="48"/>
      <c r="Q51" s="129"/>
      <c r="R51" s="48"/>
      <c r="S51" s="48"/>
      <c r="T51" s="48"/>
      <c r="U51" s="48"/>
      <c r="V51" s="48"/>
      <c r="W51" s="48"/>
      <c r="Y51" s="48"/>
      <c r="Z51" s="48"/>
      <c r="AA51" s="48"/>
      <c r="AB51" s="48"/>
      <c r="AC51" s="48"/>
      <c r="AD51" s="48"/>
      <c r="AE51" s="48"/>
    </row>
    <row r="52" spans="1:31" ht="15" collapsed="1">
      <c r="A52" s="48"/>
      <c r="B52" s="48"/>
      <c r="C52" s="47"/>
      <c r="D52" s="48"/>
      <c r="E52" s="48"/>
      <c r="F52" s="48"/>
      <c r="G52" s="48"/>
      <c r="H52" s="48"/>
      <c r="I52" s="48"/>
      <c r="J52" s="48"/>
      <c r="K52" s="48"/>
      <c r="L52" s="48"/>
      <c r="M52" s="48"/>
      <c r="N52" s="129"/>
      <c r="O52" s="48"/>
      <c r="P52" s="48"/>
      <c r="Q52" s="129"/>
      <c r="R52" s="48"/>
      <c r="S52" s="48"/>
      <c r="T52" s="48"/>
      <c r="U52" s="48"/>
      <c r="V52" s="48"/>
      <c r="W52" s="48"/>
      <c r="Y52" s="48"/>
      <c r="Z52" s="48"/>
      <c r="AA52" s="48"/>
      <c r="AB52" s="48"/>
      <c r="AC52" s="48"/>
      <c r="AD52" s="48"/>
      <c r="AE52" s="48"/>
    </row>
    <row r="53" spans="1:31" ht="15">
      <c r="A53" s="48"/>
      <c r="B53" s="48"/>
      <c r="C53" s="47"/>
      <c r="D53" s="48"/>
      <c r="E53" s="48"/>
      <c r="F53" s="48"/>
      <c r="G53" s="48"/>
      <c r="H53" s="48"/>
      <c r="I53" s="48"/>
      <c r="J53" s="48"/>
      <c r="K53" s="48"/>
      <c r="L53" s="48"/>
      <c r="M53" s="48"/>
      <c r="N53" s="129"/>
      <c r="O53" s="48"/>
      <c r="P53" s="48"/>
      <c r="Q53" s="129"/>
      <c r="R53" s="48"/>
      <c r="S53" s="48"/>
      <c r="T53" s="48"/>
      <c r="U53" s="48"/>
      <c r="V53" s="48"/>
      <c r="W53" s="48"/>
      <c r="X53" s="48"/>
      <c r="Y53" s="48"/>
      <c r="Z53" s="48"/>
      <c r="AA53" s="48"/>
      <c r="AB53" s="48"/>
      <c r="AC53" s="48"/>
      <c r="AD53" s="48"/>
      <c r="AE53" s="48"/>
    </row>
    <row r="54" spans="1:31" ht="15">
      <c r="A54" s="48"/>
      <c r="B54" s="48"/>
      <c r="C54" s="47"/>
      <c r="D54" s="48"/>
      <c r="E54" s="48"/>
      <c r="F54" s="48"/>
      <c r="G54" s="48"/>
      <c r="H54" s="48"/>
      <c r="I54" s="48"/>
      <c r="J54" s="48"/>
      <c r="K54" s="48"/>
      <c r="L54" s="48"/>
      <c r="M54" s="48"/>
      <c r="N54" s="129"/>
      <c r="O54" s="48"/>
      <c r="P54" s="48"/>
      <c r="Q54" s="129"/>
      <c r="R54" s="48"/>
      <c r="S54" s="48"/>
      <c r="T54" s="48"/>
      <c r="U54" s="48"/>
      <c r="V54" s="48"/>
      <c r="W54" s="48"/>
      <c r="X54" s="48"/>
      <c r="Y54" s="48"/>
      <c r="Z54" s="48"/>
      <c r="AA54" s="48"/>
      <c r="AB54" s="48"/>
      <c r="AC54" s="48"/>
      <c r="AD54" s="48"/>
      <c r="AE54" s="48"/>
    </row>
    <row r="55" spans="1:31" ht="15">
      <c r="A55" s="48"/>
      <c r="B55" s="48"/>
      <c r="C55" s="47"/>
      <c r="D55" s="48"/>
      <c r="E55" s="48"/>
      <c r="F55" s="48"/>
      <c r="G55" s="48"/>
      <c r="H55" s="48"/>
      <c r="I55" s="48"/>
      <c r="J55" s="48"/>
      <c r="K55" s="48"/>
      <c r="L55" s="48"/>
      <c r="M55" s="48"/>
      <c r="N55" s="129"/>
      <c r="O55" s="48"/>
      <c r="P55" s="48"/>
      <c r="Q55" s="129"/>
      <c r="R55" s="48"/>
      <c r="S55" s="48"/>
      <c r="T55" s="48"/>
      <c r="U55" s="48"/>
      <c r="V55" s="48"/>
      <c r="W55" s="48"/>
      <c r="X55" s="48"/>
      <c r="Y55" s="48"/>
      <c r="Z55" s="48"/>
      <c r="AA55" s="48"/>
      <c r="AB55" s="48"/>
      <c r="AC55" s="48"/>
      <c r="AD55" s="48"/>
      <c r="AE55" s="48"/>
    </row>
    <row r="56" spans="1:31" ht="15">
      <c r="A56" s="48"/>
      <c r="B56" s="48"/>
      <c r="C56" s="47"/>
      <c r="D56" s="48"/>
      <c r="E56" s="48"/>
      <c r="F56" s="48"/>
      <c r="G56" s="48"/>
      <c r="H56" s="48"/>
      <c r="I56" s="48"/>
      <c r="J56" s="48"/>
      <c r="K56" s="48"/>
      <c r="L56" s="48"/>
      <c r="M56" s="48"/>
      <c r="N56" s="129"/>
      <c r="O56" s="48"/>
      <c r="P56" s="48"/>
      <c r="Q56" s="129"/>
      <c r="R56" s="48"/>
      <c r="S56" s="48"/>
      <c r="T56" s="48"/>
      <c r="U56" s="48"/>
      <c r="V56" s="48"/>
      <c r="W56" s="48"/>
      <c r="X56" s="48"/>
      <c r="AC56" s="3"/>
      <c r="AD56" s="48"/>
      <c r="AE56" s="48"/>
    </row>
    <row r="57" spans="1:31" ht="15">
      <c r="X57" s="48"/>
      <c r="AC57" s="3"/>
      <c r="AD57" s="48"/>
      <c r="AE57" s="48"/>
    </row>
    <row r="58" spans="1:31" ht="15">
      <c r="X58" s="48"/>
      <c r="AC58" s="3"/>
      <c r="AE58" s="48"/>
    </row>
    <row r="59" spans="1:31">
      <c r="AC59" s="3"/>
    </row>
    <row r="60" spans="1:31">
      <c r="AC60" s="3"/>
    </row>
    <row r="61" spans="1:31">
      <c r="AC61" s="3"/>
    </row>
    <row r="62" spans="1:31">
      <c r="AC62" s="3"/>
    </row>
    <row r="63" spans="1:31">
      <c r="AC63" s="3"/>
    </row>
    <row r="64" spans="1:31">
      <c r="AC64" s="3"/>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sheetData>
  <sheetProtection algorithmName="SHA-512" hashValue="I0hcFW2LFfyYjJiknFnO0zPsgApzhmvD7p4CcUdICX750W3iE2PFaVQBviFug04PHHaSTkDhgNGpCpoICA25Xw==" saltValue="Kq6enEK/Bdj4zZ5Fd6576Q==" spinCount="100000" sheet="1" objects="1" scenarios="1"/>
  <mergeCells count="7">
    <mergeCell ref="B6:C6"/>
    <mergeCell ref="B7:C7"/>
    <mergeCell ref="B8:C8"/>
    <mergeCell ref="B2:C2"/>
    <mergeCell ref="B3:C3"/>
    <mergeCell ref="B4:C4"/>
    <mergeCell ref="B5:C5"/>
  </mergeCells>
  <phoneticPr fontId="10" type="noConversion"/>
  <conditionalFormatting sqref="T2:V2">
    <cfRule type="cellIs" priority="2" stopIfTrue="1" operator="between">
      <formula>$Y$5</formula>
      <formula>$Y$14</formula>
    </cfRule>
  </conditionalFormatting>
  <conditionalFormatting sqref="D2 G2 J2:S2">
    <cfRule type="cellIs" priority="1" stopIfTrue="1" operator="between">
      <formula>$Y$5</formula>
      <formula>$Y$14</formula>
    </cfRule>
  </conditionalFormatting>
  <dataValidations count="2">
    <dataValidation type="list" allowBlank="1" showInputMessage="1" showErrorMessage="1" sqref="J2:V2 D2 G2">
      <formula1>$Y$4:$Y$14</formula1>
    </dataValidation>
    <dataValidation type="list" allowBlank="1" showInputMessage="1" showErrorMessage="1" sqref="D9">
      <formula1>$AB$26:$AB$27</formula1>
    </dataValidation>
  </dataValidations>
  <pageMargins left="0.19685039370078741" right="0.19685039370078741" top="0.59055118110236227" bottom="0.78740157480314965" header="7.874015748031496E-2" footer="0.39370078740157483"/>
  <pageSetup scale="60" orientation="landscape" r:id="rId1"/>
  <headerFooter alignWithMargins="0">
    <oddFooter>&amp;L&amp;8&amp;F, &amp;A, 11.07.2019 / AG</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92D050"/>
    <pageSetUpPr fitToPage="1"/>
  </sheetPr>
  <dimension ref="A1:AE83"/>
  <sheetViews>
    <sheetView showGridLines="0" zoomScaleNormal="100" workbookViewId="0">
      <selection activeCell="A5" sqref="A5"/>
    </sheetView>
  </sheetViews>
  <sheetFormatPr baseColWidth="10" defaultColWidth="9.140625" defaultRowHeight="12.75" outlineLevelRow="1" outlineLevelCol="1"/>
  <cols>
    <col min="1" max="1" width="21.7109375" style="3" customWidth="1"/>
    <col min="2" max="2" width="8.140625" style="3" bestFit="1" customWidth="1"/>
    <col min="3" max="3" width="11.28515625" style="44" customWidth="1"/>
    <col min="4" max="4" width="17"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5.5703125" style="120" bestFit="1" customWidth="1"/>
    <col min="15" max="15" width="8.5703125" style="3" bestFit="1" customWidth="1"/>
    <col min="16" max="16" width="17" style="3" bestFit="1" customWidth="1"/>
    <col min="17" max="17" width="5.5703125" style="120" bestFit="1" customWidth="1"/>
    <col min="18" max="18" width="8.5703125" style="3" bestFit="1" customWidth="1"/>
    <col min="19" max="19" width="17" style="3" bestFit="1" customWidth="1"/>
    <col min="20" max="20" width="5.5703125" style="3" hidden="1" customWidth="1" outlineLevel="1"/>
    <col min="21" max="21" width="9.85546875" style="3" hidden="1" customWidth="1" outlineLevel="1"/>
    <col min="22" max="22" width="17" style="3" hidden="1" customWidth="1" outlineLevel="1"/>
    <col min="23" max="23" width="14.7109375" style="3" bestFit="1" customWidth="1" collapsed="1"/>
    <col min="24" max="24" width="19.85546875" style="3" customWidth="1"/>
    <col min="25" max="25" width="16.140625" style="3" hidden="1" customWidth="1" outlineLevel="1"/>
    <col min="26" max="26" width="11.85546875" style="3" hidden="1" customWidth="1" outlineLevel="1"/>
    <col min="27" max="27" width="9.140625" style="3" hidden="1" customWidth="1" outlineLevel="1"/>
    <col min="28" max="28" width="10.85546875" style="3" hidden="1" customWidth="1" outlineLevel="1"/>
    <col min="29" max="29" width="9.140625" style="262" hidden="1" customWidth="1" outlineLevel="1"/>
    <col min="30" max="30" width="9.140625" style="3" hidden="1" customWidth="1" outlineLevel="1"/>
    <col min="31" max="31" width="9.140625" style="3" customWidth="1" collapsed="1"/>
    <col min="32" max="16384" width="9.140625" style="3"/>
  </cols>
  <sheetData>
    <row r="1" spans="1:31" ht="23.25">
      <c r="A1" s="119" t="s">
        <v>91</v>
      </c>
    </row>
    <row r="2" spans="1:31" s="123" customFormat="1" ht="15">
      <c r="A2" s="121" t="s">
        <v>12</v>
      </c>
      <c r="B2" s="396" t="s">
        <v>13</v>
      </c>
      <c r="C2" s="396"/>
      <c r="D2" s="122"/>
      <c r="G2" s="122"/>
      <c r="J2" s="122"/>
      <c r="K2" s="124"/>
      <c r="L2" s="124"/>
      <c r="M2" s="122"/>
      <c r="N2" s="125"/>
      <c r="O2" s="124"/>
      <c r="P2" s="122"/>
      <c r="Q2" s="125"/>
      <c r="R2" s="124"/>
      <c r="S2" s="122"/>
      <c r="T2" s="124"/>
      <c r="U2" s="124"/>
      <c r="V2" s="122"/>
      <c r="W2" s="124"/>
      <c r="Y2" s="123" t="s">
        <v>30</v>
      </c>
      <c r="Z2" s="126">
        <v>43466</v>
      </c>
    </row>
    <row r="3" spans="1:31" s="48" customFormat="1" ht="15">
      <c r="A3" s="123"/>
      <c r="B3" s="396" t="s">
        <v>24</v>
      </c>
      <c r="C3" s="396"/>
      <c r="D3" s="127" t="s">
        <v>42</v>
      </c>
      <c r="E3" s="123"/>
      <c r="F3" s="123"/>
      <c r="G3" s="123"/>
      <c r="H3" s="123"/>
      <c r="I3" s="123"/>
      <c r="J3" s="123"/>
      <c r="K3" s="124"/>
      <c r="L3" s="124"/>
      <c r="M3" s="124"/>
      <c r="N3" s="125"/>
      <c r="O3" s="124"/>
      <c r="P3" s="124"/>
      <c r="Q3" s="125"/>
      <c r="R3" s="124"/>
      <c r="S3" s="124"/>
      <c r="T3" s="124"/>
      <c r="U3" s="124"/>
      <c r="V3" s="124"/>
      <c r="W3" s="124"/>
      <c r="X3" s="123"/>
      <c r="AD3" s="123"/>
      <c r="AE3" s="123"/>
    </row>
    <row r="4" spans="1:31" s="48" customFormat="1" ht="15" customHeight="1">
      <c r="A4" s="131" t="s">
        <v>47</v>
      </c>
      <c r="B4" s="396" t="s">
        <v>23</v>
      </c>
      <c r="C4" s="396"/>
      <c r="D4" s="128" t="s">
        <v>29</v>
      </c>
      <c r="K4" s="128"/>
      <c r="L4" s="128"/>
      <c r="M4" s="128"/>
      <c r="N4" s="129"/>
      <c r="O4" s="128"/>
      <c r="P4" s="128"/>
      <c r="Q4" s="129"/>
      <c r="R4" s="128"/>
      <c r="S4" s="128"/>
      <c r="T4" s="128"/>
      <c r="U4" s="128"/>
      <c r="V4" s="128"/>
      <c r="W4" s="128"/>
      <c r="Y4" s="48" t="s">
        <v>14</v>
      </c>
      <c r="Z4" s="48">
        <v>50800</v>
      </c>
    </row>
    <row r="5" spans="1:31" s="48" customFormat="1" ht="15">
      <c r="A5" s="132"/>
      <c r="B5" s="396" t="s">
        <v>0</v>
      </c>
      <c r="C5" s="396"/>
      <c r="D5" s="133"/>
      <c r="N5" s="129"/>
      <c r="Q5" s="129"/>
      <c r="Y5" s="48" t="s">
        <v>15</v>
      </c>
      <c r="Z5" s="48">
        <v>54400</v>
      </c>
    </row>
    <row r="6" spans="1:31" s="48" customFormat="1" ht="15">
      <c r="B6" s="396" t="s">
        <v>3</v>
      </c>
      <c r="C6" s="396"/>
      <c r="D6" s="134"/>
      <c r="N6" s="129"/>
      <c r="Q6" s="129"/>
      <c r="Y6" s="48" t="s">
        <v>22</v>
      </c>
      <c r="Z6" s="48">
        <v>58000</v>
      </c>
    </row>
    <row r="7" spans="1:31" s="48" customFormat="1" ht="15" customHeight="1">
      <c r="B7" s="396" t="s">
        <v>36</v>
      </c>
      <c r="C7" s="396"/>
      <c r="D7" s="134"/>
      <c r="N7" s="129"/>
      <c r="Q7" s="129"/>
      <c r="Y7" s="48" t="s">
        <v>16</v>
      </c>
      <c r="Z7" s="48">
        <v>85000</v>
      </c>
    </row>
    <row r="8" spans="1:31" s="48" customFormat="1" ht="15" customHeight="1">
      <c r="B8" s="396" t="s">
        <v>37</v>
      </c>
      <c r="C8" s="396"/>
      <c r="D8" s="134"/>
      <c r="N8" s="129"/>
      <c r="Q8" s="129"/>
      <c r="Y8" s="48" t="s">
        <v>17</v>
      </c>
      <c r="Z8" s="48">
        <v>88000</v>
      </c>
      <c r="AC8" s="282"/>
    </row>
    <row r="9" spans="1:31" s="48" customFormat="1" ht="15">
      <c r="B9" s="297" t="s">
        <v>283</v>
      </c>
      <c r="C9" s="297"/>
      <c r="D9" s="298" t="s">
        <v>284</v>
      </c>
      <c r="N9" s="129"/>
      <c r="Q9" s="129"/>
      <c r="Y9" s="48" t="s">
        <v>18</v>
      </c>
      <c r="Z9" s="48">
        <v>92000</v>
      </c>
      <c r="AC9" s="282"/>
    </row>
    <row r="10" spans="1:31" s="330" customFormat="1" ht="15.75" thickBot="1">
      <c r="C10" s="331"/>
      <c r="N10" s="332"/>
      <c r="Q10" s="332"/>
      <c r="Y10" s="330" t="s">
        <v>44</v>
      </c>
      <c r="Z10" s="351">
        <v>103005</v>
      </c>
      <c r="AC10" s="333"/>
    </row>
    <row r="11" spans="1:31" s="48" customFormat="1" ht="15">
      <c r="A11" s="107" t="s">
        <v>293</v>
      </c>
      <c r="B11" s="188">
        <v>1</v>
      </c>
      <c r="C11" s="136">
        <f>IF(D2=$Y$4,$Z$4,IF(D2=$Y$5,$Z$5,IF(D2=$Y$6,$Z$6,IF(D2=$Y$7,$Z$7,IF(D2=$Y$8,$Z$8,IF(D2=$Y$9,$Z$9,IF(D2=$Y$10,$Z$10,IF(D2=$Y$11,$Z$11,0))))))))</f>
        <v>0</v>
      </c>
      <c r="D11" s="293">
        <f>+C11/12</f>
        <v>0</v>
      </c>
      <c r="E11" s="188">
        <v>1</v>
      </c>
      <c r="F11" s="136">
        <f>IF(G2=$Y$4,$Z$4,IF(G2=$Y$5,$Z$5,IF(G2=$Y$6,$Z$6,IF(G2=$Y$7,$Z$7,IF(G2=$Y$8,$Z$8,IF(G2=$Y$9,$Z$9,IF(G2=$Y$10,$Z$10,IF(G2=$Y$11,$Z$11,0))))))))</f>
        <v>0</v>
      </c>
      <c r="G11" s="138"/>
      <c r="H11" s="188">
        <v>1</v>
      </c>
      <c r="I11" s="136">
        <f>IF(J2=$Y$4,$Z$4,IF(J2=$Y$5,$Z$5,IF(J2=$Y$6,$Z$6,IF(J2=$Y$7,$Z$7,IF(J2=$Y$8,$Z$8,IF(J2=$Y$9,$Z$9,IF(J2=$Y$10,$Z$10,IF(J2=$Y$11,$Z$11,0))))))))</f>
        <v>0</v>
      </c>
      <c r="J11" s="137"/>
      <c r="K11" s="188">
        <v>1</v>
      </c>
      <c r="L11" s="136">
        <f>IF(M2=$Y$4,$Z$4,IF(M2=$Y$5,$Z$5,IF(M2=$Y$6,$Z$6,IF(M2=$Y$7,$Z$7,IF(M2=$Y$8,$Z$8,IF(M2=$Y$9,$Z$9,IF(M2=$Y$10,$Z$10,IF(M2=$Y$11,$Z$11,0))))))))</f>
        <v>0</v>
      </c>
      <c r="M11" s="137"/>
      <c r="N11" s="188">
        <v>1</v>
      </c>
      <c r="O11" s="136">
        <f>IF(P2=$Y$4,$Z$4,IF(P2=$Y$5,$Z$5,IF(P2=$Y$6,$Z$6,IF(P2=$Y$7,$Z$7,IF(P2=$Y$8,$Z$8,IF(P2=$Y$9,$Z$9,IF(P2=$Y$10,$Z$10,IF(P2=$Y$11,$Z$11,0))))))))</f>
        <v>0</v>
      </c>
      <c r="P11" s="137"/>
      <c r="Q11" s="188">
        <v>1</v>
      </c>
      <c r="R11" s="136">
        <f>IF(S2=$Y$4,$Z$4,IF(S2=$Y$5,$Z$5,IF(S2=$Y$6,$Z$6,IF(S2=$Y$7,$Z$7,IF(S2=$Y$8,$Z$8,IF(S2=$Y$9,$Z$9,IF(S2=$Y$10,$Z$10,IF(S2=$Y$11,$Z$11,0))))))))</f>
        <v>0</v>
      </c>
      <c r="S11" s="137"/>
      <c r="T11" s="188">
        <v>1</v>
      </c>
      <c r="U11" s="136">
        <f>IF(V2=$Y$4,$Z$4,IF(V2=$Y$5,$Z$5,IF(V2=$Y$6,$Z$6,IF(V2=$Y$7,$Z$7,IF(V2=$Y$8,$Z$8,IF(V2=$Y$9,$Z$9,IF(V2=$Y$10,$Z$10,IF(V2=$Y$11,$Z$11,0))))))))</f>
        <v>0</v>
      </c>
      <c r="V11" s="137"/>
      <c r="Y11" s="48" t="s">
        <v>19</v>
      </c>
      <c r="Z11" s="48">
        <v>70300</v>
      </c>
      <c r="AC11" s="282"/>
    </row>
    <row r="12" spans="1:31" s="48" customFormat="1" ht="15">
      <c r="A12" s="107" t="s">
        <v>293</v>
      </c>
      <c r="B12" s="303">
        <f>+B11</f>
        <v>1</v>
      </c>
      <c r="C12" s="140">
        <f>IF(D2=$Y$12,$Z$12,IF(D2=$Y$13,$Z$13,IF(D2=$Y$14,$Z$14,0)))</f>
        <v>0</v>
      </c>
      <c r="D12" s="294"/>
      <c r="E12" s="303">
        <f>+E11</f>
        <v>1</v>
      </c>
      <c r="F12" s="140">
        <f>IF(G2=$Y$12,$Z$12,IF(G2=$Y$13,$Z$13,IF(G2=$Y$14,$Z$14,0)))</f>
        <v>0</v>
      </c>
      <c r="G12" s="142"/>
      <c r="H12" s="303">
        <f>+H11</f>
        <v>1</v>
      </c>
      <c r="I12" s="140">
        <f>IF(J2=$Y$12,$Z$12,IF(J2=$Y$13,$Z$13,IF(J2=$Y$14,$Z$14,0)))</f>
        <v>0</v>
      </c>
      <c r="J12" s="141"/>
      <c r="K12" s="303">
        <f>+K11</f>
        <v>1</v>
      </c>
      <c r="L12" s="140">
        <f>IF(M2=$Y$12,$Z$12,IF(M2=$Y$13,$Z$13,IF(M2=$Y$14,$Z$14,0)))</f>
        <v>0</v>
      </c>
      <c r="M12" s="141"/>
      <c r="N12" s="303">
        <f>+N11</f>
        <v>1</v>
      </c>
      <c r="O12" s="140">
        <f>IF(P2=$Y$12,$Z$12,IF(P2=$Y$13,$Z$13,IF(P2=$Y$14,$Z$14,0)))</f>
        <v>0</v>
      </c>
      <c r="P12" s="141"/>
      <c r="Q12" s="303">
        <f>+Q11</f>
        <v>1</v>
      </c>
      <c r="R12" s="140">
        <f>IF(S2=$Y$12,$Z$12,IF(S2=$Y$13,$Z$13,IF(S2=$Y$14,$Z$14,0)))</f>
        <v>0</v>
      </c>
      <c r="S12" s="141"/>
      <c r="T12" s="303">
        <f>+T11</f>
        <v>1</v>
      </c>
      <c r="U12" s="140">
        <f>IF(V2=$Y$12,$Z$12,IF(V2=$Y$13,$Z$13,IF(V2=$Y$14,$Z$14,0)))</f>
        <v>0</v>
      </c>
      <c r="V12" s="141"/>
      <c r="Y12" s="48" t="s">
        <v>20</v>
      </c>
      <c r="Z12" s="48">
        <v>75300</v>
      </c>
      <c r="AA12" s="107"/>
      <c r="AC12" s="282"/>
    </row>
    <row r="13" spans="1:31" s="107" customFormat="1" ht="15">
      <c r="A13" s="107" t="s">
        <v>292</v>
      </c>
      <c r="B13" s="144">
        <f>+D5</f>
        <v>0</v>
      </c>
      <c r="C13" s="145">
        <f>+C11*B13+C12*B13</f>
        <v>0</v>
      </c>
      <c r="D13" s="146"/>
      <c r="E13" s="144">
        <f>+$D$5</f>
        <v>0</v>
      </c>
      <c r="F13" s="145">
        <f>+F11*E13+F12*E13</f>
        <v>0</v>
      </c>
      <c r="G13" s="146"/>
      <c r="H13" s="144">
        <f>+$D$5</f>
        <v>0</v>
      </c>
      <c r="I13" s="145">
        <f>+I11*H13+I12*H13</f>
        <v>0</v>
      </c>
      <c r="J13" s="146"/>
      <c r="K13" s="144">
        <f>+$D$5</f>
        <v>0</v>
      </c>
      <c r="L13" s="145">
        <f>+L11*K13+L12*K13</f>
        <v>0</v>
      </c>
      <c r="M13" s="146"/>
      <c r="N13" s="144">
        <f>+$D$5</f>
        <v>0</v>
      </c>
      <c r="O13" s="145">
        <f>+O11*N13+O12*N13</f>
        <v>0</v>
      </c>
      <c r="P13" s="146"/>
      <c r="Q13" s="144">
        <f>+$D$5</f>
        <v>0</v>
      </c>
      <c r="R13" s="145">
        <f>+R11*Q13+R12*Q13</f>
        <v>0</v>
      </c>
      <c r="S13" s="146"/>
      <c r="T13" s="144">
        <f>+$D$5</f>
        <v>0</v>
      </c>
      <c r="U13" s="145">
        <f>+U11*T13+U12*T13</f>
        <v>0</v>
      </c>
      <c r="V13" s="146"/>
      <c r="Y13" s="48" t="s">
        <v>21</v>
      </c>
      <c r="Z13" s="48">
        <v>80320</v>
      </c>
      <c r="AA13" s="48"/>
      <c r="AB13" s="48"/>
      <c r="AC13" s="282"/>
    </row>
    <row r="14" spans="1:31" s="48" customFormat="1" ht="15">
      <c r="A14" s="107" t="s">
        <v>282</v>
      </c>
      <c r="B14" s="144"/>
      <c r="C14" s="149">
        <f>IF((C12+C11)/100*(B13*100)&lt;=$AB$25,0,IF((C12+C11)&gt;($AB$24*100/30),(C12+C11)-$AB$24,(C12+C11)*0.7))</f>
        <v>0</v>
      </c>
      <c r="D14" s="146"/>
      <c r="E14" s="144"/>
      <c r="F14" s="149">
        <f>IF((F12+F11)/100*(E13*100)&lt;=$AB$25,0,IF((F12+F11)&gt;($AB$24*100/30),(F12+F11)-$AB$24,(F12+F11)*0.7))</f>
        <v>0</v>
      </c>
      <c r="G14" s="146"/>
      <c r="H14" s="144"/>
      <c r="I14" s="149">
        <f>IF((I12+I11)/100*(H13*100)&lt;=$AB$25,0,IF((I12+I11)&gt;($AB$24*100/30),(I12+I11)-$AB$24,(I12+I11)*0.7))</f>
        <v>0</v>
      </c>
      <c r="J14" s="146"/>
      <c r="K14" s="144"/>
      <c r="L14" s="149">
        <f>IF((L12+L11)/100*(K13*100)&lt;=$AB$25,0,IF((L12+L11)&gt;($AB$24*100/30),(L12+L11)-$AB$24,(L12+L11)*0.7))</f>
        <v>0</v>
      </c>
      <c r="M14" s="146"/>
      <c r="N14" s="144"/>
      <c r="O14" s="149">
        <f>IF((O12+O11)/100*(N13*100)&lt;=$AB$25,0,IF((O12+O11)&gt;($AB$24*100/30),(O12+O11)-$AB$24,(O12+O11)*0.7))</f>
        <v>0</v>
      </c>
      <c r="P14" s="146"/>
      <c r="Q14" s="144"/>
      <c r="R14" s="149">
        <f>IF((R12+R11)/100*(Q13*100)&lt;=$AB$25,0,IF((R12+R11)&gt;($AB$24*100/30),(R12+R11)-$AB$24,(R12+R11)*0.7))</f>
        <v>0</v>
      </c>
      <c r="S14" s="146"/>
      <c r="T14" s="144"/>
      <c r="U14" s="149">
        <f>IF((U12+U11)/100*(T13*100)&lt;=$AB$25,0,IF((U12+U11)&gt;($AB$24*100/30),(U12+U11)-$AB$24,(U12+U11)*0.7))</f>
        <v>0</v>
      </c>
      <c r="V14" s="146"/>
      <c r="W14" s="107"/>
      <c r="X14" s="107"/>
      <c r="Y14" s="48" t="s">
        <v>43</v>
      </c>
      <c r="Z14" s="128">
        <v>88541</v>
      </c>
      <c r="AC14" s="282"/>
      <c r="AD14" s="107"/>
      <c r="AE14" s="107"/>
    </row>
    <row r="15" spans="1:31" s="48" customFormat="1" ht="15">
      <c r="B15" s="139"/>
      <c r="C15" s="140"/>
      <c r="D15" s="141"/>
      <c r="E15" s="139"/>
      <c r="F15" s="53"/>
      <c r="G15" s="141"/>
      <c r="H15" s="139"/>
      <c r="I15" s="53"/>
      <c r="J15" s="141"/>
      <c r="K15" s="139"/>
      <c r="L15" s="53"/>
      <c r="M15" s="141"/>
      <c r="N15" s="143"/>
      <c r="O15" s="53"/>
      <c r="P15" s="141"/>
      <c r="Q15" s="143"/>
      <c r="R15" s="53"/>
      <c r="S15" s="141"/>
      <c r="T15" s="143"/>
      <c r="U15" s="53"/>
      <c r="V15" s="141"/>
      <c r="Z15" s="128"/>
      <c r="AC15" s="282"/>
    </row>
    <row r="16" spans="1:31" s="48" customFormat="1" ht="15" hidden="1" outlineLevel="1">
      <c r="A16" s="48" t="s">
        <v>7</v>
      </c>
      <c r="B16" s="147">
        <f>'SV-Sätze'!C8</f>
        <v>5.1250000000000004E-2</v>
      </c>
      <c r="C16" s="140">
        <f>+$B$16*C13</f>
        <v>0</v>
      </c>
      <c r="D16" s="294"/>
      <c r="E16" s="139"/>
      <c r="F16" s="140">
        <f>+$B$16*F13</f>
        <v>0</v>
      </c>
      <c r="G16" s="141"/>
      <c r="H16" s="139"/>
      <c r="I16" s="140">
        <f>+$B$16*I13</f>
        <v>0</v>
      </c>
      <c r="J16" s="141"/>
      <c r="K16" s="139"/>
      <c r="L16" s="140">
        <f>+$B$16*L13</f>
        <v>0</v>
      </c>
      <c r="M16" s="141"/>
      <c r="N16" s="143"/>
      <c r="O16" s="140">
        <f>+$B$16*O13</f>
        <v>0</v>
      </c>
      <c r="P16" s="141"/>
      <c r="Q16" s="143"/>
      <c r="R16" s="140">
        <f>+$B$16*R13</f>
        <v>0</v>
      </c>
      <c r="S16" s="141"/>
      <c r="T16" s="139"/>
      <c r="U16" s="140">
        <f>+$B$16*U13</f>
        <v>0</v>
      </c>
      <c r="V16" s="141"/>
      <c r="AC16" s="282"/>
    </row>
    <row r="17" spans="1:29" s="48" customFormat="1" ht="15" hidden="1" outlineLevel="1">
      <c r="A17" s="48" t="s">
        <v>150</v>
      </c>
      <c r="B17" s="317">
        <f>'SV-Sätze'!C9</f>
        <v>6.0000000000000001E-3</v>
      </c>
      <c r="C17" s="140">
        <f>$B$17*C13</f>
        <v>0</v>
      </c>
      <c r="D17" s="294"/>
      <c r="E17" s="139"/>
      <c r="F17" s="140">
        <f>$B$17*F13</f>
        <v>0</v>
      </c>
      <c r="G17" s="141"/>
      <c r="H17" s="139"/>
      <c r="I17" s="140">
        <f>$B$17*I13</f>
        <v>0</v>
      </c>
      <c r="J17" s="141"/>
      <c r="K17" s="139"/>
      <c r="L17" s="140">
        <f>$B$17*L13</f>
        <v>0</v>
      </c>
      <c r="M17" s="141"/>
      <c r="N17" s="143"/>
      <c r="O17" s="140">
        <f>$B$17*O13</f>
        <v>0</v>
      </c>
      <c r="P17" s="141"/>
      <c r="Q17" s="143"/>
      <c r="R17" s="140">
        <f>$B$17*R13</f>
        <v>0</v>
      </c>
      <c r="S17" s="141"/>
      <c r="T17" s="139"/>
      <c r="U17" s="140">
        <f>$B$17*U13</f>
        <v>0</v>
      </c>
      <c r="V17" s="141"/>
      <c r="Y17" s="48" t="s">
        <v>42</v>
      </c>
      <c r="Z17" s="48" t="s">
        <v>29</v>
      </c>
      <c r="AB17" s="123" t="s">
        <v>31</v>
      </c>
      <c r="AC17" s="265" t="s">
        <v>251</v>
      </c>
    </row>
    <row r="18" spans="1:29" s="48" customFormat="1" ht="15" hidden="1" outlineLevel="1">
      <c r="A18" s="48" t="s">
        <v>8</v>
      </c>
      <c r="B18" s="147">
        <f>'SV-Sätze'!C10</f>
        <v>1.0999999999999999E-2</v>
      </c>
      <c r="C18" s="140">
        <f>+$B$18*C13</f>
        <v>0</v>
      </c>
      <c r="D18" s="294"/>
      <c r="E18" s="139"/>
      <c r="F18" s="140">
        <f>+$B$18*F13</f>
        <v>0</v>
      </c>
      <c r="G18" s="141"/>
      <c r="H18" s="139"/>
      <c r="I18" s="140">
        <f>+$B$18*I13</f>
        <v>0</v>
      </c>
      <c r="J18" s="141"/>
      <c r="K18" s="139"/>
      <c r="L18" s="140">
        <f>+$B$18*L13</f>
        <v>0</v>
      </c>
      <c r="M18" s="141"/>
      <c r="N18" s="143"/>
      <c r="O18" s="140">
        <f>+$B$18*O13</f>
        <v>0</v>
      </c>
      <c r="P18" s="141"/>
      <c r="Q18" s="143"/>
      <c r="R18" s="140">
        <f>+$B$18*R13</f>
        <v>0</v>
      </c>
      <c r="S18" s="141"/>
      <c r="T18" s="139"/>
      <c r="U18" s="140">
        <f>+$B$18*U13</f>
        <v>0</v>
      </c>
      <c r="V18" s="141"/>
      <c r="AB18" s="130" t="s">
        <v>1</v>
      </c>
      <c r="AC18" s="282">
        <f>+'PK-Sätze'!G4</f>
        <v>9.3999999999999986</v>
      </c>
    </row>
    <row r="19" spans="1:29" s="48" customFormat="1" ht="15" hidden="1" outlineLevel="1">
      <c r="A19" s="48" t="s">
        <v>9</v>
      </c>
      <c r="B19" s="147">
        <f>'SV-Sätze'!C12</f>
        <v>1.1440000000000001E-3</v>
      </c>
      <c r="C19" s="140">
        <f>+$B$19*C13</f>
        <v>0</v>
      </c>
      <c r="D19" s="294"/>
      <c r="E19" s="139"/>
      <c r="F19" s="140">
        <f>+$B$19*F13</f>
        <v>0</v>
      </c>
      <c r="G19" s="141"/>
      <c r="H19" s="139"/>
      <c r="I19" s="140">
        <f>+$B$19*I13</f>
        <v>0</v>
      </c>
      <c r="J19" s="141"/>
      <c r="K19" s="139"/>
      <c r="L19" s="140">
        <f>+$B$19*L13</f>
        <v>0</v>
      </c>
      <c r="M19" s="141"/>
      <c r="N19" s="143"/>
      <c r="O19" s="140">
        <f>+$B$19*O13</f>
        <v>0</v>
      </c>
      <c r="P19" s="141"/>
      <c r="Q19" s="143"/>
      <c r="R19" s="140">
        <f>+$B$19*R13</f>
        <v>0</v>
      </c>
      <c r="S19" s="141"/>
      <c r="T19" s="139"/>
      <c r="U19" s="140">
        <f>+$B$19*U13</f>
        <v>0</v>
      </c>
      <c r="V19" s="141"/>
      <c r="AB19" s="130" t="s">
        <v>2</v>
      </c>
      <c r="AC19" s="282">
        <f>+'PK-Sätze'!G5</f>
        <v>11.649999999999999</v>
      </c>
    </row>
    <row r="20" spans="1:29" s="48" customFormat="1" ht="15" hidden="1" outlineLevel="1">
      <c r="A20" s="48" t="s">
        <v>10</v>
      </c>
      <c r="B20" s="147">
        <f>'SV-Sätze'!C13</f>
        <v>2.5999999999999999E-3</v>
      </c>
      <c r="C20" s="140">
        <f>+$B$20*C13</f>
        <v>0</v>
      </c>
      <c r="D20" s="294"/>
      <c r="E20" s="139"/>
      <c r="F20" s="140">
        <f>+$B$20*F13</f>
        <v>0</v>
      </c>
      <c r="G20" s="141"/>
      <c r="H20" s="139"/>
      <c r="I20" s="140">
        <f>+$B$20*I13</f>
        <v>0</v>
      </c>
      <c r="J20" s="141"/>
      <c r="K20" s="139"/>
      <c r="L20" s="140">
        <f>+$B$20*L13</f>
        <v>0</v>
      </c>
      <c r="M20" s="141"/>
      <c r="N20" s="143"/>
      <c r="O20" s="140">
        <f>+$B$20*O13</f>
        <v>0</v>
      </c>
      <c r="P20" s="141"/>
      <c r="Q20" s="143"/>
      <c r="R20" s="140">
        <f>+$B$20*R13</f>
        <v>0</v>
      </c>
      <c r="S20" s="141"/>
      <c r="T20" s="139"/>
      <c r="U20" s="140">
        <f>+$B$20*U13</f>
        <v>0</v>
      </c>
      <c r="V20" s="141"/>
      <c r="AB20" s="130" t="s">
        <v>5</v>
      </c>
      <c r="AC20" s="282">
        <f>+'PK-Sätze'!G6</f>
        <v>17.7</v>
      </c>
    </row>
    <row r="21" spans="1:29" s="48" customFormat="1" ht="15" hidden="1" outlineLevel="1">
      <c r="A21" s="128" t="s">
        <v>11</v>
      </c>
      <c r="B21" s="147">
        <f>IF(D9="ZH",'SV-Sätze'!C16,IF(D9="LU",'SV-Sätze'!C18,0))</f>
        <v>1.0999999999999999E-2</v>
      </c>
      <c r="C21" s="302">
        <f>+$B$21*C13</f>
        <v>0</v>
      </c>
      <c r="D21" s="294"/>
      <c r="E21" s="139"/>
      <c r="F21" s="302">
        <f>+$B$21*F13</f>
        <v>0</v>
      </c>
      <c r="G21" s="141"/>
      <c r="H21" s="139"/>
      <c r="I21" s="302">
        <f>+$B$21*I13</f>
        <v>0</v>
      </c>
      <c r="J21" s="141"/>
      <c r="K21" s="139"/>
      <c r="L21" s="302">
        <f>+$B$21*L13</f>
        <v>0</v>
      </c>
      <c r="M21" s="141"/>
      <c r="N21" s="143"/>
      <c r="O21" s="302">
        <f>+$B$21*O13</f>
        <v>0</v>
      </c>
      <c r="P21" s="141"/>
      <c r="Q21" s="143"/>
      <c r="R21" s="302">
        <f>+$B$21*R13</f>
        <v>0</v>
      </c>
      <c r="S21" s="141"/>
      <c r="T21" s="139"/>
      <c r="U21" s="302">
        <f>+$B$21*U13</f>
        <v>0</v>
      </c>
      <c r="V21" s="141"/>
      <c r="AB21" s="130" t="s">
        <v>6</v>
      </c>
      <c r="AC21" s="282">
        <f>+'PK-Sätze'!G6</f>
        <v>17.7</v>
      </c>
    </row>
    <row r="22" spans="1:29" s="48" customFormat="1" ht="15" hidden="1" outlineLevel="1">
      <c r="B22" s="139"/>
      <c r="C22" s="140"/>
      <c r="D22" s="294"/>
      <c r="E22" s="139"/>
      <c r="F22" s="140"/>
      <c r="G22" s="141"/>
      <c r="H22" s="139"/>
      <c r="I22" s="140"/>
      <c r="J22" s="141"/>
      <c r="K22" s="139"/>
      <c r="L22" s="140"/>
      <c r="M22" s="141"/>
      <c r="N22" s="143"/>
      <c r="O22" s="140"/>
      <c r="P22" s="141"/>
      <c r="Q22" s="143"/>
      <c r="R22" s="140"/>
      <c r="S22" s="141"/>
      <c r="T22" s="143"/>
      <c r="U22" s="140"/>
      <c r="V22" s="141"/>
      <c r="AB22" s="130" t="s">
        <v>4</v>
      </c>
      <c r="AC22" s="282">
        <f>+'PK-Sätze'!G7</f>
        <v>22.55</v>
      </c>
    </row>
    <row r="23" spans="1:29" s="48" customFormat="1" ht="15" hidden="1" outlineLevel="1">
      <c r="A23" s="48" t="s">
        <v>296</v>
      </c>
      <c r="B23" s="147">
        <f>IF($D$6&lt;35,AC18%,IF($D$6&lt;45,AC19%,IF($D$6&lt;55,AC20%,IF($D$6&lt;70,AC22%))))</f>
        <v>9.3999999999999986E-2</v>
      </c>
      <c r="C23" s="140">
        <f>IF($D$4="Standardplan",C14*$B$23*B13,"")</f>
        <v>0</v>
      </c>
      <c r="D23" s="294"/>
      <c r="E23" s="139"/>
      <c r="F23" s="140">
        <f>IF($D$4="Standardplan",F14*$B$23*E13,"")</f>
        <v>0</v>
      </c>
      <c r="G23" s="141"/>
      <c r="H23" s="139"/>
      <c r="I23" s="140">
        <f>IF($D$4="Standardplan",I14*$B$23*H13,"")</f>
        <v>0</v>
      </c>
      <c r="J23" s="141"/>
      <c r="K23" s="139"/>
      <c r="L23" s="140">
        <f>IF($D$4="Standardplan",L14*$B$23*K13,"")</f>
        <v>0</v>
      </c>
      <c r="M23" s="141"/>
      <c r="N23" s="143"/>
      <c r="O23" s="140">
        <f>IF($D$4="Standardplan",O14*$B$23*N13,"")</f>
        <v>0</v>
      </c>
      <c r="P23" s="141"/>
      <c r="Q23" s="143"/>
      <c r="R23" s="140">
        <f>IF($D$4="Standardplan",R14*$B$23*Q13,"")</f>
        <v>0</v>
      </c>
      <c r="S23" s="141"/>
      <c r="T23" s="143"/>
      <c r="U23" s="140">
        <f>IF($D$4="Standardplan",U14*$B$23*T13,"")</f>
        <v>0</v>
      </c>
      <c r="V23" s="141"/>
    </row>
    <row r="24" spans="1:29" s="48" customFormat="1" ht="15" hidden="1" outlineLevel="1">
      <c r="A24" s="48" t="s">
        <v>286</v>
      </c>
      <c r="B24" s="315">
        <v>250</v>
      </c>
      <c r="C24" s="140">
        <f>IF(C14&gt;0,$B$24,0)</f>
        <v>0</v>
      </c>
      <c r="D24" s="294"/>
      <c r="E24" s="139"/>
      <c r="F24" s="140">
        <f>IF(F14&gt;0,$B$24,0)</f>
        <v>0</v>
      </c>
      <c r="G24" s="141"/>
      <c r="H24" s="139"/>
      <c r="I24" s="140">
        <f>IF(I14&gt;0,$B$24,0)</f>
        <v>0</v>
      </c>
      <c r="J24" s="141"/>
      <c r="K24" s="139"/>
      <c r="L24" s="140">
        <f>IF(L14&gt;0,$B$24,0)</f>
        <v>0</v>
      </c>
      <c r="M24" s="141"/>
      <c r="N24" s="143"/>
      <c r="O24" s="140">
        <f>IF(O14&gt;0,$B$24,0)</f>
        <v>0</v>
      </c>
      <c r="P24" s="141"/>
      <c r="Q24" s="143"/>
      <c r="R24" s="140">
        <f>IF(R14&gt;0,$B$24,0)</f>
        <v>0</v>
      </c>
      <c r="S24" s="141"/>
      <c r="T24" s="143"/>
      <c r="U24" s="140">
        <f>IF(U14&gt;0,$B$24,0)</f>
        <v>0</v>
      </c>
      <c r="V24" s="141"/>
      <c r="Y24" s="48" t="s">
        <v>287</v>
      </c>
      <c r="AB24" s="299">
        <v>24885</v>
      </c>
    </row>
    <row r="25" spans="1:29" s="48" customFormat="1" ht="15" hidden="1" outlineLevel="1">
      <c r="B25" s="139"/>
      <c r="C25" s="140"/>
      <c r="D25" s="294"/>
      <c r="E25" s="139"/>
      <c r="F25" s="53"/>
      <c r="G25" s="141"/>
      <c r="H25" s="139"/>
      <c r="I25" s="53"/>
      <c r="J25" s="141"/>
      <c r="K25" s="139"/>
      <c r="L25" s="53"/>
      <c r="M25" s="141"/>
      <c r="N25" s="143"/>
      <c r="O25" s="53"/>
      <c r="P25" s="141"/>
      <c r="Q25" s="143"/>
      <c r="R25" s="53"/>
      <c r="S25" s="141"/>
      <c r="T25" s="143"/>
      <c r="U25" s="53"/>
      <c r="V25" s="141"/>
      <c r="Y25" s="48" t="s">
        <v>288</v>
      </c>
      <c r="AB25" s="185"/>
    </row>
    <row r="26" spans="1:29" s="48" customFormat="1" ht="15" hidden="1" outlineLevel="1">
      <c r="A26" s="48" t="s">
        <v>11</v>
      </c>
      <c r="B26" s="139"/>
      <c r="C26" s="149"/>
      <c r="D26" s="294"/>
      <c r="E26" s="139"/>
      <c r="F26" s="53"/>
      <c r="G26" s="141"/>
      <c r="H26" s="139"/>
      <c r="I26" s="53"/>
      <c r="J26" s="141"/>
      <c r="K26" s="139"/>
      <c r="L26" s="53"/>
      <c r="M26" s="141"/>
      <c r="N26" s="143"/>
      <c r="O26" s="53"/>
      <c r="P26" s="141"/>
      <c r="Q26" s="143"/>
      <c r="R26" s="53"/>
      <c r="S26" s="141"/>
      <c r="T26" s="143"/>
      <c r="U26" s="53"/>
      <c r="V26" s="141"/>
      <c r="Y26" s="128" t="s">
        <v>283</v>
      </c>
      <c r="Z26" s="128"/>
      <c r="AA26" s="128"/>
      <c r="AB26" s="301" t="s">
        <v>284</v>
      </c>
    </row>
    <row r="27" spans="1:29" s="48" customFormat="1" ht="15" hidden="1" outlineLevel="1">
      <c r="A27" s="48" t="s">
        <v>33</v>
      </c>
      <c r="B27" s="164">
        <f>IF($D$9="ZH",FAK!F9-FAK!$F$17,IF($D$9="LU",FAK!F9-FAK!$F$19,""))</f>
        <v>2097</v>
      </c>
      <c r="C27" s="140">
        <f>IF($D$7&lt;2,$D$7*B27,B27*1)</f>
        <v>0</v>
      </c>
      <c r="D27" s="141"/>
      <c r="E27" s="139"/>
      <c r="F27" s="140">
        <f>+C27</f>
        <v>0</v>
      </c>
      <c r="G27" s="141"/>
      <c r="H27" s="139"/>
      <c r="I27" s="140">
        <f>+F27</f>
        <v>0</v>
      </c>
      <c r="J27" s="141"/>
      <c r="K27" s="139"/>
      <c r="L27" s="140">
        <f>+I27</f>
        <v>0</v>
      </c>
      <c r="M27" s="141"/>
      <c r="N27" s="143"/>
      <c r="O27" s="140">
        <f>+L27</f>
        <v>0</v>
      </c>
      <c r="P27" s="141"/>
      <c r="Q27" s="143"/>
      <c r="R27" s="140">
        <f>+O27</f>
        <v>0</v>
      </c>
      <c r="S27" s="141"/>
      <c r="T27" s="143"/>
      <c r="U27" s="140">
        <f>+R27</f>
        <v>0</v>
      </c>
      <c r="V27" s="141"/>
      <c r="Y27" s="128"/>
      <c r="Z27" s="128"/>
      <c r="AA27" s="128"/>
      <c r="AB27" s="301" t="s">
        <v>285</v>
      </c>
    </row>
    <row r="28" spans="1:29" s="48" customFormat="1" ht="15" hidden="1" outlineLevel="1">
      <c r="A28" s="48" t="s">
        <v>34</v>
      </c>
      <c r="B28" s="164">
        <f>IF($D$9="ZH",FAK!F11-FAK!$F$17,IF($D$9="LU",FAK!F11-FAK!$F$19,""))</f>
        <v>504</v>
      </c>
      <c r="C28" s="140">
        <f>IF($D$7&gt;1,($D$7-1)*B28,0)</f>
        <v>0</v>
      </c>
      <c r="D28" s="141"/>
      <c r="E28" s="139"/>
      <c r="F28" s="140">
        <f>+C28</f>
        <v>0</v>
      </c>
      <c r="G28" s="141"/>
      <c r="H28" s="139"/>
      <c r="I28" s="140">
        <f>+F28</f>
        <v>0</v>
      </c>
      <c r="J28" s="141"/>
      <c r="K28" s="139"/>
      <c r="L28" s="140">
        <f>+I28</f>
        <v>0</v>
      </c>
      <c r="M28" s="141"/>
      <c r="N28" s="143"/>
      <c r="O28" s="140">
        <f>+L28</f>
        <v>0</v>
      </c>
      <c r="P28" s="141"/>
      <c r="Q28" s="143"/>
      <c r="R28" s="140">
        <f>+O28</f>
        <v>0</v>
      </c>
      <c r="S28" s="141"/>
      <c r="T28" s="143"/>
      <c r="U28" s="140">
        <f t="shared" ref="U28:U29" si="0">+R28</f>
        <v>0</v>
      </c>
      <c r="V28" s="141"/>
    </row>
    <row r="29" spans="1:29" s="48" customFormat="1" ht="15" hidden="1" outlineLevel="1">
      <c r="A29" s="48" t="s">
        <v>35</v>
      </c>
      <c r="B29" s="164">
        <f>IF($D$9="ZH",FAK!F12-FAK!$F$18,IF($D$9="LU",FAK!F12-FAK!$F$20,""))</f>
        <v>282</v>
      </c>
      <c r="C29" s="140">
        <f>+D8*B29</f>
        <v>0</v>
      </c>
      <c r="D29" s="141"/>
      <c r="E29" s="139"/>
      <c r="F29" s="140">
        <f>+C29</f>
        <v>0</v>
      </c>
      <c r="G29" s="141"/>
      <c r="H29" s="139"/>
      <c r="I29" s="140">
        <f>+F29</f>
        <v>0</v>
      </c>
      <c r="J29" s="141"/>
      <c r="K29" s="139"/>
      <c r="L29" s="140">
        <f>+I29</f>
        <v>0</v>
      </c>
      <c r="M29" s="141"/>
      <c r="N29" s="143"/>
      <c r="O29" s="140">
        <f>+L29</f>
        <v>0</v>
      </c>
      <c r="P29" s="141"/>
      <c r="Q29" s="143"/>
      <c r="R29" s="140">
        <f>+O29</f>
        <v>0</v>
      </c>
      <c r="S29" s="141"/>
      <c r="T29" s="143"/>
      <c r="U29" s="140">
        <f t="shared" si="0"/>
        <v>0</v>
      </c>
      <c r="V29" s="141"/>
    </row>
    <row r="30" spans="1:29" s="48" customFormat="1" ht="15" collapsed="1">
      <c r="B30" s="150"/>
      <c r="C30" s="140"/>
      <c r="D30" s="141"/>
      <c r="E30" s="139"/>
      <c r="F30" s="53"/>
      <c r="G30" s="141"/>
      <c r="H30" s="139"/>
      <c r="I30" s="53"/>
      <c r="J30" s="141"/>
      <c r="K30" s="139"/>
      <c r="L30" s="53"/>
      <c r="M30" s="141"/>
      <c r="N30" s="143"/>
      <c r="O30" s="53"/>
      <c r="P30" s="141"/>
      <c r="Q30" s="143"/>
      <c r="R30" s="53"/>
      <c r="S30" s="141"/>
      <c r="T30" s="143"/>
      <c r="U30" s="53"/>
      <c r="V30" s="141"/>
    </row>
    <row r="31" spans="1:29" s="48" customFormat="1" ht="15">
      <c r="A31" s="151"/>
      <c r="B31" s="152"/>
      <c r="C31" s="153"/>
      <c r="D31" s="154"/>
      <c r="E31" s="139"/>
      <c r="F31" s="151"/>
      <c r="G31" s="154"/>
      <c r="H31" s="139"/>
      <c r="I31" s="151"/>
      <c r="J31" s="154"/>
      <c r="K31" s="139"/>
      <c r="L31" s="151"/>
      <c r="M31" s="154"/>
      <c r="N31" s="143"/>
      <c r="O31" s="151"/>
      <c r="P31" s="154"/>
      <c r="Q31" s="143"/>
      <c r="R31" s="151"/>
      <c r="S31" s="154"/>
      <c r="T31" s="143"/>
      <c r="U31" s="151"/>
      <c r="V31" s="154"/>
      <c r="W31" s="155"/>
    </row>
    <row r="32" spans="1:29" s="48" customFormat="1" ht="15">
      <c r="A32" s="156"/>
      <c r="B32" s="139"/>
      <c r="C32" s="157">
        <v>2019</v>
      </c>
      <c r="D32" s="141"/>
      <c r="E32" s="139"/>
      <c r="F32" s="157">
        <v>2020</v>
      </c>
      <c r="G32" s="141"/>
      <c r="H32" s="139"/>
      <c r="I32" s="157">
        <v>2021</v>
      </c>
      <c r="J32" s="141"/>
      <c r="K32" s="139"/>
      <c r="L32" s="157">
        <v>2022</v>
      </c>
      <c r="M32" s="141"/>
      <c r="N32" s="143"/>
      <c r="O32" s="157">
        <v>2023</v>
      </c>
      <c r="P32" s="141"/>
      <c r="Q32" s="143"/>
      <c r="R32" s="157">
        <v>2024</v>
      </c>
      <c r="S32" s="141"/>
      <c r="T32" s="143"/>
      <c r="U32" s="157">
        <v>2025</v>
      </c>
      <c r="V32" s="141"/>
      <c r="W32" s="159" t="s">
        <v>46</v>
      </c>
    </row>
    <row r="33" spans="1:24" s="48" customFormat="1" ht="15">
      <c r="A33" s="160"/>
      <c r="B33" s="139"/>
      <c r="C33" s="161"/>
      <c r="D33" s="141"/>
      <c r="E33" s="139"/>
      <c r="F33" s="162">
        <v>1.02</v>
      </c>
      <c r="G33" s="141" t="s">
        <v>94</v>
      </c>
      <c r="H33" s="139"/>
      <c r="I33" s="162">
        <v>1.02</v>
      </c>
      <c r="J33" s="141" t="s">
        <v>94</v>
      </c>
      <c r="K33" s="139"/>
      <c r="L33" s="162">
        <v>1.02</v>
      </c>
      <c r="M33" s="141" t="s">
        <v>94</v>
      </c>
      <c r="N33" s="143"/>
      <c r="O33" s="162">
        <v>1.02</v>
      </c>
      <c r="P33" s="141" t="s">
        <v>94</v>
      </c>
      <c r="Q33" s="143"/>
      <c r="R33" s="162">
        <v>1.02</v>
      </c>
      <c r="S33" s="141" t="s">
        <v>94</v>
      </c>
      <c r="T33" s="143"/>
      <c r="U33" s="162">
        <v>1.02</v>
      </c>
      <c r="V33" s="141" t="s">
        <v>94</v>
      </c>
      <c r="W33" s="159"/>
    </row>
    <row r="34" spans="1:24" s="48" customFormat="1" ht="15">
      <c r="A34" s="160"/>
      <c r="B34" s="139"/>
      <c r="C34" s="163"/>
      <c r="D34" s="141"/>
      <c r="E34" s="139"/>
      <c r="F34" s="163"/>
      <c r="G34" s="141"/>
      <c r="H34" s="139"/>
      <c r="I34" s="163"/>
      <c r="J34" s="141"/>
      <c r="K34" s="139"/>
      <c r="L34" s="163"/>
      <c r="M34" s="141"/>
      <c r="N34" s="143"/>
      <c r="O34" s="163"/>
      <c r="P34" s="141"/>
      <c r="Q34" s="143"/>
      <c r="R34" s="163"/>
      <c r="S34" s="141"/>
      <c r="T34" s="143"/>
      <c r="U34" s="163"/>
      <c r="V34" s="141"/>
      <c r="W34" s="159"/>
    </row>
    <row r="35" spans="1:24" s="48" customFormat="1" ht="15">
      <c r="A35" s="160"/>
      <c r="B35" s="139"/>
      <c r="C35" s="163" t="s">
        <v>40</v>
      </c>
      <c r="D35" s="141" t="s">
        <v>41</v>
      </c>
      <c r="E35" s="139"/>
      <c r="F35" s="163" t="s">
        <v>40</v>
      </c>
      <c r="G35" s="141" t="s">
        <v>41</v>
      </c>
      <c r="H35" s="139"/>
      <c r="I35" s="163" t="s">
        <v>40</v>
      </c>
      <c r="J35" s="141" t="s">
        <v>41</v>
      </c>
      <c r="K35" s="139"/>
      <c r="L35" s="163" t="s">
        <v>40</v>
      </c>
      <c r="M35" s="141" t="s">
        <v>41</v>
      </c>
      <c r="N35" s="143"/>
      <c r="O35" s="163" t="s">
        <v>40</v>
      </c>
      <c r="P35" s="141" t="s">
        <v>41</v>
      </c>
      <c r="Q35" s="143"/>
      <c r="R35" s="163" t="s">
        <v>40</v>
      </c>
      <c r="S35" s="141" t="s">
        <v>41</v>
      </c>
      <c r="T35" s="143"/>
      <c r="U35" s="163" t="s">
        <v>40</v>
      </c>
      <c r="V35" s="141" t="s">
        <v>41</v>
      </c>
      <c r="W35" s="159"/>
    </row>
    <row r="36" spans="1:24" s="48" customFormat="1" ht="15">
      <c r="A36" s="160" t="s">
        <v>93</v>
      </c>
      <c r="B36" s="139"/>
      <c r="C36" s="163">
        <f>+C13+C27+C28+C29</f>
        <v>0</v>
      </c>
      <c r="D36" s="142">
        <f>+C36/12</f>
        <v>0</v>
      </c>
      <c r="E36" s="139"/>
      <c r="F36" s="163">
        <f>(+F13+F27+F28+F29)*F33</f>
        <v>0</v>
      </c>
      <c r="G36" s="142">
        <f>+F36/12</f>
        <v>0</v>
      </c>
      <c r="H36" s="139"/>
      <c r="I36" s="163">
        <f>(+I13+I27+I28+I29)*I33^2</f>
        <v>0</v>
      </c>
      <c r="J36" s="142">
        <f>+I36/12</f>
        <v>0</v>
      </c>
      <c r="K36" s="139"/>
      <c r="L36" s="163">
        <f>(+L13+L27+L28+L29)*L33^3</f>
        <v>0</v>
      </c>
      <c r="M36" s="142">
        <f>+L36/12</f>
        <v>0</v>
      </c>
      <c r="N36" s="164"/>
      <c r="O36" s="163">
        <f>(+O13+O27+O28+O29)*O33^4</f>
        <v>0</v>
      </c>
      <c r="P36" s="142">
        <f>+O36/12</f>
        <v>0</v>
      </c>
      <c r="Q36" s="164"/>
      <c r="R36" s="163">
        <f>(+R13+R27+R28+R29)*R33^5</f>
        <v>0</v>
      </c>
      <c r="S36" s="142">
        <f>+R36/12</f>
        <v>0</v>
      </c>
      <c r="T36" s="164"/>
      <c r="U36" s="163">
        <f>(+U13+U27+U28+U29)*U33^6</f>
        <v>0</v>
      </c>
      <c r="V36" s="142">
        <f>+U36/12</f>
        <v>0</v>
      </c>
      <c r="W36" s="165">
        <f>+I36+F36+C36+L36+O36+R36+U36</f>
        <v>0</v>
      </c>
    </row>
    <row r="37" spans="1:24" s="48" customFormat="1" ht="15">
      <c r="A37" s="160" t="s">
        <v>38</v>
      </c>
      <c r="B37" s="148" t="e">
        <f>+C37/C36</f>
        <v>#DIV/0!</v>
      </c>
      <c r="C37" s="163">
        <f>SUM(C16:C24)</f>
        <v>0</v>
      </c>
      <c r="D37" s="142">
        <f>+C37/12</f>
        <v>0</v>
      </c>
      <c r="E37" s="139"/>
      <c r="F37" s="163">
        <f>SUM(F16:F23)</f>
        <v>0</v>
      </c>
      <c r="G37" s="142">
        <f>+F37/12</f>
        <v>0</v>
      </c>
      <c r="H37" s="139"/>
      <c r="I37" s="163">
        <f>SUM(I16:I23)</f>
        <v>0</v>
      </c>
      <c r="J37" s="142">
        <f>+I37/12</f>
        <v>0</v>
      </c>
      <c r="K37" s="139"/>
      <c r="L37" s="163">
        <f>SUM(L16:L23)</f>
        <v>0</v>
      </c>
      <c r="M37" s="142">
        <f>+L37/12</f>
        <v>0</v>
      </c>
      <c r="N37" s="164"/>
      <c r="O37" s="163">
        <f>SUM(O16:O23)</f>
        <v>0</v>
      </c>
      <c r="P37" s="142">
        <f>+O37/12</f>
        <v>0</v>
      </c>
      <c r="Q37" s="164"/>
      <c r="R37" s="163">
        <f>SUM(R16:R23)</f>
        <v>0</v>
      </c>
      <c r="S37" s="142">
        <f>+R37/12</f>
        <v>0</v>
      </c>
      <c r="T37" s="164"/>
      <c r="U37" s="163">
        <f>SUM(U16:U23)</f>
        <v>0</v>
      </c>
      <c r="V37" s="142">
        <f>+U37/12</f>
        <v>0</v>
      </c>
      <c r="W37" s="165">
        <f>+I37+F37+C37+L37+O37+R37+U37</f>
        <v>0</v>
      </c>
    </row>
    <row r="38" spans="1:24" s="48" customFormat="1" ht="15">
      <c r="A38" s="156" t="s">
        <v>39</v>
      </c>
      <c r="B38" s="166"/>
      <c r="C38" s="167">
        <f>+C37+C36</f>
        <v>0</v>
      </c>
      <c r="D38" s="168">
        <f>+D37+D36</f>
        <v>0</v>
      </c>
      <c r="E38" s="139"/>
      <c r="F38" s="167">
        <f>+F37+F36</f>
        <v>0</v>
      </c>
      <c r="G38" s="168">
        <f>+G37+G36</f>
        <v>0</v>
      </c>
      <c r="H38" s="139"/>
      <c r="I38" s="167">
        <f>+I37+I36</f>
        <v>0</v>
      </c>
      <c r="J38" s="168">
        <f>+J37+J36</f>
        <v>0</v>
      </c>
      <c r="K38" s="139"/>
      <c r="L38" s="167">
        <f>+L37+L36</f>
        <v>0</v>
      </c>
      <c r="M38" s="168">
        <f>+M37+M36</f>
        <v>0</v>
      </c>
      <c r="N38" s="169"/>
      <c r="O38" s="167">
        <f>+O37+O36</f>
        <v>0</v>
      </c>
      <c r="P38" s="168">
        <f>+P37+P36</f>
        <v>0</v>
      </c>
      <c r="Q38" s="169"/>
      <c r="R38" s="167">
        <f>+R37+R36</f>
        <v>0</v>
      </c>
      <c r="S38" s="168">
        <f>+S37+S36</f>
        <v>0</v>
      </c>
      <c r="T38" s="169"/>
      <c r="U38" s="167">
        <f>+U37+U36</f>
        <v>0</v>
      </c>
      <c r="V38" s="168">
        <f>+V37+V36</f>
        <v>0</v>
      </c>
      <c r="W38" s="170">
        <f>+I38+F38+C38+L38+O38+R38+U38</f>
        <v>0</v>
      </c>
    </row>
    <row r="39" spans="1:24" s="48" customFormat="1" ht="15">
      <c r="A39" s="83"/>
      <c r="B39" s="171"/>
      <c r="C39" s="80"/>
      <c r="D39" s="172"/>
      <c r="E39" s="139"/>
      <c r="F39" s="83"/>
      <c r="G39" s="172"/>
      <c r="H39" s="139"/>
      <c r="I39" s="83"/>
      <c r="J39" s="172"/>
      <c r="K39" s="139"/>
      <c r="L39" s="83"/>
      <c r="M39" s="172"/>
      <c r="N39" s="143"/>
      <c r="O39" s="83"/>
      <c r="P39" s="172"/>
      <c r="Q39" s="143"/>
      <c r="R39" s="83"/>
      <c r="S39" s="172"/>
      <c r="T39" s="143"/>
      <c r="U39" s="83"/>
      <c r="V39" s="172"/>
      <c r="W39" s="173"/>
    </row>
    <row r="40" spans="1:24" s="48" customFormat="1" ht="15">
      <c r="B40" s="139"/>
      <c r="C40" s="140"/>
      <c r="D40" s="141"/>
      <c r="E40" s="139"/>
      <c r="F40" s="53"/>
      <c r="G40" s="141"/>
      <c r="H40" s="139"/>
      <c r="I40" s="53"/>
      <c r="J40" s="141"/>
      <c r="K40" s="139"/>
      <c r="L40" s="53"/>
      <c r="M40" s="141"/>
      <c r="N40" s="174"/>
      <c r="O40" s="53"/>
      <c r="P40" s="141"/>
      <c r="Q40" s="174"/>
      <c r="R40" s="53"/>
      <c r="S40" s="141"/>
      <c r="T40" s="174"/>
      <c r="U40" s="53"/>
      <c r="V40" s="141"/>
    </row>
    <row r="41" spans="1:24" s="48" customFormat="1" ht="15">
      <c r="A41" s="151"/>
      <c r="B41" s="152"/>
      <c r="C41" s="175"/>
      <c r="D41" s="154"/>
      <c r="E41" s="152"/>
      <c r="F41" s="176"/>
      <c r="G41" s="154"/>
      <c r="H41" s="152"/>
      <c r="I41" s="176"/>
      <c r="J41" s="154"/>
      <c r="K41" s="152"/>
      <c r="L41" s="176"/>
      <c r="M41" s="154"/>
      <c r="N41" s="143"/>
      <c r="O41" s="176"/>
      <c r="P41" s="154"/>
      <c r="Q41" s="143"/>
      <c r="R41" s="176"/>
      <c r="S41" s="154"/>
      <c r="T41" s="143"/>
      <c r="U41" s="176"/>
      <c r="V41" s="154"/>
      <c r="W41" s="192" t="s">
        <v>137</v>
      </c>
    </row>
    <row r="42" spans="1:24" s="48" customFormat="1" ht="15">
      <c r="A42" s="160" t="s">
        <v>45</v>
      </c>
      <c r="B42" s="177"/>
      <c r="C42" s="140"/>
      <c r="D42" s="142">
        <f>+D38*B42</f>
        <v>0</v>
      </c>
      <c r="E42" s="177"/>
      <c r="F42" s="53"/>
      <c r="G42" s="142">
        <f>+G38*E42</f>
        <v>0</v>
      </c>
      <c r="H42" s="177"/>
      <c r="I42" s="53"/>
      <c r="J42" s="142">
        <f>+J38*H42</f>
        <v>0</v>
      </c>
      <c r="K42" s="177"/>
      <c r="L42" s="140"/>
      <c r="M42" s="142">
        <f>+M38*K42</f>
        <v>0</v>
      </c>
      <c r="N42" s="177"/>
      <c r="O42" s="140"/>
      <c r="P42" s="142">
        <f>+P38*N42</f>
        <v>0</v>
      </c>
      <c r="Q42" s="177"/>
      <c r="R42" s="140"/>
      <c r="S42" s="142">
        <f>+S38*Q42</f>
        <v>0</v>
      </c>
      <c r="T42" s="177"/>
      <c r="U42" s="140"/>
      <c r="V42" s="142">
        <f>+V38*T42</f>
        <v>0</v>
      </c>
      <c r="W42" s="266">
        <f>+J42+G42+D42+M42+P42+S42+V42</f>
        <v>0</v>
      </c>
    </row>
    <row r="43" spans="1:24" s="48" customFormat="1" ht="15">
      <c r="A43" s="160"/>
      <c r="B43" s="139"/>
      <c r="C43" s="140"/>
      <c r="D43" s="141"/>
      <c r="E43" s="139"/>
      <c r="F43" s="53"/>
      <c r="G43" s="141"/>
      <c r="H43" s="139"/>
      <c r="I43" s="53"/>
      <c r="J43" s="141"/>
      <c r="K43" s="139"/>
      <c r="L43" s="53"/>
      <c r="M43" s="141"/>
      <c r="N43" s="143"/>
      <c r="O43" s="53"/>
      <c r="P43" s="141"/>
      <c r="Q43" s="143"/>
      <c r="R43" s="53"/>
      <c r="S43" s="141"/>
      <c r="T43" s="143"/>
      <c r="U43" s="53"/>
      <c r="V43" s="141"/>
      <c r="W43" s="193"/>
    </row>
    <row r="44" spans="1:24" s="48" customFormat="1" ht="15.75" thickBot="1">
      <c r="A44" s="83"/>
      <c r="B44" s="178"/>
      <c r="C44" s="179"/>
      <c r="D44" s="180"/>
      <c r="E44" s="178"/>
      <c r="F44" s="181"/>
      <c r="G44" s="180"/>
      <c r="H44" s="178"/>
      <c r="I44" s="181"/>
      <c r="J44" s="180"/>
      <c r="K44" s="178"/>
      <c r="L44" s="181"/>
      <c r="M44" s="180"/>
      <c r="N44" s="182"/>
      <c r="O44" s="181"/>
      <c r="P44" s="180"/>
      <c r="Q44" s="182"/>
      <c r="R44" s="181"/>
      <c r="S44" s="180"/>
      <c r="T44" s="182"/>
      <c r="U44" s="181"/>
      <c r="V44" s="180"/>
      <c r="W44" s="194">
        <f>+B42+E42+H42+K42+N42+Q42+T42</f>
        <v>0</v>
      </c>
    </row>
    <row r="45" spans="1:24" s="48" customFormat="1" ht="15">
      <c r="C45" s="47"/>
      <c r="N45" s="129"/>
      <c r="Q45" s="129"/>
    </row>
    <row r="46" spans="1:24" s="48" customFormat="1" ht="15" hidden="1" customHeight="1" outlineLevel="1">
      <c r="C46" s="47"/>
      <c r="N46" s="129"/>
      <c r="Q46" s="129"/>
    </row>
    <row r="47" spans="1:24" s="48" customFormat="1" ht="15" hidden="1" customHeight="1" outlineLevel="1">
      <c r="A47" s="107" t="s">
        <v>136</v>
      </c>
      <c r="C47" s="47"/>
      <c r="N47" s="129"/>
      <c r="Q47" s="129"/>
      <c r="W47" s="183" t="s">
        <v>137</v>
      </c>
      <c r="X47" s="184" t="s">
        <v>136</v>
      </c>
    </row>
    <row r="48" spans="1:24" s="48" customFormat="1" ht="15" hidden="1" customHeight="1" outlineLevel="1">
      <c r="A48" s="48" t="s">
        <v>68</v>
      </c>
      <c r="C48" s="47"/>
      <c r="D48" s="185">
        <f>+D42</f>
        <v>0</v>
      </c>
      <c r="E48" s="185"/>
      <c r="F48" s="185"/>
      <c r="G48" s="185">
        <f>+G42</f>
        <v>0</v>
      </c>
      <c r="H48" s="185"/>
      <c r="I48" s="185"/>
      <c r="J48" s="185">
        <f>+J42</f>
        <v>0</v>
      </c>
      <c r="K48" s="185"/>
      <c r="L48" s="185"/>
      <c r="M48" s="185">
        <f>+M42</f>
        <v>0</v>
      </c>
      <c r="N48" s="185"/>
      <c r="O48" s="185"/>
      <c r="P48" s="185">
        <f>+P42</f>
        <v>0</v>
      </c>
      <c r="Q48" s="185"/>
      <c r="R48" s="185"/>
      <c r="S48" s="185">
        <f>+S42</f>
        <v>0</v>
      </c>
      <c r="T48" s="185"/>
      <c r="U48" s="185"/>
      <c r="V48" s="185">
        <f>+V42</f>
        <v>0</v>
      </c>
      <c r="W48" s="186">
        <f>SUM(B48:V48)</f>
        <v>0</v>
      </c>
      <c r="X48" s="183" t="s">
        <v>68</v>
      </c>
    </row>
    <row r="49" spans="1:31" s="48" customFormat="1" ht="15" hidden="1" customHeight="1" outlineLevel="1">
      <c r="A49" s="48" t="s">
        <v>135</v>
      </c>
      <c r="C49" s="47"/>
      <c r="D49" s="47">
        <f>D48/1.16</f>
        <v>0</v>
      </c>
      <c r="G49" s="47">
        <f>G48/1.16</f>
        <v>0</v>
      </c>
      <c r="J49" s="47">
        <f>J48/1.16</f>
        <v>0</v>
      </c>
      <c r="M49" s="47">
        <f>M48/1.16</f>
        <v>0</v>
      </c>
      <c r="N49" s="129"/>
      <c r="P49" s="47">
        <f>P48/1.16</f>
        <v>0</v>
      </c>
      <c r="Q49" s="129"/>
      <c r="S49" s="47">
        <f>S48/1.16</f>
        <v>0</v>
      </c>
      <c r="V49" s="47">
        <f>V48/1.14</f>
        <v>0</v>
      </c>
      <c r="W49" s="186">
        <f>SUM(B49:V49)</f>
        <v>0</v>
      </c>
      <c r="X49" s="183" t="s">
        <v>135</v>
      </c>
    </row>
    <row r="50" spans="1:31" ht="15" hidden="1" outlineLevel="1">
      <c r="A50" s="48" t="s">
        <v>329</v>
      </c>
      <c r="B50" s="48"/>
      <c r="C50" s="47"/>
      <c r="D50" s="47">
        <f>D48/1.16*0.16</f>
        <v>0</v>
      </c>
      <c r="E50" s="48"/>
      <c r="F50" s="48"/>
      <c r="G50" s="47">
        <f>G48/1.16*0.16</f>
        <v>0</v>
      </c>
      <c r="H50" s="48"/>
      <c r="I50" s="48"/>
      <c r="J50" s="47">
        <f>J48/1.16*0.16</f>
        <v>0</v>
      </c>
      <c r="K50" s="48"/>
      <c r="L50" s="48"/>
      <c r="M50" s="47">
        <f>M48/1.16*0.16</f>
        <v>0</v>
      </c>
      <c r="N50" s="129"/>
      <c r="O50" s="48"/>
      <c r="P50" s="47">
        <f>P48/1.16*0.16</f>
        <v>0</v>
      </c>
      <c r="Q50" s="129"/>
      <c r="R50" s="48"/>
      <c r="S50" s="47">
        <f>S48/1.16*0.16</f>
        <v>0</v>
      </c>
      <c r="T50" s="48"/>
      <c r="U50" s="48"/>
      <c r="V50" s="47">
        <f>V48/1.14*0.14</f>
        <v>0</v>
      </c>
      <c r="W50" s="186">
        <f>SUM(B50:V50)</f>
        <v>0</v>
      </c>
      <c r="X50" s="183" t="str">
        <f>A50</f>
        <v>Social Security (16 %)</v>
      </c>
      <c r="Y50" s="48"/>
      <c r="Z50" s="48"/>
      <c r="AA50" s="48"/>
      <c r="AB50" s="48"/>
      <c r="AC50" s="48"/>
      <c r="AD50" s="48"/>
      <c r="AE50" s="48"/>
    </row>
    <row r="51" spans="1:31" ht="15" hidden="1" outlineLevel="1">
      <c r="A51" s="48"/>
      <c r="B51" s="48"/>
      <c r="C51" s="47"/>
      <c r="D51" s="48"/>
      <c r="E51" s="48"/>
      <c r="F51" s="48"/>
      <c r="G51" s="48"/>
      <c r="H51" s="48"/>
      <c r="I51" s="48"/>
      <c r="J51" s="48"/>
      <c r="K51" s="48"/>
      <c r="L51" s="48"/>
      <c r="M51" s="48"/>
      <c r="N51" s="129"/>
      <c r="O51" s="48"/>
      <c r="P51" s="48"/>
      <c r="Q51" s="129"/>
      <c r="R51" s="48"/>
      <c r="S51" s="48"/>
      <c r="T51" s="48"/>
      <c r="U51" s="48"/>
      <c r="V51" s="48"/>
      <c r="W51" s="48"/>
      <c r="Y51" s="48"/>
      <c r="Z51" s="48"/>
      <c r="AA51" s="48"/>
      <c r="AB51" s="48"/>
      <c r="AC51" s="48"/>
      <c r="AD51" s="48"/>
      <c r="AE51" s="48"/>
    </row>
    <row r="52" spans="1:31" ht="15" collapsed="1">
      <c r="A52" s="48"/>
      <c r="B52" s="48"/>
      <c r="C52" s="47"/>
      <c r="D52" s="48"/>
      <c r="E52" s="48"/>
      <c r="F52" s="48"/>
      <c r="G52" s="48"/>
      <c r="H52" s="48"/>
      <c r="I52" s="48"/>
      <c r="J52" s="48"/>
      <c r="K52" s="48"/>
      <c r="L52" s="48"/>
      <c r="M52" s="48"/>
      <c r="N52" s="129"/>
      <c r="O52" s="48"/>
      <c r="P52" s="48"/>
      <c r="Q52" s="129"/>
      <c r="R52" s="48"/>
      <c r="S52" s="48"/>
      <c r="T52" s="48"/>
      <c r="U52" s="48"/>
      <c r="V52" s="48"/>
      <c r="W52" s="48"/>
      <c r="Y52" s="48"/>
      <c r="Z52" s="48"/>
      <c r="AA52" s="48"/>
      <c r="AB52" s="48"/>
      <c r="AC52" s="48"/>
      <c r="AD52" s="48"/>
      <c r="AE52" s="48"/>
    </row>
    <row r="53" spans="1:31" ht="15">
      <c r="A53" s="48"/>
      <c r="B53" s="48"/>
      <c r="C53" s="47"/>
      <c r="D53" s="48"/>
      <c r="E53" s="48"/>
      <c r="F53" s="48"/>
      <c r="G53" s="48"/>
      <c r="H53" s="48"/>
      <c r="I53" s="48"/>
      <c r="J53" s="48"/>
      <c r="K53" s="48"/>
      <c r="L53" s="48"/>
      <c r="M53" s="48"/>
      <c r="N53" s="129"/>
      <c r="O53" s="48"/>
      <c r="P53" s="48"/>
      <c r="Q53" s="129"/>
      <c r="R53" s="48"/>
      <c r="S53" s="48"/>
      <c r="T53" s="48"/>
      <c r="U53" s="48"/>
      <c r="V53" s="48"/>
      <c r="W53" s="48"/>
      <c r="X53" s="48"/>
      <c r="Y53" s="48"/>
      <c r="Z53" s="48"/>
      <c r="AA53" s="48"/>
      <c r="AB53" s="48"/>
      <c r="AC53" s="48"/>
      <c r="AD53" s="48"/>
      <c r="AE53" s="48"/>
    </row>
    <row r="54" spans="1:31" ht="15">
      <c r="A54" s="48"/>
      <c r="B54" s="48"/>
      <c r="C54" s="47"/>
      <c r="D54" s="48"/>
      <c r="E54" s="48"/>
      <c r="F54" s="48"/>
      <c r="G54" s="48"/>
      <c r="H54" s="48"/>
      <c r="I54" s="48"/>
      <c r="J54" s="48"/>
      <c r="K54" s="48"/>
      <c r="L54" s="48"/>
      <c r="M54" s="48"/>
      <c r="N54" s="129"/>
      <c r="O54" s="48"/>
      <c r="P54" s="48"/>
      <c r="Q54" s="129"/>
      <c r="R54" s="48"/>
      <c r="S54" s="48"/>
      <c r="T54" s="48"/>
      <c r="U54" s="48"/>
      <c r="V54" s="48"/>
      <c r="W54" s="48"/>
      <c r="X54" s="48"/>
      <c r="Y54" s="48"/>
      <c r="Z54" s="48"/>
      <c r="AA54" s="48"/>
      <c r="AB54" s="48"/>
      <c r="AC54" s="48"/>
      <c r="AD54" s="48"/>
      <c r="AE54" s="48"/>
    </row>
    <row r="55" spans="1:31" ht="15">
      <c r="A55" s="48"/>
      <c r="B55" s="48"/>
      <c r="C55" s="47"/>
      <c r="D55" s="48"/>
      <c r="E55" s="48"/>
      <c r="F55" s="48"/>
      <c r="G55" s="48"/>
      <c r="H55" s="48"/>
      <c r="I55" s="48"/>
      <c r="J55" s="48"/>
      <c r="K55" s="48"/>
      <c r="L55" s="48"/>
      <c r="M55" s="48"/>
      <c r="N55" s="129"/>
      <c r="O55" s="48"/>
      <c r="P55" s="48"/>
      <c r="Q55" s="129"/>
      <c r="R55" s="48"/>
      <c r="S55" s="48"/>
      <c r="T55" s="48"/>
      <c r="U55" s="48"/>
      <c r="V55" s="48"/>
      <c r="W55" s="48"/>
      <c r="X55" s="48"/>
      <c r="Y55" s="48"/>
      <c r="Z55" s="48"/>
      <c r="AA55" s="48"/>
      <c r="AB55" s="48"/>
      <c r="AC55" s="48"/>
      <c r="AD55" s="48"/>
      <c r="AE55" s="48"/>
    </row>
    <row r="56" spans="1:31" ht="15">
      <c r="A56" s="48"/>
      <c r="B56" s="48"/>
      <c r="C56" s="47"/>
      <c r="D56" s="48"/>
      <c r="E56" s="48"/>
      <c r="F56" s="48"/>
      <c r="G56" s="48"/>
      <c r="H56" s="48"/>
      <c r="I56" s="48"/>
      <c r="J56" s="48"/>
      <c r="K56" s="48"/>
      <c r="L56" s="48"/>
      <c r="M56" s="48"/>
      <c r="N56" s="129"/>
      <c r="O56" s="48"/>
      <c r="P56" s="48"/>
      <c r="Q56" s="129"/>
      <c r="R56" s="48"/>
      <c r="S56" s="48"/>
      <c r="T56" s="48"/>
      <c r="U56" s="48"/>
      <c r="V56" s="48"/>
      <c r="W56" s="48"/>
      <c r="X56" s="48"/>
      <c r="AC56" s="3"/>
      <c r="AD56" s="48"/>
      <c r="AE56" s="48"/>
    </row>
    <row r="57" spans="1:31" ht="15">
      <c r="X57" s="48"/>
      <c r="AC57" s="3"/>
      <c r="AD57" s="48"/>
      <c r="AE57" s="48"/>
    </row>
    <row r="58" spans="1:31" ht="15">
      <c r="X58" s="48"/>
      <c r="AC58" s="3"/>
      <c r="AE58" s="48"/>
    </row>
    <row r="59" spans="1:31">
      <c r="AC59" s="3"/>
    </row>
    <row r="60" spans="1:31">
      <c r="AC60" s="3"/>
    </row>
    <row r="61" spans="1:31">
      <c r="AC61" s="3"/>
    </row>
    <row r="62" spans="1:31">
      <c r="AC62" s="3"/>
    </row>
    <row r="63" spans="1:31">
      <c r="AC63" s="3"/>
    </row>
    <row r="64" spans="1:31">
      <c r="AC64" s="3"/>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sheetData>
  <sheetProtection algorithmName="SHA-512" hashValue="vwUKIbe+ddWOWXAlYBxPnWZfXD1GGyhgBWHfYsvz84DZzRWOvH5oswypPPpwJUoEfwYJ6dWAwE/UipPSXPiDoA==" saltValue="k87NZTOLjlTV+C371HjYlA==" spinCount="100000" sheet="1" objects="1" scenarios="1"/>
  <dataConsolidate/>
  <mergeCells count="7">
    <mergeCell ref="B6:C6"/>
    <mergeCell ref="B7:C7"/>
    <mergeCell ref="B8:C8"/>
    <mergeCell ref="B2:C2"/>
    <mergeCell ref="B3:C3"/>
    <mergeCell ref="B4:C4"/>
    <mergeCell ref="B5:C5"/>
  </mergeCells>
  <phoneticPr fontId="10" type="noConversion"/>
  <conditionalFormatting sqref="D2 G2 J2:V2">
    <cfRule type="cellIs" priority="1" stopIfTrue="1" operator="between">
      <formula>$Y$5</formula>
      <formula>$Y$14</formula>
    </cfRule>
  </conditionalFormatting>
  <dataValidations count="2">
    <dataValidation type="list" allowBlank="1" showInputMessage="1" showErrorMessage="1" sqref="D2 G2 J2:V2">
      <formula1>$Y$4:$Y$14</formula1>
    </dataValidation>
    <dataValidation type="list" allowBlank="1" showInputMessage="1" showErrorMessage="1" sqref="D9">
      <formula1>$AB$26:$AB$27</formula1>
    </dataValidation>
  </dataValidations>
  <pageMargins left="0.19685039370078741" right="0.19685039370078741" top="0.59055118110236227" bottom="0.78740157480314965" header="0.31496062992125984" footer="0.39370078740157483"/>
  <pageSetup scale="60" orientation="landscape" r:id="rId1"/>
  <headerFooter alignWithMargins="0">
    <oddFooter>&amp;L&amp;8&amp;F, &amp;A, 11.07.2019 / AG</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FF00"/>
    <pageSetUpPr fitToPage="1"/>
  </sheetPr>
  <dimension ref="A1:U50"/>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7.28515625" style="3" bestFit="1" customWidth="1"/>
    <col min="3" max="3" width="11.28515625" style="44" customWidth="1"/>
    <col min="4" max="4" width="16.140625"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15.140625" style="3" customWidth="1"/>
    <col min="15" max="15" width="19.85546875" style="3" bestFit="1" customWidth="1"/>
    <col min="16" max="16" width="19" style="3" hidden="1" customWidth="1" outlineLevel="1"/>
    <col min="17" max="17" width="12.7109375" style="3" hidden="1" customWidth="1" outlineLevel="1"/>
    <col min="18" max="18" width="9.140625" style="3" hidden="1" customWidth="1" outlineLevel="1"/>
    <col min="19" max="19" width="10.85546875" style="3" hidden="1" customWidth="1" outlineLevel="1"/>
    <col min="20" max="20" width="12" style="3" hidden="1" customWidth="1" outlineLevel="1"/>
    <col min="21" max="21" width="9.140625" style="3" customWidth="1" collapsed="1"/>
    <col min="22" max="22" width="9.140625" style="3" customWidth="1"/>
    <col min="23" max="16384" width="9.140625" style="3"/>
  </cols>
  <sheetData>
    <row r="1" spans="1:20" ht="23.25">
      <c r="A1" s="119" t="s">
        <v>259</v>
      </c>
    </row>
    <row r="2" spans="1:20" s="123" customFormat="1" ht="15">
      <c r="A2" s="121" t="s">
        <v>12</v>
      </c>
      <c r="B2" s="396" t="s">
        <v>13</v>
      </c>
      <c r="C2" s="396"/>
      <c r="D2" s="187"/>
      <c r="G2" s="187"/>
      <c r="J2" s="187"/>
      <c r="K2" s="124"/>
      <c r="L2" s="124"/>
      <c r="M2" s="187"/>
      <c r="N2" s="124"/>
      <c r="P2" s="123" t="s">
        <v>30</v>
      </c>
      <c r="Q2" s="126">
        <v>43466</v>
      </c>
      <c r="S2" s="123" t="s">
        <v>31</v>
      </c>
      <c r="T2" s="265" t="s">
        <v>251</v>
      </c>
    </row>
    <row r="3" spans="1:20" s="48" customFormat="1" ht="15">
      <c r="B3" s="396" t="s">
        <v>24</v>
      </c>
      <c r="C3" s="396"/>
      <c r="D3" s="127" t="s">
        <v>42</v>
      </c>
      <c r="K3" s="128"/>
      <c r="L3" s="128"/>
      <c r="M3" s="128"/>
      <c r="N3" s="128"/>
      <c r="S3" s="130" t="s">
        <v>1</v>
      </c>
      <c r="T3" s="263">
        <f>'PK-Sätze'!G4</f>
        <v>9.3999999999999986</v>
      </c>
    </row>
    <row r="4" spans="1:20" s="48" customFormat="1" ht="15">
      <c r="A4" s="131" t="s">
        <v>47</v>
      </c>
      <c r="B4" s="396" t="s">
        <v>23</v>
      </c>
      <c r="C4" s="396"/>
      <c r="D4" s="128" t="s">
        <v>29</v>
      </c>
      <c r="K4" s="128"/>
      <c r="L4" s="128"/>
      <c r="M4" s="128"/>
      <c r="N4" s="128"/>
      <c r="S4" s="130" t="s">
        <v>2</v>
      </c>
      <c r="T4" s="282">
        <f>'PK-Sätze'!G5</f>
        <v>11.649999999999999</v>
      </c>
    </row>
    <row r="5" spans="1:20" s="48" customFormat="1" ht="15">
      <c r="A5" s="132"/>
      <c r="B5" s="396" t="s">
        <v>0</v>
      </c>
      <c r="C5" s="396"/>
      <c r="D5" s="133"/>
      <c r="S5" s="130" t="s">
        <v>5</v>
      </c>
      <c r="T5" s="282">
        <f>'PK-Sätze'!G6</f>
        <v>17.7</v>
      </c>
    </row>
    <row r="6" spans="1:20" s="48" customFormat="1" ht="15">
      <c r="B6" s="396" t="s">
        <v>3</v>
      </c>
      <c r="C6" s="396"/>
      <c r="D6" s="134"/>
      <c r="S6" s="130" t="s">
        <v>6</v>
      </c>
      <c r="T6" s="282">
        <f>'PK-Sätze'!G6</f>
        <v>17.7</v>
      </c>
    </row>
    <row r="7" spans="1:20" s="48" customFormat="1" ht="15">
      <c r="B7" s="396" t="s">
        <v>36</v>
      </c>
      <c r="C7" s="396"/>
      <c r="D7" s="134"/>
      <c r="S7" s="130" t="s">
        <v>4</v>
      </c>
      <c r="T7" s="282">
        <f>'PK-Sätze'!G7</f>
        <v>22.55</v>
      </c>
    </row>
    <row r="8" spans="1:20" s="48" customFormat="1" ht="15">
      <c r="B8" s="396" t="s">
        <v>37</v>
      </c>
      <c r="C8" s="396"/>
      <c r="D8" s="134"/>
      <c r="T8" s="128"/>
    </row>
    <row r="9" spans="1:20" s="48" customFormat="1" ht="15.75" thickBot="1">
      <c r="C9" s="47"/>
      <c r="Q9" s="128"/>
      <c r="T9" s="128"/>
    </row>
    <row r="10" spans="1:20" s="48" customFormat="1" ht="15">
      <c r="B10" s="135"/>
      <c r="C10" s="136"/>
      <c r="D10" s="137"/>
      <c r="E10" s="135"/>
      <c r="F10" s="136"/>
      <c r="G10" s="138"/>
      <c r="H10" s="135"/>
      <c r="I10" s="136"/>
      <c r="J10" s="137"/>
      <c r="K10" s="135"/>
      <c r="L10" s="136"/>
      <c r="M10" s="137"/>
      <c r="T10" s="128"/>
    </row>
    <row r="11" spans="1:20" s="48" customFormat="1" ht="15">
      <c r="A11" s="48" t="s">
        <v>294</v>
      </c>
      <c r="B11" s="303">
        <v>1</v>
      </c>
      <c r="C11" s="140">
        <f>IF(D2=$P$10,$Q$10,IF(D2=$P$11,$Q$11,IF(D2=$P$12,$Q$12,IF(D2=$P13,$Q13,IF(D2=$P14,$Q14,IF(D2=$P15,$Q15,IF(D2=$P16,$Q16,0)))))))</f>
        <v>0</v>
      </c>
      <c r="D11" s="141"/>
      <c r="E11" s="303">
        <v>1</v>
      </c>
      <c r="F11" s="140">
        <f>IF(G2=$P$10,$Q$10,IF(G2=$P$11,$Q$11,IF(G2=$P$12,$Q$12,IF(G2=$P13,$Q13,IF(G2=$P14,$Q14,IF(G2=$P15,$Q15,IF(G2=$P16,$Q16,0)))))))</f>
        <v>0</v>
      </c>
      <c r="G11" s="142"/>
      <c r="H11" s="303">
        <v>1</v>
      </c>
      <c r="I11" s="140">
        <f>IF(J2=$P$10,$Q$10,IF(J2=$P$11,$Q$11,IF(J2=$P$12,$Q$12,IF(J2=$P13,$Q13,IF(J2=$P14,$Q14,IF(J2=$P15,$Q15,IF(J2=$P16,$Q16,0)))))))</f>
        <v>0</v>
      </c>
      <c r="J11" s="141"/>
      <c r="K11" s="303">
        <v>1</v>
      </c>
      <c r="L11" s="140">
        <f>IF(M2=$P$10,$Q$10,IF(M2=$P$11,$Q$11,IF(M2=$P$12,$Q$12,IF(M2=$P13,$Q13,IF(M2=$P14,$Q14,IF(M2=$P15,$Q15,IF(M2=$P16,$Q16,0)))))))</f>
        <v>0</v>
      </c>
      <c r="M11" s="141"/>
      <c r="T11" s="128"/>
    </row>
    <row r="12" spans="1:20" s="107" customFormat="1" ht="15">
      <c r="A12" s="107" t="s">
        <v>292</v>
      </c>
      <c r="B12" s="144">
        <f>+$D$5</f>
        <v>0</v>
      </c>
      <c r="C12" s="145">
        <f>(+C11+C10)*B12</f>
        <v>0</v>
      </c>
      <c r="D12" s="146"/>
      <c r="E12" s="144">
        <f>+$D$5</f>
        <v>0</v>
      </c>
      <c r="F12" s="145">
        <f>(+F11+F10)*E12</f>
        <v>0</v>
      </c>
      <c r="G12" s="146"/>
      <c r="H12" s="144">
        <f>+$D$5</f>
        <v>0</v>
      </c>
      <c r="I12" s="145">
        <f>(+I11+I10)*H12</f>
        <v>0</v>
      </c>
      <c r="J12" s="146"/>
      <c r="K12" s="144">
        <f>+$D$5</f>
        <v>0</v>
      </c>
      <c r="L12" s="145">
        <f>(+L11+L10)*K12</f>
        <v>0</v>
      </c>
      <c r="M12" s="146"/>
      <c r="P12" s="48"/>
      <c r="Q12" s="48"/>
      <c r="S12" s="48"/>
      <c r="T12" s="128"/>
    </row>
    <row r="13" spans="1:20" s="48" customFormat="1" ht="15">
      <c r="B13" s="139"/>
      <c r="C13" s="140"/>
      <c r="D13" s="141"/>
      <c r="E13" s="139"/>
      <c r="F13" s="53"/>
      <c r="G13" s="141"/>
      <c r="H13" s="139"/>
      <c r="I13" s="53"/>
      <c r="J13" s="141"/>
      <c r="K13" s="139"/>
      <c r="L13" s="53"/>
      <c r="M13" s="141"/>
      <c r="Q13" s="128"/>
      <c r="T13" s="128"/>
    </row>
    <row r="14" spans="1:20" s="48" customFormat="1" ht="15" hidden="1" customHeight="1" outlineLevel="1">
      <c r="A14" s="48" t="s">
        <v>7</v>
      </c>
      <c r="B14" s="147">
        <v>0.16</v>
      </c>
      <c r="C14" s="140">
        <f>+$B$14*C12</f>
        <v>0</v>
      </c>
      <c r="D14" s="141"/>
      <c r="E14" s="139"/>
      <c r="F14" s="140">
        <f>+$B$14*F12</f>
        <v>0</v>
      </c>
      <c r="G14" s="141"/>
      <c r="H14" s="139"/>
      <c r="I14" s="140">
        <f>+$B$14*I12</f>
        <v>0</v>
      </c>
      <c r="J14" s="141"/>
      <c r="K14" s="139"/>
      <c r="L14" s="140">
        <f>+$B$14*L12</f>
        <v>0</v>
      </c>
      <c r="M14" s="141"/>
      <c r="P14" s="48" t="s">
        <v>142</v>
      </c>
      <c r="Q14" s="48">
        <v>50040</v>
      </c>
      <c r="T14" s="128"/>
    </row>
    <row r="15" spans="1:20" s="48" customFormat="1" ht="15" hidden="1" customHeight="1" outlineLevel="1">
      <c r="A15" s="48" t="s">
        <v>8</v>
      </c>
      <c r="B15" s="147"/>
      <c r="C15" s="140">
        <f>+$B$15*C12</f>
        <v>0</v>
      </c>
      <c r="D15" s="141"/>
      <c r="E15" s="139"/>
      <c r="F15" s="140">
        <f>+$B$15*F12</f>
        <v>0</v>
      </c>
      <c r="G15" s="141"/>
      <c r="H15" s="139"/>
      <c r="I15" s="140">
        <f>+$B$15*I12</f>
        <v>0</v>
      </c>
      <c r="J15" s="141"/>
      <c r="K15" s="139"/>
      <c r="L15" s="140">
        <f>+$B$15*L12</f>
        <v>0</v>
      </c>
      <c r="M15" s="141"/>
      <c r="P15" s="48" t="s">
        <v>143</v>
      </c>
      <c r="Q15" s="48">
        <v>50040</v>
      </c>
      <c r="T15" s="128"/>
    </row>
    <row r="16" spans="1:20" s="48" customFormat="1" ht="15" hidden="1" customHeight="1" outlineLevel="1">
      <c r="A16" s="48" t="s">
        <v>9</v>
      </c>
      <c r="B16" s="147"/>
      <c r="C16" s="140">
        <f>+$B$16*C12</f>
        <v>0</v>
      </c>
      <c r="D16" s="141"/>
      <c r="E16" s="139"/>
      <c r="F16" s="140">
        <f>+$B$16*F12</f>
        <v>0</v>
      </c>
      <c r="G16" s="141"/>
      <c r="H16" s="139"/>
      <c r="I16" s="140">
        <f>+$B$16*I12</f>
        <v>0</v>
      </c>
      <c r="J16" s="141"/>
      <c r="K16" s="139"/>
      <c r="L16" s="140">
        <f>+$B$16*L12</f>
        <v>0</v>
      </c>
      <c r="M16" s="141"/>
      <c r="P16" s="48" t="s">
        <v>144</v>
      </c>
      <c r="Q16" s="48">
        <v>50040</v>
      </c>
      <c r="T16" s="128"/>
    </row>
    <row r="17" spans="1:20" s="48" customFormat="1" ht="15" hidden="1" customHeight="1" outlineLevel="1">
      <c r="A17" s="48" t="s">
        <v>10</v>
      </c>
      <c r="B17" s="147"/>
      <c r="C17" s="140">
        <f>+$B$17*C12</f>
        <v>0</v>
      </c>
      <c r="D17" s="141"/>
      <c r="E17" s="139"/>
      <c r="F17" s="140">
        <f>+$B$17*F12</f>
        <v>0</v>
      </c>
      <c r="G17" s="141"/>
      <c r="H17" s="139"/>
      <c r="I17" s="140">
        <f>+$B$17*I12</f>
        <v>0</v>
      </c>
      <c r="J17" s="141"/>
      <c r="K17" s="139"/>
      <c r="L17" s="140">
        <f>+$B$17*L12</f>
        <v>0</v>
      </c>
      <c r="M17" s="141"/>
      <c r="T17" s="128"/>
    </row>
    <row r="18" spans="1:20" s="48" customFormat="1" ht="15" hidden="1" customHeight="1" outlineLevel="1">
      <c r="B18" s="139"/>
      <c r="C18" s="140"/>
      <c r="D18" s="141"/>
      <c r="E18" s="139"/>
      <c r="F18" s="140"/>
      <c r="G18" s="141"/>
      <c r="H18" s="139"/>
      <c r="I18" s="140"/>
      <c r="J18" s="141"/>
      <c r="K18" s="139"/>
      <c r="L18" s="140"/>
      <c r="M18" s="141"/>
      <c r="P18" s="48" t="s">
        <v>42</v>
      </c>
      <c r="Q18" s="48" t="s">
        <v>29</v>
      </c>
      <c r="T18" s="128"/>
    </row>
    <row r="19" spans="1:20" s="48" customFormat="1" ht="15" hidden="1" customHeight="1" outlineLevel="1">
      <c r="A19" s="48" t="s">
        <v>32</v>
      </c>
      <c r="B19" s="148"/>
      <c r="C19" s="140">
        <f>IF($D$4="Standardplan",C12*$B$19,"")</f>
        <v>0</v>
      </c>
      <c r="D19" s="141"/>
      <c r="E19" s="139"/>
      <c r="F19" s="140">
        <f>IF($D$4="Standardplan",F12*$B$19,"")</f>
        <v>0</v>
      </c>
      <c r="G19" s="141"/>
      <c r="H19" s="139"/>
      <c r="I19" s="140">
        <f>IF($D$4="Standardplan",I12*$B$19,"")</f>
        <v>0</v>
      </c>
      <c r="J19" s="141"/>
      <c r="K19" s="139"/>
      <c r="L19" s="140">
        <f>IF($D$4="Standardplan",L12*$B$19,"")</f>
        <v>0</v>
      </c>
      <c r="M19" s="141"/>
      <c r="P19" s="48" t="s">
        <v>25</v>
      </c>
      <c r="Q19" s="48" t="s">
        <v>27</v>
      </c>
      <c r="T19" s="128"/>
    </row>
    <row r="20" spans="1:20" s="48" customFormat="1" ht="15" hidden="1" customHeight="1" outlineLevel="1">
      <c r="B20" s="139"/>
      <c r="C20" s="140"/>
      <c r="D20" s="141"/>
      <c r="E20" s="139"/>
      <c r="F20" s="53"/>
      <c r="G20" s="141"/>
      <c r="H20" s="139"/>
      <c r="I20" s="53"/>
      <c r="J20" s="141"/>
      <c r="K20" s="139"/>
      <c r="L20" s="53"/>
      <c r="M20" s="141"/>
      <c r="P20" s="48" t="s">
        <v>26</v>
      </c>
      <c r="Q20" s="48" t="s">
        <v>28</v>
      </c>
      <c r="T20" s="128"/>
    </row>
    <row r="21" spans="1:20" s="48" customFormat="1" ht="15" hidden="1" customHeight="1" outlineLevel="1">
      <c r="A21" s="48" t="s">
        <v>11</v>
      </c>
      <c r="B21" s="139"/>
      <c r="C21" s="149"/>
      <c r="D21" s="141"/>
      <c r="E21" s="139"/>
      <c r="F21" s="53"/>
      <c r="G21" s="141"/>
      <c r="H21" s="139"/>
      <c r="I21" s="53"/>
      <c r="J21" s="141"/>
      <c r="K21" s="139"/>
      <c r="L21" s="53"/>
      <c r="M21" s="141"/>
      <c r="T21" s="128"/>
    </row>
    <row r="22" spans="1:20" s="48" customFormat="1" ht="15" hidden="1" customHeight="1" outlineLevel="1">
      <c r="A22" s="48" t="s">
        <v>33</v>
      </c>
      <c r="B22" s="307"/>
      <c r="C22" s="140">
        <f>IF($D$7&lt;2,$D$7*B22,B22*1)</f>
        <v>0</v>
      </c>
      <c r="D22" s="141"/>
      <c r="E22" s="139"/>
      <c r="F22" s="140">
        <f>+C22</f>
        <v>0</v>
      </c>
      <c r="G22" s="141"/>
      <c r="H22" s="139"/>
      <c r="I22" s="140">
        <f>+F22</f>
        <v>0</v>
      </c>
      <c r="J22" s="141"/>
      <c r="K22" s="139"/>
      <c r="L22" s="140">
        <f>+I22</f>
        <v>0</v>
      </c>
      <c r="M22" s="141"/>
      <c r="T22" s="128"/>
    </row>
    <row r="23" spans="1:20" s="48" customFormat="1" ht="15" hidden="1" customHeight="1" outlineLevel="1">
      <c r="A23" s="48" t="s">
        <v>34</v>
      </c>
      <c r="B23" s="307"/>
      <c r="C23" s="140">
        <f>IF($D$7&gt;1,($D$7-1)*B23,0)</f>
        <v>0</v>
      </c>
      <c r="D23" s="141"/>
      <c r="E23" s="139"/>
      <c r="F23" s="140">
        <f>+C23</f>
        <v>0</v>
      </c>
      <c r="G23" s="141"/>
      <c r="H23" s="139"/>
      <c r="I23" s="140">
        <f>+F23</f>
        <v>0</v>
      </c>
      <c r="J23" s="141"/>
      <c r="K23" s="139"/>
      <c r="L23" s="140">
        <f>+I23</f>
        <v>0</v>
      </c>
      <c r="M23" s="141"/>
      <c r="T23" s="128"/>
    </row>
    <row r="24" spans="1:20" s="48" customFormat="1" ht="15" hidden="1" customHeight="1" outlineLevel="1">
      <c r="A24" s="48" t="s">
        <v>35</v>
      </c>
      <c r="B24" s="307"/>
      <c r="C24" s="140">
        <f>+D8*B24</f>
        <v>0</v>
      </c>
      <c r="D24" s="141"/>
      <c r="E24" s="139"/>
      <c r="F24" s="140">
        <f>+C24</f>
        <v>0</v>
      </c>
      <c r="G24" s="141"/>
      <c r="H24" s="139"/>
      <c r="I24" s="140">
        <f>+F24</f>
        <v>0</v>
      </c>
      <c r="J24" s="141"/>
      <c r="K24" s="139"/>
      <c r="L24" s="140">
        <f>+I24</f>
        <v>0</v>
      </c>
      <c r="M24" s="141"/>
      <c r="T24" s="128"/>
    </row>
    <row r="25" spans="1:20" s="48" customFormat="1" ht="15" hidden="1" customHeight="1" outlineLevel="1">
      <c r="B25" s="150"/>
      <c r="C25" s="140"/>
      <c r="D25" s="141"/>
      <c r="E25" s="139"/>
      <c r="F25" s="53"/>
      <c r="G25" s="141"/>
      <c r="H25" s="139"/>
      <c r="I25" s="53"/>
      <c r="J25" s="141"/>
      <c r="K25" s="139"/>
      <c r="L25" s="53"/>
      <c r="M25" s="141"/>
    </row>
    <row r="26" spans="1:20" s="48" customFormat="1" ht="15" customHeight="1" collapsed="1">
      <c r="A26" s="151"/>
      <c r="B26" s="158"/>
      <c r="C26" s="153"/>
      <c r="D26" s="154"/>
      <c r="E26" s="139"/>
      <c r="F26" s="151"/>
      <c r="G26" s="154"/>
      <c r="H26" s="139"/>
      <c r="I26" s="151"/>
      <c r="J26" s="154"/>
      <c r="K26" s="139"/>
      <c r="L26" s="151"/>
      <c r="M26" s="154"/>
      <c r="N26" s="155"/>
    </row>
    <row r="27" spans="1:20" s="48" customFormat="1" ht="15">
      <c r="A27" s="156"/>
      <c r="B27" s="158"/>
      <c r="C27" s="320" t="s">
        <v>146</v>
      </c>
      <c r="D27" s="141"/>
      <c r="E27" s="139"/>
      <c r="F27" s="320" t="s">
        <v>147</v>
      </c>
      <c r="G27" s="141"/>
      <c r="H27" s="139"/>
      <c r="I27" s="320" t="s">
        <v>148</v>
      </c>
      <c r="J27" s="141"/>
      <c r="K27" s="139"/>
      <c r="L27" s="320" t="s">
        <v>149</v>
      </c>
      <c r="M27" s="141"/>
      <c r="N27" s="159" t="s">
        <v>46</v>
      </c>
    </row>
    <row r="28" spans="1:20" s="48" customFormat="1" ht="15">
      <c r="A28" s="160"/>
      <c r="B28" s="158"/>
      <c r="C28" s="161"/>
      <c r="D28" s="141"/>
      <c r="E28" s="139"/>
      <c r="F28" s="162">
        <v>1</v>
      </c>
      <c r="G28" s="141" t="s">
        <v>94</v>
      </c>
      <c r="H28" s="139"/>
      <c r="I28" s="162">
        <v>1</v>
      </c>
      <c r="J28" s="141" t="s">
        <v>94</v>
      </c>
      <c r="K28" s="139"/>
      <c r="L28" s="162">
        <v>1</v>
      </c>
      <c r="M28" s="141" t="s">
        <v>94</v>
      </c>
      <c r="N28" s="159"/>
    </row>
    <row r="29" spans="1:20" s="48" customFormat="1" ht="15">
      <c r="A29" s="160"/>
      <c r="B29" s="158"/>
      <c r="C29" s="163"/>
      <c r="D29" s="141"/>
      <c r="E29" s="139"/>
      <c r="F29" s="163"/>
      <c r="G29" s="141"/>
      <c r="H29" s="139"/>
      <c r="I29" s="163"/>
      <c r="J29" s="141"/>
      <c r="K29" s="139"/>
      <c r="L29" s="163"/>
      <c r="M29" s="141"/>
      <c r="N29" s="159"/>
    </row>
    <row r="30" spans="1:20" s="48" customFormat="1" ht="15">
      <c r="A30" s="160"/>
      <c r="B30" s="158"/>
      <c r="C30" s="163" t="s">
        <v>40</v>
      </c>
      <c r="D30" s="141" t="s">
        <v>41</v>
      </c>
      <c r="E30" s="139"/>
      <c r="F30" s="163" t="s">
        <v>40</v>
      </c>
      <c r="G30" s="141" t="s">
        <v>41</v>
      </c>
      <c r="H30" s="139"/>
      <c r="I30" s="163" t="s">
        <v>40</v>
      </c>
      <c r="J30" s="141" t="s">
        <v>41</v>
      </c>
      <c r="K30" s="139"/>
      <c r="L30" s="163" t="s">
        <v>40</v>
      </c>
      <c r="M30" s="141" t="s">
        <v>41</v>
      </c>
      <c r="N30" s="159"/>
    </row>
    <row r="31" spans="1:20" s="48" customFormat="1" ht="15">
      <c r="A31" s="160" t="s">
        <v>93</v>
      </c>
      <c r="B31" s="158"/>
      <c r="C31" s="163">
        <f>+C12+C22+C23+C24</f>
        <v>0</v>
      </c>
      <c r="D31" s="142">
        <f>+C31/12</f>
        <v>0</v>
      </c>
      <c r="E31" s="139"/>
      <c r="F31" s="163">
        <f>(+F12+F22+F23+F24)*F28</f>
        <v>0</v>
      </c>
      <c r="G31" s="142">
        <f>+F31/12</f>
        <v>0</v>
      </c>
      <c r="H31" s="139"/>
      <c r="I31" s="163">
        <f>(+I12+I22+I23+I24)*I28^2</f>
        <v>0</v>
      </c>
      <c r="J31" s="142">
        <f>+I31/12</f>
        <v>0</v>
      </c>
      <c r="K31" s="139"/>
      <c r="L31" s="163">
        <f>(+L12+L22+L23+L24)*L28^3</f>
        <v>0</v>
      </c>
      <c r="M31" s="142">
        <f>+L31/12</f>
        <v>0</v>
      </c>
      <c r="N31" s="165">
        <f>C31+F31+I31+L31</f>
        <v>0</v>
      </c>
    </row>
    <row r="32" spans="1:20" s="48" customFormat="1" ht="15">
      <c r="A32" s="160" t="s">
        <v>38</v>
      </c>
      <c r="B32" s="198"/>
      <c r="C32" s="163">
        <f>SUM(C14:C19)</f>
        <v>0</v>
      </c>
      <c r="D32" s="142">
        <f>+C32/12</f>
        <v>0</v>
      </c>
      <c r="E32" s="139"/>
      <c r="F32" s="163">
        <f>SUM(F14:F19)</f>
        <v>0</v>
      </c>
      <c r="G32" s="142">
        <f>+F32/12</f>
        <v>0</v>
      </c>
      <c r="H32" s="139"/>
      <c r="I32" s="163">
        <f>SUM(I14:I19)</f>
        <v>0</v>
      </c>
      <c r="J32" s="142">
        <f>+I32/12</f>
        <v>0</v>
      </c>
      <c r="K32" s="139"/>
      <c r="L32" s="163">
        <f>SUM(L14:L19)</f>
        <v>0</v>
      </c>
      <c r="M32" s="142">
        <f>+L32/12</f>
        <v>0</v>
      </c>
      <c r="N32" s="165">
        <f t="shared" ref="N32:N33" si="0">C32+F32+I32+L32</f>
        <v>0</v>
      </c>
    </row>
    <row r="33" spans="1:15" s="48" customFormat="1" ht="15">
      <c r="A33" s="156" t="s">
        <v>39</v>
      </c>
      <c r="B33" s="199"/>
      <c r="C33" s="167">
        <f>+C32+C31</f>
        <v>0</v>
      </c>
      <c r="D33" s="168">
        <f>+D32+D31</f>
        <v>0</v>
      </c>
      <c r="E33" s="139"/>
      <c r="F33" s="167">
        <f>+F32+F31</f>
        <v>0</v>
      </c>
      <c r="G33" s="168">
        <f>+G32+G31</f>
        <v>0</v>
      </c>
      <c r="H33" s="139"/>
      <c r="I33" s="167">
        <f>+I32+I31</f>
        <v>0</v>
      </c>
      <c r="J33" s="168">
        <f>+J32+J31</f>
        <v>0</v>
      </c>
      <c r="K33" s="139"/>
      <c r="L33" s="167">
        <f>+L32+L31</f>
        <v>0</v>
      </c>
      <c r="M33" s="168">
        <f>+M32+M31</f>
        <v>0</v>
      </c>
      <c r="N33" s="170">
        <f t="shared" si="0"/>
        <v>0</v>
      </c>
    </row>
    <row r="34" spans="1:15" s="48" customFormat="1" ht="15">
      <c r="A34" s="83"/>
      <c r="B34" s="158"/>
      <c r="C34" s="80"/>
      <c r="D34" s="172"/>
      <c r="E34" s="139"/>
      <c r="F34" s="83"/>
      <c r="G34" s="172"/>
      <c r="H34" s="139"/>
      <c r="I34" s="83"/>
      <c r="J34" s="172"/>
      <c r="K34" s="139"/>
      <c r="L34" s="83"/>
      <c r="M34" s="172"/>
      <c r="N34" s="173"/>
    </row>
    <row r="35" spans="1:15" s="48" customFormat="1" ht="15">
      <c r="B35" s="139"/>
      <c r="C35" s="140"/>
      <c r="D35" s="141"/>
      <c r="E35" s="139"/>
      <c r="F35" s="53"/>
      <c r="G35" s="141"/>
      <c r="H35" s="139"/>
      <c r="I35" s="53"/>
      <c r="J35" s="141"/>
      <c r="K35" s="139"/>
      <c r="L35" s="53"/>
      <c r="M35" s="141"/>
    </row>
    <row r="36" spans="1:15" s="48" customFormat="1" ht="15">
      <c r="A36" s="151"/>
      <c r="B36" s="152"/>
      <c r="C36" s="175"/>
      <c r="D36" s="154"/>
      <c r="E36" s="152"/>
      <c r="F36" s="176"/>
      <c r="G36" s="154"/>
      <c r="H36" s="152"/>
      <c r="I36" s="176"/>
      <c r="J36" s="154"/>
      <c r="K36" s="152"/>
      <c r="L36" s="176"/>
      <c r="M36" s="154"/>
      <c r="N36" s="192" t="s">
        <v>137</v>
      </c>
    </row>
    <row r="37" spans="1:15" s="48" customFormat="1" ht="15">
      <c r="A37" s="160" t="s">
        <v>45</v>
      </c>
      <c r="B37" s="177"/>
      <c r="C37" s="140"/>
      <c r="D37" s="142">
        <f>+D33*B37</f>
        <v>0</v>
      </c>
      <c r="E37" s="177"/>
      <c r="F37" s="53"/>
      <c r="G37" s="142">
        <f>+G33*E37</f>
        <v>0</v>
      </c>
      <c r="H37" s="177"/>
      <c r="I37" s="53"/>
      <c r="J37" s="142">
        <f>+J33*H37</f>
        <v>0</v>
      </c>
      <c r="K37" s="177"/>
      <c r="L37" s="140"/>
      <c r="M37" s="142">
        <f>+M33*K37</f>
        <v>0</v>
      </c>
      <c r="N37" s="266">
        <f>D37+G37+J37+M37</f>
        <v>0</v>
      </c>
    </row>
    <row r="38" spans="1:15" s="48" customFormat="1" ht="15">
      <c r="A38" s="160"/>
      <c r="B38" s="139"/>
      <c r="C38" s="140"/>
      <c r="D38" s="141"/>
      <c r="E38" s="139"/>
      <c r="F38" s="53"/>
      <c r="G38" s="141"/>
      <c r="H38" s="139"/>
      <c r="I38" s="53"/>
      <c r="J38" s="141"/>
      <c r="K38" s="139"/>
      <c r="L38" s="53"/>
      <c r="M38" s="141"/>
      <c r="N38" s="193"/>
    </row>
    <row r="39" spans="1:15" s="48" customFormat="1" ht="15.75" thickBot="1">
      <c r="A39" s="83"/>
      <c r="B39" s="178"/>
      <c r="C39" s="179"/>
      <c r="D39" s="180"/>
      <c r="E39" s="178"/>
      <c r="F39" s="181"/>
      <c r="G39" s="180"/>
      <c r="H39" s="178"/>
      <c r="I39" s="181"/>
      <c r="J39" s="180"/>
      <c r="K39" s="178"/>
      <c r="L39" s="181"/>
      <c r="M39" s="180"/>
      <c r="N39" s="194"/>
    </row>
    <row r="40" spans="1:15" s="48" customFormat="1" ht="15">
      <c r="C40" s="47"/>
    </row>
    <row r="41" spans="1:15" s="48" customFormat="1" ht="15">
      <c r="C41" s="47"/>
    </row>
    <row r="42" spans="1:15" s="48" customFormat="1" ht="15" outlineLevel="1">
      <c r="A42" s="107" t="s">
        <v>136</v>
      </c>
      <c r="C42" s="47"/>
      <c r="N42" s="183" t="s">
        <v>137</v>
      </c>
      <c r="O42" s="184" t="s">
        <v>136</v>
      </c>
    </row>
    <row r="43" spans="1:15" s="48" customFormat="1" ht="15" outlineLevel="1">
      <c r="A43" s="48" t="s">
        <v>68</v>
      </c>
      <c r="C43" s="47"/>
      <c r="D43" s="185">
        <f>SUM(D44:D45)</f>
        <v>0</v>
      </c>
      <c r="G43" s="185">
        <f>SUM(G44:G45)</f>
        <v>0</v>
      </c>
      <c r="J43" s="185">
        <f>SUM(J44:J45)</f>
        <v>0</v>
      </c>
      <c r="M43" s="185">
        <f>SUM(M44:M45)</f>
        <v>0</v>
      </c>
      <c r="N43" s="186">
        <f>SUM(B43:M43)</f>
        <v>0</v>
      </c>
      <c r="O43" s="183" t="s">
        <v>68</v>
      </c>
    </row>
    <row r="44" spans="1:15" s="48" customFormat="1" ht="15" outlineLevel="1">
      <c r="A44" s="48" t="s">
        <v>135</v>
      </c>
      <c r="C44" s="47"/>
      <c r="D44" s="47">
        <f>D37/1.16</f>
        <v>0</v>
      </c>
      <c r="G44" s="47">
        <f>G37/1.16</f>
        <v>0</v>
      </c>
      <c r="J44" s="47">
        <f>J37/1.16</f>
        <v>0</v>
      </c>
      <c r="M44" s="47">
        <f>M37/1.16</f>
        <v>0</v>
      </c>
      <c r="N44" s="186">
        <f>SUM(B44:M44)</f>
        <v>0</v>
      </c>
      <c r="O44" s="183" t="s">
        <v>135</v>
      </c>
    </row>
    <row r="45" spans="1:15" s="48" customFormat="1" ht="15" outlineLevel="1">
      <c r="A45" s="48" t="s">
        <v>329</v>
      </c>
      <c r="C45" s="47"/>
      <c r="D45" s="47">
        <f>D44*16%</f>
        <v>0</v>
      </c>
      <c r="G45" s="47">
        <f>G44*16%</f>
        <v>0</v>
      </c>
      <c r="J45" s="47">
        <f>J44*16%</f>
        <v>0</v>
      </c>
      <c r="M45" s="47">
        <f>M44*16%</f>
        <v>0</v>
      </c>
      <c r="N45" s="186">
        <f>SUM(B45:M45)</f>
        <v>0</v>
      </c>
      <c r="O45" s="183" t="str">
        <f>A45</f>
        <v>Social Security (16 %)</v>
      </c>
    </row>
    <row r="46" spans="1:15" s="48" customFormat="1" ht="15" outlineLevel="1">
      <c r="C46" s="47"/>
    </row>
    <row r="47" spans="1:15" s="48" customFormat="1" ht="15">
      <c r="C47" s="47"/>
    </row>
    <row r="48" spans="1:15" s="48" customFormat="1" ht="15">
      <c r="C48" s="47"/>
    </row>
    <row r="49" spans="1:14" s="48" customFormat="1" ht="15">
      <c r="A49" s="3"/>
      <c r="B49" s="3"/>
      <c r="C49" s="44"/>
      <c r="D49" s="3"/>
      <c r="E49" s="3"/>
      <c r="F49" s="3"/>
      <c r="G49" s="3"/>
      <c r="H49" s="3"/>
      <c r="I49" s="3"/>
      <c r="J49" s="3"/>
      <c r="K49" s="3"/>
      <c r="L49" s="3"/>
      <c r="M49" s="3"/>
      <c r="N49" s="3"/>
    </row>
    <row r="50" spans="1:14" s="48" customFormat="1" ht="15">
      <c r="A50" s="3"/>
      <c r="B50" s="3"/>
      <c r="C50" s="44"/>
      <c r="D50" s="3"/>
      <c r="E50" s="3"/>
      <c r="F50" s="3"/>
      <c r="G50" s="3"/>
      <c r="H50" s="3"/>
      <c r="I50" s="3"/>
      <c r="J50" s="3"/>
      <c r="K50" s="3"/>
      <c r="L50" s="3"/>
      <c r="M50" s="3"/>
      <c r="N50" s="3"/>
    </row>
  </sheetData>
  <sheetProtection algorithmName="SHA-512" hashValue="SFPhA1ySVYSuRdZxRG2bSFdKbyw5p2IR2J2SzhOep9dL1yuAqYJuqQRWKTMNtDf/cVZlqCBxYEa7hLh0jzCETw==" saltValue="CfLA9lrDtS2CGWQosDv8Fw==" spinCount="100000" sheet="1" objects="1" scenarios="1"/>
  <dataConsolidate/>
  <mergeCells count="7">
    <mergeCell ref="B8:C8"/>
    <mergeCell ref="B2:C2"/>
    <mergeCell ref="B3:C3"/>
    <mergeCell ref="B4:C4"/>
    <mergeCell ref="B5:C5"/>
    <mergeCell ref="B6:C6"/>
    <mergeCell ref="B7:C7"/>
  </mergeCells>
  <conditionalFormatting sqref="D2 G2 J2:M2">
    <cfRule type="cellIs" priority="6" stopIfTrue="1" operator="between">
      <formula>$P$3</formula>
      <formula>$P$12</formula>
    </cfRule>
  </conditionalFormatting>
  <dataValidations count="2">
    <dataValidation type="list" allowBlank="1" showInputMessage="1" showErrorMessage="1" sqref="K2:L2">
      <formula1>$P$2:$P$12</formula1>
    </dataValidation>
    <dataValidation type="list" allowBlank="1" showInputMessage="1" showErrorMessage="1" sqref="D2 M2 J2 G2">
      <formula1>$P$14:$P$16</formula1>
    </dataValidation>
  </dataValidations>
  <pageMargins left="0.19685039370078741" right="0.19685039370078741" top="0.59055118110236227" bottom="0.78740157480314965" header="0.31496062992125984" footer="0.39370078740157483"/>
  <pageSetup paperSize="9" scale="80" orientation="landscape" r:id="rId1"/>
  <headerFooter>
    <oddFooter>&amp;L&amp;8&amp;F, &amp;A,11.07.2019 / AG</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FF00"/>
    <pageSetUpPr fitToPage="1"/>
  </sheetPr>
  <dimension ref="A1:U51"/>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7.28515625" style="3" bestFit="1" customWidth="1"/>
    <col min="3" max="3" width="11.28515625" style="44" customWidth="1"/>
    <col min="4" max="4" width="16.140625"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15.140625" style="3" customWidth="1"/>
    <col min="15" max="15" width="19.85546875" style="3" bestFit="1" customWidth="1"/>
    <col min="16" max="16" width="19" style="3" hidden="1" customWidth="1" outlineLevel="1"/>
    <col min="17" max="17" width="12.7109375" style="3" hidden="1" customWidth="1" outlineLevel="1"/>
    <col min="18" max="18" width="9.140625" style="3" hidden="1" customWidth="1" outlineLevel="1"/>
    <col min="19" max="19" width="10.85546875" style="3" hidden="1" customWidth="1" outlineLevel="1"/>
    <col min="20" max="20" width="12" style="3" hidden="1" customWidth="1" outlineLevel="1"/>
    <col min="21" max="21" width="9.140625" style="3" customWidth="1" collapsed="1"/>
    <col min="22" max="22" width="9.140625" style="3" customWidth="1"/>
    <col min="23" max="16384" width="9.140625" style="3"/>
  </cols>
  <sheetData>
    <row r="1" spans="1:20" ht="23.25">
      <c r="A1" s="119" t="s">
        <v>260</v>
      </c>
      <c r="P1" s="123"/>
      <c r="Q1" s="126"/>
    </row>
    <row r="2" spans="1:20" s="123" customFormat="1" ht="15">
      <c r="A2" s="121" t="s">
        <v>12</v>
      </c>
      <c r="B2" s="396" t="s">
        <v>13</v>
      </c>
      <c r="C2" s="396"/>
      <c r="D2" s="187"/>
      <c r="G2" s="187"/>
      <c r="J2" s="187"/>
      <c r="K2" s="124"/>
      <c r="L2" s="124"/>
      <c r="M2" s="187"/>
      <c r="N2" s="124"/>
      <c r="P2" s="123" t="s">
        <v>30</v>
      </c>
      <c r="Q2" s="126">
        <v>43466</v>
      </c>
      <c r="S2" s="123" t="s">
        <v>31</v>
      </c>
      <c r="T2" s="265" t="s">
        <v>251</v>
      </c>
    </row>
    <row r="3" spans="1:20" s="48" customFormat="1" ht="15">
      <c r="B3" s="396" t="s">
        <v>24</v>
      </c>
      <c r="C3" s="396"/>
      <c r="D3" s="127" t="s">
        <v>42</v>
      </c>
      <c r="K3" s="128"/>
      <c r="L3" s="128"/>
      <c r="M3" s="128"/>
      <c r="N3" s="128"/>
      <c r="S3" s="130" t="s">
        <v>1</v>
      </c>
      <c r="T3" s="282">
        <f>'PK-Sätze'!G4</f>
        <v>9.3999999999999986</v>
      </c>
    </row>
    <row r="4" spans="1:20" s="48" customFormat="1" ht="15" customHeight="1">
      <c r="A4" s="131" t="s">
        <v>47</v>
      </c>
      <c r="B4" s="396" t="s">
        <v>23</v>
      </c>
      <c r="C4" s="396"/>
      <c r="D4" s="128" t="s">
        <v>29</v>
      </c>
      <c r="K4" s="128"/>
      <c r="L4" s="128"/>
      <c r="M4" s="128"/>
      <c r="N4" s="128"/>
      <c r="S4" s="130" t="s">
        <v>2</v>
      </c>
      <c r="T4" s="282">
        <f>'PK-Sätze'!G5</f>
        <v>11.649999999999999</v>
      </c>
    </row>
    <row r="5" spans="1:20" s="48" customFormat="1" ht="15">
      <c r="A5" s="132"/>
      <c r="B5" s="396" t="s">
        <v>0</v>
      </c>
      <c r="C5" s="396"/>
      <c r="D5" s="133"/>
      <c r="S5" s="130" t="s">
        <v>5</v>
      </c>
      <c r="T5" s="282">
        <f>'PK-Sätze'!G6</f>
        <v>17.7</v>
      </c>
    </row>
    <row r="6" spans="1:20" s="48" customFormat="1" ht="15">
      <c r="B6" s="396" t="s">
        <v>3</v>
      </c>
      <c r="C6" s="396"/>
      <c r="D6" s="134"/>
      <c r="S6" s="130" t="s">
        <v>6</v>
      </c>
      <c r="T6" s="282">
        <f>'PK-Sätze'!G6</f>
        <v>17.7</v>
      </c>
    </row>
    <row r="7" spans="1:20" s="48" customFormat="1" ht="15" customHeight="1">
      <c r="B7" s="396" t="s">
        <v>36</v>
      </c>
      <c r="C7" s="396"/>
      <c r="D7" s="134"/>
      <c r="S7" s="130" t="s">
        <v>4</v>
      </c>
      <c r="T7" s="282">
        <f>'PK-Sätze'!G7</f>
        <v>22.55</v>
      </c>
    </row>
    <row r="8" spans="1:20" s="48" customFormat="1" ht="15" customHeight="1">
      <c r="B8" s="396" t="s">
        <v>37</v>
      </c>
      <c r="C8" s="396"/>
      <c r="D8" s="134"/>
      <c r="T8" s="128"/>
    </row>
    <row r="9" spans="1:20" s="48" customFormat="1" ht="15.75" thickBot="1">
      <c r="C9" s="47"/>
      <c r="Q9" s="128"/>
      <c r="S9" s="53"/>
      <c r="T9" s="129"/>
    </row>
    <row r="10" spans="1:20" s="48" customFormat="1" ht="15">
      <c r="B10" s="188"/>
      <c r="C10" s="136"/>
      <c r="D10" s="137"/>
      <c r="E10" s="135"/>
      <c r="F10" s="136"/>
      <c r="G10" s="138"/>
      <c r="H10" s="135"/>
      <c r="I10" s="136"/>
      <c r="J10" s="137"/>
      <c r="K10" s="135"/>
      <c r="L10" s="136"/>
      <c r="M10" s="137"/>
      <c r="S10" s="295"/>
      <c r="T10" s="264"/>
    </row>
    <row r="11" spans="1:20" s="48" customFormat="1" ht="15">
      <c r="A11" s="48" t="s">
        <v>294</v>
      </c>
      <c r="B11" s="303">
        <v>1</v>
      </c>
      <c r="C11" s="140">
        <f>IF(D2=$P$10,$Q$10,IF(D2=$P$11,$Q$11,IF(D2=$P$12,$Q$12,IF(D2=$P13,$Q13,IF(D2=$P14,$Q14,IF(D2=$P15,$Q15,IF(D2=$P16,$Q16,0)))))))</f>
        <v>0</v>
      </c>
      <c r="D11" s="141"/>
      <c r="E11" s="303">
        <f>B11</f>
        <v>1</v>
      </c>
      <c r="F11" s="140">
        <f>IF(G2=$P$10,$Q$10,IF(G2=$P$11,$Q$11,IF(G2=$P$12,$Q$12,IF(G2=$P13,$Q13,IF(G2=$P14,$Q14,IF(G2=$P15,$Q15,IF(G2=$P16,$Q16,0)))))))</f>
        <v>0</v>
      </c>
      <c r="G11" s="142"/>
      <c r="H11" s="303">
        <f>E11</f>
        <v>1</v>
      </c>
      <c r="I11" s="140">
        <f>IF(J2=$P$10,$Q$10,IF(J2=$P$11,$Q$11,IF(J2=$P$12,$Q$12,IF(J2=$P13,$Q13,IF(J2=$P14,$Q14,IF(J2=$P15,$Q15,IF(J2=$P16,$Q16,0)))))))</f>
        <v>0</v>
      </c>
      <c r="J11" s="141"/>
      <c r="K11" s="303">
        <f>H11</f>
        <v>1</v>
      </c>
      <c r="L11" s="140">
        <f>IF(M2=$P$10,$Q$10,IF(M2=$P$11,$Q$11,IF(M2=$P$12,$Q$12,IF(M2=$P13,$Q13,IF(M2=$P14,$Q14,IF(M2=$P15,$Q15,IF(M2=$P16,$Q16,0)))))))</f>
        <v>0</v>
      </c>
      <c r="M11" s="141"/>
      <c r="S11" s="295"/>
      <c r="T11" s="264"/>
    </row>
    <row r="12" spans="1:20" s="107" customFormat="1" ht="15">
      <c r="A12" s="107" t="s">
        <v>292</v>
      </c>
      <c r="B12" s="144">
        <f>+$D$5</f>
        <v>0</v>
      </c>
      <c r="C12" s="145">
        <f>(+C11+C10)*B12</f>
        <v>0</v>
      </c>
      <c r="D12" s="146"/>
      <c r="E12" s="144">
        <f>+$D$5</f>
        <v>0</v>
      </c>
      <c r="F12" s="145">
        <f>(+F11+F10)*E12</f>
        <v>0</v>
      </c>
      <c r="G12" s="146"/>
      <c r="H12" s="144">
        <f>+$D$5</f>
        <v>0</v>
      </c>
      <c r="I12" s="145">
        <f>(+I11+I10)*H12</f>
        <v>0</v>
      </c>
      <c r="J12" s="146"/>
      <c r="K12" s="144">
        <f>+$D$5</f>
        <v>0</v>
      </c>
      <c r="L12" s="145">
        <f>(+L11+L10)*K12</f>
        <v>0</v>
      </c>
      <c r="M12" s="146"/>
      <c r="P12" s="48"/>
      <c r="Q12" s="48"/>
      <c r="S12" s="295"/>
      <c r="T12" s="264"/>
    </row>
    <row r="13" spans="1:20" s="48" customFormat="1" ht="15">
      <c r="B13" s="139"/>
      <c r="C13" s="140"/>
      <c r="D13" s="141"/>
      <c r="E13" s="139"/>
      <c r="F13" s="53"/>
      <c r="G13" s="141"/>
      <c r="H13" s="139"/>
      <c r="I13" s="53"/>
      <c r="J13" s="141"/>
      <c r="K13" s="139"/>
      <c r="L13" s="53"/>
      <c r="M13" s="141"/>
      <c r="Q13" s="128"/>
      <c r="S13" s="295"/>
      <c r="T13" s="264"/>
    </row>
    <row r="14" spans="1:20" s="48" customFormat="1" ht="15" hidden="1" outlineLevel="1">
      <c r="A14" s="48" t="s">
        <v>7</v>
      </c>
      <c r="B14" s="147">
        <v>0.16</v>
      </c>
      <c r="C14" s="140">
        <f>+$B$14*C12</f>
        <v>0</v>
      </c>
      <c r="D14" s="141"/>
      <c r="E14" s="139"/>
      <c r="F14" s="140">
        <f>+$B$14*F12</f>
        <v>0</v>
      </c>
      <c r="G14" s="141"/>
      <c r="H14" s="139"/>
      <c r="I14" s="140">
        <f>+$B$14*I12</f>
        <v>0</v>
      </c>
      <c r="J14" s="141"/>
      <c r="K14" s="139"/>
      <c r="L14" s="140">
        <f>+$B$14*L12</f>
        <v>0</v>
      </c>
      <c r="M14" s="141"/>
      <c r="P14" s="48" t="s">
        <v>142</v>
      </c>
      <c r="Q14" s="48">
        <v>50040</v>
      </c>
      <c r="S14" s="295"/>
      <c r="T14" s="264"/>
    </row>
    <row r="15" spans="1:20" s="48" customFormat="1" ht="15" hidden="1" outlineLevel="1">
      <c r="A15" s="48" t="s">
        <v>8</v>
      </c>
      <c r="B15" s="147"/>
      <c r="C15" s="140">
        <f>+$B$15*C12</f>
        <v>0</v>
      </c>
      <c r="D15" s="141"/>
      <c r="E15" s="139"/>
      <c r="F15" s="140">
        <f>+$B$15*F12</f>
        <v>0</v>
      </c>
      <c r="G15" s="141"/>
      <c r="H15" s="139"/>
      <c r="I15" s="140">
        <f>+$B$15*I12</f>
        <v>0</v>
      </c>
      <c r="J15" s="141"/>
      <c r="K15" s="139"/>
      <c r="L15" s="140">
        <f>+$B$15*L12</f>
        <v>0</v>
      </c>
      <c r="M15" s="141"/>
      <c r="P15" s="48" t="s">
        <v>143</v>
      </c>
      <c r="Q15" s="48">
        <v>50040</v>
      </c>
      <c r="S15" s="53"/>
      <c r="T15" s="264"/>
    </row>
    <row r="16" spans="1:20" s="48" customFormat="1" ht="15" hidden="1" outlineLevel="1">
      <c r="A16" s="48" t="s">
        <v>9</v>
      </c>
      <c r="B16" s="147"/>
      <c r="C16" s="140">
        <f>+$B$16*C12</f>
        <v>0</v>
      </c>
      <c r="D16" s="141"/>
      <c r="E16" s="139"/>
      <c r="F16" s="140">
        <f>+$B$16*F12</f>
        <v>0</v>
      </c>
      <c r="G16" s="141"/>
      <c r="H16" s="139"/>
      <c r="I16" s="140">
        <f>+$B$16*I12</f>
        <v>0</v>
      </c>
      <c r="J16" s="141"/>
      <c r="K16" s="139"/>
      <c r="L16" s="140">
        <f>+$B$16*L12</f>
        <v>0</v>
      </c>
      <c r="M16" s="141"/>
      <c r="P16" s="48" t="s">
        <v>144</v>
      </c>
      <c r="Q16" s="48">
        <v>50040</v>
      </c>
      <c r="S16" s="53"/>
      <c r="T16" s="264"/>
    </row>
    <row r="17" spans="1:20" s="48" customFormat="1" ht="15" hidden="1" outlineLevel="1">
      <c r="A17" s="48" t="s">
        <v>10</v>
      </c>
      <c r="B17" s="147"/>
      <c r="C17" s="140">
        <f>+$B$17*C12</f>
        <v>0</v>
      </c>
      <c r="D17" s="141"/>
      <c r="E17" s="139"/>
      <c r="F17" s="140">
        <f>+$B$17*F12</f>
        <v>0</v>
      </c>
      <c r="G17" s="141"/>
      <c r="H17" s="139"/>
      <c r="I17" s="140">
        <f>+$B$17*I12</f>
        <v>0</v>
      </c>
      <c r="J17" s="141"/>
      <c r="K17" s="139"/>
      <c r="L17" s="140">
        <f>+$B$17*L12</f>
        <v>0</v>
      </c>
      <c r="M17" s="141"/>
      <c r="S17" s="295"/>
      <c r="T17" s="264"/>
    </row>
    <row r="18" spans="1:20" s="48" customFormat="1" ht="15" hidden="1" outlineLevel="1">
      <c r="B18" s="139"/>
      <c r="C18" s="140"/>
      <c r="D18" s="141"/>
      <c r="E18" s="139"/>
      <c r="F18" s="140"/>
      <c r="G18" s="141"/>
      <c r="H18" s="139"/>
      <c r="I18" s="140"/>
      <c r="J18" s="141"/>
      <c r="K18" s="139"/>
      <c r="L18" s="140"/>
      <c r="M18" s="141"/>
      <c r="P18" s="48" t="s">
        <v>42</v>
      </c>
      <c r="Q18" s="48" t="s">
        <v>29</v>
      </c>
      <c r="S18" s="295"/>
      <c r="T18" s="264"/>
    </row>
    <row r="19" spans="1:20" s="48" customFormat="1" ht="15" hidden="1" outlineLevel="1">
      <c r="A19" s="48" t="s">
        <v>32</v>
      </c>
      <c r="B19" s="148"/>
      <c r="C19" s="140">
        <f>IF($D$4="Standardplan",C12*$B$19,"")</f>
        <v>0</v>
      </c>
      <c r="D19" s="141"/>
      <c r="E19" s="139"/>
      <c r="F19" s="140">
        <f>IF($D$4="Standardplan",F12*$B$19,"")</f>
        <v>0</v>
      </c>
      <c r="G19" s="141"/>
      <c r="H19" s="139"/>
      <c r="I19" s="140">
        <f>IF($D$4="Standardplan",I12*$B$19,"")</f>
        <v>0</v>
      </c>
      <c r="J19" s="141"/>
      <c r="K19" s="139"/>
      <c r="L19" s="140">
        <f>IF($D$4="Standardplan",L12*$B$19,"")</f>
        <v>0</v>
      </c>
      <c r="M19" s="141"/>
      <c r="P19" s="48" t="s">
        <v>25</v>
      </c>
      <c r="Q19" s="48" t="s">
        <v>27</v>
      </c>
      <c r="S19" s="295"/>
      <c r="T19" s="264"/>
    </row>
    <row r="20" spans="1:20" s="48" customFormat="1" ht="15" hidden="1" outlineLevel="1">
      <c r="B20" s="139"/>
      <c r="C20" s="140"/>
      <c r="D20" s="141"/>
      <c r="E20" s="139"/>
      <c r="F20" s="53"/>
      <c r="G20" s="141"/>
      <c r="H20" s="139"/>
      <c r="I20" s="53"/>
      <c r="J20" s="141"/>
      <c r="K20" s="139"/>
      <c r="L20" s="53"/>
      <c r="M20" s="141"/>
      <c r="P20" s="48" t="s">
        <v>26</v>
      </c>
      <c r="Q20" s="48" t="s">
        <v>28</v>
      </c>
      <c r="S20" s="295"/>
      <c r="T20" s="264"/>
    </row>
    <row r="21" spans="1:20" s="48" customFormat="1" ht="15" hidden="1" outlineLevel="1">
      <c r="A21" s="48" t="s">
        <v>11</v>
      </c>
      <c r="B21" s="139"/>
      <c r="C21" s="149"/>
      <c r="D21" s="141"/>
      <c r="E21" s="139"/>
      <c r="F21" s="53"/>
      <c r="G21" s="141"/>
      <c r="H21" s="139"/>
      <c r="I21" s="53"/>
      <c r="J21" s="141"/>
      <c r="K21" s="139"/>
      <c r="L21" s="53"/>
      <c r="M21" s="141"/>
      <c r="S21" s="295"/>
      <c r="T21" s="264"/>
    </row>
    <row r="22" spans="1:20" s="48" customFormat="1" ht="15" hidden="1" outlineLevel="1">
      <c r="A22" s="48" t="s">
        <v>33</v>
      </c>
      <c r="B22" s="307"/>
      <c r="C22" s="140">
        <f>IF($D$7&lt;2,$D$7*B22,B22*1)</f>
        <v>0</v>
      </c>
      <c r="D22" s="141"/>
      <c r="E22" s="139"/>
      <c r="F22" s="140">
        <f>+C22</f>
        <v>0</v>
      </c>
      <c r="G22" s="141"/>
      <c r="H22" s="139"/>
      <c r="I22" s="140">
        <f>+F22</f>
        <v>0</v>
      </c>
      <c r="J22" s="141"/>
      <c r="K22" s="139"/>
      <c r="L22" s="140">
        <f>+I22</f>
        <v>0</v>
      </c>
      <c r="M22" s="141"/>
      <c r="T22" s="128"/>
    </row>
    <row r="23" spans="1:20" s="48" customFormat="1" ht="15" hidden="1" outlineLevel="1">
      <c r="A23" s="48" t="s">
        <v>34</v>
      </c>
      <c r="B23" s="307"/>
      <c r="C23" s="140">
        <f>IF($D$7&gt;1,($D$7-1)*B23,0)</f>
        <v>0</v>
      </c>
      <c r="D23" s="141"/>
      <c r="E23" s="139"/>
      <c r="F23" s="140">
        <f>+C23</f>
        <v>0</v>
      </c>
      <c r="G23" s="141"/>
      <c r="H23" s="139"/>
      <c r="I23" s="140">
        <f>+F23</f>
        <v>0</v>
      </c>
      <c r="J23" s="141"/>
      <c r="K23" s="139"/>
      <c r="L23" s="140">
        <f>+I23</f>
        <v>0</v>
      </c>
      <c r="M23" s="141"/>
    </row>
    <row r="24" spans="1:20" s="48" customFormat="1" ht="15" hidden="1" outlineLevel="1">
      <c r="A24" s="48" t="s">
        <v>35</v>
      </c>
      <c r="B24" s="307"/>
      <c r="C24" s="140">
        <f>+D8*B24</f>
        <v>0</v>
      </c>
      <c r="D24" s="141"/>
      <c r="E24" s="139"/>
      <c r="F24" s="140">
        <f>+C24</f>
        <v>0</v>
      </c>
      <c r="G24" s="141"/>
      <c r="H24" s="139"/>
      <c r="I24" s="140">
        <f>+F24</f>
        <v>0</v>
      </c>
      <c r="J24" s="141"/>
      <c r="K24" s="139"/>
      <c r="L24" s="140">
        <f>+I24</f>
        <v>0</v>
      </c>
      <c r="M24" s="141"/>
    </row>
    <row r="25" spans="1:20" s="48" customFormat="1" ht="15" hidden="1" outlineLevel="1">
      <c r="B25" s="150"/>
      <c r="C25" s="140"/>
      <c r="D25" s="141"/>
      <c r="E25" s="139"/>
      <c r="F25" s="53"/>
      <c r="G25" s="141"/>
      <c r="H25" s="139"/>
      <c r="I25" s="53"/>
      <c r="J25" s="141"/>
      <c r="K25" s="139"/>
      <c r="L25" s="53"/>
      <c r="M25" s="141"/>
    </row>
    <row r="26" spans="1:20" s="48" customFormat="1" ht="15" collapsed="1">
      <c r="A26" s="151"/>
      <c r="B26" s="158"/>
      <c r="C26" s="153"/>
      <c r="D26" s="154"/>
      <c r="E26" s="139"/>
      <c r="F26" s="151"/>
      <c r="G26" s="154"/>
      <c r="H26" s="139"/>
      <c r="I26" s="151"/>
      <c r="J26" s="154"/>
      <c r="K26" s="139"/>
      <c r="L26" s="151"/>
      <c r="M26" s="154"/>
      <c r="N26" s="155"/>
    </row>
    <row r="27" spans="1:20" s="48" customFormat="1" ht="15">
      <c r="A27" s="156"/>
      <c r="B27" s="158"/>
      <c r="C27" s="320" t="s">
        <v>146</v>
      </c>
      <c r="D27" s="141"/>
      <c r="E27" s="139"/>
      <c r="F27" s="320" t="s">
        <v>147</v>
      </c>
      <c r="G27" s="141"/>
      <c r="H27" s="139"/>
      <c r="I27" s="320" t="s">
        <v>148</v>
      </c>
      <c r="J27" s="141"/>
      <c r="K27" s="139"/>
      <c r="L27" s="320" t="s">
        <v>149</v>
      </c>
      <c r="M27" s="141"/>
      <c r="N27" s="159" t="s">
        <v>46</v>
      </c>
    </row>
    <row r="28" spans="1:20" s="48" customFormat="1" ht="15">
      <c r="A28" s="160"/>
      <c r="B28" s="158"/>
      <c r="C28" s="161"/>
      <c r="D28" s="141"/>
      <c r="E28" s="139"/>
      <c r="F28" s="162">
        <v>1</v>
      </c>
      <c r="G28" s="141" t="s">
        <v>94</v>
      </c>
      <c r="H28" s="139"/>
      <c r="I28" s="162">
        <v>1</v>
      </c>
      <c r="J28" s="141" t="s">
        <v>94</v>
      </c>
      <c r="K28" s="139"/>
      <c r="L28" s="162">
        <v>1</v>
      </c>
      <c r="M28" s="141" t="s">
        <v>94</v>
      </c>
      <c r="N28" s="159"/>
    </row>
    <row r="29" spans="1:20" s="48" customFormat="1" ht="15">
      <c r="A29" s="160"/>
      <c r="B29" s="158"/>
      <c r="C29" s="163"/>
      <c r="D29" s="141"/>
      <c r="E29" s="139"/>
      <c r="F29" s="163"/>
      <c r="G29" s="141"/>
      <c r="H29" s="139"/>
      <c r="I29" s="163"/>
      <c r="J29" s="141"/>
      <c r="K29" s="139"/>
      <c r="L29" s="163"/>
      <c r="M29" s="141"/>
      <c r="N29" s="159"/>
    </row>
    <row r="30" spans="1:20" s="48" customFormat="1" ht="15">
      <c r="A30" s="160"/>
      <c r="B30" s="158"/>
      <c r="C30" s="163" t="s">
        <v>40</v>
      </c>
      <c r="D30" s="141" t="s">
        <v>41</v>
      </c>
      <c r="E30" s="139"/>
      <c r="F30" s="163" t="s">
        <v>40</v>
      </c>
      <c r="G30" s="141" t="s">
        <v>41</v>
      </c>
      <c r="H30" s="139"/>
      <c r="I30" s="163" t="s">
        <v>40</v>
      </c>
      <c r="J30" s="141" t="s">
        <v>41</v>
      </c>
      <c r="K30" s="139"/>
      <c r="L30" s="163" t="s">
        <v>40</v>
      </c>
      <c r="M30" s="141" t="s">
        <v>41</v>
      </c>
      <c r="N30" s="159"/>
    </row>
    <row r="31" spans="1:20" s="48" customFormat="1" ht="15">
      <c r="A31" s="160" t="s">
        <v>93</v>
      </c>
      <c r="B31" s="158"/>
      <c r="C31" s="163">
        <f>+C12+C22+C23+C24</f>
        <v>0</v>
      </c>
      <c r="D31" s="142">
        <f>+C31/12</f>
        <v>0</v>
      </c>
      <c r="E31" s="139"/>
      <c r="F31" s="163">
        <f>(+F12+F22+F23+F24)*F28</f>
        <v>0</v>
      </c>
      <c r="G31" s="142">
        <f>+F31/12</f>
        <v>0</v>
      </c>
      <c r="H31" s="139"/>
      <c r="I31" s="163">
        <f>(+I12+I22+I23+I24)*I28^2</f>
        <v>0</v>
      </c>
      <c r="J31" s="142">
        <f>+I31/12</f>
        <v>0</v>
      </c>
      <c r="K31" s="139"/>
      <c r="L31" s="163">
        <f>(+L12+L22+L23+L24)*L28^3</f>
        <v>0</v>
      </c>
      <c r="M31" s="142">
        <f>+L31/12</f>
        <v>0</v>
      </c>
      <c r="N31" s="165">
        <f>C31+F31+I31+L31</f>
        <v>0</v>
      </c>
    </row>
    <row r="32" spans="1:20" s="48" customFormat="1" ht="15">
      <c r="A32" s="160" t="s">
        <v>38</v>
      </c>
      <c r="B32" s="198"/>
      <c r="C32" s="163">
        <f>SUM(C14:C19)</f>
        <v>0</v>
      </c>
      <c r="D32" s="142">
        <f>+C32/12</f>
        <v>0</v>
      </c>
      <c r="E32" s="139"/>
      <c r="F32" s="163">
        <f>SUM(F14:F19)</f>
        <v>0</v>
      </c>
      <c r="G32" s="142">
        <f>+F32/12</f>
        <v>0</v>
      </c>
      <c r="H32" s="139"/>
      <c r="I32" s="163">
        <f>SUM(I14:I19)</f>
        <v>0</v>
      </c>
      <c r="J32" s="142">
        <f>+I32/12</f>
        <v>0</v>
      </c>
      <c r="K32" s="139"/>
      <c r="L32" s="163">
        <f>SUM(L14:L19)</f>
        <v>0</v>
      </c>
      <c r="M32" s="142">
        <f>+L32/12</f>
        <v>0</v>
      </c>
      <c r="N32" s="165">
        <f>C32+F32+I32+L32</f>
        <v>0</v>
      </c>
    </row>
    <row r="33" spans="1:15" s="48" customFormat="1" ht="15">
      <c r="A33" s="156" t="s">
        <v>39</v>
      </c>
      <c r="B33" s="199"/>
      <c r="C33" s="167">
        <f>+C32+C31</f>
        <v>0</v>
      </c>
      <c r="D33" s="168">
        <f>+D32+D31</f>
        <v>0</v>
      </c>
      <c r="E33" s="139"/>
      <c r="F33" s="167">
        <f>+F32+F31</f>
        <v>0</v>
      </c>
      <c r="G33" s="168">
        <f>+G32+G31</f>
        <v>0</v>
      </c>
      <c r="H33" s="139"/>
      <c r="I33" s="167">
        <f>+I32+I31</f>
        <v>0</v>
      </c>
      <c r="J33" s="168">
        <f>+J32+J31</f>
        <v>0</v>
      </c>
      <c r="K33" s="139"/>
      <c r="L33" s="167">
        <f>+L32+L31</f>
        <v>0</v>
      </c>
      <c r="M33" s="168">
        <f>+M32+M31</f>
        <v>0</v>
      </c>
      <c r="N33" s="170">
        <f>C33+F33+I33+L33</f>
        <v>0</v>
      </c>
    </row>
    <row r="34" spans="1:15" s="48" customFormat="1" ht="15">
      <c r="A34" s="83"/>
      <c r="B34" s="158"/>
      <c r="C34" s="80"/>
      <c r="D34" s="172"/>
      <c r="E34" s="139"/>
      <c r="F34" s="83"/>
      <c r="G34" s="172"/>
      <c r="H34" s="139"/>
      <c r="I34" s="83"/>
      <c r="J34" s="172"/>
      <c r="K34" s="139"/>
      <c r="L34" s="83"/>
      <c r="M34" s="172"/>
      <c r="N34" s="173"/>
    </row>
    <row r="35" spans="1:15" s="48" customFormat="1" ht="15">
      <c r="B35" s="139"/>
      <c r="C35" s="140"/>
      <c r="D35" s="141"/>
      <c r="E35" s="139"/>
      <c r="F35" s="53"/>
      <c r="G35" s="141"/>
      <c r="H35" s="139"/>
      <c r="I35" s="53"/>
      <c r="J35" s="141"/>
      <c r="K35" s="139"/>
      <c r="L35" s="53"/>
      <c r="M35" s="141"/>
    </row>
    <row r="36" spans="1:15" s="48" customFormat="1" ht="15">
      <c r="A36" s="151"/>
      <c r="B36" s="152"/>
      <c r="C36" s="175"/>
      <c r="D36" s="154"/>
      <c r="E36" s="152"/>
      <c r="F36" s="176"/>
      <c r="G36" s="154"/>
      <c r="H36" s="152"/>
      <c r="I36" s="176"/>
      <c r="J36" s="154"/>
      <c r="K36" s="152"/>
      <c r="L36" s="176"/>
      <c r="M36" s="154"/>
      <c r="N36" s="189" t="s">
        <v>137</v>
      </c>
    </row>
    <row r="37" spans="1:15" s="48" customFormat="1" ht="15">
      <c r="A37" s="160" t="s">
        <v>45</v>
      </c>
      <c r="B37" s="177"/>
      <c r="C37" s="140"/>
      <c r="D37" s="142">
        <f>+D33*B37</f>
        <v>0</v>
      </c>
      <c r="E37" s="177"/>
      <c r="F37" s="53"/>
      <c r="G37" s="142">
        <f>+G33*E37</f>
        <v>0</v>
      </c>
      <c r="H37" s="177"/>
      <c r="I37" s="53"/>
      <c r="J37" s="142">
        <f>+J33*H37</f>
        <v>0</v>
      </c>
      <c r="K37" s="177"/>
      <c r="L37" s="140"/>
      <c r="M37" s="142">
        <f>+M33*K37</f>
        <v>0</v>
      </c>
      <c r="N37" s="266">
        <f>D37+G37+J37+M37</f>
        <v>0</v>
      </c>
    </row>
    <row r="38" spans="1:15" s="48" customFormat="1" ht="15">
      <c r="A38" s="160"/>
      <c r="B38" s="139"/>
      <c r="C38" s="140"/>
      <c r="D38" s="141"/>
      <c r="E38" s="139"/>
      <c r="F38" s="53"/>
      <c r="G38" s="141"/>
      <c r="H38" s="139"/>
      <c r="I38" s="53"/>
      <c r="J38" s="141"/>
      <c r="K38" s="139"/>
      <c r="L38" s="53"/>
      <c r="M38" s="141"/>
      <c r="N38" s="190"/>
    </row>
    <row r="39" spans="1:15" s="48" customFormat="1" ht="15.75" thickBot="1">
      <c r="A39" s="83"/>
      <c r="B39" s="178"/>
      <c r="C39" s="179"/>
      <c r="D39" s="180"/>
      <c r="E39" s="178"/>
      <c r="F39" s="181"/>
      <c r="G39" s="180"/>
      <c r="H39" s="178"/>
      <c r="I39" s="181"/>
      <c r="J39" s="180"/>
      <c r="K39" s="178"/>
      <c r="L39" s="181"/>
      <c r="M39" s="180"/>
      <c r="N39" s="191"/>
    </row>
    <row r="40" spans="1:15" s="48" customFormat="1" ht="15">
      <c r="C40" s="47"/>
    </row>
    <row r="41" spans="1:15" s="48" customFormat="1" ht="15">
      <c r="C41" s="47"/>
    </row>
    <row r="42" spans="1:15" s="48" customFormat="1" ht="15" outlineLevel="1">
      <c r="A42" s="107" t="s">
        <v>136</v>
      </c>
      <c r="C42" s="47"/>
      <c r="N42" s="183" t="s">
        <v>137</v>
      </c>
      <c r="O42" s="184" t="s">
        <v>136</v>
      </c>
    </row>
    <row r="43" spans="1:15" s="48" customFormat="1" ht="15" outlineLevel="1">
      <c r="A43" s="48" t="s">
        <v>68</v>
      </c>
      <c r="C43" s="47"/>
      <c r="D43" s="185">
        <f>SUM(D44:D45)</f>
        <v>0</v>
      </c>
      <c r="G43" s="185">
        <f>SUM(G44:G45)</f>
        <v>0</v>
      </c>
      <c r="J43" s="185">
        <f>SUM(J44:J45)</f>
        <v>0</v>
      </c>
      <c r="M43" s="185">
        <f>SUM(M44:M45)</f>
        <v>0</v>
      </c>
      <c r="N43" s="186">
        <f>SUM(B43:M43)</f>
        <v>0</v>
      </c>
      <c r="O43" s="183" t="s">
        <v>68</v>
      </c>
    </row>
    <row r="44" spans="1:15" s="48" customFormat="1" ht="15" outlineLevel="1">
      <c r="A44" s="48" t="s">
        <v>135</v>
      </c>
      <c r="C44" s="47"/>
      <c r="D44" s="47">
        <f>D37/1.16</f>
        <v>0</v>
      </c>
      <c r="G44" s="47">
        <f>G37/1.16</f>
        <v>0</v>
      </c>
      <c r="J44" s="47">
        <f>J37/1.16</f>
        <v>0</v>
      </c>
      <c r="M44" s="47">
        <f>M37/1.16</f>
        <v>0</v>
      </c>
      <c r="N44" s="186">
        <f>SUM(B44:M44)</f>
        <v>0</v>
      </c>
      <c r="O44" s="183" t="s">
        <v>135</v>
      </c>
    </row>
    <row r="45" spans="1:15" s="48" customFormat="1" ht="15" outlineLevel="1">
      <c r="A45" s="48" t="s">
        <v>329</v>
      </c>
      <c r="C45" s="47"/>
      <c r="D45" s="47">
        <f>D44*16%</f>
        <v>0</v>
      </c>
      <c r="G45" s="47">
        <f>G44*16%</f>
        <v>0</v>
      </c>
      <c r="J45" s="47">
        <f>J44*16%</f>
        <v>0</v>
      </c>
      <c r="M45" s="47">
        <f>M44*16%</f>
        <v>0</v>
      </c>
      <c r="N45" s="186">
        <f>SUM(B45:M45)</f>
        <v>0</v>
      </c>
      <c r="O45" s="183" t="str">
        <f>A45</f>
        <v>Social Security (16 %)</v>
      </c>
    </row>
    <row r="46" spans="1:15" s="48" customFormat="1" ht="15" outlineLevel="1">
      <c r="C46" s="47"/>
    </row>
    <row r="47" spans="1:15" s="48" customFormat="1" ht="15">
      <c r="C47" s="47"/>
    </row>
    <row r="48" spans="1:15" s="48" customFormat="1" ht="15">
      <c r="C48" s="47"/>
      <c r="E48" s="128"/>
      <c r="H48" s="128"/>
    </row>
    <row r="49" spans="1:14" s="48" customFormat="1" ht="15">
      <c r="C49" s="47"/>
    </row>
    <row r="50" spans="1:14" s="48" customFormat="1" ht="15">
      <c r="A50" s="3"/>
      <c r="B50" s="3"/>
      <c r="C50" s="44"/>
      <c r="D50" s="3"/>
      <c r="E50" s="3"/>
      <c r="F50" s="3"/>
      <c r="G50" s="3"/>
      <c r="H50" s="3"/>
      <c r="I50" s="3"/>
      <c r="J50" s="3"/>
      <c r="K50" s="3"/>
      <c r="L50" s="3"/>
      <c r="M50" s="3"/>
      <c r="N50" s="3"/>
    </row>
    <row r="51" spans="1:14" s="48" customFormat="1" ht="15">
      <c r="A51" s="3"/>
      <c r="B51" s="3"/>
      <c r="C51" s="44"/>
      <c r="D51" s="3"/>
      <c r="E51" s="3"/>
      <c r="F51" s="3"/>
      <c r="G51" s="3"/>
      <c r="H51" s="3"/>
      <c r="I51" s="3"/>
      <c r="J51" s="3"/>
      <c r="K51" s="3"/>
      <c r="L51" s="3"/>
      <c r="M51" s="3"/>
      <c r="N51" s="3"/>
    </row>
  </sheetData>
  <sheetProtection algorithmName="SHA-512" hashValue="bV06CBvLAF7TAFT5iqYEijM3u29sFW7vgS+9D42irDVGTJPpYRtaR23R1FFFABJ1XaMqqNBbBnHHuwg83aFJPw==" saltValue="MLPDvct0NXL47dvkwWDpYA==" spinCount="100000" sheet="1" objects="1" scenarios="1"/>
  <mergeCells count="7">
    <mergeCell ref="B8:C8"/>
    <mergeCell ref="B2:C2"/>
    <mergeCell ref="B3:C3"/>
    <mergeCell ref="B4:C4"/>
    <mergeCell ref="B5:C5"/>
    <mergeCell ref="B6:C6"/>
    <mergeCell ref="B7:C7"/>
  </mergeCells>
  <conditionalFormatting sqref="K2:L2">
    <cfRule type="cellIs" priority="10" stopIfTrue="1" operator="between">
      <formula>$P$3</formula>
      <formula>$P$12</formula>
    </cfRule>
  </conditionalFormatting>
  <conditionalFormatting sqref="D2">
    <cfRule type="cellIs" priority="9" stopIfTrue="1" operator="between">
      <formula>$P$3</formula>
      <formula>$P$12</formula>
    </cfRule>
  </conditionalFormatting>
  <conditionalFormatting sqref="G2">
    <cfRule type="cellIs" priority="3" stopIfTrue="1" operator="between">
      <formula>$P$3</formula>
      <formula>$P$12</formula>
    </cfRule>
  </conditionalFormatting>
  <conditionalFormatting sqref="J2">
    <cfRule type="cellIs" priority="2" stopIfTrue="1" operator="between">
      <formula>$P$3</formula>
      <formula>$P$12</formula>
    </cfRule>
  </conditionalFormatting>
  <conditionalFormatting sqref="M2">
    <cfRule type="cellIs" priority="1" stopIfTrue="1" operator="between">
      <formula>$P$3</formula>
      <formula>$P$12</formula>
    </cfRule>
  </conditionalFormatting>
  <dataValidations count="2">
    <dataValidation type="list" allowBlank="1" showInputMessage="1" showErrorMessage="1" sqref="K2:L2">
      <formula1>$P$2:$P$12</formula1>
    </dataValidation>
    <dataValidation type="list" allowBlank="1" showInputMessage="1" showErrorMessage="1" sqref="D2 G2 J2 M2 P14:P16">
      <formula1>$P$14:$P$16</formula1>
    </dataValidation>
  </dataValidations>
  <pageMargins left="0.19685039370078741" right="0.19685039370078741" top="0.59055118110236227" bottom="0.78740157480314965" header="0.31496062992125984" footer="0.39370078740157483"/>
  <pageSetup paperSize="9" scale="80" orientation="landscape" r:id="rId1"/>
  <headerFooter>
    <oddFooter>&amp;L&amp;8&amp;F, &amp;A, 11.07.2019 / AG</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U50"/>
  <sheetViews>
    <sheetView showGridLines="0" zoomScaleNormal="100" workbookViewId="0">
      <selection activeCell="A5" sqref="A5"/>
    </sheetView>
  </sheetViews>
  <sheetFormatPr baseColWidth="10" defaultColWidth="9.140625" defaultRowHeight="12.75" outlineLevelRow="1" outlineLevelCol="1"/>
  <cols>
    <col min="1" max="1" width="19.7109375" style="3" customWidth="1"/>
    <col min="2" max="2" width="7.28515625" style="3" bestFit="1" customWidth="1"/>
    <col min="3" max="3" width="11.28515625" style="44" customWidth="1"/>
    <col min="4" max="4" width="16.140625" style="3" customWidth="1"/>
    <col min="5" max="5" width="5.5703125" style="3" bestFit="1" customWidth="1"/>
    <col min="6" max="6" width="8.5703125" style="3" bestFit="1" customWidth="1"/>
    <col min="7" max="7" width="17" style="3" bestFit="1" customWidth="1"/>
    <col min="8" max="8" width="5.5703125" style="3" bestFit="1" customWidth="1"/>
    <col min="9" max="9" width="8.5703125" style="3" bestFit="1" customWidth="1"/>
    <col min="10" max="10" width="17" style="3" bestFit="1" customWidth="1"/>
    <col min="11" max="11" width="5.5703125" style="3" bestFit="1" customWidth="1"/>
    <col min="12" max="12" width="8.5703125" style="3" bestFit="1" customWidth="1"/>
    <col min="13" max="13" width="17" style="3" bestFit="1" customWidth="1"/>
    <col min="14" max="14" width="15.140625" style="3" customWidth="1"/>
    <col min="15" max="15" width="19.85546875" style="3" bestFit="1" customWidth="1"/>
    <col min="16" max="16" width="19" style="3" hidden="1" customWidth="1" outlineLevel="1"/>
    <col min="17" max="17" width="12.7109375" style="3" hidden="1" customWidth="1" outlineLevel="1"/>
    <col min="18" max="18" width="9.140625" style="3" hidden="1" customWidth="1" outlineLevel="1"/>
    <col min="19" max="19" width="10.85546875" style="3" hidden="1" customWidth="1" outlineLevel="1"/>
    <col min="20" max="20" width="12" style="3" hidden="1" customWidth="1" outlineLevel="1"/>
    <col min="21" max="21" width="9.140625" style="3" customWidth="1" collapsed="1"/>
    <col min="22" max="22" width="9.140625" style="3" customWidth="1"/>
    <col min="23" max="16384" width="9.140625" style="3"/>
  </cols>
  <sheetData>
    <row r="1" spans="1:20" ht="23.25">
      <c r="A1" s="119" t="s">
        <v>307</v>
      </c>
    </row>
    <row r="2" spans="1:20" s="123" customFormat="1" ht="15">
      <c r="A2" s="121" t="s">
        <v>12</v>
      </c>
      <c r="B2" s="396" t="s">
        <v>13</v>
      </c>
      <c r="C2" s="396"/>
      <c r="D2" s="187"/>
      <c r="G2" s="187"/>
      <c r="J2" s="187"/>
      <c r="K2" s="124"/>
      <c r="L2" s="124"/>
      <c r="M2" s="187"/>
      <c r="N2" s="124"/>
      <c r="P2" s="123" t="s">
        <v>30</v>
      </c>
      <c r="Q2" s="126">
        <v>43466</v>
      </c>
      <c r="S2" s="123" t="s">
        <v>31</v>
      </c>
      <c r="T2" s="265" t="s">
        <v>251</v>
      </c>
    </row>
    <row r="3" spans="1:20" s="48" customFormat="1" ht="15">
      <c r="B3" s="396" t="s">
        <v>24</v>
      </c>
      <c r="C3" s="396"/>
      <c r="D3" s="127" t="s">
        <v>42</v>
      </c>
      <c r="K3" s="128"/>
      <c r="L3" s="128"/>
      <c r="M3" s="128"/>
      <c r="N3" s="128"/>
      <c r="S3" s="130" t="s">
        <v>1</v>
      </c>
      <c r="T3" s="263">
        <f>'PK-Sätze'!G4</f>
        <v>9.3999999999999986</v>
      </c>
    </row>
    <row r="4" spans="1:20" s="48" customFormat="1" ht="15">
      <c r="A4" s="131" t="s">
        <v>47</v>
      </c>
      <c r="B4" s="396" t="s">
        <v>23</v>
      </c>
      <c r="C4" s="396"/>
      <c r="D4" s="128" t="s">
        <v>29</v>
      </c>
      <c r="K4" s="128"/>
      <c r="L4" s="128"/>
      <c r="M4" s="128"/>
      <c r="N4" s="128"/>
      <c r="S4" s="130" t="s">
        <v>2</v>
      </c>
      <c r="T4" s="282">
        <f>'PK-Sätze'!G5</f>
        <v>11.649999999999999</v>
      </c>
    </row>
    <row r="5" spans="1:20" s="48" customFormat="1" ht="15">
      <c r="A5" s="316" t="s">
        <v>342</v>
      </c>
      <c r="B5" s="396" t="s">
        <v>0</v>
      </c>
      <c r="C5" s="396"/>
      <c r="D5" s="133"/>
      <c r="S5" s="130" t="s">
        <v>5</v>
      </c>
      <c r="T5" s="282">
        <f>'PK-Sätze'!G6</f>
        <v>17.7</v>
      </c>
    </row>
    <row r="6" spans="1:20" s="48" customFormat="1" ht="15">
      <c r="B6" s="396" t="s">
        <v>3</v>
      </c>
      <c r="C6" s="396"/>
      <c r="D6" s="134"/>
      <c r="S6" s="130" t="s">
        <v>6</v>
      </c>
      <c r="T6" s="282">
        <f>'PK-Sätze'!G6</f>
        <v>17.7</v>
      </c>
    </row>
    <row r="7" spans="1:20" s="48" customFormat="1" ht="15">
      <c r="B7" s="396" t="s">
        <v>36</v>
      </c>
      <c r="C7" s="396"/>
      <c r="D7" s="134"/>
      <c r="S7" s="130" t="s">
        <v>4</v>
      </c>
      <c r="T7" s="282">
        <f>'PK-Sätze'!G7</f>
        <v>22.55</v>
      </c>
    </row>
    <row r="8" spans="1:20" s="48" customFormat="1" ht="15">
      <c r="B8" s="396" t="s">
        <v>37</v>
      </c>
      <c r="C8" s="396"/>
      <c r="D8" s="134"/>
      <c r="T8" s="128"/>
    </row>
    <row r="9" spans="1:20" s="48" customFormat="1" ht="15.75" thickBot="1">
      <c r="C9" s="47"/>
      <c r="Q9" s="128"/>
      <c r="T9" s="128"/>
    </row>
    <row r="10" spans="1:20" s="48" customFormat="1" ht="15">
      <c r="B10" s="135"/>
      <c r="C10" s="136"/>
      <c r="D10" s="137"/>
      <c r="E10" s="135"/>
      <c r="F10" s="136"/>
      <c r="G10" s="138"/>
      <c r="H10" s="135"/>
      <c r="I10" s="136"/>
      <c r="J10" s="137"/>
      <c r="K10" s="135"/>
      <c r="L10" s="136"/>
      <c r="M10" s="137"/>
      <c r="T10" s="128"/>
    </row>
    <row r="11" spans="1:20" s="48" customFormat="1" ht="15">
      <c r="A11" s="48" t="s">
        <v>294</v>
      </c>
      <c r="B11" s="303">
        <v>1</v>
      </c>
      <c r="C11" s="140">
        <f>IF(D2=$P$10,$Q$10,IF(D2=$P$11,$Q$11,IF(D2=$P$12,$Q$12,IF(D2=$P13,$Q13,IF(D2=$P14,$Q14,IF(D2=$P15,$Q15,IF(D2=$P16,$Q16,0)))))))</f>
        <v>0</v>
      </c>
      <c r="D11" s="141"/>
      <c r="E11" s="303">
        <v>1</v>
      </c>
      <c r="F11" s="140">
        <f>IF(G2=$P$10,$Q$10,IF(G2=$P$11,$Q$11,IF(G2=$P$12,$Q$12,IF(G2=$P13,$Q13,IF(G2=$P14,$Q14,IF(G2=$P15,$Q15,IF(G2=$P16,$Q16,0)))))))</f>
        <v>0</v>
      </c>
      <c r="G11" s="142"/>
      <c r="H11" s="303">
        <v>1</v>
      </c>
      <c r="I11" s="140">
        <f>IF(J2=$P$10,$Q$10,IF(J2=$P$11,$Q$11,IF(J2=$P$12,$Q$12,IF(J2=$P13,$Q13,IF(J2=$P14,$Q14,IF(J2=$P15,$Q15,IF(J2=$P16,$Q16,0)))))))</f>
        <v>0</v>
      </c>
      <c r="J11" s="141"/>
      <c r="K11" s="303">
        <v>1</v>
      </c>
      <c r="L11" s="140">
        <f>IF(M2=$P$10,$Q$10,IF(M2=$P$11,$Q$11,IF(M2=$P$12,$Q$12,IF(M2=$P13,$Q13,IF(M2=$P14,$Q14,IF(M2=$P15,$Q15,IF(M2=$P16,$Q16,0)))))))</f>
        <v>0</v>
      </c>
      <c r="M11" s="141"/>
      <c r="T11" s="128"/>
    </row>
    <row r="12" spans="1:20" s="107" customFormat="1" ht="15">
      <c r="A12" s="107" t="s">
        <v>292</v>
      </c>
      <c r="B12" s="144">
        <f>+$D$5</f>
        <v>0</v>
      </c>
      <c r="C12" s="145">
        <f>(+C11+C10)*B12</f>
        <v>0</v>
      </c>
      <c r="D12" s="146"/>
      <c r="E12" s="144">
        <f>+$D$5</f>
        <v>0</v>
      </c>
      <c r="F12" s="145">
        <f>(+F11+F10)*E12</f>
        <v>0</v>
      </c>
      <c r="G12" s="146"/>
      <c r="H12" s="144">
        <f>+$D$5</f>
        <v>0</v>
      </c>
      <c r="I12" s="145">
        <f>(+I11+I10)*H12</f>
        <v>0</v>
      </c>
      <c r="J12" s="146"/>
      <c r="K12" s="144">
        <f>+$D$5</f>
        <v>0</v>
      </c>
      <c r="L12" s="145">
        <f>(+L11+L10)*K12</f>
        <v>0</v>
      </c>
      <c r="M12" s="146"/>
      <c r="P12" s="48"/>
      <c r="Q12" s="48"/>
      <c r="S12" s="48"/>
      <c r="T12" s="128"/>
    </row>
    <row r="13" spans="1:20" s="48" customFormat="1" ht="15">
      <c r="B13" s="139"/>
      <c r="C13" s="140"/>
      <c r="D13" s="141"/>
      <c r="E13" s="139"/>
      <c r="F13" s="53"/>
      <c r="G13" s="141"/>
      <c r="H13" s="139"/>
      <c r="I13" s="53"/>
      <c r="J13" s="141"/>
      <c r="K13" s="139"/>
      <c r="L13" s="53"/>
      <c r="M13" s="141"/>
      <c r="Q13" s="128"/>
      <c r="T13" s="128"/>
    </row>
    <row r="14" spans="1:20" s="48" customFormat="1" ht="15" hidden="1" customHeight="1" outlineLevel="1">
      <c r="A14" s="48" t="s">
        <v>7</v>
      </c>
      <c r="B14" s="147">
        <v>0.16</v>
      </c>
      <c r="C14" s="140">
        <f>+$B$14*C12</f>
        <v>0</v>
      </c>
      <c r="D14" s="141"/>
      <c r="E14" s="139"/>
      <c r="F14" s="140">
        <f>+$B$14*F12</f>
        <v>0</v>
      </c>
      <c r="G14" s="141"/>
      <c r="H14" s="139"/>
      <c r="I14" s="140">
        <f>+$B$14*I12</f>
        <v>0</v>
      </c>
      <c r="J14" s="141"/>
      <c r="K14" s="139"/>
      <c r="L14" s="140">
        <f>+$B$14*L12</f>
        <v>0</v>
      </c>
      <c r="M14" s="141"/>
      <c r="P14" s="48" t="s">
        <v>308</v>
      </c>
      <c r="Q14" s="48">
        <v>92500</v>
      </c>
      <c r="T14" s="128"/>
    </row>
    <row r="15" spans="1:20" s="48" customFormat="1" ht="15" hidden="1" customHeight="1" outlineLevel="1">
      <c r="A15" s="48" t="s">
        <v>8</v>
      </c>
      <c r="B15" s="147"/>
      <c r="C15" s="140">
        <f>+$B$15*C12</f>
        <v>0</v>
      </c>
      <c r="D15" s="141"/>
      <c r="E15" s="139"/>
      <c r="F15" s="140">
        <f>+$B$15*F12</f>
        <v>0</v>
      </c>
      <c r="G15" s="141"/>
      <c r="H15" s="139"/>
      <c r="I15" s="140">
        <f>+$B$15*I12</f>
        <v>0</v>
      </c>
      <c r="J15" s="141"/>
      <c r="K15" s="139"/>
      <c r="L15" s="140">
        <f>+$B$15*L12</f>
        <v>0</v>
      </c>
      <c r="M15" s="141"/>
      <c r="P15" s="48" t="s">
        <v>309</v>
      </c>
      <c r="Q15" s="48">
        <v>92500</v>
      </c>
      <c r="T15" s="128"/>
    </row>
    <row r="16" spans="1:20" s="48" customFormat="1" ht="15" hidden="1" customHeight="1" outlineLevel="1">
      <c r="A16" s="48" t="s">
        <v>9</v>
      </c>
      <c r="B16" s="147"/>
      <c r="C16" s="140">
        <f>+$B$16*C12</f>
        <v>0</v>
      </c>
      <c r="D16" s="141"/>
      <c r="E16" s="139"/>
      <c r="F16" s="140">
        <f>+$B$16*F12</f>
        <v>0</v>
      </c>
      <c r="G16" s="141"/>
      <c r="H16" s="139"/>
      <c r="I16" s="140">
        <f>+$B$16*I12</f>
        <v>0</v>
      </c>
      <c r="J16" s="141"/>
      <c r="K16" s="139"/>
      <c r="L16" s="140">
        <f>+$B$16*L12</f>
        <v>0</v>
      </c>
      <c r="M16" s="141"/>
      <c r="P16" s="48" t="s">
        <v>310</v>
      </c>
      <c r="Q16" s="48">
        <v>92500</v>
      </c>
      <c r="T16" s="128"/>
    </row>
    <row r="17" spans="1:20" s="48" customFormat="1" ht="15" hidden="1" customHeight="1" outlineLevel="1">
      <c r="A17" s="48" t="s">
        <v>10</v>
      </c>
      <c r="B17" s="147"/>
      <c r="C17" s="140">
        <f>+$B$17*C12</f>
        <v>0</v>
      </c>
      <c r="D17" s="141"/>
      <c r="E17" s="139"/>
      <c r="F17" s="140">
        <f>+$B$17*F12</f>
        <v>0</v>
      </c>
      <c r="G17" s="141"/>
      <c r="H17" s="139"/>
      <c r="I17" s="140">
        <f>+$B$17*I12</f>
        <v>0</v>
      </c>
      <c r="J17" s="141"/>
      <c r="K17" s="139"/>
      <c r="L17" s="140">
        <f>+$B$17*L12</f>
        <v>0</v>
      </c>
      <c r="M17" s="141"/>
      <c r="T17" s="128"/>
    </row>
    <row r="18" spans="1:20" s="48" customFormat="1" ht="15" hidden="1" customHeight="1" outlineLevel="1">
      <c r="B18" s="139"/>
      <c r="C18" s="140"/>
      <c r="D18" s="141"/>
      <c r="E18" s="139"/>
      <c r="F18" s="140"/>
      <c r="G18" s="141"/>
      <c r="H18" s="139"/>
      <c r="I18" s="140"/>
      <c r="J18" s="141"/>
      <c r="K18" s="139"/>
      <c r="L18" s="140"/>
      <c r="M18" s="141"/>
      <c r="P18" s="48" t="s">
        <v>42</v>
      </c>
      <c r="Q18" s="48" t="s">
        <v>29</v>
      </c>
      <c r="T18" s="128"/>
    </row>
    <row r="19" spans="1:20" s="48" customFormat="1" ht="15" hidden="1" customHeight="1" outlineLevel="1">
      <c r="A19" s="48" t="s">
        <v>32</v>
      </c>
      <c r="B19" s="148"/>
      <c r="C19" s="140">
        <f>IF($D$4="Standardplan",C12*$B$19,"")</f>
        <v>0</v>
      </c>
      <c r="D19" s="141"/>
      <c r="E19" s="139"/>
      <c r="F19" s="140">
        <f>IF($D$4="Standardplan",F12*$B$19,"")</f>
        <v>0</v>
      </c>
      <c r="G19" s="141"/>
      <c r="H19" s="139"/>
      <c r="I19" s="140">
        <f>IF($D$4="Standardplan",I12*$B$19,"")</f>
        <v>0</v>
      </c>
      <c r="J19" s="141"/>
      <c r="K19" s="139"/>
      <c r="L19" s="140">
        <f>IF($D$4="Standardplan",L12*$B$19,"")</f>
        <v>0</v>
      </c>
      <c r="M19" s="141"/>
      <c r="P19" s="48" t="s">
        <v>25</v>
      </c>
      <c r="Q19" s="48" t="s">
        <v>27</v>
      </c>
      <c r="T19" s="128"/>
    </row>
    <row r="20" spans="1:20" s="48" customFormat="1" ht="15" hidden="1" customHeight="1" outlineLevel="1">
      <c r="B20" s="139"/>
      <c r="C20" s="140"/>
      <c r="D20" s="141"/>
      <c r="E20" s="139"/>
      <c r="F20" s="53"/>
      <c r="G20" s="141"/>
      <c r="H20" s="139"/>
      <c r="I20" s="53"/>
      <c r="J20" s="141"/>
      <c r="K20" s="139"/>
      <c r="L20" s="53"/>
      <c r="M20" s="141"/>
      <c r="P20" s="48" t="s">
        <v>26</v>
      </c>
      <c r="Q20" s="48" t="s">
        <v>28</v>
      </c>
      <c r="T20" s="128"/>
    </row>
    <row r="21" spans="1:20" s="48" customFormat="1" ht="15" hidden="1" customHeight="1" outlineLevel="1">
      <c r="A21" s="48" t="s">
        <v>11</v>
      </c>
      <c r="B21" s="139"/>
      <c r="C21" s="149"/>
      <c r="D21" s="141"/>
      <c r="E21" s="139"/>
      <c r="F21" s="53"/>
      <c r="G21" s="141"/>
      <c r="H21" s="139"/>
      <c r="I21" s="53"/>
      <c r="J21" s="141"/>
      <c r="K21" s="139"/>
      <c r="L21" s="53"/>
      <c r="M21" s="141"/>
      <c r="T21" s="128"/>
    </row>
    <row r="22" spans="1:20" s="48" customFormat="1" ht="15" hidden="1" customHeight="1" outlineLevel="1">
      <c r="A22" s="48" t="s">
        <v>33</v>
      </c>
      <c r="B22" s="307"/>
      <c r="C22" s="140">
        <f>IF($D$7&lt;2,$D$7*B22,B22*1)</f>
        <v>0</v>
      </c>
      <c r="D22" s="141"/>
      <c r="E22" s="139"/>
      <c r="F22" s="140">
        <f>+C22</f>
        <v>0</v>
      </c>
      <c r="G22" s="141"/>
      <c r="H22" s="139"/>
      <c r="I22" s="140">
        <f>+F22</f>
        <v>0</v>
      </c>
      <c r="J22" s="141"/>
      <c r="K22" s="139"/>
      <c r="L22" s="140">
        <f>+I22</f>
        <v>0</v>
      </c>
      <c r="M22" s="141"/>
      <c r="T22" s="128"/>
    </row>
    <row r="23" spans="1:20" s="48" customFormat="1" ht="15" hidden="1" customHeight="1" outlineLevel="1">
      <c r="A23" s="48" t="s">
        <v>34</v>
      </c>
      <c r="B23" s="307"/>
      <c r="C23" s="140">
        <f>IF($D$7&gt;1,($D$7-1)*B23,0)</f>
        <v>0</v>
      </c>
      <c r="D23" s="141"/>
      <c r="E23" s="139"/>
      <c r="F23" s="140">
        <f>+C23</f>
        <v>0</v>
      </c>
      <c r="G23" s="141"/>
      <c r="H23" s="139"/>
      <c r="I23" s="140">
        <f>+F23</f>
        <v>0</v>
      </c>
      <c r="J23" s="141"/>
      <c r="K23" s="139"/>
      <c r="L23" s="140">
        <f>+I23</f>
        <v>0</v>
      </c>
      <c r="M23" s="141"/>
      <c r="T23" s="128"/>
    </row>
    <row r="24" spans="1:20" s="48" customFormat="1" ht="15" hidden="1" customHeight="1" outlineLevel="1">
      <c r="A24" s="48" t="s">
        <v>35</v>
      </c>
      <c r="B24" s="307"/>
      <c r="C24" s="140">
        <f>+D8*B24</f>
        <v>0</v>
      </c>
      <c r="D24" s="141"/>
      <c r="E24" s="139"/>
      <c r="F24" s="140">
        <f>+C24</f>
        <v>0</v>
      </c>
      <c r="G24" s="141"/>
      <c r="H24" s="139"/>
      <c r="I24" s="140">
        <f>+F24</f>
        <v>0</v>
      </c>
      <c r="J24" s="141"/>
      <c r="K24" s="139"/>
      <c r="L24" s="140">
        <f>+I24</f>
        <v>0</v>
      </c>
      <c r="M24" s="141"/>
      <c r="T24" s="128"/>
    </row>
    <row r="25" spans="1:20" s="48" customFormat="1" ht="15" hidden="1" customHeight="1" outlineLevel="1">
      <c r="B25" s="150"/>
      <c r="C25" s="140"/>
      <c r="D25" s="141"/>
      <c r="E25" s="139"/>
      <c r="F25" s="53"/>
      <c r="G25" s="141"/>
      <c r="H25" s="139"/>
      <c r="I25" s="53"/>
      <c r="J25" s="141"/>
      <c r="K25" s="139"/>
      <c r="L25" s="53"/>
      <c r="M25" s="141"/>
    </row>
    <row r="26" spans="1:20" s="48" customFormat="1" ht="15" customHeight="1" collapsed="1">
      <c r="A26" s="151"/>
      <c r="B26" s="158"/>
      <c r="C26" s="153"/>
      <c r="D26" s="154"/>
      <c r="E26" s="139"/>
      <c r="F26" s="151"/>
      <c r="G26" s="154"/>
      <c r="H26" s="139"/>
      <c r="I26" s="151"/>
      <c r="J26" s="154"/>
      <c r="K26" s="139"/>
      <c r="L26" s="151"/>
      <c r="M26" s="154"/>
      <c r="N26" s="155"/>
    </row>
    <row r="27" spans="1:20" s="48" customFormat="1" ht="15">
      <c r="A27" s="156"/>
      <c r="B27" s="158"/>
      <c r="C27" s="320" t="s">
        <v>146</v>
      </c>
      <c r="D27" s="141"/>
      <c r="E27" s="139"/>
      <c r="F27" s="320" t="s">
        <v>147</v>
      </c>
      <c r="G27" s="141"/>
      <c r="H27" s="139"/>
      <c r="I27" s="320" t="s">
        <v>148</v>
      </c>
      <c r="J27" s="141"/>
      <c r="K27" s="139"/>
      <c r="L27" s="320" t="s">
        <v>149</v>
      </c>
      <c r="M27" s="141"/>
      <c r="N27" s="159" t="s">
        <v>46</v>
      </c>
    </row>
    <row r="28" spans="1:20" s="48" customFormat="1" ht="15">
      <c r="A28" s="160"/>
      <c r="B28" s="158"/>
      <c r="C28" s="161"/>
      <c r="D28" s="141"/>
      <c r="E28" s="139"/>
      <c r="F28" s="162">
        <v>1</v>
      </c>
      <c r="G28" s="141" t="s">
        <v>94</v>
      </c>
      <c r="H28" s="139"/>
      <c r="I28" s="162">
        <v>1</v>
      </c>
      <c r="J28" s="141" t="s">
        <v>94</v>
      </c>
      <c r="K28" s="139"/>
      <c r="L28" s="162">
        <v>1</v>
      </c>
      <c r="M28" s="141" t="s">
        <v>94</v>
      </c>
      <c r="N28" s="159"/>
    </row>
    <row r="29" spans="1:20" s="48" customFormat="1" ht="15">
      <c r="A29" s="160"/>
      <c r="B29" s="158"/>
      <c r="C29" s="163"/>
      <c r="D29" s="141"/>
      <c r="E29" s="139"/>
      <c r="F29" s="163"/>
      <c r="G29" s="141"/>
      <c r="H29" s="139"/>
      <c r="I29" s="163"/>
      <c r="J29" s="141"/>
      <c r="K29" s="139"/>
      <c r="L29" s="163"/>
      <c r="M29" s="141"/>
      <c r="N29" s="159"/>
    </row>
    <row r="30" spans="1:20" s="48" customFormat="1" ht="15">
      <c r="A30" s="160"/>
      <c r="B30" s="158"/>
      <c r="C30" s="163" t="s">
        <v>40</v>
      </c>
      <c r="D30" s="141" t="s">
        <v>41</v>
      </c>
      <c r="E30" s="139"/>
      <c r="F30" s="163" t="s">
        <v>40</v>
      </c>
      <c r="G30" s="141" t="s">
        <v>41</v>
      </c>
      <c r="H30" s="139"/>
      <c r="I30" s="163" t="s">
        <v>40</v>
      </c>
      <c r="J30" s="141" t="s">
        <v>41</v>
      </c>
      <c r="K30" s="139"/>
      <c r="L30" s="163" t="s">
        <v>40</v>
      </c>
      <c r="M30" s="141" t="s">
        <v>41</v>
      </c>
      <c r="N30" s="159"/>
    </row>
    <row r="31" spans="1:20" s="48" customFormat="1" ht="15">
      <c r="A31" s="160" t="s">
        <v>93</v>
      </c>
      <c r="B31" s="158"/>
      <c r="C31" s="163">
        <f>+C12+C22+C23+C24</f>
        <v>0</v>
      </c>
      <c r="D31" s="142">
        <f>+C31/12</f>
        <v>0</v>
      </c>
      <c r="E31" s="139"/>
      <c r="F31" s="163">
        <f>(+F12+F22+F23+F24)*F28</f>
        <v>0</v>
      </c>
      <c r="G31" s="142">
        <f>+F31/12</f>
        <v>0</v>
      </c>
      <c r="H31" s="139"/>
      <c r="I31" s="163">
        <f>(+I12+I22+I23+I24)*I28^2</f>
        <v>0</v>
      </c>
      <c r="J31" s="142">
        <f>+I31/12</f>
        <v>0</v>
      </c>
      <c r="K31" s="139"/>
      <c r="L31" s="163">
        <f>(+L12+L22+L23+L24)*L28^3</f>
        <v>0</v>
      </c>
      <c r="M31" s="142">
        <f>+L31/12</f>
        <v>0</v>
      </c>
      <c r="N31" s="165">
        <f>C31+F31+I31+L31</f>
        <v>0</v>
      </c>
    </row>
    <row r="32" spans="1:20" s="48" customFormat="1" ht="15">
      <c r="A32" s="160" t="s">
        <v>38</v>
      </c>
      <c r="B32" s="198"/>
      <c r="C32" s="163">
        <f>SUM(C14:C19)</f>
        <v>0</v>
      </c>
      <c r="D32" s="142">
        <f>+C32/12</f>
        <v>0</v>
      </c>
      <c r="E32" s="139"/>
      <c r="F32" s="163">
        <f>SUM(F14:F19)</f>
        <v>0</v>
      </c>
      <c r="G32" s="142">
        <f>+F32/12</f>
        <v>0</v>
      </c>
      <c r="H32" s="139"/>
      <c r="I32" s="163">
        <f>SUM(I14:I19)</f>
        <v>0</v>
      </c>
      <c r="J32" s="142">
        <f>+I32/12</f>
        <v>0</v>
      </c>
      <c r="K32" s="139"/>
      <c r="L32" s="163">
        <f>SUM(L14:L19)</f>
        <v>0</v>
      </c>
      <c r="M32" s="142">
        <f>+L32/12</f>
        <v>0</v>
      </c>
      <c r="N32" s="165">
        <f t="shared" ref="N32:N33" si="0">C32+F32+I32+L32</f>
        <v>0</v>
      </c>
    </row>
    <row r="33" spans="1:15" s="48" customFormat="1" ht="15">
      <c r="A33" s="156" t="s">
        <v>39</v>
      </c>
      <c r="B33" s="199"/>
      <c r="C33" s="167">
        <f>+C32+C31</f>
        <v>0</v>
      </c>
      <c r="D33" s="168">
        <f>+D32+D31</f>
        <v>0</v>
      </c>
      <c r="E33" s="139"/>
      <c r="F33" s="167">
        <f>+F32+F31</f>
        <v>0</v>
      </c>
      <c r="G33" s="168">
        <f>+G32+G31</f>
        <v>0</v>
      </c>
      <c r="H33" s="139"/>
      <c r="I33" s="167">
        <f>+I32+I31</f>
        <v>0</v>
      </c>
      <c r="J33" s="168">
        <f>+J32+J31</f>
        <v>0</v>
      </c>
      <c r="K33" s="139"/>
      <c r="L33" s="167">
        <f>+L32+L31</f>
        <v>0</v>
      </c>
      <c r="M33" s="168">
        <f>+M32+M31</f>
        <v>0</v>
      </c>
      <c r="N33" s="170">
        <f t="shared" si="0"/>
        <v>0</v>
      </c>
    </row>
    <row r="34" spans="1:15" s="48" customFormat="1" ht="15">
      <c r="A34" s="83"/>
      <c r="B34" s="158"/>
      <c r="C34" s="80"/>
      <c r="D34" s="172"/>
      <c r="E34" s="139"/>
      <c r="F34" s="83"/>
      <c r="G34" s="172"/>
      <c r="H34" s="139"/>
      <c r="I34" s="83"/>
      <c r="J34" s="172"/>
      <c r="K34" s="139"/>
      <c r="L34" s="83"/>
      <c r="M34" s="172"/>
      <c r="N34" s="173"/>
    </row>
    <row r="35" spans="1:15" s="48" customFormat="1" ht="15">
      <c r="B35" s="139"/>
      <c r="C35" s="140"/>
      <c r="D35" s="141"/>
      <c r="E35" s="139"/>
      <c r="F35" s="53"/>
      <c r="G35" s="141"/>
      <c r="H35" s="139"/>
      <c r="I35" s="53"/>
      <c r="J35" s="141"/>
      <c r="K35" s="139"/>
      <c r="L35" s="53"/>
      <c r="M35" s="141"/>
    </row>
    <row r="36" spans="1:15" s="48" customFormat="1" ht="15">
      <c r="A36" s="151"/>
      <c r="B36" s="152"/>
      <c r="C36" s="175"/>
      <c r="D36" s="154"/>
      <c r="E36" s="152"/>
      <c r="F36" s="176"/>
      <c r="G36" s="154"/>
      <c r="H36" s="152"/>
      <c r="I36" s="176"/>
      <c r="J36" s="154"/>
      <c r="K36" s="152"/>
      <c r="L36" s="176"/>
      <c r="M36" s="154"/>
      <c r="N36" s="192" t="s">
        <v>137</v>
      </c>
    </row>
    <row r="37" spans="1:15" s="48" customFormat="1" ht="15">
      <c r="A37" s="160" t="s">
        <v>45</v>
      </c>
      <c r="B37" s="177"/>
      <c r="C37" s="140"/>
      <c r="D37" s="142">
        <f>+D33*B37</f>
        <v>0</v>
      </c>
      <c r="E37" s="177"/>
      <c r="F37" s="53"/>
      <c r="G37" s="142">
        <f>+G33*E37</f>
        <v>0</v>
      </c>
      <c r="H37" s="177"/>
      <c r="I37" s="53"/>
      <c r="J37" s="142">
        <f>+J33*H37</f>
        <v>0</v>
      </c>
      <c r="K37" s="177"/>
      <c r="L37" s="140"/>
      <c r="M37" s="142">
        <f>+M33*K37</f>
        <v>0</v>
      </c>
      <c r="N37" s="266">
        <f>D37+G37+J37+M37</f>
        <v>0</v>
      </c>
    </row>
    <row r="38" spans="1:15" s="48" customFormat="1" ht="15">
      <c r="A38" s="160"/>
      <c r="B38" s="139"/>
      <c r="C38" s="140"/>
      <c r="D38" s="141"/>
      <c r="E38" s="139"/>
      <c r="F38" s="53"/>
      <c r="G38" s="141"/>
      <c r="H38" s="139"/>
      <c r="I38" s="53"/>
      <c r="J38" s="141"/>
      <c r="K38" s="139"/>
      <c r="L38" s="53"/>
      <c r="M38" s="141"/>
      <c r="N38" s="193"/>
    </row>
    <row r="39" spans="1:15" s="48" customFormat="1" ht="15.75" thickBot="1">
      <c r="A39" s="83"/>
      <c r="B39" s="178"/>
      <c r="C39" s="179"/>
      <c r="D39" s="180"/>
      <c r="E39" s="178"/>
      <c r="F39" s="181"/>
      <c r="G39" s="180"/>
      <c r="H39" s="178"/>
      <c r="I39" s="181"/>
      <c r="J39" s="180"/>
      <c r="K39" s="178"/>
      <c r="L39" s="181"/>
      <c r="M39" s="180"/>
      <c r="N39" s="194"/>
    </row>
    <row r="40" spans="1:15" s="48" customFormat="1" ht="15">
      <c r="C40" s="47"/>
    </row>
    <row r="41" spans="1:15" s="48" customFormat="1" ht="15">
      <c r="C41" s="47"/>
    </row>
    <row r="42" spans="1:15" s="48" customFormat="1" ht="15" outlineLevel="1">
      <c r="A42" s="107" t="s">
        <v>136</v>
      </c>
      <c r="C42" s="47"/>
      <c r="N42" s="183" t="s">
        <v>137</v>
      </c>
      <c r="O42" s="184" t="s">
        <v>136</v>
      </c>
    </row>
    <row r="43" spans="1:15" s="48" customFormat="1" ht="15" outlineLevel="1">
      <c r="A43" s="48" t="s">
        <v>68</v>
      </c>
      <c r="C43" s="47"/>
      <c r="D43" s="185">
        <f>SUM(D44:D45)</f>
        <v>0</v>
      </c>
      <c r="G43" s="185">
        <f>SUM(G44:G45)</f>
        <v>0</v>
      </c>
      <c r="J43" s="185">
        <f>SUM(J44:J45)</f>
        <v>0</v>
      </c>
      <c r="M43" s="185">
        <f>SUM(M44:M45)</f>
        <v>0</v>
      </c>
      <c r="N43" s="186">
        <f>SUM(B43:M43)</f>
        <v>0</v>
      </c>
      <c r="O43" s="183" t="s">
        <v>68</v>
      </c>
    </row>
    <row r="44" spans="1:15" s="48" customFormat="1" ht="15" outlineLevel="1">
      <c r="A44" s="48" t="s">
        <v>135</v>
      </c>
      <c r="C44" s="47"/>
      <c r="D44" s="47">
        <f>D37/1.16</f>
        <v>0</v>
      </c>
      <c r="G44" s="47">
        <f>G37/1.16</f>
        <v>0</v>
      </c>
      <c r="J44" s="47">
        <f>J37/1.16</f>
        <v>0</v>
      </c>
      <c r="M44" s="47">
        <f>M37/1.16</f>
        <v>0</v>
      </c>
      <c r="N44" s="186">
        <f>SUM(B44:M44)</f>
        <v>0</v>
      </c>
      <c r="O44" s="183" t="s">
        <v>135</v>
      </c>
    </row>
    <row r="45" spans="1:15" s="48" customFormat="1" ht="15" outlineLevel="1">
      <c r="A45" s="48" t="s">
        <v>329</v>
      </c>
      <c r="C45" s="47"/>
      <c r="D45" s="47">
        <f>D44*16%</f>
        <v>0</v>
      </c>
      <c r="G45" s="47">
        <f>G44*16%</f>
        <v>0</v>
      </c>
      <c r="J45" s="47">
        <f>J44*16%</f>
        <v>0</v>
      </c>
      <c r="M45" s="47">
        <f>M44*16%</f>
        <v>0</v>
      </c>
      <c r="N45" s="186">
        <f>SUM(B45:M45)</f>
        <v>0</v>
      </c>
      <c r="O45" s="183" t="str">
        <f>A45</f>
        <v>Social Security (16 %)</v>
      </c>
    </row>
    <row r="46" spans="1:15" s="48" customFormat="1" ht="15" outlineLevel="1">
      <c r="C46" s="47"/>
    </row>
    <row r="47" spans="1:15" s="48" customFormat="1" ht="15">
      <c r="C47" s="47"/>
    </row>
    <row r="48" spans="1:15" s="48" customFormat="1" ht="15">
      <c r="C48" s="47"/>
    </row>
    <row r="49" spans="1:14" s="48" customFormat="1" ht="15">
      <c r="A49" s="3"/>
      <c r="B49" s="3"/>
      <c r="C49" s="44"/>
      <c r="D49" s="3"/>
      <c r="E49" s="3"/>
      <c r="F49" s="3"/>
      <c r="G49" s="3"/>
      <c r="H49" s="3"/>
      <c r="I49" s="3"/>
      <c r="J49" s="3"/>
      <c r="K49" s="3"/>
      <c r="L49" s="3"/>
      <c r="M49" s="3"/>
      <c r="N49" s="3"/>
    </row>
    <row r="50" spans="1:14" s="48" customFormat="1" ht="15">
      <c r="A50" s="3"/>
      <c r="B50" s="3"/>
      <c r="C50" s="44"/>
      <c r="D50" s="3"/>
      <c r="E50" s="3"/>
      <c r="F50" s="3"/>
      <c r="G50" s="3"/>
      <c r="H50" s="3"/>
      <c r="I50" s="3"/>
      <c r="J50" s="3"/>
      <c r="K50" s="3"/>
      <c r="L50" s="3"/>
      <c r="M50" s="3"/>
      <c r="N50" s="3"/>
    </row>
  </sheetData>
  <sheetProtection algorithmName="SHA-512" hashValue="g9WSQ7edIwvK136XTjg0oJtf1sK+Xl63a+azaY+s5/zKmPUoYFaahOegKhAnIvP2llupRXPoqRRO4Sl7fh11cg==" saltValue="cUYlMMlcW4y2UDIDXHT+TQ==" spinCount="100000" sheet="1" objects="1" scenarios="1"/>
  <dataConsolidate/>
  <mergeCells count="7">
    <mergeCell ref="B8:C8"/>
    <mergeCell ref="B2:C2"/>
    <mergeCell ref="B3:C3"/>
    <mergeCell ref="B4:C4"/>
    <mergeCell ref="B5:C5"/>
    <mergeCell ref="B6:C6"/>
    <mergeCell ref="B7:C7"/>
  </mergeCells>
  <conditionalFormatting sqref="D2 G2 J2:M2">
    <cfRule type="cellIs" priority="1" stopIfTrue="1" operator="between">
      <formula>$P$3</formula>
      <formula>$P$12</formula>
    </cfRule>
  </conditionalFormatting>
  <dataValidations count="2">
    <dataValidation type="list" allowBlank="1" showInputMessage="1" showErrorMessage="1" sqref="D2 M2 J2 G2">
      <formula1>$P$14:$P$16</formula1>
    </dataValidation>
    <dataValidation type="list" allowBlank="1" showInputMessage="1" showErrorMessage="1" sqref="K2:L2">
      <formula1>$P$2:$P$12</formula1>
    </dataValidation>
  </dataValidations>
  <pageMargins left="0.19685039370078741" right="0.19685039370078741" top="0.59055118110236227" bottom="0.78740157480314965" header="0.31496062992125984" footer="0.39370078740157483"/>
  <pageSetup paperSize="9" scale="80" orientation="landscape" r:id="rId1"/>
  <headerFooter>
    <oddFooter>&amp;L&amp;8&amp;F, &amp;A, 07.11.2019 / AG</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8</vt:i4>
      </vt:variant>
    </vt:vector>
  </HeadingPairs>
  <TitlesOfParts>
    <vt:vector size="26" baseType="lpstr">
      <vt:lpstr>Explanatory Notes</vt:lpstr>
      <vt:lpstr>Total Budget</vt:lpstr>
      <vt:lpstr>Various Cost Planning</vt:lpstr>
      <vt:lpstr>Pers Plan 1</vt:lpstr>
      <vt:lpstr>Pers Plan 2</vt:lpstr>
      <vt:lpstr>Pers Plan 3</vt:lpstr>
      <vt:lpstr>Pers NF-Doktorand 1</vt:lpstr>
      <vt:lpstr>Pers NF Doktorand 2</vt:lpstr>
      <vt:lpstr>Pers NF PostDoc</vt:lpstr>
      <vt:lpstr>Pers NF weitere MA</vt:lpstr>
      <vt:lpstr>Pers Plan NLS 1</vt:lpstr>
      <vt:lpstr>Pers Plan NLS 2</vt:lpstr>
      <vt:lpstr>Pers Plan NLS 3</vt:lpstr>
      <vt:lpstr>SV-Sätze</vt:lpstr>
      <vt:lpstr>PK-Sätze</vt:lpstr>
      <vt:lpstr>FAK</vt:lpstr>
      <vt:lpstr>Tabelle1</vt:lpstr>
      <vt:lpstr>Tabelle1 (2)</vt:lpstr>
      <vt:lpstr>Checked</vt:lpstr>
      <vt:lpstr>'Explanatory Notes'!Druckbereich</vt:lpstr>
      <vt:lpstr>FAK!Druckbereich</vt:lpstr>
      <vt:lpstr>'PK-Sätze'!Druckbereich</vt:lpstr>
      <vt:lpstr>'SV-Sätze'!Druckbereich</vt:lpstr>
      <vt:lpstr>'Explanatory Notes'!OLE_LINK1</vt:lpstr>
      <vt:lpstr>'Total Budget'!Suchkriterien</vt:lpstr>
      <vt:lpstr>'Total Budget'!Zielbereich</vt:lpstr>
    </vt:vector>
  </TitlesOfParts>
  <Company>ETHZ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ursulae</dc:creator>
  <cp:lastModifiedBy>Pepe, Nadja</cp:lastModifiedBy>
  <cp:lastPrinted>2019-07-16T09:20:40Z</cp:lastPrinted>
  <dcterms:created xsi:type="dcterms:W3CDTF">2003-04-21T17:40:54Z</dcterms:created>
  <dcterms:modified xsi:type="dcterms:W3CDTF">2019-10-24T09:24:39Z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Planungstool 2019V.8.xlsx</vt:lpwstr>
  </property>
</Properties>
</file>