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pivotCache/pivotCacheDefinition3.xml" ContentType="application/vnd.openxmlformats-officedocument.spreadsheetml.pivotCacheDefinition+xml"/>
  <Override PartName="/xl/pivotCache/pivotCacheRecords3.xml" ContentType="application/vnd.openxmlformats-officedocument.spreadsheetml.pivotCacheRecords+xml"/>
  <Override PartName="/xl/pivotCache/pivotCacheDefinition4.xml" ContentType="application/vnd.openxmlformats-officedocument.spreadsheetml.pivotCacheDefinition+xml"/>
  <Override PartName="/xl/pivotCache/pivotCacheRecords4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pivotTables/pivotTable4.xml" ContentType="application/vnd.openxmlformats-officedocument.spreadsheetml.pivotTable+xml"/>
  <Override PartName="/xl/drawings/drawing2.xml" ContentType="application/vnd.openxmlformats-officedocument.drawing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charts/chart10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tables/table6.xml" ContentType="application/vnd.openxmlformats-officedocument.spreadsheetml.table+xml"/>
  <Override PartName="/xl/pivotTables/pivotTable5.xml" ContentType="application/vnd.openxmlformats-officedocument.spreadsheetml.pivotTable+xml"/>
  <Override PartName="/xl/pivotTables/pivotTable6.xml" ContentType="application/vnd.openxmlformats-officedocument.spreadsheetml.pivotTable+xml"/>
  <Override PartName="/xl/pivotTables/pivotTable7.xml" ContentType="application/vnd.openxmlformats-officedocument.spreadsheetml.pivotTable+xml"/>
  <Override PartName="/xl/pivotTables/pivotTable8.xml" ContentType="application/vnd.openxmlformats-officedocument.spreadsheetml.pivotTable+xml"/>
  <Override PartName="/xl/drawings/drawing3.xml" ContentType="application/vnd.openxmlformats-officedocument.drawing+xml"/>
  <Override PartName="/xl/charts/chart11.xml" ContentType="application/vnd.openxmlformats-officedocument.drawingml.chart+xml"/>
  <Override PartName="/xl/charts/style11.xml" ContentType="application/vnd.ms-office.chartstyle+xml"/>
  <Override PartName="/xl/charts/colors11.xml" ContentType="application/vnd.ms-office.chartcolorstyle+xml"/>
  <Override PartName="/xl/charts/chart12.xml" ContentType="application/vnd.openxmlformats-officedocument.drawingml.chart+xml"/>
  <Override PartName="/xl/charts/style12.xml" ContentType="application/vnd.ms-office.chartstyle+xml"/>
  <Override PartName="/xl/charts/colors12.xml" ContentType="application/vnd.ms-office.chartcolorstyle+xml"/>
  <Override PartName="/xl/charts/chart13.xml" ContentType="application/vnd.openxmlformats-officedocument.drawingml.chart+xml"/>
  <Override PartName="/xl/charts/style13.xml" ContentType="application/vnd.ms-office.chartstyle+xml"/>
  <Override PartName="/xl/charts/colors13.xml" ContentType="application/vnd.ms-office.chartcolorstyle+xml"/>
  <Override PartName="/xl/pivotTables/pivotTable9.xml" ContentType="application/vnd.openxmlformats-officedocument.spreadsheetml.pivotTable+xml"/>
  <Override PartName="/xl/pivotTables/pivotTable10.xml" ContentType="application/vnd.openxmlformats-officedocument.spreadsheetml.pivotTable+xml"/>
  <Override PartName="/xl/pivotTables/pivotTable11.xml" ContentType="application/vnd.openxmlformats-officedocument.spreadsheetml.pivotTable+xml"/>
  <Override PartName="/xl/pivotTables/pivotTable12.xml" ContentType="application/vnd.openxmlformats-officedocument.spreadsheetml.pivotTable+xml"/>
  <Override PartName="/xl/pivotTables/pivotTable13.xml" ContentType="application/vnd.openxmlformats-officedocument.spreadsheetml.pivotTable+xml"/>
  <Override PartName="/xl/pivotTables/pivotTable14.xml" ContentType="application/vnd.openxmlformats-officedocument.spreadsheetml.pivotTable+xml"/>
  <Override PartName="/xl/pivotTables/pivotTable15.xml" ContentType="application/vnd.openxmlformats-officedocument.spreadsheetml.pivotTable+xml"/>
  <Override PartName="/xl/pivotTables/pivotTable16.xml" ContentType="application/vnd.openxmlformats-officedocument.spreadsheetml.pivotTable+xml"/>
  <Override PartName="/xl/tables/table7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C:\Users\Kayla Emi Muliyani\Downloads\"/>
    </mc:Choice>
  </mc:AlternateContent>
  <xr:revisionPtr revIDLastSave="0" documentId="13_ncr:1_{1D662D4E-3FD5-4CC9-94C5-6E821F184075}" xr6:coauthVersionLast="47" xr6:coauthVersionMax="47" xr10:uidLastSave="{00000000-0000-0000-0000-000000000000}"/>
  <bookViews>
    <workbookView xWindow="-120" yWindow="-120" windowWidth="20730" windowHeight="11040" tabRatio="829" firstSheet="1" activeTab="7" xr2:uid="{A256E9E0-9D85-4721-A0AA-3CCBFFBEF732}"/>
  </bookViews>
  <sheets>
    <sheet name="Dashboard" sheetId="38" r:id="rId1"/>
    <sheet name="Items" sheetId="1" r:id="rId2"/>
    <sheet name="Transactions" sheetId="5" r:id="rId3"/>
    <sheet name="Invoices_Detail" sheetId="16" r:id="rId4"/>
    <sheet name="Invoices_Display" sheetId="20" r:id="rId5"/>
    <sheet name="Stock_Report" sheetId="21" r:id="rId6"/>
    <sheet name="Inventory &amp; Stock Movement" sheetId="32" r:id="rId7"/>
    <sheet name="Invoice_Summary" sheetId="23" r:id="rId8"/>
    <sheet name="Invoice &amp; Sales Tracking" sheetId="33" r:id="rId9"/>
    <sheet name="Pivot" sheetId="39" r:id="rId10"/>
    <sheet name="KPI" sheetId="31" r:id="rId11"/>
    <sheet name="KPI Cards" sheetId="34" r:id="rId12"/>
  </sheets>
  <calcPr calcId="191029"/>
  <pivotCaches>
    <pivotCache cacheId="0" r:id="rId13"/>
    <pivotCache cacheId="1" r:id="rId14"/>
    <pivotCache cacheId="2" r:id="rId15"/>
    <pivotCache cacheId="3" r:id="rId16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14" i="38" l="1"/>
  <c r="K15" i="38"/>
  <c r="K9" i="38"/>
  <c r="B3" i="31"/>
  <c r="H9" i="38"/>
  <c r="E9" i="38"/>
  <c r="B9" i="38"/>
  <c r="J2" i="16"/>
  <c r="G4" i="34"/>
  <c r="D4" i="34"/>
  <c r="A4" i="34"/>
  <c r="J3" i="16" l="1"/>
  <c r="J4" i="16"/>
  <c r="J5" i="16"/>
  <c r="J6" i="16"/>
  <c r="J7" i="16"/>
  <c r="J8" i="16"/>
  <c r="J9" i="16"/>
  <c r="J10" i="16"/>
  <c r="J11" i="16"/>
  <c r="J12" i="16"/>
  <c r="J13" i="16"/>
  <c r="J14" i="16"/>
  <c r="J15" i="16"/>
  <c r="J16" i="16"/>
  <c r="J17" i="16"/>
  <c r="J18" i="16"/>
  <c r="J19" i="16"/>
  <c r="J20" i="16"/>
  <c r="J21" i="16"/>
  <c r="J22" i="16"/>
  <c r="J23" i="16"/>
  <c r="J24" i="16"/>
  <c r="J25" i="16"/>
  <c r="J26" i="16"/>
  <c r="J27" i="16"/>
  <c r="J28" i="16"/>
  <c r="J29" i="16"/>
  <c r="J30" i="16"/>
  <c r="J31" i="16"/>
  <c r="J32" i="16"/>
  <c r="J33" i="16"/>
  <c r="J34" i="16"/>
  <c r="J35" i="16"/>
  <c r="J36" i="16"/>
  <c r="J37" i="16"/>
  <c r="J38" i="16"/>
  <c r="J39" i="16"/>
  <c r="J40" i="16"/>
  <c r="J41" i="16"/>
  <c r="J42" i="16"/>
  <c r="J43" i="16"/>
  <c r="J44" i="16"/>
  <c r="J45" i="16"/>
  <c r="J46" i="16"/>
  <c r="J47" i="16"/>
  <c r="J48" i="16"/>
  <c r="J49" i="16"/>
  <c r="J50" i="16"/>
  <c r="J51" i="16"/>
  <c r="J52" i="16"/>
  <c r="J53" i="16"/>
  <c r="J54" i="16"/>
  <c r="J55" i="16"/>
  <c r="J56" i="16"/>
  <c r="J57" i="16"/>
  <c r="J58" i="16"/>
  <c r="J59" i="16"/>
  <c r="J60" i="16"/>
  <c r="J61" i="16"/>
  <c r="J62" i="16"/>
  <c r="J63" i="16"/>
  <c r="J64" i="16"/>
  <c r="J65" i="16"/>
  <c r="J66" i="16"/>
  <c r="J67" i="16"/>
  <c r="J68" i="16"/>
  <c r="J69" i="16"/>
  <c r="J70" i="16"/>
  <c r="J71" i="16"/>
  <c r="J72" i="16"/>
  <c r="J73" i="16"/>
  <c r="J74" i="16"/>
  <c r="J75" i="16"/>
  <c r="J76" i="16"/>
  <c r="J77" i="16"/>
  <c r="J78" i="16"/>
  <c r="J79" i="16"/>
  <c r="J80" i="16"/>
  <c r="J81" i="16"/>
  <c r="J82" i="16"/>
  <c r="J83" i="16"/>
  <c r="J84" i="16"/>
  <c r="J85" i="16"/>
  <c r="J86" i="16"/>
  <c r="J87" i="16"/>
  <c r="J88" i="16"/>
  <c r="J89" i="16"/>
  <c r="J90" i="16"/>
  <c r="J91" i="16"/>
  <c r="J92" i="16"/>
  <c r="J93" i="16"/>
  <c r="J94" i="16"/>
  <c r="J95" i="16"/>
  <c r="J96" i="16"/>
  <c r="J97" i="16"/>
  <c r="J98" i="16"/>
  <c r="J99" i="16"/>
  <c r="J100" i="16"/>
  <c r="J101" i="16"/>
  <c r="J102" i="16"/>
  <c r="J103" i="16"/>
  <c r="J104" i="16"/>
  <c r="J105" i="16"/>
  <c r="J106" i="16"/>
  <c r="J107" i="16"/>
  <c r="J108" i="16"/>
  <c r="J109" i="16"/>
  <c r="J110" i="16"/>
  <c r="J111" i="16"/>
  <c r="J112" i="16"/>
  <c r="J113" i="16"/>
  <c r="J114" i="16"/>
  <c r="J115" i="16"/>
  <c r="J116" i="16"/>
  <c r="J117" i="16"/>
  <c r="J118" i="16"/>
  <c r="J119" i="16"/>
  <c r="J120" i="16"/>
  <c r="J121" i="16"/>
  <c r="J122" i="16"/>
  <c r="J123" i="16"/>
  <c r="J124" i="16"/>
  <c r="J125" i="16"/>
  <c r="J126" i="16"/>
  <c r="J127" i="16"/>
  <c r="J128" i="16"/>
  <c r="J129" i="16"/>
  <c r="J130" i="16"/>
  <c r="J131" i="16"/>
  <c r="J132" i="16"/>
  <c r="J133" i="16"/>
  <c r="J134" i="16"/>
  <c r="J135" i="16"/>
  <c r="J136" i="16"/>
  <c r="J137" i="16"/>
  <c r="J138" i="16"/>
  <c r="J139" i="16"/>
  <c r="J140" i="16"/>
  <c r="J141" i="16"/>
  <c r="J142" i="16"/>
  <c r="J143" i="16"/>
  <c r="J144" i="16"/>
  <c r="J145" i="16"/>
  <c r="J146" i="16"/>
  <c r="J147" i="16"/>
  <c r="J148" i="16"/>
  <c r="J149" i="16"/>
  <c r="J150" i="16"/>
  <c r="J151" i="16"/>
  <c r="J152" i="16"/>
  <c r="J153" i="16"/>
  <c r="J154" i="16"/>
  <c r="J155" i="16"/>
  <c r="J156" i="16"/>
  <c r="J157" i="16"/>
  <c r="J158" i="16"/>
  <c r="J159" i="16"/>
  <c r="J160" i="16"/>
  <c r="J161" i="16"/>
  <c r="J162" i="16"/>
  <c r="J163" i="16"/>
  <c r="J164" i="16"/>
  <c r="J165" i="16"/>
  <c r="J166" i="16"/>
  <c r="J167" i="16"/>
  <c r="J168" i="16"/>
  <c r="J169" i="16"/>
  <c r="J170" i="16"/>
  <c r="J171" i="16"/>
  <c r="J172" i="16"/>
  <c r="J173" i="16"/>
  <c r="J174" i="16"/>
  <c r="J175" i="16"/>
  <c r="J176" i="16"/>
  <c r="J177" i="16"/>
  <c r="J178" i="16"/>
  <c r="J179" i="16"/>
  <c r="J180" i="16"/>
  <c r="J181" i="16"/>
  <c r="J182" i="16"/>
  <c r="J183" i="16"/>
  <c r="J184" i="16"/>
  <c r="J185" i="16"/>
  <c r="J186" i="16"/>
  <c r="J187" i="16"/>
  <c r="J188" i="16"/>
  <c r="J189" i="16"/>
  <c r="J190" i="16"/>
  <c r="J191" i="16"/>
  <c r="J192" i="16"/>
  <c r="J193" i="16"/>
  <c r="J194" i="16"/>
  <c r="J195" i="16"/>
  <c r="J196" i="16"/>
  <c r="J197" i="16"/>
  <c r="J198" i="16"/>
  <c r="J199" i="16"/>
  <c r="J200" i="16"/>
  <c r="J201" i="16"/>
  <c r="H2" i="20"/>
  <c r="H3" i="20"/>
  <c r="H4" i="20"/>
  <c r="H5" i="20"/>
  <c r="H6" i="20"/>
  <c r="H7" i="20"/>
  <c r="H8" i="20"/>
  <c r="H9" i="20"/>
  <c r="H10" i="20"/>
  <c r="H11" i="20"/>
  <c r="H12" i="20"/>
  <c r="H13" i="20"/>
  <c r="H14" i="20"/>
  <c r="H15" i="20"/>
  <c r="H16" i="20"/>
  <c r="H17" i="20"/>
  <c r="H18" i="20"/>
  <c r="H19" i="20"/>
  <c r="H20" i="20"/>
  <c r="H21" i="20"/>
  <c r="H22" i="20"/>
  <c r="H23" i="20"/>
  <c r="H24" i="20"/>
  <c r="H25" i="20"/>
  <c r="H26" i="20"/>
  <c r="H27" i="20"/>
  <c r="H28" i="20"/>
  <c r="H29" i="20"/>
  <c r="H30" i="20"/>
  <c r="H31" i="20"/>
  <c r="H32" i="20"/>
  <c r="H33" i="20"/>
  <c r="H34" i="20"/>
  <c r="H35" i="20"/>
  <c r="H36" i="20"/>
  <c r="H37" i="20"/>
  <c r="H38" i="20"/>
  <c r="H39" i="20"/>
  <c r="H40" i="20"/>
  <c r="H41" i="20"/>
  <c r="H42" i="20"/>
  <c r="H43" i="20"/>
  <c r="H44" i="20"/>
  <c r="H45" i="20"/>
  <c r="H46" i="20"/>
  <c r="H47" i="20"/>
  <c r="H48" i="20"/>
  <c r="H49" i="20"/>
  <c r="H50" i="20"/>
  <c r="H51" i="20"/>
  <c r="H52" i="20"/>
  <c r="H53" i="20"/>
  <c r="H54" i="20"/>
  <c r="H55" i="20"/>
  <c r="H56" i="20"/>
  <c r="H57" i="20"/>
  <c r="H58" i="20"/>
  <c r="H59" i="20"/>
  <c r="H60" i="20"/>
  <c r="H61" i="20"/>
  <c r="H62" i="20"/>
  <c r="H63" i="20"/>
  <c r="H64" i="20"/>
  <c r="H65" i="20"/>
  <c r="H66" i="20"/>
  <c r="H67" i="20"/>
  <c r="H68" i="20"/>
  <c r="H69" i="20"/>
  <c r="H70" i="20"/>
  <c r="H71" i="20"/>
  <c r="E2" i="23"/>
  <c r="E71" i="23"/>
  <c r="E70" i="23"/>
  <c r="E69" i="23"/>
  <c r="E68" i="23"/>
  <c r="E67" i="23"/>
  <c r="E66" i="23"/>
  <c r="E65" i="23"/>
  <c r="E64" i="23"/>
  <c r="E63" i="23"/>
  <c r="E62" i="23"/>
  <c r="E61" i="23"/>
  <c r="E60" i="23"/>
  <c r="E59" i="23"/>
  <c r="E58" i="23"/>
  <c r="E57" i="23"/>
  <c r="E56" i="23"/>
  <c r="E55" i="23"/>
  <c r="E54" i="23"/>
  <c r="E53" i="23"/>
  <c r="E52" i="23"/>
  <c r="E51" i="23"/>
  <c r="E50" i="23"/>
  <c r="E49" i="23"/>
  <c r="E48" i="23"/>
  <c r="E47" i="23"/>
  <c r="E46" i="23"/>
  <c r="E45" i="23"/>
  <c r="E44" i="23"/>
  <c r="E43" i="23"/>
  <c r="E42" i="23"/>
  <c r="E41" i="23"/>
  <c r="E40" i="23"/>
  <c r="E39" i="23"/>
  <c r="E38" i="23"/>
  <c r="E37" i="23"/>
  <c r="E36" i="23"/>
  <c r="E35" i="23"/>
  <c r="E34" i="23"/>
  <c r="E33" i="23"/>
  <c r="E32" i="23"/>
  <c r="E31" i="23"/>
  <c r="E30" i="23"/>
  <c r="E29" i="23"/>
  <c r="E28" i="23"/>
  <c r="E27" i="23"/>
  <c r="E26" i="23"/>
  <c r="E25" i="23"/>
  <c r="E24" i="23"/>
  <c r="E23" i="23"/>
  <c r="E22" i="23"/>
  <c r="E21" i="23"/>
  <c r="E20" i="23"/>
  <c r="E19" i="23"/>
  <c r="E18" i="23"/>
  <c r="E17" i="23"/>
  <c r="E16" i="23"/>
  <c r="E15" i="23"/>
  <c r="E14" i="23"/>
  <c r="E13" i="23"/>
  <c r="E12" i="23"/>
  <c r="E11" i="23"/>
  <c r="E10" i="23"/>
  <c r="E9" i="23"/>
  <c r="E8" i="23"/>
  <c r="E7" i="23"/>
  <c r="E6" i="23"/>
  <c r="E5" i="23"/>
  <c r="E4" i="23"/>
  <c r="E3" i="23"/>
  <c r="D41" i="23" l="1"/>
  <c r="D49" i="23"/>
  <c r="D71" i="23"/>
  <c r="J2" i="5"/>
  <c r="K2" i="5"/>
  <c r="K3" i="5"/>
  <c r="K4" i="5"/>
  <c r="K5" i="5"/>
  <c r="K6" i="5"/>
  <c r="K7" i="5"/>
  <c r="K8" i="5"/>
  <c r="K9" i="5"/>
  <c r="K10" i="5"/>
  <c r="K11" i="5"/>
  <c r="K12" i="5"/>
  <c r="K13" i="5"/>
  <c r="K14" i="5"/>
  <c r="K15" i="5"/>
  <c r="K16" i="5"/>
  <c r="K17" i="5"/>
  <c r="K18" i="5"/>
  <c r="K19" i="5"/>
  <c r="K20" i="5"/>
  <c r="K21" i="5"/>
  <c r="K22" i="5"/>
  <c r="K23" i="5"/>
  <c r="K24" i="5"/>
  <c r="K25" i="5"/>
  <c r="K26" i="5"/>
  <c r="K27" i="5"/>
  <c r="K28" i="5"/>
  <c r="K29" i="5"/>
  <c r="K30" i="5"/>
  <c r="K31" i="5"/>
  <c r="K32" i="5"/>
  <c r="K33" i="5"/>
  <c r="K34" i="5"/>
  <c r="K35" i="5"/>
  <c r="K36" i="5"/>
  <c r="K37" i="5"/>
  <c r="K38" i="5"/>
  <c r="K39" i="5"/>
  <c r="K40" i="5"/>
  <c r="K41" i="5"/>
  <c r="K42" i="5"/>
  <c r="K43" i="5"/>
  <c r="K44" i="5"/>
  <c r="K45" i="5"/>
  <c r="K46" i="5"/>
  <c r="K47" i="5"/>
  <c r="K48" i="5"/>
  <c r="K49" i="5"/>
  <c r="K50" i="5"/>
  <c r="K51" i="5"/>
  <c r="K52" i="5"/>
  <c r="K53" i="5"/>
  <c r="K54" i="5"/>
  <c r="K55" i="5"/>
  <c r="K56" i="5"/>
  <c r="K57" i="5"/>
  <c r="K58" i="5"/>
  <c r="K59" i="5"/>
  <c r="K60" i="5"/>
  <c r="K61" i="5"/>
  <c r="K62" i="5"/>
  <c r="K63" i="5"/>
  <c r="K64" i="5"/>
  <c r="K65" i="5"/>
  <c r="K66" i="5"/>
  <c r="K67" i="5"/>
  <c r="K68" i="5"/>
  <c r="K69" i="5"/>
  <c r="K70" i="5"/>
  <c r="K71" i="5"/>
  <c r="K72" i="5"/>
  <c r="K73" i="5"/>
  <c r="K74" i="5"/>
  <c r="K75" i="5"/>
  <c r="K76" i="5"/>
  <c r="K77" i="5"/>
  <c r="K78" i="5"/>
  <c r="K79" i="5"/>
  <c r="K80" i="5"/>
  <c r="K81" i="5"/>
  <c r="K82" i="5"/>
  <c r="K83" i="5"/>
  <c r="K84" i="5"/>
  <c r="K85" i="5"/>
  <c r="K86" i="5"/>
  <c r="K87" i="5"/>
  <c r="K88" i="5"/>
  <c r="K89" i="5"/>
  <c r="K90" i="5"/>
  <c r="K91" i="5"/>
  <c r="K92" i="5"/>
  <c r="K93" i="5"/>
  <c r="K94" i="5"/>
  <c r="K95" i="5"/>
  <c r="K96" i="5"/>
  <c r="K97" i="5"/>
  <c r="K98" i="5"/>
  <c r="K99" i="5"/>
  <c r="K100" i="5"/>
  <c r="K101" i="5"/>
  <c r="K102" i="5"/>
  <c r="K103" i="5"/>
  <c r="K104" i="5"/>
  <c r="K105" i="5"/>
  <c r="K106" i="5"/>
  <c r="K107" i="5"/>
  <c r="K108" i="5"/>
  <c r="K109" i="5"/>
  <c r="K110" i="5"/>
  <c r="K111" i="5"/>
  <c r="K112" i="5"/>
  <c r="K113" i="5"/>
  <c r="K114" i="5"/>
  <c r="K115" i="5"/>
  <c r="K116" i="5"/>
  <c r="K117" i="5"/>
  <c r="K118" i="5"/>
  <c r="K119" i="5"/>
  <c r="K120" i="5"/>
  <c r="K121" i="5"/>
  <c r="K122" i="5"/>
  <c r="K123" i="5"/>
  <c r="K124" i="5"/>
  <c r="K125" i="5"/>
  <c r="K126" i="5"/>
  <c r="K127" i="5"/>
  <c r="K128" i="5"/>
  <c r="K129" i="5"/>
  <c r="K130" i="5"/>
  <c r="K131" i="5"/>
  <c r="K132" i="5"/>
  <c r="K133" i="5"/>
  <c r="K134" i="5"/>
  <c r="K135" i="5"/>
  <c r="K136" i="5"/>
  <c r="K137" i="5"/>
  <c r="K138" i="5"/>
  <c r="K139" i="5"/>
  <c r="K140" i="5"/>
  <c r="K141" i="5"/>
  <c r="K142" i="5"/>
  <c r="K143" i="5"/>
  <c r="K144" i="5"/>
  <c r="K145" i="5"/>
  <c r="K146" i="5"/>
  <c r="K147" i="5"/>
  <c r="K148" i="5"/>
  <c r="K149" i="5"/>
  <c r="K150" i="5"/>
  <c r="K151" i="5"/>
  <c r="K152" i="5"/>
  <c r="K153" i="5"/>
  <c r="K154" i="5"/>
  <c r="K155" i="5"/>
  <c r="K156" i="5"/>
  <c r="K157" i="5"/>
  <c r="K158" i="5"/>
  <c r="K159" i="5"/>
  <c r="K160" i="5"/>
  <c r="K161" i="5"/>
  <c r="K162" i="5"/>
  <c r="K163" i="5"/>
  <c r="K164" i="5"/>
  <c r="K165" i="5"/>
  <c r="K166" i="5"/>
  <c r="K167" i="5"/>
  <c r="K168" i="5"/>
  <c r="K169" i="5"/>
  <c r="K170" i="5"/>
  <c r="K171" i="5"/>
  <c r="K172" i="5"/>
  <c r="K173" i="5"/>
  <c r="K174" i="5"/>
  <c r="K175" i="5"/>
  <c r="K176" i="5"/>
  <c r="K177" i="5"/>
  <c r="K178" i="5"/>
  <c r="K179" i="5"/>
  <c r="K180" i="5"/>
  <c r="K181" i="5"/>
  <c r="K182" i="5"/>
  <c r="K183" i="5"/>
  <c r="K184" i="5"/>
  <c r="K185" i="5"/>
  <c r="K186" i="5"/>
  <c r="K187" i="5"/>
  <c r="K188" i="5"/>
  <c r="K189" i="5"/>
  <c r="K190" i="5"/>
  <c r="K191" i="5"/>
  <c r="K192" i="5"/>
  <c r="K193" i="5"/>
  <c r="K194" i="5"/>
  <c r="K195" i="5"/>
  <c r="K196" i="5"/>
  <c r="K197" i="5"/>
  <c r="K198" i="5"/>
  <c r="K199" i="5"/>
  <c r="K200" i="5"/>
  <c r="K201" i="5"/>
  <c r="J3" i="5"/>
  <c r="J4" i="5"/>
  <c r="J5" i="5"/>
  <c r="J6" i="5"/>
  <c r="J7" i="5"/>
  <c r="J8" i="5"/>
  <c r="J9" i="5"/>
  <c r="J10" i="5"/>
  <c r="J11" i="5"/>
  <c r="J12" i="5"/>
  <c r="J13" i="5"/>
  <c r="J14" i="5"/>
  <c r="J15" i="5"/>
  <c r="J16" i="5"/>
  <c r="J17" i="5"/>
  <c r="J18" i="5"/>
  <c r="J19" i="5"/>
  <c r="J20" i="5"/>
  <c r="J21" i="5"/>
  <c r="J22" i="5"/>
  <c r="J23" i="5"/>
  <c r="J24" i="5"/>
  <c r="J25" i="5"/>
  <c r="J26" i="5"/>
  <c r="J27" i="5"/>
  <c r="J28" i="5"/>
  <c r="J29" i="5"/>
  <c r="J30" i="5"/>
  <c r="J31" i="5"/>
  <c r="J32" i="5"/>
  <c r="J33" i="5"/>
  <c r="J34" i="5"/>
  <c r="J35" i="5"/>
  <c r="J36" i="5"/>
  <c r="J37" i="5"/>
  <c r="J38" i="5"/>
  <c r="J39" i="5"/>
  <c r="J40" i="5"/>
  <c r="J41" i="5"/>
  <c r="J42" i="5"/>
  <c r="J43" i="5"/>
  <c r="J44" i="5"/>
  <c r="J45" i="5"/>
  <c r="J46" i="5"/>
  <c r="J47" i="5"/>
  <c r="J48" i="5"/>
  <c r="J49" i="5"/>
  <c r="J50" i="5"/>
  <c r="J51" i="5"/>
  <c r="J52" i="5"/>
  <c r="J53" i="5"/>
  <c r="J54" i="5"/>
  <c r="J55" i="5"/>
  <c r="J56" i="5"/>
  <c r="J57" i="5"/>
  <c r="J58" i="5"/>
  <c r="J59" i="5"/>
  <c r="J60" i="5"/>
  <c r="J61" i="5"/>
  <c r="J62" i="5"/>
  <c r="J63" i="5"/>
  <c r="J64" i="5"/>
  <c r="J65" i="5"/>
  <c r="J66" i="5"/>
  <c r="J67" i="5"/>
  <c r="J68" i="5"/>
  <c r="J69" i="5"/>
  <c r="J70" i="5"/>
  <c r="J71" i="5"/>
  <c r="J72" i="5"/>
  <c r="J73" i="5"/>
  <c r="J74" i="5"/>
  <c r="J75" i="5"/>
  <c r="J76" i="5"/>
  <c r="J77" i="5"/>
  <c r="J78" i="5"/>
  <c r="J79" i="5"/>
  <c r="J80" i="5"/>
  <c r="J81" i="5"/>
  <c r="J82" i="5"/>
  <c r="J83" i="5"/>
  <c r="J84" i="5"/>
  <c r="J85" i="5"/>
  <c r="J86" i="5"/>
  <c r="J87" i="5"/>
  <c r="J88" i="5"/>
  <c r="J89" i="5"/>
  <c r="J90" i="5"/>
  <c r="J91" i="5"/>
  <c r="J92" i="5"/>
  <c r="J93" i="5"/>
  <c r="J94" i="5"/>
  <c r="J95" i="5"/>
  <c r="J96" i="5"/>
  <c r="J97" i="5"/>
  <c r="J98" i="5"/>
  <c r="J99" i="5"/>
  <c r="J100" i="5"/>
  <c r="J101" i="5"/>
  <c r="J102" i="5"/>
  <c r="J103" i="5"/>
  <c r="J104" i="5"/>
  <c r="J105" i="5"/>
  <c r="J106" i="5"/>
  <c r="J107" i="5"/>
  <c r="J108" i="5"/>
  <c r="J109" i="5"/>
  <c r="J110" i="5"/>
  <c r="J111" i="5"/>
  <c r="J112" i="5"/>
  <c r="J113" i="5"/>
  <c r="J114" i="5"/>
  <c r="J115" i="5"/>
  <c r="J116" i="5"/>
  <c r="J117" i="5"/>
  <c r="J118" i="5"/>
  <c r="J119" i="5"/>
  <c r="J120" i="5"/>
  <c r="J121" i="5"/>
  <c r="J122" i="5"/>
  <c r="J123" i="5"/>
  <c r="J124" i="5"/>
  <c r="J125" i="5"/>
  <c r="J126" i="5"/>
  <c r="J127" i="5"/>
  <c r="J128" i="5"/>
  <c r="J129" i="5"/>
  <c r="J130" i="5"/>
  <c r="J131" i="5"/>
  <c r="J132" i="5"/>
  <c r="J133" i="5"/>
  <c r="J134" i="5"/>
  <c r="J135" i="5"/>
  <c r="J136" i="5"/>
  <c r="J137" i="5"/>
  <c r="J138" i="5"/>
  <c r="J139" i="5"/>
  <c r="J140" i="5"/>
  <c r="J141" i="5"/>
  <c r="J142" i="5"/>
  <c r="J143" i="5"/>
  <c r="J144" i="5"/>
  <c r="J145" i="5"/>
  <c r="J146" i="5"/>
  <c r="J147" i="5"/>
  <c r="J148" i="5"/>
  <c r="J149" i="5"/>
  <c r="J150" i="5"/>
  <c r="J151" i="5"/>
  <c r="J152" i="5"/>
  <c r="J153" i="5"/>
  <c r="J154" i="5"/>
  <c r="J155" i="5"/>
  <c r="J156" i="5"/>
  <c r="J157" i="5"/>
  <c r="J158" i="5"/>
  <c r="J159" i="5"/>
  <c r="J160" i="5"/>
  <c r="J161" i="5"/>
  <c r="J162" i="5"/>
  <c r="J163" i="5"/>
  <c r="J164" i="5"/>
  <c r="J165" i="5"/>
  <c r="J166" i="5"/>
  <c r="J167" i="5"/>
  <c r="J168" i="5"/>
  <c r="J169" i="5"/>
  <c r="J170" i="5"/>
  <c r="J171" i="5"/>
  <c r="J172" i="5"/>
  <c r="J173" i="5"/>
  <c r="J174" i="5"/>
  <c r="J175" i="5"/>
  <c r="J176" i="5"/>
  <c r="J177" i="5"/>
  <c r="J178" i="5"/>
  <c r="J179" i="5"/>
  <c r="J180" i="5"/>
  <c r="J181" i="5"/>
  <c r="J182" i="5"/>
  <c r="J183" i="5"/>
  <c r="J184" i="5"/>
  <c r="J185" i="5"/>
  <c r="J186" i="5"/>
  <c r="J187" i="5"/>
  <c r="J188" i="5"/>
  <c r="J189" i="5"/>
  <c r="J190" i="5"/>
  <c r="J191" i="5"/>
  <c r="J192" i="5"/>
  <c r="J193" i="5"/>
  <c r="J194" i="5"/>
  <c r="J195" i="5"/>
  <c r="J196" i="5"/>
  <c r="J197" i="5"/>
  <c r="J198" i="5"/>
  <c r="J199" i="5"/>
  <c r="J200" i="5"/>
  <c r="J201" i="5"/>
  <c r="D70" i="23" l="1"/>
  <c r="D64" i="23"/>
  <c r="D60" i="23"/>
  <c r="D59" i="23"/>
  <c r="D40" i="23"/>
  <c r="D21" i="23"/>
  <c r="D6" i="23"/>
  <c r="I2" i="21"/>
  <c r="E2" i="21"/>
  <c r="D2" i="21"/>
  <c r="F2" i="21" s="1"/>
  <c r="I21" i="21"/>
  <c r="I20" i="21"/>
  <c r="I19" i="21"/>
  <c r="I18" i="21"/>
  <c r="I17" i="21"/>
  <c r="I16" i="21"/>
  <c r="I15" i="21"/>
  <c r="I14" i="21"/>
  <c r="I13" i="21"/>
  <c r="I12" i="21"/>
  <c r="I11" i="21"/>
  <c r="I10" i="21"/>
  <c r="I9" i="21"/>
  <c r="I8" i="21"/>
  <c r="I7" i="21"/>
  <c r="I6" i="21"/>
  <c r="I5" i="21"/>
  <c r="I4" i="21"/>
  <c r="I3" i="21"/>
  <c r="E3" i="21"/>
  <c r="E4" i="21"/>
  <c r="E5" i="21"/>
  <c r="E6" i="21"/>
  <c r="E7" i="21"/>
  <c r="E8" i="21"/>
  <c r="E9" i="21"/>
  <c r="E10" i="21"/>
  <c r="E11" i="21"/>
  <c r="E12" i="21"/>
  <c r="E13" i="21"/>
  <c r="E14" i="21"/>
  <c r="E15" i="21"/>
  <c r="E16" i="21"/>
  <c r="E17" i="21"/>
  <c r="E18" i="21"/>
  <c r="E19" i="21"/>
  <c r="E20" i="21"/>
  <c r="E21" i="21"/>
  <c r="D3" i="21"/>
  <c r="F3" i="21" s="1"/>
  <c r="D4" i="21"/>
  <c r="F4" i="21" s="1"/>
  <c r="D5" i="21"/>
  <c r="F5" i="21" s="1"/>
  <c r="D6" i="21"/>
  <c r="F6" i="21" s="1"/>
  <c r="D7" i="21"/>
  <c r="F7" i="21" s="1"/>
  <c r="D8" i="21"/>
  <c r="F8" i="21" s="1"/>
  <c r="D9" i="21"/>
  <c r="F9" i="21" s="1"/>
  <c r="D10" i="21"/>
  <c r="F10" i="21" s="1"/>
  <c r="D11" i="21"/>
  <c r="F11" i="21" s="1"/>
  <c r="D12" i="21"/>
  <c r="F12" i="21" s="1"/>
  <c r="D13" i="21"/>
  <c r="F13" i="21" s="1"/>
  <c r="D14" i="21"/>
  <c r="F14" i="21" s="1"/>
  <c r="D15" i="21"/>
  <c r="F15" i="21" s="1"/>
  <c r="D16" i="21"/>
  <c r="F16" i="21" s="1"/>
  <c r="D17" i="21"/>
  <c r="F17" i="21" s="1"/>
  <c r="D18" i="21"/>
  <c r="F18" i="21" s="1"/>
  <c r="D19" i="21"/>
  <c r="F19" i="21" s="1"/>
  <c r="D20" i="21"/>
  <c r="F20" i="21" s="1"/>
  <c r="D21" i="21"/>
  <c r="F21" i="21" s="1"/>
  <c r="J2" i="21" l="1"/>
  <c r="H2" i="21"/>
  <c r="G2" i="21"/>
  <c r="G3" i="21"/>
  <c r="H3" i="21" s="1"/>
  <c r="G4" i="21"/>
  <c r="H4" i="21" s="1"/>
  <c r="G5" i="21"/>
  <c r="H5" i="21" s="1"/>
  <c r="G6" i="21"/>
  <c r="H6" i="21" s="1"/>
  <c r="G7" i="21"/>
  <c r="H7" i="21" s="1"/>
  <c r="G8" i="21"/>
  <c r="H8" i="21" s="1"/>
  <c r="G9" i="21"/>
  <c r="H9" i="21" s="1"/>
  <c r="G10" i="21"/>
  <c r="H10" i="21" s="1"/>
  <c r="G11" i="21"/>
  <c r="H11" i="21" s="1"/>
  <c r="G12" i="21"/>
  <c r="H12" i="21" s="1"/>
  <c r="G13" i="21"/>
  <c r="H13" i="21" s="1"/>
  <c r="G14" i="21"/>
  <c r="H14" i="21" s="1"/>
  <c r="G15" i="21"/>
  <c r="H15" i="21" s="1"/>
  <c r="G16" i="21"/>
  <c r="H16" i="21" s="1"/>
  <c r="G17" i="21"/>
  <c r="H17" i="21" s="1"/>
  <c r="G18" i="21"/>
  <c r="H18" i="21" s="1"/>
  <c r="G19" i="21"/>
  <c r="H19" i="21" s="1"/>
  <c r="G20" i="21"/>
  <c r="H20" i="21" s="1"/>
  <c r="G21" i="21"/>
  <c r="H21" i="21" s="1"/>
  <c r="I2" i="16"/>
  <c r="I3" i="16"/>
  <c r="I4" i="16"/>
  <c r="I5" i="16"/>
  <c r="I6" i="16"/>
  <c r="I7" i="16"/>
  <c r="I8" i="16"/>
  <c r="I9" i="16"/>
  <c r="I10" i="16"/>
  <c r="I11" i="16"/>
  <c r="I12" i="16"/>
  <c r="I13" i="16"/>
  <c r="I14" i="16"/>
  <c r="I15" i="16"/>
  <c r="I16" i="16"/>
  <c r="I17" i="16"/>
  <c r="I18" i="16"/>
  <c r="I19" i="16"/>
  <c r="I20" i="16"/>
  <c r="I21" i="16"/>
  <c r="I22" i="16"/>
  <c r="I23" i="16"/>
  <c r="I24" i="16"/>
  <c r="I25" i="16"/>
  <c r="I26" i="16"/>
  <c r="I27" i="16"/>
  <c r="I28" i="16"/>
  <c r="I29" i="16"/>
  <c r="I30" i="16"/>
  <c r="I31" i="16"/>
  <c r="I32" i="16"/>
  <c r="I33" i="16"/>
  <c r="I34" i="16"/>
  <c r="I35" i="16"/>
  <c r="I36" i="16"/>
  <c r="I37" i="16"/>
  <c r="I38" i="16"/>
  <c r="I39" i="16"/>
  <c r="I40" i="16"/>
  <c r="I41" i="16"/>
  <c r="I42" i="16"/>
  <c r="I43" i="16"/>
  <c r="I44" i="16"/>
  <c r="I45" i="16"/>
  <c r="I46" i="16"/>
  <c r="I47" i="16"/>
  <c r="I48" i="16"/>
  <c r="I49" i="16"/>
  <c r="I50" i="16"/>
  <c r="I51" i="16"/>
  <c r="I52" i="16"/>
  <c r="I53" i="16"/>
  <c r="I54" i="16"/>
  <c r="I55" i="16"/>
  <c r="I56" i="16"/>
  <c r="I57" i="16"/>
  <c r="I58" i="16"/>
  <c r="I59" i="16"/>
  <c r="I60" i="16"/>
  <c r="I61" i="16"/>
  <c r="I62" i="16"/>
  <c r="I63" i="16"/>
  <c r="I64" i="16"/>
  <c r="I65" i="16"/>
  <c r="I66" i="16"/>
  <c r="I67" i="16"/>
  <c r="I68" i="16"/>
  <c r="I69" i="16"/>
  <c r="I70" i="16"/>
  <c r="I71" i="16"/>
  <c r="I72" i="16"/>
  <c r="I73" i="16"/>
  <c r="I74" i="16"/>
  <c r="I75" i="16"/>
  <c r="I76" i="16"/>
  <c r="I77" i="16"/>
  <c r="I78" i="16"/>
  <c r="I79" i="16"/>
  <c r="I80" i="16"/>
  <c r="I81" i="16"/>
  <c r="I82" i="16"/>
  <c r="I83" i="16"/>
  <c r="I84" i="16"/>
  <c r="I85" i="16"/>
  <c r="I86" i="16"/>
  <c r="I87" i="16"/>
  <c r="I88" i="16"/>
  <c r="I89" i="16"/>
  <c r="I90" i="16"/>
  <c r="I91" i="16"/>
  <c r="I92" i="16"/>
  <c r="I93" i="16"/>
  <c r="I94" i="16"/>
  <c r="I95" i="16"/>
  <c r="I96" i="16"/>
  <c r="I97" i="16"/>
  <c r="I98" i="16"/>
  <c r="I99" i="16"/>
  <c r="I100" i="16"/>
  <c r="I101" i="16"/>
  <c r="I102" i="16"/>
  <c r="I103" i="16"/>
  <c r="I104" i="16"/>
  <c r="I105" i="16"/>
  <c r="I106" i="16"/>
  <c r="I107" i="16"/>
  <c r="I108" i="16"/>
  <c r="I109" i="16"/>
  <c r="I110" i="16"/>
  <c r="I111" i="16"/>
  <c r="I112" i="16"/>
  <c r="I113" i="16"/>
  <c r="I114" i="16"/>
  <c r="I115" i="16"/>
  <c r="I116" i="16"/>
  <c r="I117" i="16"/>
  <c r="I118" i="16"/>
  <c r="I119" i="16"/>
  <c r="I120" i="16"/>
  <c r="I121" i="16"/>
  <c r="I122" i="16"/>
  <c r="I123" i="16"/>
  <c r="I124" i="16"/>
  <c r="I125" i="16"/>
  <c r="I126" i="16"/>
  <c r="I127" i="16"/>
  <c r="I128" i="16"/>
  <c r="I129" i="16"/>
  <c r="I130" i="16"/>
  <c r="I131" i="16"/>
  <c r="I132" i="16"/>
  <c r="I133" i="16"/>
  <c r="I134" i="16"/>
  <c r="I135" i="16"/>
  <c r="I136" i="16"/>
  <c r="I137" i="16"/>
  <c r="I138" i="16"/>
  <c r="I139" i="16"/>
  <c r="I140" i="16"/>
  <c r="I141" i="16"/>
  <c r="I142" i="16"/>
  <c r="I143" i="16"/>
  <c r="I144" i="16"/>
  <c r="I145" i="16"/>
  <c r="I146" i="16"/>
  <c r="I147" i="16"/>
  <c r="I148" i="16"/>
  <c r="I149" i="16"/>
  <c r="I150" i="16"/>
  <c r="I151" i="16"/>
  <c r="I152" i="16"/>
  <c r="I153" i="16"/>
  <c r="I154" i="16"/>
  <c r="I155" i="16"/>
  <c r="I156" i="16"/>
  <c r="I157" i="16"/>
  <c r="I158" i="16"/>
  <c r="I159" i="16"/>
  <c r="I160" i="16"/>
  <c r="I161" i="16"/>
  <c r="I162" i="16"/>
  <c r="I163" i="16"/>
  <c r="I164" i="16"/>
  <c r="I165" i="16"/>
  <c r="I166" i="16"/>
  <c r="I167" i="16"/>
  <c r="I168" i="16"/>
  <c r="I169" i="16"/>
  <c r="I170" i="16"/>
  <c r="I171" i="16"/>
  <c r="I172" i="16"/>
  <c r="I173" i="16"/>
  <c r="I174" i="16"/>
  <c r="I175" i="16"/>
  <c r="I176" i="16"/>
  <c r="I177" i="16"/>
  <c r="I178" i="16"/>
  <c r="I179" i="16"/>
  <c r="I180" i="16"/>
  <c r="I181" i="16"/>
  <c r="I182" i="16"/>
  <c r="I183" i="16"/>
  <c r="I184" i="16"/>
  <c r="I185" i="16"/>
  <c r="I186" i="16"/>
  <c r="I187" i="16"/>
  <c r="I188" i="16"/>
  <c r="I189" i="16"/>
  <c r="I190" i="16"/>
  <c r="I191" i="16"/>
  <c r="I192" i="16"/>
  <c r="I193" i="16"/>
  <c r="I194" i="16"/>
  <c r="I195" i="16"/>
  <c r="I196" i="16"/>
  <c r="I197" i="16"/>
  <c r="I198" i="16"/>
  <c r="I199" i="16"/>
  <c r="I200" i="16"/>
  <c r="I201" i="16"/>
  <c r="C2" i="20" a="1"/>
  <c r="C2" i="20"/>
  <c r="C3" i="20" a="1"/>
  <c r="C3" i="20"/>
  <c r="C4" i="20" a="1"/>
  <c r="C4" i="20"/>
  <c r="C5" i="20" a="1"/>
  <c r="C5" i="20"/>
  <c r="C6" i="20" a="1"/>
  <c r="C6" i="20"/>
  <c r="C7" i="20" a="1"/>
  <c r="C7" i="20"/>
  <c r="C8" i="20" a="1"/>
  <c r="C8" i="20"/>
  <c r="C9" i="20" a="1"/>
  <c r="C9" i="20"/>
  <c r="C10" i="20" a="1"/>
  <c r="C10" i="20"/>
  <c r="C11" i="20" a="1"/>
  <c r="C11" i="20"/>
  <c r="C12" i="20" a="1"/>
  <c r="C12" i="20"/>
  <c r="C13" i="20" a="1"/>
  <c r="C13" i="20"/>
  <c r="C14" i="20" a="1"/>
  <c r="C14" i="20"/>
  <c r="C15" i="20" a="1"/>
  <c r="C15" i="20"/>
  <c r="C16" i="20" a="1"/>
  <c r="C16" i="20"/>
  <c r="C17" i="20" a="1"/>
  <c r="C17" i="20"/>
  <c r="C18" i="20" a="1"/>
  <c r="C18" i="20"/>
  <c r="C19" i="20" a="1"/>
  <c r="C19" i="20"/>
  <c r="C20" i="20" a="1"/>
  <c r="C20" i="20"/>
  <c r="C21" i="20" a="1"/>
  <c r="C21" i="20"/>
  <c r="C22" i="20" a="1"/>
  <c r="C22" i="20"/>
  <c r="C23" i="20" a="1"/>
  <c r="C23" i="20"/>
  <c r="C24" i="20" a="1"/>
  <c r="C24" i="20"/>
  <c r="C25" i="20" a="1"/>
  <c r="C25" i="20"/>
  <c r="C26" i="20" a="1"/>
  <c r="C26" i="20"/>
  <c r="C27" i="20" a="1"/>
  <c r="C27" i="20"/>
  <c r="C28" i="20" a="1"/>
  <c r="C28" i="20"/>
  <c r="C29" i="20" a="1"/>
  <c r="C29" i="20"/>
  <c r="C30" i="20" a="1"/>
  <c r="C30" i="20"/>
  <c r="C31" i="20" a="1"/>
  <c r="C31" i="20"/>
  <c r="C32" i="20" a="1"/>
  <c r="C32" i="20"/>
  <c r="C33" i="20" a="1"/>
  <c r="C33" i="20"/>
  <c r="C34" i="20" a="1"/>
  <c r="C34" i="20"/>
  <c r="C35" i="20" a="1"/>
  <c r="C35" i="20"/>
  <c r="C36" i="20" a="1"/>
  <c r="C36" i="20"/>
  <c r="C37" i="20" a="1"/>
  <c r="C37" i="20"/>
  <c r="C38" i="20" a="1"/>
  <c r="C38" i="20"/>
  <c r="C39" i="20" a="1"/>
  <c r="C39" i="20"/>
  <c r="C40" i="20" a="1"/>
  <c r="C40" i="20"/>
  <c r="C41" i="20" a="1"/>
  <c r="C41" i="20"/>
  <c r="C42" i="20" a="1"/>
  <c r="C42" i="20"/>
  <c r="C43" i="20" a="1"/>
  <c r="C43" i="20"/>
  <c r="C44" i="20" a="1"/>
  <c r="C44" i="20"/>
  <c r="C45" i="20" a="1"/>
  <c r="C45" i="20"/>
  <c r="C46" i="20" a="1"/>
  <c r="C46" i="20"/>
  <c r="C47" i="20" a="1"/>
  <c r="C47" i="20"/>
  <c r="C48" i="20" a="1"/>
  <c r="C48" i="20"/>
  <c r="C49" i="20" a="1"/>
  <c r="C49" i="20"/>
  <c r="C50" i="20" a="1"/>
  <c r="C50" i="20"/>
  <c r="C51" i="20" a="1"/>
  <c r="C51" i="20"/>
  <c r="C52" i="20" a="1"/>
  <c r="C52" i="20"/>
  <c r="C53" i="20" a="1"/>
  <c r="C53" i="20"/>
  <c r="C54" i="20" a="1"/>
  <c r="C54" i="20"/>
  <c r="C55" i="20" a="1"/>
  <c r="C55" i="20"/>
  <c r="C56" i="20" a="1"/>
  <c r="C56" i="20"/>
  <c r="C57" i="20" a="1"/>
  <c r="C57" i="20"/>
  <c r="C58" i="20" a="1"/>
  <c r="C58" i="20"/>
  <c r="C59" i="20" a="1"/>
  <c r="C59" i="20"/>
  <c r="C60" i="20" a="1"/>
  <c r="C60" i="20"/>
  <c r="C61" i="20" a="1"/>
  <c r="C61" i="20"/>
  <c r="C62" i="20" a="1"/>
  <c r="C62" i="20"/>
  <c r="C63" i="20" a="1"/>
  <c r="C63" i="20"/>
  <c r="C64" i="20" a="1"/>
  <c r="C64" i="20"/>
  <c r="C65" i="20" a="1"/>
  <c r="C65" i="20"/>
  <c r="C66" i="20" a="1"/>
  <c r="C66" i="20"/>
  <c r="C67" i="20" a="1"/>
  <c r="C67" i="20"/>
  <c r="C68" i="20" a="1"/>
  <c r="C68" i="20"/>
  <c r="C69" i="20" a="1"/>
  <c r="C69" i="20"/>
  <c r="C70" i="20" a="1"/>
  <c r="C70" i="20"/>
  <c r="C71" i="20" a="1"/>
  <c r="C71" i="20"/>
  <c r="E2" i="16"/>
  <c r="E3" i="16"/>
  <c r="E4" i="16"/>
  <c r="E5" i="16"/>
  <c r="E6" i="16"/>
  <c r="E7" i="16"/>
  <c r="E8" i="16"/>
  <c r="E9" i="16"/>
  <c r="E10" i="16"/>
  <c r="E11" i="16"/>
  <c r="E12" i="16"/>
  <c r="E13" i="16"/>
  <c r="E14" i="16"/>
  <c r="E15" i="16"/>
  <c r="E16" i="16"/>
  <c r="E17" i="16"/>
  <c r="E18" i="16"/>
  <c r="E19" i="16"/>
  <c r="E20" i="16"/>
  <c r="E21" i="16"/>
  <c r="E22" i="16"/>
  <c r="E23" i="16"/>
  <c r="E24" i="16"/>
  <c r="E25" i="16"/>
  <c r="E26" i="16"/>
  <c r="E27" i="16"/>
  <c r="E28" i="16"/>
  <c r="E29" i="16"/>
  <c r="E30" i="16"/>
  <c r="E31" i="16"/>
  <c r="E32" i="16"/>
  <c r="E33" i="16"/>
  <c r="E34" i="16"/>
  <c r="E35" i="16"/>
  <c r="E36" i="16"/>
  <c r="E37" i="16"/>
  <c r="E38" i="16"/>
  <c r="E39" i="16"/>
  <c r="E40" i="16"/>
  <c r="E41" i="16"/>
  <c r="E42" i="16"/>
  <c r="E43" i="16"/>
  <c r="E44" i="16"/>
  <c r="E45" i="16"/>
  <c r="E46" i="16"/>
  <c r="E47" i="16"/>
  <c r="E48" i="16"/>
  <c r="E49" i="16"/>
  <c r="E50" i="16"/>
  <c r="E51" i="16"/>
  <c r="E52" i="16"/>
  <c r="E53" i="16"/>
  <c r="E54" i="16"/>
  <c r="E55" i="16"/>
  <c r="E56" i="16"/>
  <c r="E57" i="16"/>
  <c r="E58" i="16"/>
  <c r="E59" i="16"/>
  <c r="E60" i="16"/>
  <c r="E61" i="16"/>
  <c r="E62" i="16"/>
  <c r="E63" i="16"/>
  <c r="E64" i="16"/>
  <c r="E65" i="16"/>
  <c r="E66" i="16"/>
  <c r="E67" i="16"/>
  <c r="E68" i="16"/>
  <c r="E69" i="16"/>
  <c r="E70" i="16"/>
  <c r="E71" i="16"/>
  <c r="E72" i="16"/>
  <c r="E73" i="16"/>
  <c r="E74" i="16"/>
  <c r="E75" i="16"/>
  <c r="E76" i="16"/>
  <c r="E77" i="16"/>
  <c r="E78" i="16"/>
  <c r="E79" i="16"/>
  <c r="E80" i="16"/>
  <c r="E81" i="16"/>
  <c r="E82" i="16"/>
  <c r="E83" i="16"/>
  <c r="E84" i="16"/>
  <c r="E85" i="16"/>
  <c r="E86" i="16"/>
  <c r="E87" i="16"/>
  <c r="E88" i="16"/>
  <c r="E89" i="16"/>
  <c r="E90" i="16"/>
  <c r="E91" i="16"/>
  <c r="E92" i="16"/>
  <c r="E93" i="16"/>
  <c r="E94" i="16"/>
  <c r="E95" i="16"/>
  <c r="E96" i="16"/>
  <c r="E97" i="16"/>
  <c r="E98" i="16"/>
  <c r="E99" i="16"/>
  <c r="E100" i="16"/>
  <c r="E101" i="16"/>
  <c r="E102" i="16"/>
  <c r="E103" i="16"/>
  <c r="E104" i="16"/>
  <c r="E105" i="16"/>
  <c r="E106" i="16"/>
  <c r="E107" i="16"/>
  <c r="E108" i="16"/>
  <c r="E109" i="16"/>
  <c r="E110" i="16"/>
  <c r="E111" i="16"/>
  <c r="E112" i="16"/>
  <c r="E113" i="16"/>
  <c r="E114" i="16"/>
  <c r="E115" i="16"/>
  <c r="E116" i="16"/>
  <c r="E117" i="16"/>
  <c r="E118" i="16"/>
  <c r="E119" i="16"/>
  <c r="E120" i="16"/>
  <c r="E121" i="16"/>
  <c r="E122" i="16"/>
  <c r="E123" i="16"/>
  <c r="E124" i="16"/>
  <c r="E125" i="16"/>
  <c r="E126" i="16"/>
  <c r="E127" i="16"/>
  <c r="E128" i="16"/>
  <c r="E129" i="16"/>
  <c r="E130" i="16"/>
  <c r="E131" i="16"/>
  <c r="E132" i="16"/>
  <c r="E133" i="16"/>
  <c r="E134" i="16"/>
  <c r="E135" i="16"/>
  <c r="E136" i="16"/>
  <c r="E137" i="16"/>
  <c r="E138" i="16"/>
  <c r="E139" i="16"/>
  <c r="E140" i="16"/>
  <c r="E141" i="16"/>
  <c r="E142" i="16"/>
  <c r="E143" i="16"/>
  <c r="E144" i="16"/>
  <c r="E145" i="16"/>
  <c r="E146" i="16"/>
  <c r="E147" i="16"/>
  <c r="E148" i="16"/>
  <c r="E149" i="16"/>
  <c r="E150" i="16"/>
  <c r="E151" i="16"/>
  <c r="E152" i="16"/>
  <c r="E153" i="16"/>
  <c r="E154" i="16"/>
  <c r="E155" i="16"/>
  <c r="E156" i="16"/>
  <c r="E157" i="16"/>
  <c r="E158" i="16"/>
  <c r="E159" i="16"/>
  <c r="E160" i="16"/>
  <c r="E161" i="16"/>
  <c r="E162" i="16"/>
  <c r="E163" i="16"/>
  <c r="E164" i="16"/>
  <c r="E165" i="16"/>
  <c r="E166" i="16"/>
  <c r="E167" i="16"/>
  <c r="E168" i="16"/>
  <c r="E169" i="16"/>
  <c r="E170" i="16"/>
  <c r="E171" i="16"/>
  <c r="E172" i="16"/>
  <c r="E173" i="16"/>
  <c r="E174" i="16"/>
  <c r="E175" i="16"/>
  <c r="E176" i="16"/>
  <c r="E177" i="16"/>
  <c r="E178" i="16"/>
  <c r="E179" i="16"/>
  <c r="E180" i="16"/>
  <c r="E181" i="16"/>
  <c r="E182" i="16"/>
  <c r="E183" i="16"/>
  <c r="E184" i="16"/>
  <c r="E185" i="16"/>
  <c r="E186" i="16"/>
  <c r="E187" i="16"/>
  <c r="E188" i="16"/>
  <c r="E189" i="16"/>
  <c r="E190" i="16"/>
  <c r="E191" i="16"/>
  <c r="E192" i="16"/>
  <c r="E193" i="16"/>
  <c r="E194" i="16"/>
  <c r="E195" i="16"/>
  <c r="E196" i="16"/>
  <c r="E197" i="16"/>
  <c r="E198" i="16"/>
  <c r="E199" i="16"/>
  <c r="E200" i="16"/>
  <c r="E201" i="16"/>
  <c r="F2" i="5"/>
  <c r="F3" i="5"/>
  <c r="F4" i="5"/>
  <c r="F5" i="5"/>
  <c r="F6" i="5"/>
  <c r="F7" i="5"/>
  <c r="F8" i="5"/>
  <c r="F9" i="5"/>
  <c r="F10" i="5"/>
  <c r="F11" i="5"/>
  <c r="F12" i="5"/>
  <c r="F13" i="5"/>
  <c r="F14" i="5"/>
  <c r="F15" i="5"/>
  <c r="F16" i="5"/>
  <c r="F17" i="5"/>
  <c r="F18" i="5"/>
  <c r="F19" i="5"/>
  <c r="F20" i="5"/>
  <c r="F21" i="5"/>
  <c r="F22" i="5"/>
  <c r="F23" i="5"/>
  <c r="F24" i="5"/>
  <c r="F25" i="5"/>
  <c r="F26" i="5"/>
  <c r="F27" i="5"/>
  <c r="F28" i="5"/>
  <c r="F29" i="5"/>
  <c r="F30" i="5"/>
  <c r="F31" i="5"/>
  <c r="F32" i="5"/>
  <c r="F33" i="5"/>
  <c r="F34" i="5"/>
  <c r="F35" i="5"/>
  <c r="F36" i="5"/>
  <c r="F37" i="5"/>
  <c r="F38" i="5"/>
  <c r="F39" i="5"/>
  <c r="F40" i="5"/>
  <c r="F41" i="5"/>
  <c r="F42" i="5"/>
  <c r="F43" i="5"/>
  <c r="F44" i="5"/>
  <c r="F45" i="5"/>
  <c r="F46" i="5"/>
  <c r="F47" i="5"/>
  <c r="F48" i="5"/>
  <c r="F49" i="5"/>
  <c r="F50" i="5"/>
  <c r="F51" i="5"/>
  <c r="F52" i="5"/>
  <c r="F53" i="5"/>
  <c r="F54" i="5"/>
  <c r="F55" i="5"/>
  <c r="F56" i="5"/>
  <c r="F57" i="5"/>
  <c r="F58" i="5"/>
  <c r="F59" i="5"/>
  <c r="F60" i="5"/>
  <c r="F61" i="5"/>
  <c r="F62" i="5"/>
  <c r="F63" i="5"/>
  <c r="F64" i="5"/>
  <c r="F65" i="5"/>
  <c r="F66" i="5"/>
  <c r="F67" i="5"/>
  <c r="F68" i="5"/>
  <c r="F69" i="5"/>
  <c r="F70" i="5"/>
  <c r="F71" i="5"/>
  <c r="F72" i="5"/>
  <c r="F73" i="5"/>
  <c r="F74" i="5"/>
  <c r="F75" i="5"/>
  <c r="F76" i="5"/>
  <c r="F77" i="5"/>
  <c r="F78" i="5"/>
  <c r="F79" i="5"/>
  <c r="F80" i="5"/>
  <c r="F81" i="5"/>
  <c r="F82" i="5"/>
  <c r="F83" i="5"/>
  <c r="F84" i="5"/>
  <c r="F85" i="5"/>
  <c r="F86" i="5"/>
  <c r="F87" i="5"/>
  <c r="F88" i="5"/>
  <c r="F89" i="5"/>
  <c r="F90" i="5"/>
  <c r="F91" i="5"/>
  <c r="F92" i="5"/>
  <c r="F93" i="5"/>
  <c r="F94" i="5"/>
  <c r="F95" i="5"/>
  <c r="F96" i="5"/>
  <c r="F97" i="5"/>
  <c r="F98" i="5"/>
  <c r="F99" i="5"/>
  <c r="F100" i="5"/>
  <c r="F101" i="5"/>
  <c r="F102" i="5"/>
  <c r="F103" i="5"/>
  <c r="F104" i="5"/>
  <c r="F105" i="5"/>
  <c r="F106" i="5"/>
  <c r="F107" i="5"/>
  <c r="F108" i="5"/>
  <c r="F109" i="5"/>
  <c r="F110" i="5"/>
  <c r="F111" i="5"/>
  <c r="F112" i="5"/>
  <c r="F113" i="5"/>
  <c r="F114" i="5"/>
  <c r="F115" i="5"/>
  <c r="F116" i="5"/>
  <c r="F117" i="5"/>
  <c r="F118" i="5"/>
  <c r="F119" i="5"/>
  <c r="F120" i="5"/>
  <c r="F121" i="5"/>
  <c r="F122" i="5"/>
  <c r="F123" i="5"/>
  <c r="F124" i="5"/>
  <c r="F125" i="5"/>
  <c r="F126" i="5"/>
  <c r="F127" i="5"/>
  <c r="F128" i="5"/>
  <c r="F129" i="5"/>
  <c r="F130" i="5"/>
  <c r="F131" i="5"/>
  <c r="F132" i="5"/>
  <c r="F133" i="5"/>
  <c r="F134" i="5"/>
  <c r="F135" i="5"/>
  <c r="F136" i="5"/>
  <c r="F137" i="5"/>
  <c r="F138" i="5"/>
  <c r="F139" i="5"/>
  <c r="F140" i="5"/>
  <c r="F141" i="5"/>
  <c r="F142" i="5"/>
  <c r="F143" i="5"/>
  <c r="F144" i="5"/>
  <c r="F145" i="5"/>
  <c r="F146" i="5"/>
  <c r="F147" i="5"/>
  <c r="F148" i="5"/>
  <c r="F149" i="5"/>
  <c r="F150" i="5"/>
  <c r="F151" i="5"/>
  <c r="F152" i="5"/>
  <c r="F153" i="5"/>
  <c r="F154" i="5"/>
  <c r="F155" i="5"/>
  <c r="F156" i="5"/>
  <c r="F157" i="5"/>
  <c r="F158" i="5"/>
  <c r="F159" i="5"/>
  <c r="F160" i="5"/>
  <c r="F161" i="5"/>
  <c r="F162" i="5"/>
  <c r="F163" i="5"/>
  <c r="F164" i="5"/>
  <c r="F165" i="5"/>
  <c r="F166" i="5"/>
  <c r="F167" i="5"/>
  <c r="F168" i="5"/>
  <c r="F169" i="5"/>
  <c r="F170" i="5"/>
  <c r="F171" i="5"/>
  <c r="F172" i="5"/>
  <c r="F173" i="5"/>
  <c r="F174" i="5"/>
  <c r="F175" i="5"/>
  <c r="F176" i="5"/>
  <c r="F177" i="5"/>
  <c r="F178" i="5"/>
  <c r="F179" i="5"/>
  <c r="F180" i="5"/>
  <c r="F181" i="5"/>
  <c r="F182" i="5"/>
  <c r="F183" i="5"/>
  <c r="F184" i="5"/>
  <c r="F185" i="5"/>
  <c r="F186" i="5"/>
  <c r="F187" i="5"/>
  <c r="F188" i="5"/>
  <c r="F189" i="5"/>
  <c r="F190" i="5"/>
  <c r="F191" i="5"/>
  <c r="F192" i="5"/>
  <c r="F193" i="5"/>
  <c r="F194" i="5"/>
  <c r="F195" i="5"/>
  <c r="F196" i="5"/>
  <c r="F197" i="5"/>
  <c r="F198" i="5"/>
  <c r="F199" i="5"/>
  <c r="F200" i="5"/>
  <c r="F201" i="5"/>
  <c r="D3" i="5"/>
  <c r="D4" i="5"/>
  <c r="D5" i="5"/>
  <c r="D6" i="5"/>
  <c r="D7" i="5"/>
  <c r="D8" i="5"/>
  <c r="D9" i="5"/>
  <c r="D10" i="5"/>
  <c r="D11" i="5"/>
  <c r="D12" i="5"/>
  <c r="D13" i="5"/>
  <c r="D14" i="5"/>
  <c r="D15" i="5"/>
  <c r="D16" i="5"/>
  <c r="D17" i="5"/>
  <c r="D18" i="5"/>
  <c r="D19" i="5"/>
  <c r="D20" i="5"/>
  <c r="D21" i="5"/>
  <c r="D22" i="5"/>
  <c r="D23" i="5"/>
  <c r="D24" i="5"/>
  <c r="D25" i="5"/>
  <c r="D26" i="5"/>
  <c r="D27" i="5"/>
  <c r="D28" i="5"/>
  <c r="D29" i="5"/>
  <c r="D30" i="5"/>
  <c r="D31" i="5"/>
  <c r="D32" i="5"/>
  <c r="D33" i="5"/>
  <c r="D34" i="5"/>
  <c r="D35" i="5"/>
  <c r="D36" i="5"/>
  <c r="D37" i="5"/>
  <c r="D38" i="5"/>
  <c r="D39" i="5"/>
  <c r="D40" i="5"/>
  <c r="D41" i="5"/>
  <c r="D42" i="5"/>
  <c r="D43" i="5"/>
  <c r="D44" i="5"/>
  <c r="D45" i="5"/>
  <c r="D46" i="5"/>
  <c r="D47" i="5"/>
  <c r="D48" i="5"/>
  <c r="D49" i="5"/>
  <c r="D50" i="5"/>
  <c r="D51" i="5"/>
  <c r="D52" i="5"/>
  <c r="D53" i="5"/>
  <c r="D54" i="5"/>
  <c r="D55" i="5"/>
  <c r="D56" i="5"/>
  <c r="D57" i="5"/>
  <c r="D58" i="5"/>
  <c r="D59" i="5"/>
  <c r="D60" i="5"/>
  <c r="D61" i="5"/>
  <c r="D62" i="5"/>
  <c r="D63" i="5"/>
  <c r="D64" i="5"/>
  <c r="D65" i="5"/>
  <c r="D66" i="5"/>
  <c r="D67" i="5"/>
  <c r="D68" i="5"/>
  <c r="D69" i="5"/>
  <c r="D70" i="5"/>
  <c r="D71" i="5"/>
  <c r="D72" i="5"/>
  <c r="D73" i="5"/>
  <c r="D74" i="5"/>
  <c r="D75" i="5"/>
  <c r="D76" i="5"/>
  <c r="D77" i="5"/>
  <c r="D78" i="5"/>
  <c r="D79" i="5"/>
  <c r="D80" i="5"/>
  <c r="D81" i="5"/>
  <c r="D82" i="5"/>
  <c r="D83" i="5"/>
  <c r="D84" i="5"/>
  <c r="D85" i="5"/>
  <c r="D86" i="5"/>
  <c r="D87" i="5"/>
  <c r="D88" i="5"/>
  <c r="D89" i="5"/>
  <c r="D90" i="5"/>
  <c r="D91" i="5"/>
  <c r="D92" i="5"/>
  <c r="D93" i="5"/>
  <c r="D94" i="5"/>
  <c r="D95" i="5"/>
  <c r="D96" i="5"/>
  <c r="D97" i="5"/>
  <c r="D98" i="5"/>
  <c r="D99" i="5"/>
  <c r="D100" i="5"/>
  <c r="D101" i="5"/>
  <c r="D102" i="5"/>
  <c r="D103" i="5"/>
  <c r="D104" i="5"/>
  <c r="D105" i="5"/>
  <c r="D106" i="5"/>
  <c r="D107" i="5"/>
  <c r="D108" i="5"/>
  <c r="D109" i="5"/>
  <c r="D110" i="5"/>
  <c r="D111" i="5"/>
  <c r="D112" i="5"/>
  <c r="D113" i="5"/>
  <c r="D114" i="5"/>
  <c r="D115" i="5"/>
  <c r="D116" i="5"/>
  <c r="D117" i="5"/>
  <c r="D118" i="5"/>
  <c r="D119" i="5"/>
  <c r="D120" i="5"/>
  <c r="D121" i="5"/>
  <c r="D122" i="5"/>
  <c r="D123" i="5"/>
  <c r="D124" i="5"/>
  <c r="D125" i="5"/>
  <c r="D126" i="5"/>
  <c r="D127" i="5"/>
  <c r="D128" i="5"/>
  <c r="D129" i="5"/>
  <c r="D130" i="5"/>
  <c r="D131" i="5"/>
  <c r="D132" i="5"/>
  <c r="D133" i="5"/>
  <c r="D134" i="5"/>
  <c r="D135" i="5"/>
  <c r="D136" i="5"/>
  <c r="D137" i="5"/>
  <c r="D138" i="5"/>
  <c r="D139" i="5"/>
  <c r="D140" i="5"/>
  <c r="D141" i="5"/>
  <c r="D142" i="5"/>
  <c r="D143" i="5"/>
  <c r="D144" i="5"/>
  <c r="D145" i="5"/>
  <c r="D146" i="5"/>
  <c r="D147" i="5"/>
  <c r="D148" i="5"/>
  <c r="D149" i="5"/>
  <c r="D150" i="5"/>
  <c r="D151" i="5"/>
  <c r="D152" i="5"/>
  <c r="D153" i="5"/>
  <c r="D154" i="5"/>
  <c r="D155" i="5"/>
  <c r="D156" i="5"/>
  <c r="D157" i="5"/>
  <c r="D158" i="5"/>
  <c r="D159" i="5"/>
  <c r="D160" i="5"/>
  <c r="D161" i="5"/>
  <c r="D162" i="5"/>
  <c r="D163" i="5"/>
  <c r="D164" i="5"/>
  <c r="D165" i="5"/>
  <c r="D166" i="5"/>
  <c r="D167" i="5"/>
  <c r="D168" i="5"/>
  <c r="D169" i="5"/>
  <c r="D170" i="5"/>
  <c r="D171" i="5"/>
  <c r="D172" i="5"/>
  <c r="D173" i="5"/>
  <c r="D174" i="5"/>
  <c r="D175" i="5"/>
  <c r="D176" i="5"/>
  <c r="D177" i="5"/>
  <c r="D178" i="5"/>
  <c r="D179" i="5"/>
  <c r="D180" i="5"/>
  <c r="D181" i="5"/>
  <c r="D182" i="5"/>
  <c r="D183" i="5"/>
  <c r="D184" i="5"/>
  <c r="D185" i="5"/>
  <c r="D186" i="5"/>
  <c r="D187" i="5"/>
  <c r="D188" i="5"/>
  <c r="D189" i="5"/>
  <c r="D190" i="5"/>
  <c r="D191" i="5"/>
  <c r="D192" i="5"/>
  <c r="D193" i="5"/>
  <c r="D194" i="5"/>
  <c r="D195" i="5"/>
  <c r="D196" i="5"/>
  <c r="D197" i="5"/>
  <c r="D198" i="5"/>
  <c r="D199" i="5"/>
  <c r="D200" i="5"/>
  <c r="D201" i="5"/>
  <c r="D2" i="5"/>
  <c r="D3" i="16"/>
  <c r="D4" i="16"/>
  <c r="D5" i="16"/>
  <c r="D6" i="16"/>
  <c r="D7" i="16"/>
  <c r="D8" i="16"/>
  <c r="D9" i="16"/>
  <c r="D10" i="16"/>
  <c r="D11" i="16"/>
  <c r="D12" i="16"/>
  <c r="D13" i="16"/>
  <c r="D14" i="16"/>
  <c r="D15" i="16"/>
  <c r="D16" i="16"/>
  <c r="D17" i="16"/>
  <c r="D18" i="16"/>
  <c r="D19" i="16"/>
  <c r="D20" i="16"/>
  <c r="D21" i="16"/>
  <c r="D22" i="16"/>
  <c r="D23" i="16"/>
  <c r="D24" i="16"/>
  <c r="D25" i="16"/>
  <c r="D26" i="16"/>
  <c r="D27" i="16"/>
  <c r="D28" i="16"/>
  <c r="D29" i="16"/>
  <c r="D30" i="16"/>
  <c r="D31" i="16"/>
  <c r="D32" i="16"/>
  <c r="D33" i="16"/>
  <c r="D34" i="16"/>
  <c r="D35" i="16"/>
  <c r="D36" i="16"/>
  <c r="D37" i="16"/>
  <c r="D38" i="16"/>
  <c r="D39" i="16"/>
  <c r="D40" i="16"/>
  <c r="D41" i="16"/>
  <c r="D42" i="16"/>
  <c r="D43" i="16"/>
  <c r="D44" i="16"/>
  <c r="D45" i="16"/>
  <c r="D46" i="16"/>
  <c r="D47" i="16"/>
  <c r="D48" i="16"/>
  <c r="D49" i="16"/>
  <c r="D50" i="16"/>
  <c r="D51" i="16"/>
  <c r="D52" i="16"/>
  <c r="D53" i="16"/>
  <c r="D54" i="16"/>
  <c r="D55" i="16"/>
  <c r="D56" i="16"/>
  <c r="D57" i="16"/>
  <c r="D58" i="16"/>
  <c r="D59" i="16"/>
  <c r="D60" i="16"/>
  <c r="D61" i="16"/>
  <c r="D62" i="16"/>
  <c r="D63" i="16"/>
  <c r="D64" i="16"/>
  <c r="D65" i="16"/>
  <c r="D66" i="16"/>
  <c r="D67" i="16"/>
  <c r="D68" i="16"/>
  <c r="D69" i="16"/>
  <c r="D70" i="16"/>
  <c r="D71" i="16"/>
  <c r="D72" i="16"/>
  <c r="D73" i="16"/>
  <c r="D74" i="16"/>
  <c r="D75" i="16"/>
  <c r="D76" i="16"/>
  <c r="D77" i="16"/>
  <c r="D78" i="16"/>
  <c r="D79" i="16"/>
  <c r="D80" i="16"/>
  <c r="D81" i="16"/>
  <c r="D82" i="16"/>
  <c r="D83" i="16"/>
  <c r="D84" i="16"/>
  <c r="D85" i="16"/>
  <c r="D86" i="16"/>
  <c r="D87" i="16"/>
  <c r="D88" i="16"/>
  <c r="D89" i="16"/>
  <c r="D90" i="16"/>
  <c r="D91" i="16"/>
  <c r="D92" i="16"/>
  <c r="D93" i="16"/>
  <c r="D94" i="16"/>
  <c r="D95" i="16"/>
  <c r="D96" i="16"/>
  <c r="D97" i="16"/>
  <c r="D98" i="16"/>
  <c r="D99" i="16"/>
  <c r="D100" i="16"/>
  <c r="D101" i="16"/>
  <c r="D102" i="16"/>
  <c r="D103" i="16"/>
  <c r="D104" i="16"/>
  <c r="D105" i="16"/>
  <c r="D106" i="16"/>
  <c r="D107" i="16"/>
  <c r="D108" i="16"/>
  <c r="D109" i="16"/>
  <c r="D110" i="16"/>
  <c r="D111" i="16"/>
  <c r="D112" i="16"/>
  <c r="D113" i="16"/>
  <c r="D114" i="16"/>
  <c r="D115" i="16"/>
  <c r="D116" i="16"/>
  <c r="D117" i="16"/>
  <c r="D118" i="16"/>
  <c r="D119" i="16"/>
  <c r="D120" i="16"/>
  <c r="D121" i="16"/>
  <c r="D122" i="16"/>
  <c r="D123" i="16"/>
  <c r="D124" i="16"/>
  <c r="D125" i="16"/>
  <c r="D126" i="16"/>
  <c r="D127" i="16"/>
  <c r="D128" i="16"/>
  <c r="D129" i="16"/>
  <c r="D130" i="16"/>
  <c r="D131" i="16"/>
  <c r="D132" i="16"/>
  <c r="D133" i="16"/>
  <c r="D134" i="16"/>
  <c r="D135" i="16"/>
  <c r="D136" i="16"/>
  <c r="D137" i="16"/>
  <c r="D138" i="16"/>
  <c r="D139" i="16"/>
  <c r="D140" i="16"/>
  <c r="D141" i="16"/>
  <c r="D142" i="16"/>
  <c r="D143" i="16"/>
  <c r="D144" i="16"/>
  <c r="D145" i="16"/>
  <c r="D146" i="16"/>
  <c r="D147" i="16"/>
  <c r="D148" i="16"/>
  <c r="D149" i="16"/>
  <c r="D150" i="16"/>
  <c r="D151" i="16"/>
  <c r="D152" i="16"/>
  <c r="D153" i="16"/>
  <c r="D154" i="16"/>
  <c r="D155" i="16"/>
  <c r="D156" i="16"/>
  <c r="D157" i="16"/>
  <c r="D158" i="16"/>
  <c r="D159" i="16"/>
  <c r="D160" i="16"/>
  <c r="D161" i="16"/>
  <c r="D162" i="16"/>
  <c r="D163" i="16"/>
  <c r="D164" i="16"/>
  <c r="D165" i="16"/>
  <c r="D166" i="16"/>
  <c r="D167" i="16"/>
  <c r="D168" i="16"/>
  <c r="D169" i="16"/>
  <c r="D170" i="16"/>
  <c r="D171" i="16"/>
  <c r="D172" i="16"/>
  <c r="D173" i="16"/>
  <c r="D174" i="16"/>
  <c r="D175" i="16"/>
  <c r="D176" i="16"/>
  <c r="D177" i="16"/>
  <c r="D178" i="16"/>
  <c r="D179" i="16"/>
  <c r="D180" i="16"/>
  <c r="D181" i="16"/>
  <c r="D182" i="16"/>
  <c r="D183" i="16"/>
  <c r="D184" i="16"/>
  <c r="D185" i="16"/>
  <c r="D186" i="16"/>
  <c r="D187" i="16"/>
  <c r="D188" i="16"/>
  <c r="D189" i="16"/>
  <c r="D190" i="16"/>
  <c r="D191" i="16"/>
  <c r="D192" i="16"/>
  <c r="D193" i="16"/>
  <c r="D194" i="16"/>
  <c r="D195" i="16"/>
  <c r="D196" i="16"/>
  <c r="D197" i="16"/>
  <c r="D198" i="16"/>
  <c r="D199" i="16"/>
  <c r="D200" i="16"/>
  <c r="D201" i="16"/>
  <c r="B2" i="16"/>
  <c r="K2" i="16" s="1"/>
  <c r="B4" i="16"/>
  <c r="K4" i="16" s="1"/>
  <c r="B5" i="16"/>
  <c r="K5" i="16" s="1"/>
  <c r="B6" i="16"/>
  <c r="K6" i="16" s="1"/>
  <c r="B7" i="16"/>
  <c r="K7" i="16" s="1"/>
  <c r="B8" i="16"/>
  <c r="K8" i="16" s="1"/>
  <c r="B9" i="16"/>
  <c r="K9" i="16" s="1"/>
  <c r="B10" i="16"/>
  <c r="K10" i="16" s="1"/>
  <c r="B11" i="16"/>
  <c r="K11" i="16" s="1"/>
  <c r="B12" i="16"/>
  <c r="K12" i="16" s="1"/>
  <c r="B13" i="16"/>
  <c r="K13" i="16" s="1"/>
  <c r="B14" i="16"/>
  <c r="K14" i="16" s="1"/>
  <c r="B15" i="16"/>
  <c r="K15" i="16" s="1"/>
  <c r="B16" i="16"/>
  <c r="K16" i="16" s="1"/>
  <c r="B17" i="16"/>
  <c r="K17" i="16" s="1"/>
  <c r="B18" i="16"/>
  <c r="K18" i="16" s="1"/>
  <c r="B19" i="16"/>
  <c r="K19" i="16" s="1"/>
  <c r="B20" i="16"/>
  <c r="K20" i="16" s="1"/>
  <c r="B21" i="16"/>
  <c r="K21" i="16" s="1"/>
  <c r="B22" i="16"/>
  <c r="K22" i="16" s="1"/>
  <c r="B23" i="16"/>
  <c r="K23" i="16" s="1"/>
  <c r="B24" i="16"/>
  <c r="K24" i="16" s="1"/>
  <c r="B25" i="16"/>
  <c r="K25" i="16" s="1"/>
  <c r="B26" i="16"/>
  <c r="K26" i="16" s="1"/>
  <c r="B27" i="16"/>
  <c r="K27" i="16" s="1"/>
  <c r="B28" i="16"/>
  <c r="K28" i="16" s="1"/>
  <c r="B29" i="16"/>
  <c r="K29" i="16" s="1"/>
  <c r="B30" i="16"/>
  <c r="K30" i="16" s="1"/>
  <c r="B31" i="16"/>
  <c r="K31" i="16" s="1"/>
  <c r="B32" i="16"/>
  <c r="K32" i="16" s="1"/>
  <c r="B33" i="16"/>
  <c r="K33" i="16" s="1"/>
  <c r="B34" i="16"/>
  <c r="K34" i="16" s="1"/>
  <c r="B35" i="16"/>
  <c r="K35" i="16" s="1"/>
  <c r="B36" i="16"/>
  <c r="K36" i="16" s="1"/>
  <c r="B37" i="16"/>
  <c r="K37" i="16" s="1"/>
  <c r="B38" i="16"/>
  <c r="K38" i="16" s="1"/>
  <c r="B39" i="16"/>
  <c r="K39" i="16" s="1"/>
  <c r="B40" i="16"/>
  <c r="K40" i="16" s="1"/>
  <c r="B41" i="16"/>
  <c r="K41" i="16" s="1"/>
  <c r="B42" i="16"/>
  <c r="K42" i="16" s="1"/>
  <c r="B43" i="16"/>
  <c r="K43" i="16" s="1"/>
  <c r="B44" i="16"/>
  <c r="K44" i="16" s="1"/>
  <c r="B45" i="16"/>
  <c r="K45" i="16" s="1"/>
  <c r="B46" i="16"/>
  <c r="K46" i="16" s="1"/>
  <c r="B47" i="16"/>
  <c r="K47" i="16" s="1"/>
  <c r="B48" i="16"/>
  <c r="K48" i="16" s="1"/>
  <c r="B49" i="16"/>
  <c r="K49" i="16" s="1"/>
  <c r="B50" i="16"/>
  <c r="K50" i="16" s="1"/>
  <c r="B51" i="16"/>
  <c r="K51" i="16" s="1"/>
  <c r="B52" i="16"/>
  <c r="K52" i="16" s="1"/>
  <c r="B53" i="16"/>
  <c r="K53" i="16" s="1"/>
  <c r="B54" i="16"/>
  <c r="K54" i="16" s="1"/>
  <c r="B55" i="16"/>
  <c r="K55" i="16" s="1"/>
  <c r="B56" i="16"/>
  <c r="K56" i="16" s="1"/>
  <c r="B57" i="16"/>
  <c r="K57" i="16" s="1"/>
  <c r="B58" i="16"/>
  <c r="K58" i="16" s="1"/>
  <c r="B59" i="16"/>
  <c r="K59" i="16" s="1"/>
  <c r="B60" i="16"/>
  <c r="K60" i="16" s="1"/>
  <c r="B61" i="16"/>
  <c r="K61" i="16" s="1"/>
  <c r="B62" i="16"/>
  <c r="K62" i="16" s="1"/>
  <c r="B63" i="16"/>
  <c r="K63" i="16" s="1"/>
  <c r="B64" i="16"/>
  <c r="K64" i="16" s="1"/>
  <c r="B65" i="16"/>
  <c r="K65" i="16" s="1"/>
  <c r="B66" i="16"/>
  <c r="K66" i="16" s="1"/>
  <c r="B67" i="16"/>
  <c r="K67" i="16" s="1"/>
  <c r="B68" i="16"/>
  <c r="K68" i="16" s="1"/>
  <c r="B69" i="16"/>
  <c r="K69" i="16" s="1"/>
  <c r="B70" i="16"/>
  <c r="K70" i="16" s="1"/>
  <c r="B71" i="16"/>
  <c r="K71" i="16" s="1"/>
  <c r="B72" i="16"/>
  <c r="K72" i="16" s="1"/>
  <c r="B73" i="16"/>
  <c r="K73" i="16" s="1"/>
  <c r="B74" i="16"/>
  <c r="K74" i="16" s="1"/>
  <c r="B75" i="16"/>
  <c r="K75" i="16" s="1"/>
  <c r="B76" i="16"/>
  <c r="K76" i="16" s="1"/>
  <c r="B77" i="16"/>
  <c r="K77" i="16" s="1"/>
  <c r="B78" i="16"/>
  <c r="K78" i="16" s="1"/>
  <c r="B79" i="16"/>
  <c r="K79" i="16" s="1"/>
  <c r="B80" i="16"/>
  <c r="K80" i="16" s="1"/>
  <c r="B81" i="16"/>
  <c r="K81" i="16" s="1"/>
  <c r="B82" i="16"/>
  <c r="K82" i="16" s="1"/>
  <c r="B83" i="16"/>
  <c r="K83" i="16" s="1"/>
  <c r="B84" i="16"/>
  <c r="K84" i="16" s="1"/>
  <c r="B85" i="16"/>
  <c r="K85" i="16" s="1"/>
  <c r="B86" i="16"/>
  <c r="K86" i="16" s="1"/>
  <c r="B87" i="16"/>
  <c r="K87" i="16" s="1"/>
  <c r="B88" i="16"/>
  <c r="K88" i="16" s="1"/>
  <c r="B89" i="16"/>
  <c r="K89" i="16" s="1"/>
  <c r="B90" i="16"/>
  <c r="K90" i="16" s="1"/>
  <c r="B91" i="16"/>
  <c r="K91" i="16" s="1"/>
  <c r="B92" i="16"/>
  <c r="K92" i="16" s="1"/>
  <c r="B93" i="16"/>
  <c r="K93" i="16" s="1"/>
  <c r="B94" i="16"/>
  <c r="K94" i="16" s="1"/>
  <c r="B95" i="16"/>
  <c r="K95" i="16" s="1"/>
  <c r="B96" i="16"/>
  <c r="K96" i="16" s="1"/>
  <c r="B97" i="16"/>
  <c r="K97" i="16" s="1"/>
  <c r="B98" i="16"/>
  <c r="K98" i="16" s="1"/>
  <c r="B99" i="16"/>
  <c r="K99" i="16" s="1"/>
  <c r="B100" i="16"/>
  <c r="K100" i="16" s="1"/>
  <c r="B101" i="16"/>
  <c r="K101" i="16" s="1"/>
  <c r="B102" i="16"/>
  <c r="K102" i="16" s="1"/>
  <c r="B103" i="16"/>
  <c r="K103" i="16" s="1"/>
  <c r="B104" i="16"/>
  <c r="K104" i="16" s="1"/>
  <c r="B105" i="16"/>
  <c r="K105" i="16" s="1"/>
  <c r="B106" i="16"/>
  <c r="K106" i="16" s="1"/>
  <c r="B107" i="16"/>
  <c r="K107" i="16" s="1"/>
  <c r="B108" i="16"/>
  <c r="K108" i="16" s="1"/>
  <c r="B109" i="16"/>
  <c r="K109" i="16" s="1"/>
  <c r="B110" i="16"/>
  <c r="K110" i="16" s="1"/>
  <c r="B111" i="16"/>
  <c r="K111" i="16" s="1"/>
  <c r="B112" i="16"/>
  <c r="K112" i="16" s="1"/>
  <c r="B113" i="16"/>
  <c r="K113" i="16" s="1"/>
  <c r="B114" i="16"/>
  <c r="K114" i="16" s="1"/>
  <c r="B115" i="16"/>
  <c r="K115" i="16" s="1"/>
  <c r="B116" i="16"/>
  <c r="K116" i="16" s="1"/>
  <c r="B117" i="16"/>
  <c r="K117" i="16" s="1"/>
  <c r="B118" i="16"/>
  <c r="K118" i="16" s="1"/>
  <c r="B119" i="16"/>
  <c r="K119" i="16" s="1"/>
  <c r="B120" i="16"/>
  <c r="K120" i="16" s="1"/>
  <c r="B121" i="16"/>
  <c r="K121" i="16" s="1"/>
  <c r="B122" i="16"/>
  <c r="K122" i="16" s="1"/>
  <c r="B123" i="16"/>
  <c r="K123" i="16" s="1"/>
  <c r="B124" i="16"/>
  <c r="K124" i="16" s="1"/>
  <c r="B125" i="16"/>
  <c r="K125" i="16" s="1"/>
  <c r="B126" i="16"/>
  <c r="K126" i="16" s="1"/>
  <c r="B127" i="16"/>
  <c r="K127" i="16" s="1"/>
  <c r="B128" i="16"/>
  <c r="K128" i="16" s="1"/>
  <c r="B129" i="16"/>
  <c r="K129" i="16" s="1"/>
  <c r="B130" i="16"/>
  <c r="K130" i="16" s="1"/>
  <c r="B131" i="16"/>
  <c r="K131" i="16" s="1"/>
  <c r="B132" i="16"/>
  <c r="K132" i="16" s="1"/>
  <c r="B133" i="16"/>
  <c r="K133" i="16" s="1"/>
  <c r="B134" i="16"/>
  <c r="K134" i="16" s="1"/>
  <c r="B135" i="16"/>
  <c r="K135" i="16" s="1"/>
  <c r="B136" i="16"/>
  <c r="K136" i="16" s="1"/>
  <c r="B137" i="16"/>
  <c r="K137" i="16" s="1"/>
  <c r="B138" i="16"/>
  <c r="K138" i="16" s="1"/>
  <c r="B139" i="16"/>
  <c r="K139" i="16" s="1"/>
  <c r="B140" i="16"/>
  <c r="K140" i="16" s="1"/>
  <c r="B141" i="16"/>
  <c r="K141" i="16" s="1"/>
  <c r="B142" i="16"/>
  <c r="K142" i="16" s="1"/>
  <c r="B143" i="16"/>
  <c r="K143" i="16" s="1"/>
  <c r="B144" i="16"/>
  <c r="K144" i="16" s="1"/>
  <c r="B145" i="16"/>
  <c r="K145" i="16" s="1"/>
  <c r="B146" i="16"/>
  <c r="K146" i="16" s="1"/>
  <c r="B147" i="16"/>
  <c r="K147" i="16" s="1"/>
  <c r="B148" i="16"/>
  <c r="K148" i="16" s="1"/>
  <c r="B149" i="16"/>
  <c r="K149" i="16" s="1"/>
  <c r="B150" i="16"/>
  <c r="K150" i="16" s="1"/>
  <c r="B151" i="16"/>
  <c r="K151" i="16" s="1"/>
  <c r="B152" i="16"/>
  <c r="K152" i="16" s="1"/>
  <c r="B153" i="16"/>
  <c r="K153" i="16" s="1"/>
  <c r="B154" i="16"/>
  <c r="K154" i="16" s="1"/>
  <c r="B155" i="16"/>
  <c r="K155" i="16" s="1"/>
  <c r="B156" i="16"/>
  <c r="K156" i="16" s="1"/>
  <c r="B157" i="16"/>
  <c r="K157" i="16" s="1"/>
  <c r="B158" i="16"/>
  <c r="K158" i="16" s="1"/>
  <c r="B159" i="16"/>
  <c r="K159" i="16" s="1"/>
  <c r="B160" i="16"/>
  <c r="K160" i="16" s="1"/>
  <c r="B161" i="16"/>
  <c r="K161" i="16" s="1"/>
  <c r="B162" i="16"/>
  <c r="K162" i="16" s="1"/>
  <c r="B163" i="16"/>
  <c r="K163" i="16" s="1"/>
  <c r="B164" i="16"/>
  <c r="K164" i="16" s="1"/>
  <c r="B165" i="16"/>
  <c r="K165" i="16" s="1"/>
  <c r="B166" i="16"/>
  <c r="K166" i="16" s="1"/>
  <c r="B167" i="16"/>
  <c r="K167" i="16" s="1"/>
  <c r="B168" i="16"/>
  <c r="K168" i="16" s="1"/>
  <c r="B169" i="16"/>
  <c r="K169" i="16" s="1"/>
  <c r="B170" i="16"/>
  <c r="K170" i="16" s="1"/>
  <c r="B171" i="16"/>
  <c r="K171" i="16" s="1"/>
  <c r="B172" i="16"/>
  <c r="K172" i="16" s="1"/>
  <c r="B173" i="16"/>
  <c r="K173" i="16" s="1"/>
  <c r="B174" i="16"/>
  <c r="K174" i="16" s="1"/>
  <c r="B175" i="16"/>
  <c r="K175" i="16" s="1"/>
  <c r="B176" i="16"/>
  <c r="K176" i="16" s="1"/>
  <c r="B177" i="16"/>
  <c r="K177" i="16" s="1"/>
  <c r="B178" i="16"/>
  <c r="K178" i="16" s="1"/>
  <c r="B179" i="16"/>
  <c r="K179" i="16" s="1"/>
  <c r="B180" i="16"/>
  <c r="K180" i="16" s="1"/>
  <c r="B181" i="16"/>
  <c r="K181" i="16" s="1"/>
  <c r="B182" i="16"/>
  <c r="K182" i="16" s="1"/>
  <c r="B183" i="16"/>
  <c r="K183" i="16" s="1"/>
  <c r="B184" i="16"/>
  <c r="K184" i="16" s="1"/>
  <c r="B185" i="16"/>
  <c r="K185" i="16" s="1"/>
  <c r="B186" i="16"/>
  <c r="K186" i="16" s="1"/>
  <c r="B187" i="16"/>
  <c r="K187" i="16" s="1"/>
  <c r="B188" i="16"/>
  <c r="K188" i="16" s="1"/>
  <c r="B189" i="16"/>
  <c r="K189" i="16" s="1"/>
  <c r="B190" i="16"/>
  <c r="K190" i="16" s="1"/>
  <c r="B191" i="16"/>
  <c r="K191" i="16" s="1"/>
  <c r="B192" i="16"/>
  <c r="K192" i="16" s="1"/>
  <c r="B193" i="16"/>
  <c r="K193" i="16" s="1"/>
  <c r="B194" i="16"/>
  <c r="K194" i="16" s="1"/>
  <c r="B195" i="16"/>
  <c r="K195" i="16" s="1"/>
  <c r="B196" i="16"/>
  <c r="K196" i="16" s="1"/>
  <c r="B197" i="16"/>
  <c r="K197" i="16" s="1"/>
  <c r="B198" i="16"/>
  <c r="K198" i="16" s="1"/>
  <c r="B199" i="16"/>
  <c r="K199" i="16" s="1"/>
  <c r="B200" i="16"/>
  <c r="K200" i="16" s="1"/>
  <c r="B201" i="16"/>
  <c r="K201" i="16" s="1"/>
  <c r="B3" i="16"/>
  <c r="K3" i="16" s="1"/>
  <c r="B3" i="20"/>
  <c r="B3" i="23" s="1"/>
  <c r="B4" i="20"/>
  <c r="B4" i="23" s="1"/>
  <c r="B5" i="20"/>
  <c r="B5" i="23" s="1"/>
  <c r="B6" i="20"/>
  <c r="B6" i="23" s="1"/>
  <c r="B7" i="20"/>
  <c r="B7" i="23" s="1"/>
  <c r="B8" i="20"/>
  <c r="B8" i="23" s="1"/>
  <c r="B9" i="20"/>
  <c r="B9" i="23" s="1"/>
  <c r="B10" i="20"/>
  <c r="B10" i="23" s="1"/>
  <c r="B11" i="20"/>
  <c r="B11" i="23" s="1"/>
  <c r="B12" i="20"/>
  <c r="B12" i="23" s="1"/>
  <c r="B13" i="20"/>
  <c r="B13" i="23" s="1"/>
  <c r="B14" i="20"/>
  <c r="B14" i="23" s="1"/>
  <c r="B15" i="20"/>
  <c r="B15" i="23" s="1"/>
  <c r="B16" i="20"/>
  <c r="B16" i="23" s="1"/>
  <c r="B17" i="20"/>
  <c r="B17" i="23" s="1"/>
  <c r="B18" i="20"/>
  <c r="B18" i="23" s="1"/>
  <c r="B19" i="20"/>
  <c r="B19" i="23" s="1"/>
  <c r="B20" i="20"/>
  <c r="B20" i="23" s="1"/>
  <c r="B21" i="20"/>
  <c r="B21" i="23" s="1"/>
  <c r="B22" i="20"/>
  <c r="B22" i="23" s="1"/>
  <c r="B23" i="20"/>
  <c r="B23" i="23" s="1"/>
  <c r="B24" i="20"/>
  <c r="B24" i="23" s="1"/>
  <c r="B25" i="20"/>
  <c r="B25" i="23" s="1"/>
  <c r="B26" i="20"/>
  <c r="B26" i="23" s="1"/>
  <c r="B27" i="20"/>
  <c r="B27" i="23" s="1"/>
  <c r="B28" i="20"/>
  <c r="B28" i="23" s="1"/>
  <c r="B29" i="20"/>
  <c r="B29" i="23" s="1"/>
  <c r="B30" i="20"/>
  <c r="B30" i="23" s="1"/>
  <c r="B31" i="20"/>
  <c r="B31" i="23" s="1"/>
  <c r="B32" i="20"/>
  <c r="B32" i="23" s="1"/>
  <c r="B33" i="20"/>
  <c r="B33" i="23" s="1"/>
  <c r="B34" i="20"/>
  <c r="B34" i="23" s="1"/>
  <c r="B35" i="20"/>
  <c r="B35" i="23" s="1"/>
  <c r="B36" i="20"/>
  <c r="B36" i="23" s="1"/>
  <c r="B37" i="20"/>
  <c r="B37" i="23" s="1"/>
  <c r="B38" i="20"/>
  <c r="B38" i="23" s="1"/>
  <c r="B39" i="20"/>
  <c r="B39" i="23" s="1"/>
  <c r="B40" i="20"/>
  <c r="B40" i="23" s="1"/>
  <c r="B41" i="20"/>
  <c r="B41" i="23" s="1"/>
  <c r="B42" i="20"/>
  <c r="B42" i="23" s="1"/>
  <c r="B43" i="20"/>
  <c r="B43" i="23" s="1"/>
  <c r="B44" i="20"/>
  <c r="B44" i="23" s="1"/>
  <c r="B45" i="20"/>
  <c r="B45" i="23" s="1"/>
  <c r="B46" i="20"/>
  <c r="B46" i="23" s="1"/>
  <c r="B47" i="20"/>
  <c r="B47" i="23" s="1"/>
  <c r="B48" i="20"/>
  <c r="B48" i="23" s="1"/>
  <c r="B49" i="20"/>
  <c r="B49" i="23" s="1"/>
  <c r="B50" i="20"/>
  <c r="B50" i="23" s="1"/>
  <c r="B51" i="20"/>
  <c r="B51" i="23" s="1"/>
  <c r="B52" i="20"/>
  <c r="B52" i="23" s="1"/>
  <c r="B53" i="20"/>
  <c r="B53" i="23" s="1"/>
  <c r="B54" i="20"/>
  <c r="B54" i="23" s="1"/>
  <c r="B55" i="20"/>
  <c r="B55" i="23" s="1"/>
  <c r="B56" i="20"/>
  <c r="B56" i="23" s="1"/>
  <c r="B57" i="20"/>
  <c r="B57" i="23" s="1"/>
  <c r="B58" i="20"/>
  <c r="B58" i="23" s="1"/>
  <c r="B59" i="20"/>
  <c r="B59" i="23" s="1"/>
  <c r="B60" i="20"/>
  <c r="B60" i="23" s="1"/>
  <c r="B61" i="20"/>
  <c r="B61" i="23" s="1"/>
  <c r="B62" i="20"/>
  <c r="B62" i="23" s="1"/>
  <c r="B63" i="20"/>
  <c r="B63" i="23" s="1"/>
  <c r="B64" i="20"/>
  <c r="B64" i="23" s="1"/>
  <c r="B65" i="20"/>
  <c r="B65" i="23" s="1"/>
  <c r="B66" i="20"/>
  <c r="B66" i="23" s="1"/>
  <c r="B67" i="20"/>
  <c r="B67" i="23" s="1"/>
  <c r="B68" i="20"/>
  <c r="B68" i="23" s="1"/>
  <c r="B69" i="20"/>
  <c r="B69" i="23" s="1"/>
  <c r="B70" i="20"/>
  <c r="B70" i="23" s="1"/>
  <c r="B71" i="20"/>
  <c r="B71" i="23" s="1"/>
  <c r="B2" i="20" l="1"/>
  <c r="B2" i="23" s="1"/>
  <c r="D3" i="20" a="1"/>
  <c r="D3" i="20" s="1"/>
  <c r="D2" i="16"/>
  <c r="F58" i="16"/>
  <c r="F198" i="16"/>
  <c r="F57" i="16"/>
  <c r="G57" i="16" s="1"/>
  <c r="F46" i="16"/>
  <c r="G46" i="16" s="1"/>
  <c r="F166" i="16"/>
  <c r="G166" i="16" s="1"/>
  <c r="F10" i="16"/>
  <c r="G10" i="16" s="1"/>
  <c r="F81" i="16"/>
  <c r="G81" i="16" s="1"/>
  <c r="F201" i="16"/>
  <c r="F151" i="16"/>
  <c r="G151" i="16" s="1"/>
  <c r="F191" i="16"/>
  <c r="G191" i="16" s="1"/>
  <c r="F190" i="16"/>
  <c r="F115" i="16"/>
  <c r="G115" i="16" s="1"/>
  <c r="F187" i="16"/>
  <c r="G187" i="16" s="1"/>
  <c r="F186" i="16"/>
  <c r="F145" i="16"/>
  <c r="G145" i="16" s="1"/>
  <c r="F43" i="16"/>
  <c r="G43" i="16" s="1"/>
  <c r="F171" i="16"/>
  <c r="G171" i="16" s="1"/>
  <c r="F180" i="16"/>
  <c r="G180" i="16" s="1"/>
  <c r="F122" i="16"/>
  <c r="G122" i="16" s="1"/>
  <c r="F114" i="16"/>
  <c r="G114" i="16" s="1"/>
  <c r="F194" i="16"/>
  <c r="G194" i="16" s="1"/>
  <c r="F64" i="16"/>
  <c r="G64" i="16" s="1"/>
  <c r="F161" i="16"/>
  <c r="G161" i="16" s="1"/>
  <c r="F153" i="16"/>
  <c r="G153" i="16" s="1"/>
  <c r="F141" i="16"/>
  <c r="G141" i="16" s="1"/>
  <c r="F123" i="16"/>
  <c r="F39" i="16"/>
  <c r="G39" i="16" s="1"/>
  <c r="F42" i="16"/>
  <c r="G42" i="16" s="1"/>
  <c r="F112" i="16"/>
  <c r="G112" i="16" s="1"/>
  <c r="F189" i="16"/>
  <c r="G189" i="16" s="1"/>
  <c r="F183" i="16"/>
  <c r="G183" i="16" s="1"/>
  <c r="F67" i="16"/>
  <c r="G67" i="16" s="1"/>
  <c r="F74" i="16"/>
  <c r="G74" i="16" s="1"/>
  <c r="F73" i="16"/>
  <c r="G73" i="16" s="1"/>
  <c r="F51" i="16"/>
  <c r="G51" i="16" s="1"/>
  <c r="F45" i="16"/>
  <c r="G45" i="16" s="1"/>
  <c r="F120" i="16"/>
  <c r="G120" i="16" s="1"/>
  <c r="F100" i="16"/>
  <c r="G100" i="16" s="1"/>
  <c r="F165" i="16"/>
  <c r="F176" i="16"/>
  <c r="G176" i="16" s="1"/>
  <c r="F44" i="16"/>
  <c r="F22" i="16"/>
  <c r="G22" i="16" s="1"/>
  <c r="F41" i="16"/>
  <c r="G41" i="16" s="1"/>
  <c r="F164" i="16"/>
  <c r="G164" i="16" s="1"/>
  <c r="F138" i="16"/>
  <c r="G138" i="16" s="1"/>
  <c r="F127" i="16"/>
  <c r="G127" i="16" s="1"/>
  <c r="F113" i="16"/>
  <c r="F118" i="16"/>
  <c r="G118" i="16" s="1"/>
  <c r="F6" i="16"/>
  <c r="G6" i="16" s="1"/>
  <c r="F130" i="16"/>
  <c r="G130" i="16" s="1"/>
  <c r="F38" i="16"/>
  <c r="G38" i="16" s="1"/>
  <c r="F156" i="16"/>
  <c r="G156" i="16" s="1"/>
  <c r="F144" i="16"/>
  <c r="G144" i="16" s="1"/>
  <c r="F143" i="16"/>
  <c r="G143" i="16" s="1"/>
  <c r="F140" i="16"/>
  <c r="G140" i="16" s="1"/>
  <c r="F90" i="16"/>
  <c r="G90" i="16" s="1"/>
  <c r="F89" i="16"/>
  <c r="G89" i="16" s="1"/>
  <c r="F50" i="16"/>
  <c r="G50" i="16" s="1"/>
  <c r="F84" i="16"/>
  <c r="G84" i="16" s="1"/>
  <c r="F83" i="16"/>
  <c r="G83" i="16" s="1"/>
  <c r="F78" i="16"/>
  <c r="G78" i="16" s="1"/>
  <c r="F200" i="16"/>
  <c r="G200" i="16" s="1"/>
  <c r="F26" i="16"/>
  <c r="G26" i="16" s="1"/>
  <c r="F158" i="16"/>
  <c r="G158" i="16" s="1"/>
  <c r="F25" i="16"/>
  <c r="G25" i="16" s="1"/>
  <c r="F126" i="16"/>
  <c r="G126" i="16" s="1"/>
  <c r="F125" i="16"/>
  <c r="G125" i="16" s="1"/>
  <c r="F33" i="16"/>
  <c r="G33" i="16" s="1"/>
  <c r="F188" i="16"/>
  <c r="F193" i="16"/>
  <c r="G193" i="16" s="1"/>
  <c r="F16" i="16"/>
  <c r="G16" i="16" s="1"/>
  <c r="F192" i="16"/>
  <c r="F110" i="16"/>
  <c r="G110" i="16" s="1"/>
  <c r="F109" i="16"/>
  <c r="G109" i="16" s="1"/>
  <c r="F135" i="16"/>
  <c r="G135" i="16" s="1"/>
  <c r="F9" i="16"/>
  <c r="G9" i="16" s="1"/>
  <c r="F197" i="16"/>
  <c r="G197" i="16" s="1"/>
  <c r="F49" i="16"/>
  <c r="G49" i="16" s="1"/>
  <c r="F185" i="16"/>
  <c r="G185" i="16" s="1"/>
  <c r="F8" i="16"/>
  <c r="G8" i="16" s="1"/>
  <c r="F173" i="16"/>
  <c r="G173" i="16" s="1"/>
  <c r="F175" i="16"/>
  <c r="G175" i="16" s="1"/>
  <c r="F66" i="16"/>
  <c r="G66" i="16" s="1"/>
  <c r="F65" i="16"/>
  <c r="F60" i="16"/>
  <c r="G60" i="16" s="1"/>
  <c r="F97" i="16"/>
  <c r="G97" i="16" s="1"/>
  <c r="F96" i="16"/>
  <c r="G96" i="16" s="1"/>
  <c r="F95" i="16"/>
  <c r="G95" i="16" s="1"/>
  <c r="F94" i="16"/>
  <c r="G94" i="16" s="1"/>
  <c r="F93" i="16"/>
  <c r="F87" i="16"/>
  <c r="G87" i="16" s="1"/>
  <c r="F35" i="16"/>
  <c r="G35" i="16" s="1"/>
  <c r="F152" i="16"/>
  <c r="F104" i="16"/>
  <c r="G104" i="16" s="1"/>
  <c r="F30" i="16"/>
  <c r="G30" i="16" s="1"/>
  <c r="F82" i="16"/>
  <c r="F195" i="16"/>
  <c r="F80" i="16"/>
  <c r="G80" i="16" s="1"/>
  <c r="F32" i="16"/>
  <c r="G32" i="16" s="1"/>
  <c r="F31" i="16"/>
  <c r="F107" i="16"/>
  <c r="G107" i="16" s="1"/>
  <c r="F106" i="16"/>
  <c r="G106" i="16" s="1"/>
  <c r="F160" i="16"/>
  <c r="G160" i="16" s="1"/>
  <c r="F3" i="16"/>
  <c r="G3" i="16" s="1"/>
  <c r="F182" i="16"/>
  <c r="G182" i="16" s="1"/>
  <c r="F77" i="16"/>
  <c r="G77" i="16" s="1"/>
  <c r="F37" i="16"/>
  <c r="G37" i="16" s="1"/>
  <c r="F174" i="16"/>
  <c r="F181" i="16"/>
  <c r="F76" i="16"/>
  <c r="G76" i="16" s="1"/>
  <c r="F75" i="16"/>
  <c r="F72" i="16"/>
  <c r="F119" i="16"/>
  <c r="F134" i="16"/>
  <c r="G134" i="16" s="1"/>
  <c r="F199" i="16"/>
  <c r="F56" i="16"/>
  <c r="G56" i="16" s="1"/>
  <c r="F54" i="16"/>
  <c r="G54" i="16" s="1"/>
  <c r="F108" i="16"/>
  <c r="F21" i="16"/>
  <c r="G21" i="16" s="1"/>
  <c r="F18" i="16"/>
  <c r="G18" i="16" s="1"/>
  <c r="F7" i="16"/>
  <c r="F2" i="16"/>
  <c r="F155" i="16"/>
  <c r="G155" i="16" s="1"/>
  <c r="F159" i="16"/>
  <c r="F163" i="16"/>
  <c r="G163" i="16" s="1"/>
  <c r="F184" i="16"/>
  <c r="F147" i="16"/>
  <c r="G147" i="16" s="1"/>
  <c r="F137" i="16"/>
  <c r="G137" i="16" s="1"/>
  <c r="F133" i="16"/>
  <c r="G133" i="16" s="1"/>
  <c r="F103" i="16"/>
  <c r="G103" i="16" s="1"/>
  <c r="F154" i="16"/>
  <c r="F71" i="16"/>
  <c r="G71" i="16" s="1"/>
  <c r="F136" i="16"/>
  <c r="F121" i="16"/>
  <c r="F53" i="16"/>
  <c r="G53" i="16" s="1"/>
  <c r="F63" i="16"/>
  <c r="G63" i="16" s="1"/>
  <c r="F157" i="16"/>
  <c r="F148" i="16"/>
  <c r="F29" i="16"/>
  <c r="G29" i="16" s="1"/>
  <c r="F20" i="16"/>
  <c r="G20" i="16" s="1"/>
  <c r="F19" i="16"/>
  <c r="F17" i="16"/>
  <c r="F52" i="16"/>
  <c r="F40" i="16"/>
  <c r="F36" i="16"/>
  <c r="F142" i="16"/>
  <c r="F129" i="16"/>
  <c r="G129" i="16" s="1"/>
  <c r="F128" i="16"/>
  <c r="F146" i="16"/>
  <c r="F55" i="16"/>
  <c r="F70" i="16"/>
  <c r="G70" i="16" s="1"/>
  <c r="F69" i="16"/>
  <c r="G69" i="16" s="1"/>
  <c r="F34" i="16"/>
  <c r="F170" i="16"/>
  <c r="G170" i="16" s="1"/>
  <c r="F169" i="16"/>
  <c r="G169" i="16" s="1"/>
  <c r="F168" i="16"/>
  <c r="G168" i="16" s="1"/>
  <c r="F167" i="16"/>
  <c r="F179" i="16"/>
  <c r="G179" i="16" s="1"/>
  <c r="F162" i="16"/>
  <c r="F68" i="16"/>
  <c r="F62" i="16"/>
  <c r="G62" i="16" s="1"/>
  <c r="F79" i="16"/>
  <c r="F24" i="16"/>
  <c r="G24" i="16" s="1"/>
  <c r="F23" i="16"/>
  <c r="F28" i="16"/>
  <c r="G28" i="16" s="1"/>
  <c r="F13" i="16"/>
  <c r="G13" i="16" s="1"/>
  <c r="F12" i="16"/>
  <c r="G12" i="16" s="1"/>
  <c r="F92" i="16"/>
  <c r="G92" i="16" s="1"/>
  <c r="F178" i="16"/>
  <c r="G178" i="16" s="1"/>
  <c r="F48" i="16"/>
  <c r="G48" i="16" s="1"/>
  <c r="F102" i="16"/>
  <c r="G102" i="16" s="1"/>
  <c r="F47" i="16"/>
  <c r="F88" i="16"/>
  <c r="F105" i="16"/>
  <c r="F91" i="16"/>
  <c r="F132" i="16"/>
  <c r="G132" i="16" s="1"/>
  <c r="F15" i="16"/>
  <c r="G15" i="16" s="1"/>
  <c r="F14" i="16"/>
  <c r="F124" i="16"/>
  <c r="F111" i="16"/>
  <c r="F99" i="16"/>
  <c r="G99" i="16" s="1"/>
  <c r="F98" i="16"/>
  <c r="F117" i="16"/>
  <c r="G117" i="16" s="1"/>
  <c r="F116" i="16"/>
  <c r="F101" i="16"/>
  <c r="F11" i="16"/>
  <c r="F27" i="16"/>
  <c r="F5" i="16"/>
  <c r="G5" i="16" s="1"/>
  <c r="F150" i="16"/>
  <c r="G150" i="16" s="1"/>
  <c r="F59" i="16"/>
  <c r="F177" i="16"/>
  <c r="F149" i="16"/>
  <c r="F4" i="16"/>
  <c r="F172" i="16"/>
  <c r="F139" i="16"/>
  <c r="F131" i="16"/>
  <c r="F86" i="16"/>
  <c r="G86" i="16" s="1"/>
  <c r="F196" i="16"/>
  <c r="F85" i="16"/>
  <c r="F61" i="16"/>
  <c r="D2" i="20" a="1"/>
  <c r="D2" i="20" s="1"/>
  <c r="F2" i="20" a="1"/>
  <c r="F2" i="20" s="1"/>
  <c r="E2" i="20" a="1"/>
  <c r="E2" i="20" s="1"/>
  <c r="B2" i="31"/>
  <c r="C3" i="21"/>
  <c r="C4" i="21"/>
  <c r="C5" i="21"/>
  <c r="C6" i="21"/>
  <c r="C7" i="21"/>
  <c r="C8" i="21"/>
  <c r="C9" i="21"/>
  <c r="C10" i="21"/>
  <c r="C11" i="21"/>
  <c r="C12" i="21"/>
  <c r="C13" i="21"/>
  <c r="C14" i="21"/>
  <c r="C15" i="21"/>
  <c r="C16" i="21"/>
  <c r="C17" i="21"/>
  <c r="C18" i="21"/>
  <c r="C19" i="21"/>
  <c r="C20" i="21"/>
  <c r="C21" i="21"/>
  <c r="C2" i="21"/>
  <c r="G61" i="16" l="1"/>
  <c r="G85" i="16"/>
  <c r="G196" i="16"/>
  <c r="G131" i="16"/>
  <c r="G139" i="16"/>
  <c r="G172" i="16"/>
  <c r="G4" i="16"/>
  <c r="G149" i="16"/>
  <c r="G177" i="16"/>
  <c r="G59" i="16"/>
  <c r="G27" i="16"/>
  <c r="G11" i="16"/>
  <c r="G101" i="16"/>
  <c r="G116" i="16"/>
  <c r="G98" i="16"/>
  <c r="G111" i="16"/>
  <c r="G124" i="16"/>
  <c r="G14" i="16"/>
  <c r="G91" i="16"/>
  <c r="G105" i="16"/>
  <c r="G88" i="16"/>
  <c r="G47" i="16"/>
  <c r="G23" i="16"/>
  <c r="G79" i="16"/>
  <c r="G68" i="16"/>
  <c r="G162" i="16"/>
  <c r="G167" i="16"/>
  <c r="G34" i="16"/>
  <c r="G55" i="16"/>
  <c r="G146" i="16"/>
  <c r="G128" i="16"/>
  <c r="G142" i="16"/>
  <c r="G36" i="16"/>
  <c r="G40" i="16"/>
  <c r="G52" i="16"/>
  <c r="G17" i="16"/>
  <c r="G19" i="16"/>
  <c r="G148" i="16"/>
  <c r="G157" i="16"/>
  <c r="G121" i="16"/>
  <c r="G136" i="16"/>
  <c r="G154" i="16"/>
  <c r="G184" i="16"/>
  <c r="G159" i="16"/>
  <c r="G2" i="16"/>
  <c r="G7" i="16"/>
  <c r="G108" i="16"/>
  <c r="G199" i="16"/>
  <c r="G119" i="16"/>
  <c r="G72" i="16"/>
  <c r="G75" i="16"/>
  <c r="G181" i="16"/>
  <c r="G174" i="16"/>
  <c r="G31" i="16"/>
  <c r="G195" i="16"/>
  <c r="G82" i="16"/>
  <c r="H15" i="38" s="1"/>
  <c r="G152" i="16"/>
  <c r="G93" i="16"/>
  <c r="G65" i="16"/>
  <c r="G192" i="16"/>
  <c r="G188" i="16"/>
  <c r="G113" i="16"/>
  <c r="G44" i="16"/>
  <c r="G165" i="16"/>
  <c r="G123" i="16"/>
  <c r="G186" i="16"/>
  <c r="G190" i="16"/>
  <c r="G201" i="16"/>
  <c r="G198" i="16"/>
  <c r="G58" i="16"/>
  <c r="D28" i="23"/>
  <c r="D50" i="23"/>
  <c r="D32" i="23"/>
  <c r="D10" i="23"/>
  <c r="D43" i="23"/>
  <c r="G2" i="20" a="1"/>
  <c r="G2" i="20" s="1"/>
  <c r="D17" i="23"/>
  <c r="D54" i="23"/>
  <c r="D34" i="23"/>
  <c r="D26" i="23"/>
  <c r="D12" i="23"/>
  <c r="D31" i="23"/>
  <c r="D58" i="23"/>
  <c r="D66" i="23"/>
  <c r="D8" i="23"/>
  <c r="D15" i="23"/>
  <c r="D24" i="23"/>
  <c r="D14" i="23"/>
  <c r="D37" i="23"/>
  <c r="D57" i="23"/>
  <c r="D47" i="23"/>
  <c r="C21" i="23"/>
  <c r="C28" i="23"/>
  <c r="C58" i="23"/>
  <c r="C50" i="23"/>
  <c r="C60" i="23"/>
  <c r="C10" i="23"/>
  <c r="C32" i="23"/>
  <c r="C6" i="23"/>
  <c r="C34" i="23"/>
  <c r="C26" i="23"/>
  <c r="C57" i="23"/>
  <c r="C12" i="23"/>
  <c r="C43" i="23"/>
  <c r="C47" i="23"/>
  <c r="C14" i="23"/>
  <c r="C17" i="23"/>
  <c r="C8" i="23"/>
  <c r="C49" i="23"/>
  <c r="C40" i="23"/>
  <c r="C54" i="23"/>
  <c r="C70" i="23"/>
  <c r="C24" i="23"/>
  <c r="C59" i="23"/>
  <c r="C31" i="23"/>
  <c r="C66" i="23"/>
  <c r="C64" i="23"/>
  <c r="C37" i="23"/>
  <c r="C15" i="23"/>
  <c r="C41" i="23"/>
  <c r="C71" i="23"/>
  <c r="G21" i="23"/>
  <c r="F21" i="23"/>
  <c r="G28" i="23"/>
  <c r="F28" i="23"/>
  <c r="C68" i="23"/>
  <c r="D68" i="23"/>
  <c r="C44" i="23"/>
  <c r="D44" i="23"/>
  <c r="C46" i="23"/>
  <c r="D46" i="23"/>
  <c r="G58" i="23"/>
  <c r="F58" i="23"/>
  <c r="C3" i="23"/>
  <c r="D3" i="23"/>
  <c r="G50" i="23"/>
  <c r="F50" i="23"/>
  <c r="G60" i="23"/>
  <c r="F60" i="23"/>
  <c r="C20" i="23"/>
  <c r="D20" i="23"/>
  <c r="G10" i="23"/>
  <c r="F10" i="23"/>
  <c r="C5" i="23"/>
  <c r="D5" i="23"/>
  <c r="C33" i="23"/>
  <c r="D33" i="23"/>
  <c r="C38" i="23"/>
  <c r="D38" i="23"/>
  <c r="G32" i="23"/>
  <c r="F32" i="23"/>
  <c r="C36" i="23"/>
  <c r="D36" i="23"/>
  <c r="C42" i="23"/>
  <c r="D42" i="23"/>
  <c r="G6" i="23"/>
  <c r="F6" i="23"/>
  <c r="C30" i="23"/>
  <c r="D30" i="23"/>
  <c r="G34" i="23"/>
  <c r="F34" i="23"/>
  <c r="C29" i="23"/>
  <c r="D29" i="23"/>
  <c r="C16" i="23"/>
  <c r="D16" i="23"/>
  <c r="C9" i="23"/>
  <c r="D9" i="23"/>
  <c r="G26" i="23"/>
  <c r="F26" i="23"/>
  <c r="C23" i="23"/>
  <c r="D23" i="23"/>
  <c r="C55" i="23"/>
  <c r="D55" i="23"/>
  <c r="G57" i="23"/>
  <c r="F57" i="23"/>
  <c r="G12" i="23"/>
  <c r="F12" i="23"/>
  <c r="C18" i="23"/>
  <c r="D18" i="23"/>
  <c r="C48" i="23"/>
  <c r="D48" i="23"/>
  <c r="G43" i="23"/>
  <c r="F43" i="23"/>
  <c r="G47" i="23"/>
  <c r="F47" i="23"/>
  <c r="C13" i="23"/>
  <c r="D13" i="23"/>
  <c r="G14" i="23"/>
  <c r="F14" i="23"/>
  <c r="G17" i="23"/>
  <c r="F17" i="23"/>
  <c r="C7" i="23"/>
  <c r="D7" i="23"/>
  <c r="G8" i="23"/>
  <c r="F8" i="23"/>
  <c r="G49" i="23"/>
  <c r="F49" i="23"/>
  <c r="C53" i="23"/>
  <c r="D53" i="23"/>
  <c r="G40" i="23"/>
  <c r="F40" i="23"/>
  <c r="C45" i="23"/>
  <c r="D45" i="23"/>
  <c r="C52" i="23"/>
  <c r="D52" i="23"/>
  <c r="C62" i="23"/>
  <c r="D62" i="23"/>
  <c r="G54" i="23"/>
  <c r="F54" i="23"/>
  <c r="C2" i="23"/>
  <c r="D2" i="23"/>
  <c r="C4" i="23"/>
  <c r="D4" i="23"/>
  <c r="C35" i="23"/>
  <c r="D35" i="23"/>
  <c r="G70" i="23"/>
  <c r="F70" i="23"/>
  <c r="C39" i="23"/>
  <c r="D39" i="23"/>
  <c r="G24" i="23"/>
  <c r="F24" i="23"/>
  <c r="C25" i="23"/>
  <c r="D25" i="23"/>
  <c r="C61" i="23"/>
  <c r="D61" i="23"/>
  <c r="G59" i="23"/>
  <c r="F59" i="23"/>
  <c r="C11" i="23"/>
  <c r="D11" i="23"/>
  <c r="C67" i="23"/>
  <c r="D67" i="23"/>
  <c r="C27" i="23"/>
  <c r="D27" i="23"/>
  <c r="C51" i="23"/>
  <c r="D51" i="23"/>
  <c r="G31" i="23"/>
  <c r="F31" i="23"/>
  <c r="C22" i="23"/>
  <c r="D22" i="23"/>
  <c r="G66" i="23"/>
  <c r="F66" i="23"/>
  <c r="G64" i="23"/>
  <c r="F64" i="23"/>
  <c r="G37" i="23"/>
  <c r="F37" i="23"/>
  <c r="G15" i="23"/>
  <c r="F15" i="23"/>
  <c r="C56" i="23"/>
  <c r="D56" i="23"/>
  <c r="G41" i="23"/>
  <c r="F41" i="23"/>
  <c r="C63" i="23"/>
  <c r="D63" i="23"/>
  <c r="C65" i="23"/>
  <c r="D65" i="23"/>
  <c r="G71" i="23"/>
  <c r="F71" i="23"/>
  <c r="C69" i="23"/>
  <c r="D69" i="23"/>
  <c r="C19" i="23"/>
  <c r="D19" i="23"/>
  <c r="J21" i="21"/>
  <c r="J20" i="21"/>
  <c r="J19" i="21"/>
  <c r="J18" i="21"/>
  <c r="J17" i="21"/>
  <c r="J16" i="21"/>
  <c r="J15" i="21"/>
  <c r="J14" i="21"/>
  <c r="J13" i="21"/>
  <c r="J12" i="21"/>
  <c r="J11" i="21"/>
  <c r="J10" i="21"/>
  <c r="J9" i="21"/>
  <c r="J8" i="21"/>
  <c r="J7" i="21"/>
  <c r="J6" i="21"/>
  <c r="J5" i="21"/>
  <c r="J4" i="21"/>
  <c r="J3" i="21"/>
  <c r="B4" i="31"/>
  <c r="G2" i="5"/>
  <c r="G201" i="5"/>
  <c r="G200" i="5"/>
  <c r="G199" i="5"/>
  <c r="G198" i="5"/>
  <c r="G197" i="5"/>
  <c r="G196" i="5"/>
  <c r="G195" i="5"/>
  <c r="G194" i="5"/>
  <c r="G193" i="5"/>
  <c r="G192" i="5"/>
  <c r="G191" i="5"/>
  <c r="G190" i="5"/>
  <c r="G189" i="5"/>
  <c r="G188" i="5"/>
  <c r="G187" i="5"/>
  <c r="G186" i="5"/>
  <c r="G185" i="5"/>
  <c r="G184" i="5"/>
  <c r="G183" i="5"/>
  <c r="G182" i="5"/>
  <c r="G181" i="5"/>
  <c r="G180" i="5"/>
  <c r="G179" i="5"/>
  <c r="G178" i="5"/>
  <c r="G177" i="5"/>
  <c r="G176" i="5"/>
  <c r="G175" i="5"/>
  <c r="G174" i="5"/>
  <c r="G173" i="5"/>
  <c r="G172" i="5"/>
  <c r="G171" i="5"/>
  <c r="G170" i="5"/>
  <c r="G169" i="5"/>
  <c r="G168" i="5"/>
  <c r="G167" i="5"/>
  <c r="G166" i="5"/>
  <c r="G165" i="5"/>
  <c r="G164" i="5"/>
  <c r="G163" i="5"/>
  <c r="G162" i="5"/>
  <c r="G161" i="5"/>
  <c r="G160" i="5"/>
  <c r="G159" i="5"/>
  <c r="G158" i="5"/>
  <c r="G157" i="5"/>
  <c r="G156" i="5"/>
  <c r="G155" i="5"/>
  <c r="G153" i="5"/>
  <c r="G152" i="5"/>
  <c r="G151" i="5"/>
  <c r="G150" i="5"/>
  <c r="G148" i="5"/>
  <c r="G147" i="5"/>
  <c r="G146" i="5"/>
  <c r="G145" i="5"/>
  <c r="G144" i="5"/>
  <c r="G143" i="5"/>
  <c r="G142" i="5"/>
  <c r="G141" i="5"/>
  <c r="G140" i="5"/>
  <c r="G139" i="5"/>
  <c r="G138" i="5"/>
  <c r="G137" i="5"/>
  <c r="G136" i="5"/>
  <c r="G135" i="5"/>
  <c r="G134" i="5"/>
  <c r="G133" i="5"/>
  <c r="G132" i="5"/>
  <c r="G131" i="5"/>
  <c r="G130" i="5"/>
  <c r="G129" i="5"/>
  <c r="G128" i="5"/>
  <c r="G127" i="5"/>
  <c r="G126" i="5"/>
  <c r="G125" i="5"/>
  <c r="G124" i="5"/>
  <c r="G123" i="5"/>
  <c r="G122" i="5"/>
  <c r="G121" i="5"/>
  <c r="G120" i="5"/>
  <c r="G119" i="5"/>
  <c r="G118" i="5"/>
  <c r="G117" i="5"/>
  <c r="G116" i="5"/>
  <c r="G115" i="5"/>
  <c r="G113" i="5"/>
  <c r="G112" i="5"/>
  <c r="G111" i="5"/>
  <c r="G110" i="5"/>
  <c r="G109" i="5"/>
  <c r="G108" i="5"/>
  <c r="G107" i="5"/>
  <c r="G106" i="5"/>
  <c r="G105" i="5"/>
  <c r="G104" i="5"/>
  <c r="G103" i="5"/>
  <c r="G102" i="5"/>
  <c r="G101" i="5"/>
  <c r="G100" i="5"/>
  <c r="G99" i="5"/>
  <c r="G98" i="5"/>
  <c r="G97" i="5"/>
  <c r="G95" i="5"/>
  <c r="G94" i="5"/>
  <c r="G93" i="5"/>
  <c r="G92" i="5"/>
  <c r="G91" i="5"/>
  <c r="G90" i="5"/>
  <c r="G88" i="5"/>
  <c r="G87" i="5"/>
  <c r="G86" i="5"/>
  <c r="G85" i="5"/>
  <c r="G84" i="5"/>
  <c r="G83" i="5"/>
  <c r="G82" i="5"/>
  <c r="G81" i="5"/>
  <c r="G80" i="5"/>
  <c r="G79" i="5"/>
  <c r="G78" i="5"/>
  <c r="G77" i="5"/>
  <c r="G76" i="5"/>
  <c r="G75" i="5"/>
  <c r="G74" i="5"/>
  <c r="G73" i="5"/>
  <c r="G72" i="5"/>
  <c r="G71" i="5"/>
  <c r="G70" i="5"/>
  <c r="G69" i="5"/>
  <c r="G68" i="5"/>
  <c r="G67" i="5"/>
  <c r="G66" i="5"/>
  <c r="G65" i="5"/>
  <c r="G64" i="5"/>
  <c r="G63" i="5"/>
  <c r="G62" i="5"/>
  <c r="G61" i="5"/>
  <c r="G60" i="5"/>
  <c r="G59" i="5"/>
  <c r="G58" i="5"/>
  <c r="G57" i="5"/>
  <c r="G56" i="5"/>
  <c r="G55" i="5"/>
  <c r="G54" i="5"/>
  <c r="G53" i="5"/>
  <c r="G52" i="5"/>
  <c r="G51" i="5"/>
  <c r="G50" i="5"/>
  <c r="G49" i="5"/>
  <c r="G48" i="5"/>
  <c r="G47" i="5"/>
  <c r="G46" i="5"/>
  <c r="G45" i="5"/>
  <c r="G44" i="5"/>
  <c r="G43" i="5"/>
  <c r="G41" i="5"/>
  <c r="G40" i="5"/>
  <c r="G39" i="5"/>
  <c r="G38" i="5"/>
  <c r="G37" i="5"/>
  <c r="G36" i="5"/>
  <c r="G35" i="5"/>
  <c r="G34" i="5"/>
  <c r="G33" i="5"/>
  <c r="G32" i="5"/>
  <c r="G31" i="5"/>
  <c r="G30" i="5"/>
  <c r="G28" i="5"/>
  <c r="G27" i="5"/>
  <c r="G26" i="5"/>
  <c r="G25" i="5"/>
  <c r="G24" i="5"/>
  <c r="G22" i="5"/>
  <c r="G21" i="5"/>
  <c r="G20" i="5"/>
  <c r="G19" i="5"/>
  <c r="G18" i="5"/>
  <c r="G17" i="5"/>
  <c r="G16" i="5"/>
  <c r="G14" i="5"/>
  <c r="G13" i="5"/>
  <c r="G12" i="5"/>
  <c r="G11" i="5"/>
  <c r="G10" i="5"/>
  <c r="G9" i="5"/>
  <c r="G8" i="5"/>
  <c r="G7" i="5"/>
  <c r="G6" i="5"/>
  <c r="G4" i="5"/>
  <c r="G3" i="5"/>
  <c r="E71" i="20" a="1"/>
  <c r="E71" i="20" s="1"/>
  <c r="E70" i="20" a="1"/>
  <c r="E70" i="20" s="1"/>
  <c r="E69" i="20" a="1"/>
  <c r="E69" i="20" s="1"/>
  <c r="E68" i="20" a="1"/>
  <c r="E68" i="20" s="1"/>
  <c r="E67" i="20" a="1"/>
  <c r="E67" i="20" s="1"/>
  <c r="E66" i="20" a="1"/>
  <c r="E66" i="20" s="1"/>
  <c r="E65" i="20" a="1"/>
  <c r="E65" i="20" s="1"/>
  <c r="E64" i="20" a="1"/>
  <c r="E64" i="20" s="1"/>
  <c r="E63" i="20" a="1"/>
  <c r="E63" i="20" s="1"/>
  <c r="E62" i="20" a="1"/>
  <c r="E62" i="20" s="1"/>
  <c r="E61" i="20" a="1"/>
  <c r="E61" i="20" s="1"/>
  <c r="E60" i="20" a="1"/>
  <c r="E60" i="20" s="1"/>
  <c r="E59" i="20" a="1"/>
  <c r="E59" i="20" s="1"/>
  <c r="E58" i="20" a="1"/>
  <c r="E58" i="20" s="1"/>
  <c r="E57" i="20" a="1"/>
  <c r="E57" i="20" s="1"/>
  <c r="E56" i="20" a="1"/>
  <c r="E56" i="20" s="1"/>
  <c r="E55" i="20" a="1"/>
  <c r="E55" i="20" s="1"/>
  <c r="E54" i="20" a="1"/>
  <c r="E54" i="20" s="1"/>
  <c r="E53" i="20" a="1"/>
  <c r="E53" i="20" s="1"/>
  <c r="E52" i="20" a="1"/>
  <c r="E52" i="20" s="1"/>
  <c r="E51" i="20" a="1"/>
  <c r="E51" i="20" s="1"/>
  <c r="E50" i="20" a="1"/>
  <c r="E50" i="20" s="1"/>
  <c r="E49" i="20" a="1"/>
  <c r="E49" i="20" s="1"/>
  <c r="E48" i="20" a="1"/>
  <c r="E48" i="20" s="1"/>
  <c r="E47" i="20" a="1"/>
  <c r="E47" i="20" s="1"/>
  <c r="E46" i="20" a="1"/>
  <c r="E46" i="20" s="1"/>
  <c r="E45" i="20" a="1"/>
  <c r="E45" i="20" s="1"/>
  <c r="E44" i="20" a="1"/>
  <c r="E44" i="20" s="1"/>
  <c r="E43" i="20" a="1"/>
  <c r="E43" i="20" s="1"/>
  <c r="E42" i="20" a="1"/>
  <c r="E42" i="20" s="1"/>
  <c r="E41" i="20" a="1"/>
  <c r="E41" i="20" s="1"/>
  <c r="E40" i="20" a="1"/>
  <c r="E40" i="20" s="1"/>
  <c r="E39" i="20" a="1"/>
  <c r="E39" i="20" s="1"/>
  <c r="E38" i="20" a="1"/>
  <c r="E38" i="20" s="1"/>
  <c r="E37" i="20" a="1"/>
  <c r="E37" i="20" s="1"/>
  <c r="E36" i="20" a="1"/>
  <c r="E36" i="20" s="1"/>
  <c r="E35" i="20" a="1"/>
  <c r="E35" i="20" s="1"/>
  <c r="E34" i="20" a="1"/>
  <c r="E34" i="20" s="1"/>
  <c r="E33" i="20" a="1"/>
  <c r="E33" i="20" s="1"/>
  <c r="E32" i="20" a="1"/>
  <c r="E32" i="20" s="1"/>
  <c r="E31" i="20" a="1"/>
  <c r="E31" i="20" s="1"/>
  <c r="E30" i="20" a="1"/>
  <c r="E30" i="20" s="1"/>
  <c r="E29" i="20" a="1"/>
  <c r="E29" i="20" s="1"/>
  <c r="E28" i="20" a="1"/>
  <c r="E28" i="20" s="1"/>
  <c r="E27" i="20" a="1"/>
  <c r="E27" i="20" s="1"/>
  <c r="E26" i="20" a="1"/>
  <c r="E26" i="20" s="1"/>
  <c r="E25" i="20" a="1"/>
  <c r="E25" i="20" s="1"/>
  <c r="E24" i="20" a="1"/>
  <c r="E24" i="20" s="1"/>
  <c r="E23" i="20" a="1"/>
  <c r="E23" i="20" s="1"/>
  <c r="E22" i="20" a="1"/>
  <c r="E22" i="20" s="1"/>
  <c r="E21" i="20" a="1"/>
  <c r="E21" i="20" s="1"/>
  <c r="E20" i="20" a="1"/>
  <c r="E20" i="20" s="1"/>
  <c r="E19" i="20" a="1"/>
  <c r="E19" i="20" s="1"/>
  <c r="E18" i="20" a="1"/>
  <c r="E18" i="20" s="1"/>
  <c r="E17" i="20" a="1"/>
  <c r="E17" i="20" s="1"/>
  <c r="E16" i="20" a="1"/>
  <c r="E16" i="20" s="1"/>
  <c r="E15" i="20" a="1"/>
  <c r="E15" i="20" s="1"/>
  <c r="E14" i="20" a="1"/>
  <c r="E14" i="20" s="1"/>
  <c r="E13" i="20" a="1"/>
  <c r="E13" i="20" s="1"/>
  <c r="E12" i="20" a="1"/>
  <c r="E12" i="20" s="1"/>
  <c r="E11" i="20" a="1"/>
  <c r="E11" i="20" s="1"/>
  <c r="E10" i="20" a="1"/>
  <c r="E10" i="20" s="1"/>
  <c r="E9" i="20" a="1"/>
  <c r="E9" i="20" s="1"/>
  <c r="E8" i="20" a="1"/>
  <c r="E8" i="20" s="1"/>
  <c r="E7" i="20" a="1"/>
  <c r="E7" i="20" s="1"/>
  <c r="E6" i="20" a="1"/>
  <c r="E6" i="20" s="1"/>
  <c r="E5" i="20" a="1"/>
  <c r="E5" i="20" s="1"/>
  <c r="E4" i="20" a="1"/>
  <c r="E4" i="20" s="1"/>
  <c r="E3" i="20" a="1"/>
  <c r="E3" i="20" s="1"/>
  <c r="F70" i="20" a="1"/>
  <c r="F70" i="20" s="1"/>
  <c r="F68" i="20" a="1"/>
  <c r="F68" i="20" s="1"/>
  <c r="F66" i="20" a="1"/>
  <c r="F66" i="20" s="1"/>
  <c r="F65" i="20" a="1"/>
  <c r="F65" i="20" s="1"/>
  <c r="F64" i="20" a="1"/>
  <c r="F64" i="20" s="1"/>
  <c r="F63" i="20" a="1"/>
  <c r="F63" i="20" s="1"/>
  <c r="F62" i="20" a="1"/>
  <c r="F62" i="20" s="1"/>
  <c r="F61" i="20" a="1"/>
  <c r="F61" i="20" s="1"/>
  <c r="F60" i="20" a="1"/>
  <c r="F60" i="20" s="1"/>
  <c r="F59" i="20" a="1"/>
  <c r="F59" i="20" s="1"/>
  <c r="F58" i="20" a="1"/>
  <c r="F58" i="20" s="1"/>
  <c r="F57" i="20" a="1"/>
  <c r="F57" i="20" s="1"/>
  <c r="F56" i="20" a="1"/>
  <c r="F56" i="20" s="1"/>
  <c r="F55" i="20" a="1"/>
  <c r="F55" i="20" s="1"/>
  <c r="F54" i="20" a="1"/>
  <c r="F54" i="20" s="1"/>
  <c r="F53" i="20" a="1"/>
  <c r="F53" i="20" s="1"/>
  <c r="F52" i="20" a="1"/>
  <c r="F52" i="20" s="1"/>
  <c r="F51" i="20" a="1"/>
  <c r="F51" i="20" s="1"/>
  <c r="F50" i="20" a="1"/>
  <c r="F50" i="20" s="1"/>
  <c r="F48" i="20" a="1"/>
  <c r="F48" i="20" s="1"/>
  <c r="F47" i="20" a="1"/>
  <c r="F47" i="20" s="1"/>
  <c r="F46" i="20" a="1"/>
  <c r="F46" i="20" s="1"/>
  <c r="F45" i="20" a="1"/>
  <c r="F45" i="20" s="1"/>
  <c r="F44" i="20" a="1"/>
  <c r="F44" i="20" s="1"/>
  <c r="F43" i="20" a="1"/>
  <c r="F43" i="20" s="1"/>
  <c r="F42" i="20" a="1"/>
  <c r="F42" i="20" s="1"/>
  <c r="F40" i="20" a="1"/>
  <c r="F40" i="20" s="1"/>
  <c r="F39" i="20" a="1"/>
  <c r="F39" i="20" s="1"/>
  <c r="F38" i="20" a="1"/>
  <c r="F38" i="20" s="1"/>
  <c r="F37" i="20" a="1"/>
  <c r="F37" i="20" s="1"/>
  <c r="F36" i="20" a="1"/>
  <c r="F36" i="20" s="1"/>
  <c r="F35" i="20" a="1"/>
  <c r="F35" i="20" s="1"/>
  <c r="F34" i="20" a="1"/>
  <c r="F34" i="20" s="1"/>
  <c r="F33" i="20" a="1"/>
  <c r="F33" i="20" s="1"/>
  <c r="F32" i="20" a="1"/>
  <c r="F32" i="20" s="1"/>
  <c r="F31" i="20" a="1"/>
  <c r="F31" i="20" s="1"/>
  <c r="F30" i="20" a="1"/>
  <c r="F30" i="20" s="1"/>
  <c r="F29" i="20" a="1"/>
  <c r="F29" i="20" s="1"/>
  <c r="F28" i="20" a="1"/>
  <c r="F28" i="20" s="1"/>
  <c r="F27" i="20" a="1"/>
  <c r="F27" i="20" s="1"/>
  <c r="F26" i="20" a="1"/>
  <c r="F26" i="20" s="1"/>
  <c r="F25" i="20" a="1"/>
  <c r="F25" i="20" s="1"/>
  <c r="F24" i="20" a="1"/>
  <c r="F24" i="20" s="1"/>
  <c r="F23" i="20" a="1"/>
  <c r="F23" i="20" s="1"/>
  <c r="F22" i="20" a="1"/>
  <c r="F22" i="20" s="1"/>
  <c r="F21" i="20" a="1"/>
  <c r="F21" i="20" s="1"/>
  <c r="F20" i="20" a="1"/>
  <c r="F20" i="20" s="1"/>
  <c r="F18" i="20" a="1"/>
  <c r="F18" i="20" s="1"/>
  <c r="F17" i="20" a="1"/>
  <c r="F17" i="20" s="1"/>
  <c r="F16" i="20" a="1"/>
  <c r="F16" i="20" s="1"/>
  <c r="F15" i="20" a="1"/>
  <c r="F15" i="20" s="1"/>
  <c r="F14" i="20" a="1"/>
  <c r="F14" i="20" s="1"/>
  <c r="F13" i="20" a="1"/>
  <c r="F13" i="20" s="1"/>
  <c r="F12" i="20" a="1"/>
  <c r="F12" i="20" s="1"/>
  <c r="F11" i="20" a="1"/>
  <c r="F11" i="20" s="1"/>
  <c r="F10" i="20" a="1"/>
  <c r="F10" i="20" s="1"/>
  <c r="F9" i="20" a="1"/>
  <c r="F9" i="20" s="1"/>
  <c r="F8" i="20" a="1"/>
  <c r="F8" i="20" s="1"/>
  <c r="F7" i="20" a="1"/>
  <c r="F7" i="20" s="1"/>
  <c r="F6" i="20" a="1"/>
  <c r="F6" i="20" s="1"/>
  <c r="F5" i="20" a="1"/>
  <c r="F5" i="20" s="1"/>
  <c r="F4" i="20" a="1"/>
  <c r="F4" i="20" s="1"/>
  <c r="F3" i="20" a="1"/>
  <c r="F3" i="20" s="1"/>
  <c r="G149" i="5"/>
  <c r="G23" i="5"/>
  <c r="G89" i="5"/>
  <c r="G154" i="5"/>
  <c r="G114" i="5"/>
  <c r="G29" i="5"/>
  <c r="G5" i="5"/>
  <c r="G96" i="5"/>
  <c r="G42" i="5"/>
  <c r="G15" i="5"/>
  <c r="E15" i="38" l="1"/>
  <c r="M18" i="34"/>
  <c r="M4" i="34"/>
  <c r="M11" i="34"/>
  <c r="M25" i="34"/>
  <c r="J4" i="34"/>
  <c r="G19" i="23"/>
  <c r="F19" i="23"/>
  <c r="G69" i="23"/>
  <c r="F69" i="23"/>
  <c r="G65" i="23"/>
  <c r="F65" i="23"/>
  <c r="G63" i="23"/>
  <c r="F63" i="23"/>
  <c r="G56" i="23"/>
  <c r="F56" i="23"/>
  <c r="G22" i="23"/>
  <c r="F22" i="23"/>
  <c r="G51" i="23"/>
  <c r="F51" i="23"/>
  <c r="G27" i="23"/>
  <c r="F27" i="23"/>
  <c r="G67" i="23"/>
  <c r="F67" i="23"/>
  <c r="G11" i="23"/>
  <c r="F11" i="23"/>
  <c r="G61" i="23"/>
  <c r="F61" i="23"/>
  <c r="G25" i="23"/>
  <c r="F25" i="23"/>
  <c r="G39" i="23"/>
  <c r="F39" i="23"/>
  <c r="G35" i="23"/>
  <c r="F35" i="23"/>
  <c r="G4" i="23"/>
  <c r="F4" i="23"/>
  <c r="G2" i="23"/>
  <c r="F2" i="23"/>
  <c r="G62" i="23"/>
  <c r="F62" i="23"/>
  <c r="G52" i="23"/>
  <c r="F52" i="23"/>
  <c r="G45" i="23"/>
  <c r="F45" i="23"/>
  <c r="G53" i="23"/>
  <c r="F53" i="23"/>
  <c r="G7" i="23"/>
  <c r="F7" i="23"/>
  <c r="G13" i="23"/>
  <c r="F13" i="23"/>
  <c r="G48" i="23"/>
  <c r="F48" i="23"/>
  <c r="G18" i="23"/>
  <c r="F18" i="23"/>
  <c r="G55" i="23"/>
  <c r="F55" i="23"/>
  <c r="G23" i="23"/>
  <c r="F23" i="23"/>
  <c r="G9" i="23"/>
  <c r="F9" i="23"/>
  <c r="G16" i="23"/>
  <c r="F16" i="23"/>
  <c r="G29" i="23"/>
  <c r="F29" i="23"/>
  <c r="G30" i="23"/>
  <c r="F30" i="23"/>
  <c r="G42" i="23"/>
  <c r="F42" i="23"/>
  <c r="G36" i="23"/>
  <c r="F36" i="23"/>
  <c r="G38" i="23"/>
  <c r="F38" i="23"/>
  <c r="G33" i="23"/>
  <c r="F33" i="23"/>
  <c r="G5" i="23"/>
  <c r="F5" i="23"/>
  <c r="G20" i="23"/>
  <c r="F20" i="23"/>
  <c r="G3" i="23"/>
  <c r="F3" i="23"/>
  <c r="G46" i="23"/>
  <c r="F46" i="23"/>
  <c r="G44" i="23"/>
  <c r="F44" i="23"/>
  <c r="G68" i="23"/>
  <c r="F68" i="23"/>
  <c r="D71" i="20" a="1"/>
  <c r="D71" i="20" s="1"/>
  <c r="D69" i="20" a="1"/>
  <c r="D69" i="20" s="1"/>
  <c r="D67" i="20" a="1"/>
  <c r="D67" i="20" s="1"/>
  <c r="D49" i="20" a="1"/>
  <c r="D49" i="20" s="1"/>
  <c r="D41" i="20" a="1"/>
  <c r="D41" i="20" s="1"/>
  <c r="D19" i="20" a="1"/>
  <c r="D19" i="20" s="1"/>
  <c r="B5" i="31"/>
  <c r="F49" i="20" a="1"/>
  <c r="F49" i="20" s="1"/>
  <c r="F67" i="20" a="1"/>
  <c r="F67" i="20" s="1"/>
  <c r="F41" i="20" a="1"/>
  <c r="F41" i="20" s="1"/>
  <c r="F71" i="20" a="1"/>
  <c r="F71" i="20" s="1"/>
  <c r="F69" i="20" a="1"/>
  <c r="F69" i="20" s="1"/>
  <c r="F19" i="20" a="1"/>
  <c r="F19" i="20" s="1"/>
  <c r="G3" i="20" a="1"/>
  <c r="G3" i="20" s="1"/>
  <c r="G4" i="20" a="1"/>
  <c r="G4" i="20" s="1"/>
  <c r="G5" i="20" a="1"/>
  <c r="G5" i="20" s="1"/>
  <c r="G6" i="20" a="1"/>
  <c r="G6" i="20" s="1"/>
  <c r="G7" i="20" a="1"/>
  <c r="G7" i="20" s="1"/>
  <c r="G8" i="20" a="1"/>
  <c r="G8" i="20" s="1"/>
  <c r="G9" i="20" a="1"/>
  <c r="G9" i="20" s="1"/>
  <c r="G10" i="20" a="1"/>
  <c r="G10" i="20" s="1"/>
  <c r="G11" i="20" a="1"/>
  <c r="G11" i="20" s="1"/>
  <c r="G12" i="20" a="1"/>
  <c r="G12" i="20" s="1"/>
  <c r="G13" i="20" a="1"/>
  <c r="G13" i="20" s="1"/>
  <c r="G14" i="20" a="1"/>
  <c r="G14" i="20" s="1"/>
  <c r="G15" i="20" a="1"/>
  <c r="G15" i="20" s="1"/>
  <c r="G16" i="20" a="1"/>
  <c r="G16" i="20" s="1"/>
  <c r="G17" i="20" a="1"/>
  <c r="G17" i="20" s="1"/>
  <c r="G18" i="20" a="1"/>
  <c r="G18" i="20" s="1"/>
  <c r="G19" i="20" a="1"/>
  <c r="G19" i="20" s="1"/>
  <c r="G20" i="20" a="1"/>
  <c r="G20" i="20" s="1"/>
  <c r="G21" i="20" a="1"/>
  <c r="G21" i="20" s="1"/>
  <c r="G22" i="20" a="1"/>
  <c r="G22" i="20" s="1"/>
  <c r="G23" i="20" a="1"/>
  <c r="G23" i="20" s="1"/>
  <c r="G24" i="20" a="1"/>
  <c r="G24" i="20" s="1"/>
  <c r="G25" i="20" a="1"/>
  <c r="G25" i="20" s="1"/>
  <c r="G26" i="20" a="1"/>
  <c r="G26" i="20" s="1"/>
  <c r="G27" i="20" a="1"/>
  <c r="G27" i="20" s="1"/>
  <c r="G28" i="20" a="1"/>
  <c r="G28" i="20" s="1"/>
  <c r="G29" i="20" a="1"/>
  <c r="G29" i="20" s="1"/>
  <c r="G30" i="20" a="1"/>
  <c r="G30" i="20" s="1"/>
  <c r="G31" i="20" a="1"/>
  <c r="G31" i="20" s="1"/>
  <c r="G32" i="20" a="1"/>
  <c r="G32" i="20" s="1"/>
  <c r="G33" i="20" a="1"/>
  <c r="G33" i="20" s="1"/>
  <c r="G34" i="20" a="1"/>
  <c r="G34" i="20" s="1"/>
  <c r="G35" i="20" a="1"/>
  <c r="G35" i="20" s="1"/>
  <c r="G36" i="20" a="1"/>
  <c r="G36" i="20" s="1"/>
  <c r="G37" i="20" a="1"/>
  <c r="G37" i="20" s="1"/>
  <c r="G38" i="20" a="1"/>
  <c r="G38" i="20" s="1"/>
  <c r="G39" i="20" a="1"/>
  <c r="G39" i="20" s="1"/>
  <c r="G40" i="20" a="1"/>
  <c r="G40" i="20" s="1"/>
  <c r="G41" i="20" a="1"/>
  <c r="G41" i="20" s="1"/>
  <c r="G42" i="20" a="1"/>
  <c r="G42" i="20" s="1"/>
  <c r="G43" i="20" a="1"/>
  <c r="G43" i="20" s="1"/>
  <c r="G44" i="20" a="1"/>
  <c r="G44" i="20" s="1"/>
  <c r="G45" i="20" a="1"/>
  <c r="G45" i="20" s="1"/>
  <c r="G46" i="20" a="1"/>
  <c r="G46" i="20" s="1"/>
  <c r="G47" i="20" a="1"/>
  <c r="G47" i="20" s="1"/>
  <c r="G48" i="20" a="1"/>
  <c r="G48" i="20" s="1"/>
  <c r="G49" i="20" a="1"/>
  <c r="G49" i="20" s="1"/>
  <c r="G50" i="20" a="1"/>
  <c r="G50" i="20" s="1"/>
  <c r="G51" i="20" a="1"/>
  <c r="G51" i="20" s="1"/>
  <c r="G52" i="20" a="1"/>
  <c r="G52" i="20" s="1"/>
  <c r="G53" i="20" a="1"/>
  <c r="G53" i="20" s="1"/>
  <c r="G54" i="20" a="1"/>
  <c r="G54" i="20" s="1"/>
  <c r="G55" i="20" a="1"/>
  <c r="G55" i="20" s="1"/>
  <c r="G56" i="20" a="1"/>
  <c r="G56" i="20" s="1"/>
  <c r="G57" i="20" a="1"/>
  <c r="G57" i="20" s="1"/>
  <c r="G58" i="20" a="1"/>
  <c r="G58" i="20" s="1"/>
  <c r="G59" i="20" a="1"/>
  <c r="G59" i="20" s="1"/>
  <c r="G60" i="20" a="1"/>
  <c r="G60" i="20" s="1"/>
  <c r="G61" i="20" a="1"/>
  <c r="G61" i="20" s="1"/>
  <c r="G62" i="20" a="1"/>
  <c r="G62" i="20" s="1"/>
  <c r="G63" i="20" a="1"/>
  <c r="G63" i="20" s="1"/>
  <c r="G64" i="20" a="1"/>
  <c r="G64" i="20" s="1"/>
  <c r="G65" i="20" a="1"/>
  <c r="G65" i="20" s="1"/>
  <c r="G66" i="20" a="1"/>
  <c r="G66" i="20" s="1"/>
  <c r="G67" i="20" a="1"/>
  <c r="G67" i="20" s="1"/>
  <c r="G68" i="20" a="1"/>
  <c r="G68" i="20" s="1"/>
  <c r="G69" i="20" a="1"/>
  <c r="G69" i="20" s="1"/>
  <c r="G70" i="20" a="1"/>
  <c r="G70" i="20" s="1"/>
  <c r="G71" i="20" a="1"/>
  <c r="G71" i="20" s="1"/>
  <c r="D70" i="20" a="1"/>
  <c r="D70" i="20" s="1"/>
  <c r="D68" i="20" a="1"/>
  <c r="D68" i="20" s="1"/>
  <c r="D66" i="20" a="1"/>
  <c r="D66" i="20" s="1"/>
  <c r="D65" i="20" a="1"/>
  <c r="D65" i="20" s="1"/>
  <c r="D64" i="20" a="1"/>
  <c r="D64" i="20" s="1"/>
  <c r="D63" i="20" a="1"/>
  <c r="D63" i="20" s="1"/>
  <c r="D62" i="20" a="1"/>
  <c r="D62" i="20" s="1"/>
  <c r="D61" i="20" a="1"/>
  <c r="D61" i="20" s="1"/>
  <c r="D60" i="20" a="1"/>
  <c r="D60" i="20" s="1"/>
  <c r="D59" i="20" a="1"/>
  <c r="D59" i="20" s="1"/>
  <c r="D58" i="20" a="1"/>
  <c r="D58" i="20" s="1"/>
  <c r="D57" i="20" a="1"/>
  <c r="D57" i="20" s="1"/>
  <c r="D56" i="20" a="1"/>
  <c r="D56" i="20" s="1"/>
  <c r="D55" i="20" a="1"/>
  <c r="D55" i="20" s="1"/>
  <c r="D54" i="20" a="1"/>
  <c r="D54" i="20" s="1"/>
  <c r="D53" i="20" a="1"/>
  <c r="D53" i="20" s="1"/>
  <c r="D52" i="20" a="1"/>
  <c r="D52" i="20" s="1"/>
  <c r="D51" i="20" a="1"/>
  <c r="D51" i="20" s="1"/>
  <c r="D50" i="20" a="1"/>
  <c r="D50" i="20" s="1"/>
  <c r="D48" i="20" a="1"/>
  <c r="D48" i="20" s="1"/>
  <c r="D47" i="20" a="1"/>
  <c r="D47" i="20" s="1"/>
  <c r="D46" i="20" a="1"/>
  <c r="D46" i="20" s="1"/>
  <c r="D45" i="20" a="1"/>
  <c r="D45" i="20" s="1"/>
  <c r="D44" i="20" a="1"/>
  <c r="D44" i="20" s="1"/>
  <c r="D43" i="20" a="1"/>
  <c r="D43" i="20" s="1"/>
  <c r="D42" i="20" a="1"/>
  <c r="D42" i="20" s="1"/>
  <c r="D40" i="20" a="1"/>
  <c r="D40" i="20" s="1"/>
  <c r="D39" i="20" a="1"/>
  <c r="D39" i="20" s="1"/>
  <c r="D38" i="20" a="1"/>
  <c r="D38" i="20" s="1"/>
  <c r="D37" i="20" a="1"/>
  <c r="D37" i="20" s="1"/>
  <c r="D36" i="20" a="1"/>
  <c r="D36" i="20" s="1"/>
  <c r="D35" i="20" a="1"/>
  <c r="D35" i="20" s="1"/>
  <c r="D34" i="20" a="1"/>
  <c r="D34" i="20" s="1"/>
  <c r="D33" i="20" a="1"/>
  <c r="D33" i="20" s="1"/>
  <c r="D32" i="20" a="1"/>
  <c r="D32" i="20" s="1"/>
  <c r="D31" i="20" a="1"/>
  <c r="D31" i="20" s="1"/>
  <c r="D30" i="20" a="1"/>
  <c r="D30" i="20" s="1"/>
  <c r="D29" i="20" a="1"/>
  <c r="D29" i="20" s="1"/>
  <c r="D28" i="20" a="1"/>
  <c r="D28" i="20" s="1"/>
  <c r="D27" i="20" a="1"/>
  <c r="D27" i="20" s="1"/>
  <c r="D26" i="20" a="1"/>
  <c r="D26" i="20" s="1"/>
  <c r="D25" i="20" a="1"/>
  <c r="D25" i="20" s="1"/>
  <c r="D24" i="20" a="1"/>
  <c r="D24" i="20" s="1"/>
  <c r="D23" i="20" a="1"/>
  <c r="D23" i="20" s="1"/>
  <c r="D22" i="20" a="1"/>
  <c r="D22" i="20" s="1"/>
  <c r="D21" i="20" a="1"/>
  <c r="D21" i="20" s="1"/>
  <c r="D20" i="20" a="1"/>
  <c r="D20" i="20" s="1"/>
  <c r="D18" i="20" a="1"/>
  <c r="D18" i="20" s="1"/>
  <c r="D17" i="20" a="1"/>
  <c r="D17" i="20" s="1"/>
  <c r="D16" i="20" a="1"/>
  <c r="D16" i="20" s="1"/>
  <c r="D15" i="20" a="1"/>
  <c r="D15" i="20" s="1"/>
  <c r="D14" i="20" a="1"/>
  <c r="D14" i="20" s="1"/>
  <c r="D13" i="20" a="1"/>
  <c r="D13" i="20" s="1"/>
  <c r="D12" i="20" a="1"/>
  <c r="D12" i="20" s="1"/>
  <c r="D11" i="20" a="1"/>
  <c r="D11" i="20" s="1"/>
  <c r="D10" i="20" a="1"/>
  <c r="D10" i="20" s="1"/>
  <c r="D9" i="20" a="1"/>
  <c r="D9" i="20" s="1"/>
  <c r="D8" i="20" a="1"/>
  <c r="D8" i="20" s="1"/>
  <c r="D7" i="20" a="1"/>
  <c r="D7" i="20" s="1"/>
  <c r="D6" i="20" a="1"/>
  <c r="D6" i="20" s="1"/>
  <c r="D5" i="20" a="1"/>
  <c r="D5" i="20" s="1"/>
  <c r="D4" i="20" a="1"/>
  <c r="D4" i="20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<sst xmlns="http://schemas.openxmlformats.org/spreadsheetml/2006/main" count="1945" uniqueCount="397">
  <si>
    <t>Paku 5cm (1 kg)</t>
  </si>
  <si>
    <t>Alat Pelindung</t>
  </si>
  <si>
    <t>Kg</t>
  </si>
  <si>
    <t>Sarung Tangan Katun</t>
  </si>
  <si>
    <t>Elektrikal</t>
  </si>
  <si>
    <t>Masker Safety Box (isi 50)</t>
  </si>
  <si>
    <t>Material Bangunan</t>
  </si>
  <si>
    <t>Unit</t>
  </si>
  <si>
    <t>Cat Tembok 1 kg</t>
  </si>
  <si>
    <t>Kaleng (1 kg)</t>
  </si>
  <si>
    <t>Helm Proyek</t>
  </si>
  <si>
    <t>Bahan Cair / Bahan Bakar</t>
  </si>
  <si>
    <t>Pasang</t>
  </si>
  <si>
    <t>Obeng Set</t>
  </si>
  <si>
    <t>Batang</t>
  </si>
  <si>
    <t>Bor Tangan Listrik</t>
  </si>
  <si>
    <t>Peralatan &amp; Mesin</t>
  </si>
  <si>
    <t>Roll (50 m)</t>
  </si>
  <si>
    <t>Tangga Lipat Alumunium</t>
  </si>
  <si>
    <t>Kaleng (5 L)</t>
  </si>
  <si>
    <t>Pipa PVC 4 inch (per batang)</t>
  </si>
  <si>
    <t>Set</t>
  </si>
  <si>
    <t>Jaket Safety</t>
  </si>
  <si>
    <t>Lampu Sorot LED 100W</t>
  </si>
  <si>
    <t>Meter (10 m)</t>
  </si>
  <si>
    <t>Kabel Listrik Roll 50m</t>
  </si>
  <si>
    <t>Drum (200 L)</t>
  </si>
  <si>
    <t>Cat Minyak 5L</t>
  </si>
  <si>
    <t>Rantai Besi 10m</t>
  </si>
  <si>
    <t>Gerinda Tangan</t>
  </si>
  <si>
    <t>Genset Portable 1000W</t>
  </si>
  <si>
    <t>Mesin Potong Besi</t>
  </si>
  <si>
    <t>Pompa Air Industri</t>
  </si>
  <si>
    <t>Kotak (50 pcs)</t>
  </si>
  <si>
    <t>Drum Solar 200L</t>
  </si>
  <si>
    <t>Mesin Las Listrik</t>
  </si>
  <si>
    <t>Item ID</t>
  </si>
  <si>
    <t>ITM017</t>
  </si>
  <si>
    <t>ITM002</t>
  </si>
  <si>
    <t>ITM012</t>
  </si>
  <si>
    <t>ITM007</t>
  </si>
  <si>
    <t>ITM008</t>
  </si>
  <si>
    <t>ITM009</t>
  </si>
  <si>
    <t>ITM019</t>
  </si>
  <si>
    <t>ITM018</t>
  </si>
  <si>
    <t>ITM005</t>
  </si>
  <si>
    <t>ITM003</t>
  </si>
  <si>
    <t>ITM010</t>
  </si>
  <si>
    <t>ITM015</t>
  </si>
  <si>
    <t>ITM004</t>
  </si>
  <si>
    <t>ITM014</t>
  </si>
  <si>
    <t>ITM011</t>
  </si>
  <si>
    <t>ITM001</t>
  </si>
  <si>
    <t>ITM020</t>
  </si>
  <si>
    <t>ITM006</t>
  </si>
  <si>
    <t>ITM016</t>
  </si>
  <si>
    <t>ITM013</t>
  </si>
  <si>
    <t>Transaction ID</t>
  </si>
  <si>
    <t>Retur Barang</t>
  </si>
  <si>
    <t>Project Site B</t>
  </si>
  <si>
    <t>PO #003</t>
  </si>
  <si>
    <t>Internal Use</t>
  </si>
  <si>
    <t>PO #001</t>
  </si>
  <si>
    <t>Proyek Maintenance</t>
  </si>
  <si>
    <t>PO #002</t>
  </si>
  <si>
    <t>Restock</t>
  </si>
  <si>
    <t>Project Site A</t>
  </si>
  <si>
    <t>Project Site C</t>
  </si>
  <si>
    <t>Invoice ID</t>
  </si>
  <si>
    <t>TRX109</t>
  </si>
  <si>
    <t>TRX150</t>
  </si>
  <si>
    <t>TRX196</t>
  </si>
  <si>
    <t>TRX063</t>
  </si>
  <si>
    <t>TRX001</t>
  </si>
  <si>
    <t>TRX197</t>
  </si>
  <si>
    <t>TRX079</t>
  </si>
  <si>
    <t>TRX195</t>
  </si>
  <si>
    <t>TRX034</t>
  </si>
  <si>
    <t>TRX059</t>
  </si>
  <si>
    <t>TRX159</t>
  </si>
  <si>
    <t>TRX137</t>
  </si>
  <si>
    <t>TRX101</t>
  </si>
  <si>
    <t>TRX143</t>
  </si>
  <si>
    <t>TRX058</t>
  </si>
  <si>
    <t>TRX051</t>
  </si>
  <si>
    <t>TRX003</t>
  </si>
  <si>
    <t>TRX011</t>
  </si>
  <si>
    <t>TRX169</t>
  </si>
  <si>
    <t>TRX049</t>
  </si>
  <si>
    <t>TRX089</t>
  </si>
  <si>
    <t>TRX095</t>
  </si>
  <si>
    <t>TRX141</t>
  </si>
  <si>
    <t>TRX110</t>
  </si>
  <si>
    <t>TRX028</t>
  </si>
  <si>
    <t>TRX026</t>
  </si>
  <si>
    <t>TRX113</t>
  </si>
  <si>
    <t>TRX019</t>
  </si>
  <si>
    <t>TRX027</t>
  </si>
  <si>
    <t>TRX083</t>
  </si>
  <si>
    <t>TRX021</t>
  </si>
  <si>
    <t>TRX181</t>
  </si>
  <si>
    <t>TRX017</t>
  </si>
  <si>
    <t>TRX098</t>
  </si>
  <si>
    <t>TRX134</t>
  </si>
  <si>
    <t>TRX151</t>
  </si>
  <si>
    <t>TRX108</t>
  </si>
  <si>
    <t>TRX146</t>
  </si>
  <si>
    <t>TRX186</t>
  </si>
  <si>
    <t>TRX070</t>
  </si>
  <si>
    <t>TRX007</t>
  </si>
  <si>
    <t>TRX161</t>
  </si>
  <si>
    <t>TRX032</t>
  </si>
  <si>
    <t>TRX170</t>
  </si>
  <si>
    <t>Project Site C + D</t>
  </si>
  <si>
    <t>TRX075</t>
  </si>
  <si>
    <t>TRX187</t>
  </si>
  <si>
    <t>TRX171</t>
  </si>
  <si>
    <t>TRX190</t>
  </si>
  <si>
    <t>TRX129</t>
  </si>
  <si>
    <t>TRX193</t>
  </si>
  <si>
    <t>TRX199</t>
  </si>
  <si>
    <t>TRX200</t>
  </si>
  <si>
    <t>TRX002</t>
  </si>
  <si>
    <t>TRX004</t>
  </si>
  <si>
    <t>TRX005</t>
  </si>
  <si>
    <t>TRX006</t>
  </si>
  <si>
    <t>TRX008</t>
  </si>
  <si>
    <t>TRX009</t>
  </si>
  <si>
    <t>TRX010</t>
  </si>
  <si>
    <t>TRX012</t>
  </si>
  <si>
    <t>TRX013</t>
  </si>
  <si>
    <t>TRX014</t>
  </si>
  <si>
    <t>TRX015</t>
  </si>
  <si>
    <t>TRX016</t>
  </si>
  <si>
    <t>TRX018</t>
  </si>
  <si>
    <t>TRX020</t>
  </si>
  <si>
    <t>TRX022</t>
  </si>
  <si>
    <t>TRX023</t>
  </si>
  <si>
    <t>TRX024</t>
  </si>
  <si>
    <t>TRX025</t>
  </si>
  <si>
    <t>TRX029</t>
  </si>
  <si>
    <t>TRX030</t>
  </si>
  <si>
    <t>TRX031</t>
  </si>
  <si>
    <t>TRX033</t>
  </si>
  <si>
    <t>TRX035</t>
  </si>
  <si>
    <t>TRX036</t>
  </si>
  <si>
    <t>TRX037</t>
  </si>
  <si>
    <t>TRX038</t>
  </si>
  <si>
    <t>TRX039</t>
  </si>
  <si>
    <t>TRX040</t>
  </si>
  <si>
    <t>TRX041</t>
  </si>
  <si>
    <t>TRX042</t>
  </si>
  <si>
    <t>TRX043</t>
  </si>
  <si>
    <t>TRX044</t>
  </si>
  <si>
    <t>TRX045</t>
  </si>
  <si>
    <t>TRX046</t>
  </si>
  <si>
    <t>TRX047</t>
  </si>
  <si>
    <t>TRX048</t>
  </si>
  <si>
    <t>TRX050</t>
  </si>
  <si>
    <t>TRX052</t>
  </si>
  <si>
    <t>TRX053</t>
  </si>
  <si>
    <t>TRX054</t>
  </si>
  <si>
    <t>TRX055</t>
  </si>
  <si>
    <t>TRX056</t>
  </si>
  <si>
    <t>TRX057</t>
  </si>
  <si>
    <t>TRX060</t>
  </si>
  <si>
    <t>TRX061</t>
  </si>
  <si>
    <t>TRX062</t>
  </si>
  <si>
    <t>TRX064</t>
  </si>
  <si>
    <t>TRX065</t>
  </si>
  <si>
    <t>TRX066</t>
  </si>
  <si>
    <t>TRX067</t>
  </si>
  <si>
    <t>TRX068</t>
  </si>
  <si>
    <t>TRX069</t>
  </si>
  <si>
    <t>TRX071</t>
  </si>
  <si>
    <t>TRX072</t>
  </si>
  <si>
    <t>TRX073</t>
  </si>
  <si>
    <t>TRX074</t>
  </si>
  <si>
    <t>TRX076</t>
  </si>
  <si>
    <t>TRX077</t>
  </si>
  <si>
    <t>TRX078</t>
  </si>
  <si>
    <t>TRX080</t>
  </si>
  <si>
    <t>TRX081</t>
  </si>
  <si>
    <t>TRX082</t>
  </si>
  <si>
    <t>TRX084</t>
  </si>
  <si>
    <t>TRX085</t>
  </si>
  <si>
    <t>TRX086</t>
  </si>
  <si>
    <t>TRX087</t>
  </si>
  <si>
    <t>TRX088</t>
  </si>
  <si>
    <t>TRX090</t>
  </si>
  <si>
    <t>TRX091</t>
  </si>
  <si>
    <t>TRX092</t>
  </si>
  <si>
    <t>TRX093</t>
  </si>
  <si>
    <t>TRX094</t>
  </si>
  <si>
    <t>TRX096</t>
  </si>
  <si>
    <t>TRX097</t>
  </si>
  <si>
    <t>TRX099</t>
  </si>
  <si>
    <t>TRX100</t>
  </si>
  <si>
    <t>TRX102</t>
  </si>
  <si>
    <t>TRX103</t>
  </si>
  <si>
    <t>TRX104</t>
  </si>
  <si>
    <t>TRX105</t>
  </si>
  <si>
    <t>TRX106</t>
  </si>
  <si>
    <t>TRX107</t>
  </si>
  <si>
    <t>TRX111</t>
  </si>
  <si>
    <t>TRX112</t>
  </si>
  <si>
    <t>TRX114</t>
  </si>
  <si>
    <t>TRX115</t>
  </si>
  <si>
    <t>TRX116</t>
  </si>
  <si>
    <t>TRX117</t>
  </si>
  <si>
    <t>TRX118</t>
  </si>
  <si>
    <t>TRX119</t>
  </si>
  <si>
    <t>TRX120</t>
  </si>
  <si>
    <t>TRX121</t>
  </si>
  <si>
    <t>TRX122</t>
  </si>
  <si>
    <t>TRX123</t>
  </si>
  <si>
    <t>TRX124</t>
  </si>
  <si>
    <t>TRX125</t>
  </si>
  <si>
    <t>TRX126</t>
  </si>
  <si>
    <t>TRX127</t>
  </si>
  <si>
    <t>TRX128</t>
  </si>
  <si>
    <t>TRX130</t>
  </si>
  <si>
    <t>TRX131</t>
  </si>
  <si>
    <t>TRX132</t>
  </si>
  <si>
    <t>TRX133</t>
  </si>
  <si>
    <t>TRX135</t>
  </si>
  <si>
    <t>TRX136</t>
  </si>
  <si>
    <t>TRX138</t>
  </si>
  <si>
    <t>TRX139</t>
  </si>
  <si>
    <t>TRX140</t>
  </si>
  <si>
    <t>TRX142</t>
  </si>
  <si>
    <t>TRX144</t>
  </si>
  <si>
    <t>TRX145</t>
  </si>
  <si>
    <t>TRX147</t>
  </si>
  <si>
    <t>TRX148</t>
  </si>
  <si>
    <t>TRX149</t>
  </si>
  <si>
    <t>TRX152</t>
  </si>
  <si>
    <t>TRX153</t>
  </si>
  <si>
    <t>TRX154</t>
  </si>
  <si>
    <t>TRX155</t>
  </si>
  <si>
    <t>TRX156</t>
  </si>
  <si>
    <t>TRX157</t>
  </si>
  <si>
    <t>TRX158</t>
  </si>
  <si>
    <t>TRX160</t>
  </si>
  <si>
    <t>TRX162</t>
  </si>
  <si>
    <t>TRX163</t>
  </si>
  <si>
    <t>TRX164</t>
  </si>
  <si>
    <t>TRX165</t>
  </si>
  <si>
    <t>TRX166</t>
  </si>
  <si>
    <t>TRX167</t>
  </si>
  <si>
    <t>TRX168</t>
  </si>
  <si>
    <t>TRX172</t>
  </si>
  <si>
    <t>TRX173</t>
  </si>
  <si>
    <t>TRX174</t>
  </si>
  <si>
    <t>TRX175</t>
  </si>
  <si>
    <t>TRX176</t>
  </si>
  <si>
    <t>TRX177</t>
  </si>
  <si>
    <t>TRX178</t>
  </si>
  <si>
    <t>TRX179</t>
  </si>
  <si>
    <t>TRX180</t>
  </si>
  <si>
    <t>TRX182</t>
  </si>
  <si>
    <t>TRX183</t>
  </si>
  <si>
    <t>TRX184</t>
  </si>
  <si>
    <t>TRX185</t>
  </si>
  <si>
    <t>TRX188</t>
  </si>
  <si>
    <t>TRX189</t>
  </si>
  <si>
    <t>TRX191</t>
  </si>
  <si>
    <t>TRX192</t>
  </si>
  <si>
    <t>TRX194</t>
  </si>
  <si>
    <t>TRX198</t>
  </si>
  <si>
    <t>INV009</t>
  </si>
  <si>
    <t>INV022</t>
  </si>
  <si>
    <t>INV024</t>
  </si>
  <si>
    <t>INV027</t>
  </si>
  <si>
    <t>INV028</t>
  </si>
  <si>
    <t>INV030</t>
  </si>
  <si>
    <t>INV037</t>
  </si>
  <si>
    <t>INV038</t>
  </si>
  <si>
    <t>INV041</t>
  </si>
  <si>
    <t>INV046</t>
  </si>
  <si>
    <t>INV001</t>
  </si>
  <si>
    <t>INV002</t>
  </si>
  <si>
    <t>INV003</t>
  </si>
  <si>
    <t>INV004</t>
  </si>
  <si>
    <t>INV005</t>
  </si>
  <si>
    <t>INV006</t>
  </si>
  <si>
    <t>INV007</t>
  </si>
  <si>
    <t>INV008</t>
  </si>
  <si>
    <t>INV010</t>
  </si>
  <si>
    <t>INV011</t>
  </si>
  <si>
    <t>INV012</t>
  </si>
  <si>
    <t>INV013</t>
  </si>
  <si>
    <t>INV014</t>
  </si>
  <si>
    <t>INV015</t>
  </si>
  <si>
    <t>INV016</t>
  </si>
  <si>
    <t>INV017</t>
  </si>
  <si>
    <t>INV018</t>
  </si>
  <si>
    <t>INV019</t>
  </si>
  <si>
    <t>INV020</t>
  </si>
  <si>
    <t>INV021</t>
  </si>
  <si>
    <t>INV023</t>
  </si>
  <si>
    <t>INV025</t>
  </si>
  <si>
    <t>INV026</t>
  </si>
  <si>
    <t>INV029</t>
  </si>
  <si>
    <t>INV031</t>
  </si>
  <si>
    <t>INV032</t>
  </si>
  <si>
    <t>INV033</t>
  </si>
  <si>
    <t>INV034</t>
  </si>
  <si>
    <t>INV035</t>
  </si>
  <si>
    <t>INV036</t>
  </si>
  <si>
    <t>INV039</t>
  </si>
  <si>
    <t>INV040</t>
  </si>
  <si>
    <t>INV042</t>
  </si>
  <si>
    <t>INV043</t>
  </si>
  <si>
    <t>INV044</t>
  </si>
  <si>
    <t>INV045</t>
  </si>
  <si>
    <t>INV047</t>
  </si>
  <si>
    <t>INV048</t>
  </si>
  <si>
    <t>INV049</t>
  </si>
  <si>
    <t>INV050</t>
  </si>
  <si>
    <t>INV051</t>
  </si>
  <si>
    <t>INV052</t>
  </si>
  <si>
    <t>INV053</t>
  </si>
  <si>
    <t>INV054</t>
  </si>
  <si>
    <t>INV055</t>
  </si>
  <si>
    <t>INV056</t>
  </si>
  <si>
    <t>INV057</t>
  </si>
  <si>
    <t>INV058</t>
  </si>
  <si>
    <t>INV059</t>
  </si>
  <si>
    <t>INV060</t>
  </si>
  <si>
    <t>INV061</t>
  </si>
  <si>
    <t>INV062</t>
  </si>
  <si>
    <t>INV063</t>
  </si>
  <si>
    <t>INV064</t>
  </si>
  <si>
    <t>INV065</t>
  </si>
  <si>
    <t>INV066</t>
  </si>
  <si>
    <t>INV067</t>
  </si>
  <si>
    <t>INV068</t>
  </si>
  <si>
    <t>INV069</t>
  </si>
  <si>
    <t>INV070</t>
  </si>
  <si>
    <t>Total IN</t>
  </si>
  <si>
    <t>Total OUT</t>
  </si>
  <si>
    <t>Current Stock</t>
  </si>
  <si>
    <t>Reorder Level</t>
  </si>
  <si>
    <t>Status</t>
  </si>
  <si>
    <t>Qty</t>
  </si>
  <si>
    <t>Type</t>
  </si>
  <si>
    <t>OUT</t>
  </si>
  <si>
    <t>IN</t>
  </si>
  <si>
    <t>Stock</t>
  </si>
  <si>
    <t>Item Name</t>
  </si>
  <si>
    <t>Category</t>
  </si>
  <si>
    <t>Unit Price</t>
  </si>
  <si>
    <t>Date</t>
  </si>
  <si>
    <t>Total Price</t>
  </si>
  <si>
    <t>Remarks</t>
  </si>
  <si>
    <t>Row Labels</t>
  </si>
  <si>
    <t>Grand Total</t>
  </si>
  <si>
    <t>Count of Item ID</t>
  </si>
  <si>
    <t>Low Stock</t>
  </si>
  <si>
    <t>Total Invoice</t>
  </si>
  <si>
    <t>Check</t>
  </si>
  <si>
    <t>Payment Status</t>
  </si>
  <si>
    <t>Count of Invoice ID</t>
  </si>
  <si>
    <t>OK</t>
  </si>
  <si>
    <t>Mismatch</t>
  </si>
  <si>
    <t>Column Labels</t>
  </si>
  <si>
    <t>Stock Value</t>
  </si>
  <si>
    <t>KPI</t>
  </si>
  <si>
    <t>Total Sales</t>
  </si>
  <si>
    <t>Total Current Stock Value</t>
  </si>
  <si>
    <t>Value</t>
  </si>
  <si>
    <t>Total Active SKUs</t>
  </si>
  <si>
    <t>Number of Low Stock Items</t>
  </si>
  <si>
    <t>Unpaid</t>
  </si>
  <si>
    <t>Paid</t>
  </si>
  <si>
    <t>Type (kolom helper)</t>
  </si>
  <si>
    <t>MonthKey (kolom helper)</t>
  </si>
  <si>
    <t>Jul</t>
  </si>
  <si>
    <t>Aug</t>
  </si>
  <si>
    <t>Sep</t>
  </si>
  <si>
    <t>Sum of Qty</t>
  </si>
  <si>
    <t>Aug-2025</t>
  </si>
  <si>
    <t>Jul-2025</t>
  </si>
  <si>
    <t>Sep-2025</t>
  </si>
  <si>
    <t>MonthLabel (kolom helper)</t>
  </si>
  <si>
    <t>Mismatch Amount</t>
  </si>
  <si>
    <t>MonthYear (kolom helper)</t>
  </si>
  <si>
    <t>Line Total</t>
  </si>
  <si>
    <t>Sum of Line Total</t>
  </si>
  <si>
    <t>Avg Sales per Month</t>
  </si>
  <si>
    <t>Sales in July 2025</t>
  </si>
  <si>
    <t>Sales in August 2025</t>
  </si>
  <si>
    <t>Sales in September 2025</t>
  </si>
  <si>
    <t>Warehouse Performance Dashboard</t>
  </si>
  <si>
    <t>Inventory &amp; Stock Movement</t>
  </si>
  <si>
    <t>Invoice &amp; Sales Tracking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</si>
</sst>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43" formatCode="_(* #,##0.00_);_(* \(#,##0.00\);_(* &quot;-&quot;??_);_(@_)"/>
    <numFmt numFmtId="164" formatCode="_(* #,##0_);_(* \(#,##0\);_(* &quot;-&quot;??_);_(@_)"/>
    <numFmt numFmtId="165" formatCode="dd/mm/yyyy;@"/>
    <numFmt numFmtId="166" formatCode="[$Rp-421]#,##0"/>
    <numFmt numFmtId="167" formatCode="[$Rp-421]#,##0;\-[$Rp-421]#,##0"/>
  </numFmts>
  <fonts count="2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20"/>
      <color theme="1"/>
      <name val="Segoe UI"/>
      <family val="2"/>
    </font>
    <font>
      <sz val="24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0"/>
      <name val="Segoe UI"/>
      <family val="2"/>
    </font>
    <font>
      <b/>
      <sz val="28"/>
      <color theme="1"/>
      <name val="Calibri"/>
      <family val="2"/>
      <scheme val="minor"/>
    </font>
    <font>
      <b/>
      <sz val="28"/>
      <color theme="6" tint="0.79998168889431442"/>
      <name val="Calibri"/>
      <family val="2"/>
      <scheme val="minor"/>
    </font>
    <font>
      <b/>
      <sz val="28"/>
      <color theme="3" tint="-0.249977111117893"/>
      <name val="Calibri"/>
      <family val="2"/>
      <scheme val="minor"/>
    </font>
    <font>
      <b/>
      <sz val="32"/>
      <color theme="6" tint="0.79998168889431442"/>
      <name val="Calibri"/>
      <family val="2"/>
      <scheme val="minor"/>
    </font>
    <font>
      <b/>
      <sz val="11"/>
      <color theme="3" tint="-0.249977111117893"/>
      <name val="Calibri"/>
      <family val="2"/>
      <scheme val="minor"/>
    </font>
    <font>
      <b/>
      <sz val="22"/>
      <color theme="1"/>
      <name val="Calibri"/>
      <family val="2"/>
      <scheme val="minor"/>
    </font>
  </fonts>
  <fills count="5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4" tint="0.59999389629810485"/>
        <bgColor theme="4" tint="0.59999389629810485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E06666"/>
        <bgColor indexed="64"/>
      </patternFill>
    </fill>
    <fill>
      <patternFill patternType="solid">
        <fgColor theme="9" tint="-0.49998474074526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5" tint="-0.499984740745262"/>
        <bgColor indexed="64"/>
      </patternFill>
    </fill>
    <fill>
      <patternFill patternType="solid">
        <fgColor theme="7" tint="-0.49998474074526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rgb="FFCC99FF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thin">
        <color theme="4" tint="0.39997558519241921"/>
      </top>
      <bottom/>
      <diagonal/>
    </border>
    <border>
      <left style="thin">
        <color theme="0"/>
      </left>
      <right/>
      <top style="thin">
        <color theme="0"/>
      </top>
      <bottom/>
      <diagonal/>
    </border>
    <border>
      <left style="thin">
        <color theme="0"/>
      </left>
      <right/>
      <top/>
      <bottom/>
      <diagonal/>
    </border>
    <border>
      <left/>
      <right/>
      <top style="thick">
        <color theme="0"/>
      </top>
      <bottom/>
      <diagonal/>
    </border>
    <border>
      <left style="thin">
        <color theme="0"/>
      </left>
      <right/>
      <top style="thick">
        <color theme="0"/>
      </top>
      <bottom/>
      <diagonal/>
    </border>
    <border>
      <left/>
      <right/>
      <top style="thin">
        <color theme="0"/>
      </top>
      <bottom/>
      <diagonal/>
    </border>
    <border>
      <left style="thin">
        <color theme="0"/>
      </left>
      <right style="thin">
        <color theme="0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43" fontId="1" fillId="0" borderId="0" applyFont="0" applyFill="0" applyBorder="0" applyAlignment="0" applyProtection="0"/>
  </cellStyleXfs>
  <cellXfs count="110">
    <xf numFmtId="0" fontId="0" fillId="0" borderId="0" xfId="0"/>
    <xf numFmtId="14" fontId="0" fillId="0" borderId="0" xfId="0" applyNumberFormat="1"/>
    <xf numFmtId="0" fontId="0" fillId="34" borderId="10" xfId="0" applyFill="1" applyBorder="1"/>
    <xf numFmtId="0" fontId="0" fillId="0" borderId="10" xfId="0" applyBorder="1"/>
    <xf numFmtId="0" fontId="13" fillId="33" borderId="0" xfId="0" applyFont="1" applyFill="1"/>
    <xf numFmtId="0" fontId="0" fillId="34" borderId="11" xfId="0" applyFill="1" applyBorder="1"/>
    <xf numFmtId="0" fontId="0" fillId="35" borderId="13" xfId="0" applyFill="1" applyBorder="1"/>
    <xf numFmtId="0" fontId="0" fillId="35" borderId="14" xfId="0" applyFill="1" applyBorder="1"/>
    <xf numFmtId="0" fontId="0" fillId="34" borderId="15" xfId="0" applyFill="1" applyBorder="1"/>
    <xf numFmtId="0" fontId="0" fillId="35" borderId="15" xfId="0" applyFill="1" applyBorder="1"/>
    <xf numFmtId="0" fontId="0" fillId="35" borderId="11" xfId="0" applyFill="1" applyBorder="1"/>
    <xf numFmtId="0" fontId="0" fillId="0" borderId="0" xfId="0" pivotButton="1"/>
    <xf numFmtId="0" fontId="0" fillId="0" borderId="0" xfId="0" applyAlignment="1">
      <alignment horizontal="left"/>
    </xf>
    <xf numFmtId="164" fontId="0" fillId="0" borderId="0" xfId="42" applyNumberFormat="1" applyFont="1"/>
    <xf numFmtId="164" fontId="0" fillId="34" borderId="10" xfId="42" applyNumberFormat="1" applyFont="1" applyFill="1" applyBorder="1"/>
    <xf numFmtId="164" fontId="0" fillId="0" borderId="10" xfId="42" applyNumberFormat="1" applyFont="1" applyBorder="1"/>
    <xf numFmtId="164" fontId="0" fillId="34" borderId="12" xfId="42" applyNumberFormat="1" applyFont="1" applyFill="1" applyBorder="1"/>
    <xf numFmtId="14" fontId="13" fillId="33" borderId="0" xfId="0" applyNumberFormat="1" applyFont="1" applyFill="1"/>
    <xf numFmtId="165" fontId="0" fillId="34" borderId="10" xfId="0" applyNumberFormat="1" applyFill="1" applyBorder="1"/>
    <xf numFmtId="165" fontId="0" fillId="0" borderId="10" xfId="0" applyNumberFormat="1" applyBorder="1"/>
    <xf numFmtId="165" fontId="0" fillId="0" borderId="0" xfId="0" applyNumberFormat="1"/>
    <xf numFmtId="164" fontId="0" fillId="0" borderId="10" xfId="42" applyNumberFormat="1" applyFont="1" applyFill="1" applyBorder="1"/>
    <xf numFmtId="164" fontId="0" fillId="0" borderId="0" xfId="0" applyNumberFormat="1"/>
    <xf numFmtId="0" fontId="0" fillId="35" borderId="14" xfId="0" applyFill="1" applyBorder="1" applyAlignment="1">
      <alignment wrapText="1"/>
    </xf>
    <xf numFmtId="0" fontId="0" fillId="34" borderId="11" xfId="0" applyFill="1" applyBorder="1" applyAlignment="1">
      <alignment wrapText="1"/>
    </xf>
    <xf numFmtId="0" fontId="0" fillId="35" borderId="11" xfId="0" applyFill="1" applyBorder="1" applyAlignment="1">
      <alignment wrapText="1"/>
    </xf>
    <xf numFmtId="0" fontId="13" fillId="33" borderId="0" xfId="0" applyFont="1" applyFill="1" applyAlignment="1">
      <alignment wrapText="1"/>
    </xf>
    <xf numFmtId="0" fontId="13" fillId="33" borderId="12" xfId="0" applyFont="1" applyFill="1" applyBorder="1" applyAlignment="1">
      <alignment wrapText="1"/>
    </xf>
    <xf numFmtId="0" fontId="13" fillId="33" borderId="16" xfId="0" applyFont="1" applyFill="1" applyBorder="1" applyAlignment="1">
      <alignment wrapText="1"/>
    </xf>
    <xf numFmtId="0" fontId="0" fillId="0" borderId="0" xfId="0" applyAlignment="1">
      <alignment wrapText="1"/>
    </xf>
    <xf numFmtId="164" fontId="19" fillId="0" borderId="0" xfId="42" applyNumberFormat="1" applyFont="1" applyFill="1" applyBorder="1" applyAlignment="1">
      <alignment vertical="center"/>
    </xf>
    <xf numFmtId="164" fontId="1" fillId="0" borderId="0" xfId="42" applyNumberFormat="1" applyFont="1" applyFill="1" applyBorder="1" applyAlignment="1">
      <alignment vertical="center"/>
    </xf>
    <xf numFmtId="164" fontId="20" fillId="0" borderId="0" xfId="42" applyNumberFormat="1" applyFont="1" applyFill="1" applyBorder="1" applyAlignment="1">
      <alignment vertical="center"/>
    </xf>
    <xf numFmtId="164" fontId="18" fillId="0" borderId="0" xfId="42" applyNumberFormat="1" applyFont="1" applyFill="1" applyBorder="1" applyAlignment="1">
      <alignment vertical="center"/>
    </xf>
    <xf numFmtId="164" fontId="18" fillId="0" borderId="0" xfId="42" applyNumberFormat="1" applyFont="1" applyFill="1" applyBorder="1" applyAlignment="1">
      <alignment horizontal="center" vertical="center"/>
    </xf>
    <xf numFmtId="0" fontId="22" fillId="0" borderId="0" xfId="0" applyFont="1" applyAlignment="1">
      <alignment vertical="center"/>
    </xf>
    <xf numFmtId="0" fontId="23" fillId="0" borderId="0" xfId="0" applyFont="1" applyAlignment="1">
      <alignment horizontal="center" vertical="center"/>
    </xf>
    <xf numFmtId="164" fontId="18" fillId="43" borderId="0" xfId="42" applyNumberFormat="1" applyFont="1" applyFill="1" applyBorder="1" applyAlignment="1">
      <alignment horizontal="center" vertical="center"/>
    </xf>
    <xf numFmtId="0" fontId="21" fillId="49" borderId="0" xfId="0" applyFont="1" applyFill="1" applyAlignment="1">
      <alignment horizontal="center" vertical="center"/>
    </xf>
    <xf numFmtId="0" fontId="21" fillId="45" borderId="0" xfId="0" applyFont="1" applyFill="1" applyAlignment="1">
      <alignment horizontal="center" vertical="center"/>
    </xf>
    <xf numFmtId="0" fontId="21" fillId="46" borderId="0" xfId="0" applyFont="1" applyFill="1" applyAlignment="1">
      <alignment horizontal="center" vertical="center"/>
    </xf>
    <xf numFmtId="0" fontId="21" fillId="44" borderId="0" xfId="0" applyFont="1" applyFill="1" applyAlignment="1">
      <alignment horizontal="center" vertical="center"/>
    </xf>
    <xf numFmtId="0" fontId="21" fillId="47" borderId="0" xfId="0" applyFont="1" applyFill="1" applyAlignment="1">
      <alignment horizontal="center" vertical="center"/>
    </xf>
    <xf numFmtId="0" fontId="21" fillId="48" borderId="0" xfId="0" applyFont="1" applyFill="1" applyAlignment="1">
      <alignment horizontal="center" vertical="center"/>
    </xf>
    <xf numFmtId="0" fontId="21" fillId="50" borderId="0" xfId="0" applyFont="1" applyFill="1" applyAlignment="1">
      <alignment horizontal="center" vertical="center"/>
    </xf>
    <xf numFmtId="0" fontId="21" fillId="51" borderId="0" xfId="0" applyFont="1" applyFill="1" applyAlignment="1">
      <alignment horizontal="center" vertical="center"/>
    </xf>
    <xf numFmtId="0" fontId="18" fillId="36" borderId="0" xfId="0" applyFont="1" applyFill="1" applyAlignment="1">
      <alignment horizontal="center" vertical="center"/>
    </xf>
    <xf numFmtId="164" fontId="18" fillId="37" borderId="0" xfId="0" applyNumberFormat="1" applyFont="1" applyFill="1" applyAlignment="1">
      <alignment horizontal="center" vertical="center"/>
    </xf>
    <xf numFmtId="0" fontId="18" fillId="38" borderId="0" xfId="0" applyFont="1" applyFill="1" applyAlignment="1">
      <alignment horizontal="center" vertical="center"/>
    </xf>
    <xf numFmtId="164" fontId="18" fillId="39" borderId="0" xfId="0" applyNumberFormat="1" applyFont="1" applyFill="1" applyAlignment="1">
      <alignment horizontal="center" vertical="center"/>
    </xf>
    <xf numFmtId="164" fontId="18" fillId="40" borderId="0" xfId="42" applyNumberFormat="1" applyFont="1" applyFill="1" applyBorder="1" applyAlignment="1">
      <alignment horizontal="center" vertical="center"/>
    </xf>
    <xf numFmtId="164" fontId="18" fillId="41" borderId="0" xfId="42" applyNumberFormat="1" applyFont="1" applyFill="1" applyBorder="1" applyAlignment="1">
      <alignment horizontal="center" vertical="center"/>
    </xf>
    <xf numFmtId="164" fontId="18" fillId="42" borderId="0" xfId="42" applyNumberFormat="1" applyFont="1" applyFill="1" applyBorder="1" applyAlignment="1">
      <alignment horizontal="center" vertical="center"/>
    </xf>
    <xf numFmtId="0" fontId="24" fillId="0" borderId="0" xfId="0" applyFont="1" applyAlignment="1">
      <alignment horizontal="center"/>
    </xf>
    <xf numFmtId="0" fontId="26" fillId="0" borderId="0" xfId="0" applyFont="1" applyAlignment="1">
      <alignment horizontal="center"/>
    </xf>
    <xf numFmtId="3" fontId="18" fillId="37" borderId="19" xfId="0" applyNumberFormat="1" applyFont="1" applyFill="1" applyBorder="1" applyAlignment="1">
      <alignment horizontal="center" vertical="center"/>
    </xf>
    <xf numFmtId="3" fontId="18" fillId="37" borderId="20" xfId="0" applyNumberFormat="1" applyFont="1" applyFill="1" applyBorder="1" applyAlignment="1">
      <alignment horizontal="center" vertical="center"/>
    </xf>
    <xf numFmtId="3" fontId="18" fillId="37" borderId="21" xfId="0" applyNumberFormat="1" applyFont="1" applyFill="1" applyBorder="1" applyAlignment="1">
      <alignment horizontal="center" vertical="center"/>
    </xf>
    <xf numFmtId="3" fontId="18" fillId="37" borderId="22" xfId="0" applyNumberFormat="1" applyFont="1" applyFill="1" applyBorder="1" applyAlignment="1">
      <alignment horizontal="center" vertical="center"/>
    </xf>
    <xf numFmtId="0" fontId="18" fillId="38" borderId="19" xfId="0" applyFont="1" applyFill="1" applyBorder="1" applyAlignment="1">
      <alignment horizontal="center" vertical="center"/>
    </xf>
    <xf numFmtId="0" fontId="18" fillId="38" borderId="20" xfId="0" applyFont="1" applyFill="1" applyBorder="1" applyAlignment="1">
      <alignment horizontal="center" vertical="center"/>
    </xf>
    <xf numFmtId="0" fontId="18" fillId="38" borderId="21" xfId="0" applyFont="1" applyFill="1" applyBorder="1" applyAlignment="1">
      <alignment horizontal="center" vertical="center"/>
    </xf>
    <xf numFmtId="0" fontId="18" fillId="38" borderId="22" xfId="0" applyFont="1" applyFill="1" applyBorder="1" applyAlignment="1">
      <alignment horizontal="center" vertical="center"/>
    </xf>
    <xf numFmtId="0" fontId="25" fillId="52" borderId="0" xfId="0" applyFont="1" applyFill="1" applyAlignment="1">
      <alignment horizontal="center" vertical="center"/>
    </xf>
    <xf numFmtId="0" fontId="24" fillId="0" borderId="0" xfId="0" applyFont="1" applyAlignment="1">
      <alignment horizontal="center" vertical="center"/>
    </xf>
    <xf numFmtId="167" fontId="18" fillId="40" borderId="19" xfId="42" applyNumberFormat="1" applyFont="1" applyFill="1" applyBorder="1" applyAlignment="1">
      <alignment horizontal="center" vertical="center"/>
    </xf>
    <xf numFmtId="167" fontId="18" fillId="40" borderId="20" xfId="42" applyNumberFormat="1" applyFont="1" applyFill="1" applyBorder="1" applyAlignment="1">
      <alignment horizontal="center" vertical="center"/>
    </xf>
    <xf numFmtId="167" fontId="18" fillId="40" borderId="21" xfId="42" applyNumberFormat="1" applyFont="1" applyFill="1" applyBorder="1" applyAlignment="1">
      <alignment horizontal="center" vertical="center"/>
    </xf>
    <xf numFmtId="167" fontId="18" fillId="40" borderId="22" xfId="42" applyNumberFormat="1" applyFont="1" applyFill="1" applyBorder="1" applyAlignment="1">
      <alignment horizontal="center" vertical="center"/>
    </xf>
    <xf numFmtId="0" fontId="21" fillId="48" borderId="17" xfId="0" applyFont="1" applyFill="1" applyBorder="1" applyAlignment="1">
      <alignment horizontal="center" vertical="center"/>
    </xf>
    <xf numFmtId="0" fontId="21" fillId="48" borderId="18" xfId="0" applyFont="1" applyFill="1" applyBorder="1" applyAlignment="1">
      <alignment horizontal="center" vertical="center"/>
    </xf>
    <xf numFmtId="166" fontId="18" fillId="42" borderId="19" xfId="42" applyNumberFormat="1" applyFont="1" applyFill="1" applyBorder="1" applyAlignment="1">
      <alignment horizontal="center" vertical="center"/>
    </xf>
    <xf numFmtId="166" fontId="18" fillId="42" borderId="20" xfId="42" applyNumberFormat="1" applyFont="1" applyFill="1" applyBorder="1" applyAlignment="1">
      <alignment horizontal="center" vertical="center"/>
    </xf>
    <xf numFmtId="166" fontId="18" fillId="42" borderId="21" xfId="42" applyNumberFormat="1" applyFont="1" applyFill="1" applyBorder="1" applyAlignment="1">
      <alignment horizontal="center" vertical="center"/>
    </xf>
    <xf numFmtId="166" fontId="18" fillId="42" borderId="22" xfId="42" applyNumberFormat="1" applyFont="1" applyFill="1" applyBorder="1" applyAlignment="1">
      <alignment horizontal="center" vertical="center"/>
    </xf>
    <xf numFmtId="167" fontId="18" fillId="43" borderId="19" xfId="42" applyNumberFormat="1" applyFont="1" applyFill="1" applyBorder="1" applyAlignment="1">
      <alignment horizontal="center" vertical="center"/>
    </xf>
    <xf numFmtId="167" fontId="18" fillId="43" borderId="20" xfId="42" applyNumberFormat="1" applyFont="1" applyFill="1" applyBorder="1" applyAlignment="1">
      <alignment horizontal="center" vertical="center"/>
    </xf>
    <xf numFmtId="167" fontId="18" fillId="43" borderId="21" xfId="42" applyNumberFormat="1" applyFont="1" applyFill="1" applyBorder="1" applyAlignment="1">
      <alignment horizontal="center" vertical="center"/>
    </xf>
    <xf numFmtId="167" fontId="18" fillId="43" borderId="22" xfId="42" applyNumberFormat="1" applyFont="1" applyFill="1" applyBorder="1" applyAlignment="1">
      <alignment horizontal="center" vertical="center"/>
    </xf>
    <xf numFmtId="166" fontId="18" fillId="41" borderId="19" xfId="42" applyNumberFormat="1" applyFont="1" applyFill="1" applyBorder="1" applyAlignment="1">
      <alignment horizontal="center" vertical="center"/>
    </xf>
    <xf numFmtId="166" fontId="18" fillId="41" borderId="20" xfId="42" applyNumberFormat="1" applyFont="1" applyFill="1" applyBorder="1" applyAlignment="1">
      <alignment horizontal="center" vertical="center"/>
    </xf>
    <xf numFmtId="166" fontId="18" fillId="41" borderId="21" xfId="42" applyNumberFormat="1" applyFont="1" applyFill="1" applyBorder="1" applyAlignment="1">
      <alignment horizontal="center" vertical="center"/>
    </xf>
    <xf numFmtId="166" fontId="18" fillId="41" borderId="22" xfId="42" applyNumberFormat="1" applyFont="1" applyFill="1" applyBorder="1" applyAlignment="1">
      <alignment horizontal="center" vertical="center"/>
    </xf>
    <xf numFmtId="0" fontId="21" fillId="47" borderId="23" xfId="0" applyFont="1" applyFill="1" applyBorder="1" applyAlignment="1">
      <alignment horizontal="center" vertical="center"/>
    </xf>
    <xf numFmtId="0" fontId="21" fillId="47" borderId="24" xfId="0" applyFont="1" applyFill="1" applyBorder="1" applyAlignment="1">
      <alignment horizontal="center" vertical="center"/>
    </xf>
    <xf numFmtId="166" fontId="18" fillId="39" borderId="19" xfId="0" applyNumberFormat="1" applyFont="1" applyFill="1" applyBorder="1" applyAlignment="1">
      <alignment horizontal="center" vertical="center"/>
    </xf>
    <xf numFmtId="166" fontId="18" fillId="39" borderId="20" xfId="0" applyNumberFormat="1" applyFont="1" applyFill="1" applyBorder="1" applyAlignment="1">
      <alignment horizontal="center" vertical="center"/>
    </xf>
    <xf numFmtId="166" fontId="18" fillId="39" borderId="21" xfId="0" applyNumberFormat="1" applyFont="1" applyFill="1" applyBorder="1" applyAlignment="1">
      <alignment horizontal="center" vertical="center"/>
    </xf>
    <xf numFmtId="166" fontId="18" fillId="39" borderId="22" xfId="0" applyNumberFormat="1" applyFont="1" applyFill="1" applyBorder="1" applyAlignment="1">
      <alignment horizontal="center" vertical="center"/>
    </xf>
    <xf numFmtId="0" fontId="21" fillId="49" borderId="23" xfId="0" applyFont="1" applyFill="1" applyBorder="1" applyAlignment="1">
      <alignment horizontal="center" vertical="center"/>
    </xf>
    <xf numFmtId="0" fontId="21" fillId="49" borderId="24" xfId="0" applyFont="1" applyFill="1" applyBorder="1" applyAlignment="1">
      <alignment horizontal="center" vertical="center"/>
    </xf>
    <xf numFmtId="0" fontId="21" fillId="50" borderId="23" xfId="0" applyFont="1" applyFill="1" applyBorder="1" applyAlignment="1">
      <alignment horizontal="center" vertical="center"/>
    </xf>
    <xf numFmtId="0" fontId="21" fillId="50" borderId="24" xfId="0" applyFont="1" applyFill="1" applyBorder="1" applyAlignment="1">
      <alignment horizontal="center" vertical="center"/>
    </xf>
    <xf numFmtId="0" fontId="21" fillId="51" borderId="23" xfId="0" applyFont="1" applyFill="1" applyBorder="1" applyAlignment="1">
      <alignment horizontal="center" vertical="center"/>
    </xf>
    <xf numFmtId="0" fontId="21" fillId="51" borderId="24" xfId="0" applyFont="1" applyFill="1" applyBorder="1" applyAlignment="1">
      <alignment horizontal="center" vertical="center"/>
    </xf>
    <xf numFmtId="0" fontId="21" fillId="45" borderId="23" xfId="0" applyFont="1" applyFill="1" applyBorder="1" applyAlignment="1">
      <alignment horizontal="center" vertical="center"/>
    </xf>
    <xf numFmtId="0" fontId="21" fillId="45" borderId="24" xfId="0" applyFont="1" applyFill="1" applyBorder="1" applyAlignment="1">
      <alignment horizontal="center" vertical="center"/>
    </xf>
    <xf numFmtId="0" fontId="21" fillId="46" borderId="23" xfId="0" applyFont="1" applyFill="1" applyBorder="1" applyAlignment="1">
      <alignment horizontal="center" vertical="center"/>
    </xf>
    <xf numFmtId="0" fontId="21" fillId="46" borderId="24" xfId="0" applyFont="1" applyFill="1" applyBorder="1" applyAlignment="1">
      <alignment horizontal="center" vertical="center"/>
    </xf>
    <xf numFmtId="0" fontId="21" fillId="44" borderId="23" xfId="0" applyFont="1" applyFill="1" applyBorder="1" applyAlignment="1">
      <alignment horizontal="center" vertical="center"/>
    </xf>
    <xf numFmtId="0" fontId="21" fillId="44" borderId="24" xfId="0" applyFont="1" applyFill="1" applyBorder="1" applyAlignment="1">
      <alignment horizontal="center" vertical="center"/>
    </xf>
    <xf numFmtId="0" fontId="18" fillId="36" borderId="19" xfId="0" applyFont="1" applyFill="1" applyBorder="1" applyAlignment="1">
      <alignment horizontal="center" vertical="center"/>
    </xf>
    <xf numFmtId="0" fontId="18" fillId="36" borderId="20" xfId="0" applyFont="1" applyFill="1" applyBorder="1" applyAlignment="1">
      <alignment horizontal="center" vertical="center"/>
    </xf>
    <xf numFmtId="0" fontId="18" fillId="36" borderId="21" xfId="0" applyFont="1" applyFill="1" applyBorder="1" applyAlignment="1">
      <alignment horizontal="center" vertical="center"/>
    </xf>
    <xf numFmtId="0" fontId="18" fillId="36" borderId="22" xfId="0" applyFont="1" applyFill="1" applyBorder="1" applyAlignment="1">
      <alignment horizontal="center" vertical="center"/>
    </xf>
    <xf numFmtId="0" fontId="27" fillId="0" borderId="0" xfId="0" applyFont="1" applyAlignment="1">
      <alignment horizontal="center" vertical="center"/>
    </xf>
    <xf numFmtId="0" fontId="0" fillId="0" borderId="0" xfId="0" applyAlignment="1"/>
    <xf numFmtId="0" fontId="0" fillId="0" borderId="0" xfId="0" pivotButton="1" applyAlignment="1">
      <alignment horizontal="left" vertical="center"/>
    </xf>
    <xf numFmtId="0" fontId="0" fillId="0" borderId="0" xfId="0" applyAlignment="1">
      <alignment horizontal="left" vertical="center"/>
    </xf>
    <xf numFmtId="0" fontId="27" fillId="0" borderId="0" xfId="0" applyFont="1" applyAlignment="1">
      <alignment vertical="center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Comma" xfId="42" builtinId="3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84">
    <dxf>
      <fill>
        <patternFill>
          <bgColor theme="9" tint="0.39994506668294322"/>
        </patternFill>
      </fill>
    </dxf>
    <dxf>
      <fill>
        <patternFill>
          <bgColor theme="5" tint="0.59996337778862885"/>
        </patternFill>
      </fill>
    </dxf>
    <dxf>
      <fill>
        <patternFill>
          <bgColor rgb="FFE06666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alignment wrapText="0"/>
    </dxf>
    <dxf>
      <alignment wrapText="0"/>
    </dxf>
    <dxf>
      <alignment wrapText="1"/>
    </dxf>
    <dxf>
      <alignment wrapText="1"/>
    </dxf>
    <dxf>
      <alignment wrapText="0"/>
    </dxf>
    <dxf>
      <alignment wrapText="0"/>
    </dxf>
    <dxf>
      <alignment vertical="center"/>
    </dxf>
    <dxf>
      <alignment vertical="center"/>
    </dxf>
    <dxf>
      <alignment horizontal="left"/>
    </dxf>
    <dxf>
      <alignment horizontal="left"/>
    </dxf>
    <dxf>
      <alignment wrapText="1"/>
    </dxf>
    <dxf>
      <alignment vertical="center"/>
    </dxf>
    <dxf>
      <alignment horizontal="left"/>
    </dxf>
    <dxf>
      <alignment horizontal="left"/>
    </dxf>
    <dxf>
      <alignment horizontal="left"/>
    </dxf>
    <dxf>
      <alignment horizontal="center"/>
    </dxf>
    <dxf>
      <alignment horizontal="center"/>
    </dxf>
    <dxf>
      <alignment horizontal="left"/>
    </dxf>
    <dxf>
      <alignment horizontal="center"/>
    </dxf>
    <dxf>
      <alignment horizontal="left"/>
    </dxf>
    <dxf>
      <alignment vertical="center"/>
    </dxf>
    <dxf>
      <alignment horizontal="center"/>
    </dxf>
    <dxf>
      <alignment vertical="center"/>
    </dxf>
    <dxf>
      <alignment vertical="center"/>
    </dxf>
    <dxf>
      <alignment vertical="center"/>
    </dxf>
    <dxf>
      <alignment wrapText="0"/>
    </dxf>
    <dxf>
      <alignment wrapText="0"/>
    </dxf>
    <dxf>
      <alignment wrapText="1"/>
    </dxf>
    <dxf>
      <alignment wrapText="0"/>
    </dxf>
    <dxf>
      <alignment wrapText="1"/>
    </dxf>
    <dxf>
      <alignment wrapText="1"/>
    </dxf>
    <dxf>
      <numFmt numFmtId="164" formatCode="_(* #,##0_);_(* \(#,##0\);_(* &quot;-&quot;??_);_(@_)"/>
    </dxf>
    <dxf>
      <numFmt numFmtId="0" formatCode="General"/>
    </dxf>
    <dxf>
      <numFmt numFmtId="164" formatCode="_(* #,##0_);_(* \(#,##0\);_(* &quot;-&quot;??_);_(@_)"/>
    </dxf>
    <dxf>
      <numFmt numFmtId="164" formatCode="_(* #,##0_);_(* \(#,##0\);_(* &quot;-&quot;??_);_(@_)"/>
    </dxf>
    <dxf>
      <numFmt numFmtId="165" formatCode="dd/mm/yyyy;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_(* #,##0_);_(* \(#,##0\);_(* &quot;-&quot;??_);_(@_)"/>
      <fill>
        <patternFill patternType="solid">
          <fgColor theme="4" tint="0.79998168889431442"/>
          <bgColor theme="4" tint="0.79998168889431442"/>
        </patternFill>
      </fill>
      <border diagonalUp="0" diagonalDown="0" outline="0">
        <left/>
        <right/>
        <top style="thin">
          <color theme="0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_(* #,##0_);_(* \(#,##0\);_(* &quot;-&quot;??_);_(@_)"/>
      <fill>
        <patternFill patternType="solid">
          <fgColor theme="4" tint="0.79998168889431442"/>
          <bgColor theme="4" tint="0.79998168889431442"/>
        </patternFill>
      </fill>
      <border diagonalUp="0" diagonalDown="0">
        <left style="thin">
          <color theme="0"/>
        </left>
        <right style="thin">
          <color theme="0"/>
        </right>
        <top style="thin">
          <color theme="0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solid">
          <fgColor theme="4" tint="0.79998168889431442"/>
          <bgColor theme="4" tint="0.79998168889431442"/>
        </patternFill>
      </fill>
      <border diagonalUp="0" diagonalDown="0">
        <left style="thin">
          <color theme="0"/>
        </left>
        <right style="thin">
          <color theme="0"/>
        </right>
        <top style="thin">
          <color theme="0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 style="thin">
          <color theme="0"/>
        </left>
        <right/>
        <top style="thin">
          <color theme="0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solid">
          <fgColor theme="4" tint="0.79998168889431442"/>
          <bgColor theme="4" tint="0.79998168889431442"/>
        </patternFill>
      </fill>
      <border diagonalUp="0" diagonalDown="0">
        <left style="thin">
          <color theme="0"/>
        </left>
        <right/>
        <top style="thin">
          <color theme="0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solid">
          <fgColor theme="4" tint="0.79998168889431442"/>
          <bgColor theme="4" tint="0.79998168889431442"/>
        </patternFill>
      </fill>
      <border diagonalUp="0" diagonalDown="0">
        <left style="thin">
          <color theme="0"/>
        </left>
        <right/>
        <top style="thin">
          <color theme="0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solid">
          <fgColor theme="4" tint="0.79998168889431442"/>
          <bgColor theme="4" tint="0.79998168889431442"/>
        </patternFill>
      </fill>
      <border diagonalUp="0" diagonalDown="0" outline="0">
        <left/>
        <right/>
        <top style="thin">
          <color theme="0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59999389629810485"/>
          <bgColor theme="4" tint="0.59999389629810485"/>
        </patternFill>
      </fill>
      <alignment horizontal="general" vertical="bottom" textRotation="0" wrapText="1" indent="0" justifyLastLine="0" shrinkToFit="0" readingOrder="0"/>
      <border diagonalUp="0" diagonalDown="0" outline="0">
        <left/>
        <right/>
        <top style="thick">
          <color theme="0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alignment horizontal="general" vertical="bottom" textRotation="0" wrapText="1" indent="0" justifyLastLine="0" shrinkToFit="0" readingOrder="0"/>
      <border diagonalUp="0" diagonalDown="0" outline="0">
        <left style="thin">
          <color theme="0"/>
        </left>
        <right style="thin">
          <color theme="0"/>
        </right>
        <top style="thin">
          <color theme="0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 outline="0">
        <left/>
        <right style="thin">
          <color theme="0"/>
        </right>
        <top style="thin">
          <color theme="0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4"/>
          <bgColor theme="4"/>
        </patternFill>
      </fill>
      <alignment horizontal="general" vertical="bottom" textRotation="0" wrapText="1" indent="0" justifyLastLine="0" shrinkToFit="0" readingOrder="0"/>
      <border diagonalUp="0" diagonalDown="0" outline="0">
        <left style="thin">
          <color theme="0"/>
        </left>
        <right style="thin">
          <color theme="0"/>
        </right>
        <top/>
        <bottom/>
      </border>
    </dxf>
    <dxf>
      <numFmt numFmtId="0" formatCode="General"/>
    </dxf>
    <dxf>
      <numFmt numFmtId="165" formatCode="dd/mm/yyyy;@"/>
    </dxf>
    <dxf>
      <numFmt numFmtId="0" formatCode="General"/>
    </dxf>
    <dxf>
      <numFmt numFmtId="164" formatCode="_(* #,##0_);_(* \(#,##0\);_(* &quot;-&quot;??_);_(@_)"/>
    </dxf>
    <dxf>
      <numFmt numFmtId="164" formatCode="_(* #,##0_);_(* \(#,##0\);_(* &quot;-&quot;??_);_(@_)"/>
    </dxf>
    <dxf>
      <numFmt numFmtId="0" formatCode="General"/>
    </dxf>
    <dxf>
      <numFmt numFmtId="0" formatCode="General"/>
    </dxf>
    <dxf>
      <numFmt numFmtId="165" formatCode="dd/mm/yyyy;@"/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numFmt numFmtId="19" formatCode="m/d/yyyy"/>
    </dxf>
    <dxf>
      <numFmt numFmtId="0" formatCode="General"/>
    </dxf>
    <dxf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border diagonalUp="0" diagonalDown="0" outline="0">
        <left/>
        <right/>
        <top style="thin">
          <color theme="4" tint="0.39997558519241921"/>
        </top>
        <bottom/>
      </border>
    </dxf>
    <dxf>
      <numFmt numFmtId="164" formatCode="_(* #,##0_);_(* \(#,##0\);_(* &quot;-&quot;??_);_(@_)"/>
      <border diagonalUp="0" diagonalDown="0" outline="0">
        <left/>
        <right/>
        <top style="thin">
          <color theme="4" tint="0.39997558519241921"/>
        </top>
        <bottom/>
      </border>
    </dxf>
    <dxf>
      <numFmt numFmtId="164" formatCode="_(* #,##0_);_(* \(#,##0\);_(* &quot;-&quot;??_);_(@_)"/>
      <border diagonalUp="0" diagonalDown="0">
        <left/>
        <right/>
        <top style="thin">
          <color theme="4" tint="0.39997558519241921"/>
        </top>
        <bottom/>
      </border>
    </dxf>
    <dxf>
      <border diagonalUp="0" diagonalDown="0" outline="0">
        <left/>
        <right/>
        <top style="thin">
          <color theme="4" tint="0.39997558519241921"/>
        </top>
        <bottom/>
      </border>
    </dxf>
    <dxf>
      <numFmt numFmtId="0" formatCode="General"/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numFmt numFmtId="165" formatCode="dd/mm/yyyy;@"/>
    </dxf>
    <dxf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border outline="0"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4"/>
          <bgColor theme="4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_(* #,##0_);_(* \(#,##0\);_(* &quot;-&quot;??_);_(@_)"/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border outline="0">
        <left style="thin">
          <color theme="4" tint="0.39997558519241921"/>
        </left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4"/>
          <bgColor theme="4"/>
        </patternFill>
      </fill>
    </dxf>
  </dxfs>
  <tableStyles count="0" defaultTableStyle="TableStyleMedium2" defaultPivotStyle="PivotStyleLight16"/>
  <colors>
    <mruColors>
      <color rgb="FF93C47D"/>
      <color rgb="FFFF7C80"/>
      <color rgb="FFCC99FF"/>
      <color rgb="FFE06666"/>
      <color rgb="FFF28B82"/>
      <color rgb="FFCC0000"/>
      <color rgb="FFE6B8AF"/>
      <color rgb="FFF4CCCC"/>
      <color rgb="FFFADBD8"/>
      <color rgb="FFFF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pivotCacheDefinition" Target="pivotCache/pivotCacheDefinition1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calcChain" Target="calcChain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pivotCacheDefinition" Target="pivotCache/pivotCacheDefinition4.xml"/><Relationship Id="rId20" Type="http://schemas.openxmlformats.org/officeDocument/2006/relationships/sheetMetadata" Target="metadata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pivotCacheDefinition" Target="pivotCache/pivotCacheDefinition3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pivotCacheDefinition" Target="pivotCache/pivotCacheDefinition2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_rels/chart11.xml.rels><?xml version="1.0" encoding="UTF-8" standalone="yes"?>
<Relationships xmlns="http://schemas.openxmlformats.org/package/2006/relationships"><Relationship Id="rId2" Type="http://schemas.microsoft.com/office/2011/relationships/chartColorStyle" Target="colors11.xml"/><Relationship Id="rId1" Type="http://schemas.microsoft.com/office/2011/relationships/chartStyle" Target="style11.xml"/></Relationships>
</file>

<file path=xl/charts/_rels/chart12.xml.rels><?xml version="1.0" encoding="UTF-8" standalone="yes"?>
<Relationships xmlns="http://schemas.openxmlformats.org/package/2006/relationships"><Relationship Id="rId2" Type="http://schemas.microsoft.com/office/2011/relationships/chartColorStyle" Target="colors12.xml"/><Relationship Id="rId1" Type="http://schemas.microsoft.com/office/2011/relationships/chartStyle" Target="style12.xml"/></Relationships>
</file>

<file path=xl/charts/_rels/chart13.xml.rels><?xml version="1.0" encoding="UTF-8" standalone="yes"?>
<Relationships xmlns="http://schemas.openxmlformats.org/package/2006/relationships"><Relationship Id="rId2" Type="http://schemas.microsoft.com/office/2011/relationships/chartColorStyle" Target="colors13.xml"/><Relationship Id="rId1" Type="http://schemas.microsoft.com/office/2011/relationships/chartStyle" Target="style1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[Warehouse Admin Project by Meliani Wahyuli.xlsx]Inventory &amp; Stock Movement!PivotTable1</c:name>
    <c:fmtId val="19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chemeClr val="accent1"/>
                </a:solidFill>
                <a:latin typeface="+mn-lt"/>
                <a:ea typeface="+mn-ea"/>
                <a:cs typeface="+mn-cs"/>
              </a:defRPr>
            </a:pPr>
            <a:r>
              <a:rPr lang="en-US" b="1">
                <a:solidFill>
                  <a:schemeClr val="accent1"/>
                </a:solidFill>
              </a:rPr>
              <a:t>Number of Low</a:t>
            </a:r>
            <a:r>
              <a:rPr lang="en-US" b="1" baseline="0">
                <a:solidFill>
                  <a:schemeClr val="accent1"/>
                </a:solidFill>
              </a:rPr>
              <a:t> Stock Items per Category</a:t>
            </a:r>
            <a:endParaRPr lang="en-US" b="1">
              <a:solidFill>
                <a:schemeClr val="accent1"/>
              </a:solidFill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chemeClr val="accent1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5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6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85000"/>
                      <a:lumOff val="1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1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8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</c:pivotFmts>
    <c:plotArea>
      <c:layout/>
      <c:doughnutChart>
        <c:varyColors val="1"/>
        <c:ser>
          <c:idx val="0"/>
          <c:order val="0"/>
          <c:tx>
            <c:strRef>
              <c:f>'Inventory &amp; Stock Movement'!$B$3</c:f>
              <c:strCache>
                <c:ptCount val="1"/>
                <c:pt idx="0">
                  <c:v>Total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FB19-4C73-9FA4-7933C3356250}"/>
              </c:ext>
            </c:extLst>
          </c:dPt>
          <c:dPt>
            <c:idx val="1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FB19-4C73-9FA4-7933C3356250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85000"/>
                        <a:lumOff val="1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1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'Inventory &amp; Stock Movement'!$A$4:$A$6</c:f>
              <c:strCache>
                <c:ptCount val="2"/>
                <c:pt idx="0">
                  <c:v>Alat Pelindung</c:v>
                </c:pt>
                <c:pt idx="1">
                  <c:v>Peralatan &amp; Mesin</c:v>
                </c:pt>
              </c:strCache>
            </c:strRef>
          </c:cat>
          <c:val>
            <c:numRef>
              <c:f>'Inventory &amp; Stock Movement'!$B$4:$B$6</c:f>
              <c:numCache>
                <c:formatCode>General</c:formatCode>
                <c:ptCount val="2"/>
                <c:pt idx="0">
                  <c:v>1</c:v>
                </c:pt>
                <c:pt idx="1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FB19-4C73-9FA4-7933C3356250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  <c:showLeaderLines val="1"/>
        </c:dLbls>
        <c:firstSliceAng val="18"/>
        <c:holeSize val="36"/>
      </c:doughnutChart>
      <c:spPr>
        <a:noFill/>
        <a:ln>
          <a:noFill/>
        </a:ln>
        <a:effectLst/>
      </c:spPr>
    </c:plotArea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pattFill prst="pct10">
      <a:fgClr>
        <a:schemeClr val="accent1"/>
      </a:fgClr>
      <a:bgClr>
        <a:schemeClr val="bg1"/>
      </a:bgClr>
    </a:patt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[Warehouse Admin Project by Meliani Wahyuli.xlsx]Inventory &amp; Stock Movement!PivotTable3</c:name>
    <c:fmtId val="5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rgbClr val="0070C0"/>
                </a:solidFill>
                <a:latin typeface="+mn-lt"/>
                <a:ea typeface="+mn-ea"/>
                <a:cs typeface="+mn-cs"/>
              </a:defRPr>
            </a:pPr>
            <a:r>
              <a:rPr lang="en-ID" sz="1400" b="1" i="0" u="none" strike="noStrike" kern="1200" spc="0" baseline="0">
                <a:solidFill>
                  <a:srgbClr val="0070C0"/>
                </a:solidFill>
              </a:rPr>
              <a:t>Stock IN/OUT per Month</a:t>
            </a:r>
            <a:endParaRPr lang="en-ID" sz="1400" b="1">
              <a:solidFill>
                <a:srgbClr val="0070C0"/>
              </a:solidFill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rgbClr val="0070C0"/>
              </a:solidFill>
              <a:latin typeface="+mn-lt"/>
              <a:ea typeface="+mn-ea"/>
              <a:cs typeface="+mn-cs"/>
            </a:defRPr>
          </a:pPr>
          <a:endParaRPr lang="en-ID"/>
        </a:p>
      </c:txPr>
    </c:title>
    <c:autoTitleDeleted val="0"/>
    <c:pivotFmts>
      <c:pivotFmt>
        <c:idx val="0"/>
        <c:spPr>
          <a:solidFill>
            <a:schemeClr val="accent6"/>
          </a:solidFill>
          <a:ln w="28575" cap="rnd">
            <a:solidFill>
              <a:schemeClr val="accent6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6"/>
          </a:solidFill>
          <a:ln w="28575" cap="rnd">
            <a:solidFill>
              <a:schemeClr val="accent6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6"/>
          </a:solidFill>
          <a:ln w="28575" cap="rnd">
            <a:solidFill>
              <a:schemeClr val="accent6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6"/>
          </a:solidFill>
          <a:ln w="28575" cap="rnd">
            <a:solidFill>
              <a:schemeClr val="accent6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ln w="28575" cap="rnd">
            <a:solidFill>
              <a:schemeClr val="accent6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ln w="28575" cap="rnd">
            <a:solidFill>
              <a:schemeClr val="accent6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'Inventory &amp; Stock Movement'!$B$38:$B$39</c:f>
              <c:strCache>
                <c:ptCount val="1"/>
                <c:pt idx="0">
                  <c:v>IN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'Inventory &amp; Stock Movement'!$A$40:$A$43</c:f>
              <c:strCache>
                <c:ptCount val="3"/>
                <c:pt idx="0">
                  <c:v>Jul-2025</c:v>
                </c:pt>
                <c:pt idx="1">
                  <c:v>Aug-2025</c:v>
                </c:pt>
                <c:pt idx="2">
                  <c:v>Sep-2025</c:v>
                </c:pt>
              </c:strCache>
            </c:strRef>
          </c:cat>
          <c:val>
            <c:numRef>
              <c:f>'Inventory &amp; Stock Movement'!$B$40:$B$43</c:f>
              <c:numCache>
                <c:formatCode>General</c:formatCode>
                <c:ptCount val="3"/>
                <c:pt idx="0">
                  <c:v>302</c:v>
                </c:pt>
                <c:pt idx="1">
                  <c:v>262</c:v>
                </c:pt>
                <c:pt idx="2">
                  <c:v>270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2D38-4335-9AFC-8350A3AC208C}"/>
            </c:ext>
          </c:extLst>
        </c:ser>
        <c:ser>
          <c:idx val="1"/>
          <c:order val="1"/>
          <c:tx>
            <c:strRef>
              <c:f>'Inventory &amp; Stock Movement'!$C$38:$C$39</c:f>
              <c:strCache>
                <c:ptCount val="1"/>
                <c:pt idx="0">
                  <c:v>OUT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'Inventory &amp; Stock Movement'!$A$40:$A$43</c:f>
              <c:strCache>
                <c:ptCount val="3"/>
                <c:pt idx="0">
                  <c:v>Jul-2025</c:v>
                </c:pt>
                <c:pt idx="1">
                  <c:v>Aug-2025</c:v>
                </c:pt>
                <c:pt idx="2">
                  <c:v>Sep-2025</c:v>
                </c:pt>
              </c:strCache>
            </c:strRef>
          </c:cat>
          <c:val>
            <c:numRef>
              <c:f>'Inventory &amp; Stock Movement'!$C$40:$C$43</c:f>
              <c:numCache>
                <c:formatCode>General</c:formatCode>
                <c:ptCount val="3"/>
                <c:pt idx="0">
                  <c:v>411</c:v>
                </c:pt>
                <c:pt idx="1">
                  <c:v>354</c:v>
                </c:pt>
                <c:pt idx="2">
                  <c:v>387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2D38-4335-9AFC-8350A3AC208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764009279"/>
        <c:axId val="1764006879"/>
      </c:lineChart>
      <c:catAx>
        <c:axId val="1764009279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64006879"/>
        <c:crosses val="autoZero"/>
        <c:auto val="1"/>
        <c:lblAlgn val="ctr"/>
        <c:lblOffset val="100"/>
        <c:noMultiLvlLbl val="0"/>
      </c:catAx>
      <c:valAx>
        <c:axId val="176400687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6400927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gradFill flip="none" rotWithShape="1">
      <a:gsLst>
        <a:gs pos="0">
          <a:schemeClr val="accent5">
            <a:lumMod val="5000"/>
            <a:lumOff val="95000"/>
          </a:schemeClr>
        </a:gs>
        <a:gs pos="74000">
          <a:schemeClr val="accent5">
            <a:lumMod val="45000"/>
            <a:lumOff val="55000"/>
          </a:schemeClr>
        </a:gs>
        <a:gs pos="83000">
          <a:schemeClr val="accent5">
            <a:lumMod val="45000"/>
            <a:lumOff val="55000"/>
          </a:schemeClr>
        </a:gs>
        <a:gs pos="100000">
          <a:schemeClr val="accent5">
            <a:lumMod val="30000"/>
            <a:lumOff val="70000"/>
          </a:schemeClr>
        </a:gs>
      </a:gsLst>
      <a:lin ang="5400000" scaled="1"/>
      <a:tileRect/>
    </a:gra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5"/>
    </mc:Choice>
    <mc:Fallback>
      <c:style val="5"/>
    </mc:Fallback>
  </mc:AlternateContent>
  <c:pivotSource>
    <c:name>[Warehouse Admin Project by Meliani Wahyuli.xlsx]Inventory &amp; Stock Movement!PivotTable4</c:name>
    <c:fmtId val="14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chemeClr val="accent1">
                    <a:lumMod val="50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="1">
                <a:solidFill>
                  <a:schemeClr val="accent1">
                    <a:lumMod val="50000"/>
                  </a:schemeClr>
                </a:solidFill>
              </a:rPr>
              <a:t>Top</a:t>
            </a:r>
            <a:r>
              <a:rPr lang="en-US" b="1" baseline="0">
                <a:solidFill>
                  <a:schemeClr val="accent1">
                    <a:lumMod val="50000"/>
                  </a:schemeClr>
                </a:solidFill>
              </a:rPr>
              <a:t> 5 Moving Items (Qty Out)</a:t>
            </a:r>
            <a:endParaRPr lang="en-US" b="1">
              <a:solidFill>
                <a:schemeClr val="accent1">
                  <a:lumMod val="50000"/>
                </a:schemeClr>
              </a:solidFill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chemeClr val="accent1">
                  <a:lumMod val="50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3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3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3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'Inventory &amp; Stock Movement'!$B$57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'Inventory &amp; Stock Movement'!$A$58:$A$63</c:f>
              <c:strCache>
                <c:ptCount val="5"/>
                <c:pt idx="0">
                  <c:v>Kabel Listrik Roll 50m</c:v>
                </c:pt>
                <c:pt idx="1">
                  <c:v>Gerinda Tangan</c:v>
                </c:pt>
                <c:pt idx="2">
                  <c:v>Cat Minyak 5L</c:v>
                </c:pt>
                <c:pt idx="3">
                  <c:v>Pipa PVC 4 inch (per batang)</c:v>
                </c:pt>
                <c:pt idx="4">
                  <c:v>Pompa Air Industri</c:v>
                </c:pt>
              </c:strCache>
            </c:strRef>
          </c:cat>
          <c:val>
            <c:numRef>
              <c:f>'Inventory &amp; Stock Movement'!$B$58:$B$63</c:f>
              <c:numCache>
                <c:formatCode>General</c:formatCode>
                <c:ptCount val="5"/>
                <c:pt idx="0">
                  <c:v>95</c:v>
                </c:pt>
                <c:pt idx="1">
                  <c:v>94</c:v>
                </c:pt>
                <c:pt idx="2">
                  <c:v>80</c:v>
                </c:pt>
                <c:pt idx="3">
                  <c:v>79</c:v>
                </c:pt>
                <c:pt idx="4">
                  <c:v>77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EE3-46C4-B107-A9BF087EB6B9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182"/>
        <c:axId val="131511231"/>
        <c:axId val="131518431"/>
      </c:barChart>
      <c:catAx>
        <c:axId val="13151123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1518431"/>
        <c:crosses val="autoZero"/>
        <c:auto val="1"/>
        <c:lblAlgn val="ctr"/>
        <c:lblOffset val="100"/>
        <c:noMultiLvlLbl val="0"/>
      </c:catAx>
      <c:valAx>
        <c:axId val="13151843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1511231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gradFill flip="none" rotWithShape="1">
      <a:gsLst>
        <a:gs pos="0">
          <a:schemeClr val="accent5">
            <a:lumMod val="5000"/>
            <a:lumOff val="95000"/>
          </a:schemeClr>
        </a:gs>
        <a:gs pos="74000">
          <a:schemeClr val="accent5">
            <a:lumMod val="45000"/>
            <a:lumOff val="55000"/>
          </a:schemeClr>
        </a:gs>
        <a:gs pos="83000">
          <a:schemeClr val="accent5">
            <a:lumMod val="45000"/>
            <a:lumOff val="55000"/>
          </a:schemeClr>
        </a:gs>
        <a:gs pos="100000">
          <a:schemeClr val="accent5">
            <a:lumMod val="30000"/>
            <a:lumOff val="70000"/>
          </a:schemeClr>
        </a:gs>
      </a:gsLst>
      <a:lin ang="2700000" scaled="1"/>
      <a:tileRect/>
    </a:gra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[Warehouse Admin Project by Meliani Wahyuli.xlsx]Invoice &amp; Sales Tracking!PivotTable1</c:name>
    <c:fmtId val="17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D" sz="1400" b="1" i="0" u="none" strike="noStrike" baseline="0">
                <a:solidFill>
                  <a:schemeClr val="accent6">
                    <a:lumMod val="75000"/>
                  </a:schemeClr>
                </a:solidFill>
                <a:effectLst/>
              </a:rPr>
              <a:t>Payment Status – Paid vs Unpaid</a:t>
            </a:r>
            <a:endParaRPr lang="en-US" b="1">
              <a:solidFill>
                <a:schemeClr val="accent6">
                  <a:lumMod val="75000"/>
                </a:schemeClr>
              </a:solidFill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6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bestFit"/>
          <c:showLegendKey val="0"/>
          <c:showVal val="0"/>
          <c:showCatName val="0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6"/>
          </a:solidFill>
          <a:ln w="19050">
            <a:solidFill>
              <a:schemeClr val="lt1"/>
            </a:solidFill>
          </a:ln>
          <a:effectLst/>
        </c:spPr>
      </c:pivotFmt>
      <c:pivotFmt>
        <c:idx val="2"/>
        <c:spPr>
          <a:solidFill>
            <a:schemeClr val="accent6"/>
          </a:solidFill>
          <a:ln w="19050">
            <a:solidFill>
              <a:schemeClr val="lt1"/>
            </a:solidFill>
          </a:ln>
          <a:effectLst/>
        </c:spPr>
      </c:pivotFmt>
      <c:pivotFmt>
        <c:idx val="3"/>
        <c:spPr>
          <a:solidFill>
            <a:schemeClr val="accent6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bestFit"/>
          <c:showLegendKey val="0"/>
          <c:showVal val="0"/>
          <c:showCatName val="0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6"/>
          </a:solidFill>
          <a:ln w="19050">
            <a:solidFill>
              <a:schemeClr val="lt1"/>
            </a:solidFill>
          </a:ln>
          <a:effectLst/>
        </c:spPr>
      </c:pivotFmt>
      <c:pivotFmt>
        <c:idx val="5"/>
        <c:spPr>
          <a:solidFill>
            <a:schemeClr val="accent6"/>
          </a:solidFill>
          <a:ln w="19050">
            <a:solidFill>
              <a:schemeClr val="lt1"/>
            </a:solidFill>
          </a:ln>
          <a:effectLst/>
        </c:spPr>
      </c:pivotFmt>
      <c:pivotFmt>
        <c:idx val="6"/>
        <c:spPr>
          <a:solidFill>
            <a:schemeClr val="accent6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ctr"/>
          <c:showLegendKey val="1"/>
          <c:showVal val="0"/>
          <c:showCatName val="1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solidFill>
            <a:schemeClr val="accent6"/>
          </a:solidFill>
          <a:ln w="19050">
            <a:solidFill>
              <a:schemeClr val="lt1"/>
            </a:solidFill>
          </a:ln>
          <a:effectLst/>
        </c:spPr>
      </c:pivotFmt>
      <c:pivotFmt>
        <c:idx val="8"/>
        <c:spPr>
          <a:solidFill>
            <a:schemeClr val="accent6"/>
          </a:solidFill>
          <a:ln w="19050">
            <a:solidFill>
              <a:schemeClr val="lt1"/>
            </a:solidFill>
          </a:ln>
          <a:effectLst/>
        </c:spPr>
      </c:pivotFmt>
    </c:pivotFmts>
    <c:plotArea>
      <c:layout/>
      <c:pieChart>
        <c:varyColors val="1"/>
        <c:ser>
          <c:idx val="0"/>
          <c:order val="0"/>
          <c:tx>
            <c:strRef>
              <c:f>'Invoice &amp; Sales Tracking'!$B$1</c:f>
              <c:strCache>
                <c:ptCount val="1"/>
                <c:pt idx="0">
                  <c:v>Total</c:v>
                </c:pt>
              </c:strCache>
            </c:strRef>
          </c:tx>
          <c:dPt>
            <c:idx val="0"/>
            <c:bubble3D val="0"/>
            <c:spPr>
              <a:solidFill>
                <a:schemeClr val="accent6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4506-4BEB-8451-E0CA86630B0B}"/>
              </c:ext>
            </c:extLst>
          </c:dPt>
          <c:dPt>
            <c:idx val="1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4506-4BEB-8451-E0CA86630B0B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1"/>
            <c:showVal val="0"/>
            <c:showCatName val="1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'Invoice &amp; Sales Tracking'!$A$2:$A$4</c:f>
              <c:strCache>
                <c:ptCount val="2"/>
                <c:pt idx="0">
                  <c:v>Paid</c:v>
                </c:pt>
                <c:pt idx="1">
                  <c:v>Unpaid</c:v>
                </c:pt>
              </c:strCache>
            </c:strRef>
          </c:cat>
          <c:val>
            <c:numRef>
              <c:f>'Invoice &amp; Sales Tracking'!$B$2:$B$4</c:f>
              <c:numCache>
                <c:formatCode>General</c:formatCode>
                <c:ptCount val="2"/>
                <c:pt idx="0">
                  <c:v>40</c:v>
                </c:pt>
                <c:pt idx="1">
                  <c:v>30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4506-4BEB-8451-E0CA86630B0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36"/>
      </c:pieChart>
      <c:spPr>
        <a:noFill/>
        <a:ln>
          <a:noFill/>
        </a:ln>
        <a:effectLst/>
      </c:spPr>
    </c:plotArea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pattFill prst="pct20">
      <a:fgClr>
        <a:schemeClr val="accent5">
          <a:lumMod val="60000"/>
          <a:lumOff val="40000"/>
        </a:schemeClr>
      </a:fgClr>
      <a:bgClr>
        <a:schemeClr val="bg1"/>
      </a:bgClr>
    </a:patt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[Warehouse Admin Project by Meliani Wahyuli.xlsx]Invoice &amp; Sales Tracking!PivotTable2</c:name>
    <c:fmtId val="5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rgbClr val="00B050"/>
                </a:solidFill>
                <a:latin typeface="+mn-lt"/>
                <a:ea typeface="+mn-ea"/>
                <a:cs typeface="+mn-cs"/>
              </a:defRPr>
            </a:pPr>
            <a:r>
              <a:rPr lang="en-ID" sz="1400" b="1" i="0" u="none" strike="noStrike" baseline="0">
                <a:solidFill>
                  <a:srgbClr val="00B050"/>
                </a:solidFill>
                <a:effectLst/>
              </a:rPr>
              <a:t>Data Validity – OK vs Mismatch</a:t>
            </a:r>
            <a:endParaRPr lang="en-ID" b="1">
              <a:solidFill>
                <a:srgbClr val="00B050"/>
              </a:solidFill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rgbClr val="00B050"/>
              </a:solidFill>
              <a:latin typeface="+mn-lt"/>
              <a:ea typeface="+mn-ea"/>
              <a:cs typeface="+mn-cs"/>
            </a:defRPr>
          </a:pPr>
          <a:endParaRPr lang="en-ID"/>
        </a:p>
      </c:txPr>
    </c:title>
    <c:autoTitleDeleted val="0"/>
    <c:pivotFmts>
      <c:pivotFmt>
        <c:idx val="0"/>
        <c:spPr>
          <a:solidFill>
            <a:srgbClr val="93C47D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rgbClr val="93C47D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rgbClr val="93C47D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'Invoice &amp; Sales Tracking'!$B$18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rgbClr val="93C47D"/>
            </a:solidFill>
            <a:ln>
              <a:noFill/>
            </a:ln>
            <a:effectLst/>
          </c:spPr>
          <c:invertIfNegative val="0"/>
          <c:cat>
            <c:strRef>
              <c:f>'Invoice &amp; Sales Tracking'!$A$19:$A$21</c:f>
              <c:strCache>
                <c:ptCount val="2"/>
                <c:pt idx="0">
                  <c:v>Mismatch</c:v>
                </c:pt>
                <c:pt idx="1">
                  <c:v>OK</c:v>
                </c:pt>
              </c:strCache>
            </c:strRef>
          </c:cat>
          <c:val>
            <c:numRef>
              <c:f>'Invoice &amp; Sales Tracking'!$B$19:$B$21</c:f>
              <c:numCache>
                <c:formatCode>General</c:formatCode>
                <c:ptCount val="2"/>
                <c:pt idx="0">
                  <c:v>52</c:v>
                </c:pt>
                <c:pt idx="1">
                  <c:v>18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575-4238-9FDF-2B352BEE4CA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axId val="16401184"/>
        <c:axId val="16402144"/>
      </c:barChart>
      <c:catAx>
        <c:axId val="16401184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402144"/>
        <c:crosses val="autoZero"/>
        <c:auto val="1"/>
        <c:lblAlgn val="ctr"/>
        <c:lblOffset val="100"/>
        <c:noMultiLvlLbl val="0"/>
      </c:catAx>
      <c:valAx>
        <c:axId val="1640214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in"/>
        <c:tickLblPos val="nextTo"/>
        <c:spPr>
          <a:noFill/>
          <a:ln>
            <a:solidFill>
              <a:schemeClr val="accent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40118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pattFill prst="pct5">
      <a:fgClr>
        <a:schemeClr val="accent6">
          <a:lumMod val="40000"/>
          <a:lumOff val="60000"/>
        </a:schemeClr>
      </a:fgClr>
      <a:bgClr>
        <a:schemeClr val="bg1"/>
      </a:bgClr>
    </a:patt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 orientation="portrait"/>
  </c:printSettings>
  <c:extLst>
    <c:ext xmlns:c14="http://schemas.microsoft.com/office/drawing/2007/8/2/chart" uri="{781A3756-C4B2-4CAC-9D66-4F8BD8637D16}">
      <c14:pivotOptions>
        <c14:dropZoneFilter val="1"/>
        <c14:dropZoneData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8"/>
    </mc:Choice>
    <mc:Fallback>
      <c:style val="8"/>
    </mc:Fallback>
  </mc:AlternateContent>
  <c:pivotSource>
    <c:name>[Warehouse Admin Project by Meliani Wahyuli.xlsx]Invoice &amp; Sales Tracking!PivotTable4</c:name>
    <c:fmtId val="15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chemeClr val="accent6">
                    <a:lumMod val="50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="1">
                <a:solidFill>
                  <a:schemeClr val="accent6">
                    <a:lumMod val="50000"/>
                  </a:schemeClr>
                </a:solidFill>
              </a:rPr>
              <a:t>Monthly</a:t>
            </a:r>
            <a:r>
              <a:rPr lang="en-US" b="1" baseline="0">
                <a:solidFill>
                  <a:schemeClr val="accent6">
                    <a:lumMod val="50000"/>
                  </a:schemeClr>
                </a:solidFill>
              </a:rPr>
              <a:t> Sales Trend</a:t>
            </a:r>
            <a:endParaRPr lang="en-US" b="1">
              <a:solidFill>
                <a:schemeClr val="accent6">
                  <a:lumMod val="50000"/>
                </a:schemeClr>
              </a:solidFill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chemeClr val="accent6">
                  <a:lumMod val="50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6"/>
          </a:solidFill>
          <a:ln w="28575" cap="rnd">
            <a:solidFill>
              <a:schemeClr val="accent6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6"/>
          </a:solidFill>
          <a:ln w="28575" cap="rnd">
            <a:solidFill>
              <a:schemeClr val="accent6"/>
            </a:solidFill>
            <a:round/>
          </a:ln>
          <a:effectLst/>
        </c:spPr>
        <c:marker>
          <c:symbol val="none"/>
        </c:marker>
      </c:pivotFmt>
      <c:pivotFmt>
        <c:idx val="2"/>
        <c:spPr>
          <a:solidFill>
            <a:schemeClr val="accent6"/>
          </a:solidFill>
          <a:ln w="28575" cap="rnd">
            <a:solidFill>
              <a:schemeClr val="accent6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6"/>
          </a:solidFill>
          <a:ln w="28575" cap="rnd">
            <a:solidFill>
              <a:schemeClr val="accent6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ln w="28575" cap="rnd">
            <a:solidFill>
              <a:schemeClr val="tx1">
                <a:lumMod val="75000"/>
                <a:lumOff val="25000"/>
              </a:schemeClr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'Invoice &amp; Sales Tracking'!$B$45</c:f>
              <c:strCache>
                <c:ptCount val="1"/>
                <c:pt idx="0">
                  <c:v>Total</c:v>
                </c:pt>
              </c:strCache>
            </c:strRef>
          </c:tx>
          <c:spPr>
            <a:ln w="28575" cap="rnd">
              <a:solidFill>
                <a:schemeClr val="tx1">
                  <a:lumMod val="75000"/>
                  <a:lumOff val="25000"/>
                </a:schemeClr>
              </a:solidFill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'Invoice &amp; Sales Tracking'!$A$46:$A$49</c:f>
              <c:strCache>
                <c:ptCount val="3"/>
                <c:pt idx="0">
                  <c:v>Jul-2025</c:v>
                </c:pt>
                <c:pt idx="1">
                  <c:v>Aug-2025</c:v>
                </c:pt>
                <c:pt idx="2">
                  <c:v>Sep-2025</c:v>
                </c:pt>
              </c:strCache>
            </c:strRef>
          </c:cat>
          <c:val>
            <c:numRef>
              <c:f>'Invoice &amp; Sales Tracking'!$B$46:$B$49</c:f>
              <c:numCache>
                <c:formatCode>_(* #,##0_);_(* \(#,##0\);_(* "-"??_);_(@_)</c:formatCode>
                <c:ptCount val="3"/>
                <c:pt idx="0">
                  <c:v>223424500</c:v>
                </c:pt>
                <c:pt idx="1">
                  <c:v>174435500</c:v>
                </c:pt>
                <c:pt idx="2">
                  <c:v>257502000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AC64-41E8-9A34-61D11B1932C4}"/>
            </c:ext>
          </c:extLst>
        </c:ser>
        <c:dLbls>
          <c:dLblPos val="t"/>
          <c:showLegendKey val="0"/>
          <c:showVal val="1"/>
          <c:showCatName val="0"/>
          <c:showSerName val="0"/>
          <c:showPercent val="0"/>
          <c:showBubbleSize val="0"/>
        </c:dLbls>
        <c:smooth val="0"/>
        <c:axId val="1351432799"/>
        <c:axId val="1351433279"/>
      </c:lineChart>
      <c:catAx>
        <c:axId val="1351432799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51433279"/>
        <c:crosses val="autoZero"/>
        <c:auto val="1"/>
        <c:lblAlgn val="ctr"/>
        <c:lblOffset val="100"/>
        <c:noMultiLvlLbl val="0"/>
      </c:catAx>
      <c:valAx>
        <c:axId val="135143327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(* #,##0_);_(* \(#,##0\);_(* &quot;-&quot;??_);_(@_)" sourceLinked="0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51432799"/>
        <c:crosses val="autoZero"/>
        <c:crossBetween val="between"/>
        <c:dispUnits>
          <c:builtInUnit val="millions"/>
          <c:dispUnitsLbl>
            <c:spPr>
              <a:noFill/>
              <a:ln>
                <a:noFill/>
              </a:ln>
              <a:effectLst/>
            </c:spPr>
            <c:txPr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</c:dispUnitsLbl>
        </c:dispUnits>
      </c:valAx>
      <c:spPr>
        <a:noFill/>
        <a:ln>
          <a:noFill/>
        </a:ln>
        <a:effectLst/>
      </c:spPr>
    </c:plotArea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accent6">
        <a:lumMod val="60000"/>
        <a:lumOff val="40000"/>
      </a:schemeClr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[Warehouse Admin Project by Meliani Wahyuli.xlsx]Inventory &amp; Stock Movement!PivotTable1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chemeClr val="accent1"/>
                </a:solidFill>
                <a:latin typeface="+mn-lt"/>
                <a:ea typeface="+mn-ea"/>
                <a:cs typeface="+mn-cs"/>
              </a:defRPr>
            </a:pPr>
            <a:r>
              <a:rPr lang="en-US" b="1">
                <a:solidFill>
                  <a:schemeClr val="accent1"/>
                </a:solidFill>
              </a:rPr>
              <a:t>Number of Low</a:t>
            </a:r>
            <a:r>
              <a:rPr lang="en-US" b="1" baseline="0">
                <a:solidFill>
                  <a:schemeClr val="accent1"/>
                </a:solidFill>
              </a:rPr>
              <a:t> Stock Items per Category</a:t>
            </a:r>
            <a:endParaRPr lang="en-US" b="1">
              <a:solidFill>
                <a:schemeClr val="accent1"/>
              </a:solidFill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chemeClr val="accent1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</c:pivotFmts>
    <c:plotArea>
      <c:layout/>
      <c:doughnutChart>
        <c:varyColors val="1"/>
        <c:ser>
          <c:idx val="0"/>
          <c:order val="0"/>
          <c:tx>
            <c:strRef>
              <c:f>'Inventory &amp; Stock Movement'!$B$3</c:f>
              <c:strCache>
                <c:ptCount val="1"/>
                <c:pt idx="0">
                  <c:v>Total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BFD4-4C29-A747-C10447804160}"/>
              </c:ext>
            </c:extLst>
          </c:dPt>
          <c:dPt>
            <c:idx val="1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BFD4-4C29-A747-C10447804160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'Inventory &amp; Stock Movement'!$A$4:$A$6</c:f>
              <c:strCache>
                <c:ptCount val="2"/>
                <c:pt idx="0">
                  <c:v>Alat Pelindung</c:v>
                </c:pt>
                <c:pt idx="1">
                  <c:v>Peralatan &amp; Mesin</c:v>
                </c:pt>
              </c:strCache>
            </c:strRef>
          </c:cat>
          <c:val>
            <c:numRef>
              <c:f>'Inventory &amp; Stock Movement'!$B$4:$B$6</c:f>
              <c:numCache>
                <c:formatCode>General</c:formatCode>
                <c:ptCount val="2"/>
                <c:pt idx="0">
                  <c:v>1</c:v>
                </c:pt>
                <c:pt idx="1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7C9-4606-8044-4FD4992202C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18"/>
        <c:holeSize val="36"/>
      </c:doughnutChart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[Warehouse Admin Project by Meliani Wahyuli.xlsx]Inventory &amp; Stock Movement!PivotTable2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rgbClr val="0070C0"/>
                </a:solidFill>
                <a:latin typeface="+mn-lt"/>
                <a:ea typeface="+mn-ea"/>
                <a:cs typeface="+mn-cs"/>
              </a:defRPr>
            </a:pPr>
            <a:r>
              <a:rPr lang="en-ID" b="1">
                <a:solidFill>
                  <a:srgbClr val="0070C0"/>
                </a:solidFill>
              </a:rPr>
              <a:t>Stock IN/OUT</a:t>
            </a:r>
            <a:r>
              <a:rPr lang="en-ID" b="1" baseline="0">
                <a:solidFill>
                  <a:srgbClr val="0070C0"/>
                </a:solidFill>
              </a:rPr>
              <a:t> per Month</a:t>
            </a:r>
            <a:endParaRPr lang="en-ID" b="1">
              <a:solidFill>
                <a:srgbClr val="0070C0"/>
              </a:solidFill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rgbClr val="0070C0"/>
              </a:solidFill>
              <a:latin typeface="+mn-lt"/>
              <a:ea typeface="+mn-ea"/>
              <a:cs typeface="+mn-cs"/>
            </a:defRPr>
          </a:pPr>
          <a:endParaRPr lang="en-ID"/>
        </a:p>
      </c:txPr>
    </c:title>
    <c:autoTitleDeleted val="0"/>
    <c:pivotFmts>
      <c:pivotFmt>
        <c:idx val="0"/>
        <c:spPr>
          <a:solidFill>
            <a:schemeClr val="accent6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6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'Inventory &amp; Stock Movement'!$B$19:$B$20</c:f>
              <c:strCache>
                <c:ptCount val="1"/>
                <c:pt idx="0">
                  <c:v>IN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'Inventory &amp; Stock Movement'!$A$21:$A$24</c:f>
              <c:strCache>
                <c:ptCount val="3"/>
                <c:pt idx="0">
                  <c:v>Jul</c:v>
                </c:pt>
                <c:pt idx="1">
                  <c:v>Aug</c:v>
                </c:pt>
                <c:pt idx="2">
                  <c:v>Sep</c:v>
                </c:pt>
              </c:strCache>
            </c:strRef>
          </c:cat>
          <c:val>
            <c:numRef>
              <c:f>'Inventory &amp; Stock Movement'!$B$21:$B$24</c:f>
              <c:numCache>
                <c:formatCode>General</c:formatCode>
                <c:ptCount val="3"/>
                <c:pt idx="0">
                  <c:v>302</c:v>
                </c:pt>
                <c:pt idx="1">
                  <c:v>262</c:v>
                </c:pt>
                <c:pt idx="2">
                  <c:v>270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588-4352-8FDC-B864794D7B73}"/>
            </c:ext>
          </c:extLst>
        </c:ser>
        <c:ser>
          <c:idx val="1"/>
          <c:order val="1"/>
          <c:tx>
            <c:strRef>
              <c:f>'Inventory &amp; Stock Movement'!$C$19:$C$20</c:f>
              <c:strCache>
                <c:ptCount val="1"/>
                <c:pt idx="0">
                  <c:v>OUT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'Inventory &amp; Stock Movement'!$A$21:$A$24</c:f>
              <c:strCache>
                <c:ptCount val="3"/>
                <c:pt idx="0">
                  <c:v>Jul</c:v>
                </c:pt>
                <c:pt idx="1">
                  <c:v>Aug</c:v>
                </c:pt>
                <c:pt idx="2">
                  <c:v>Sep</c:v>
                </c:pt>
              </c:strCache>
            </c:strRef>
          </c:cat>
          <c:val>
            <c:numRef>
              <c:f>'Inventory &amp; Stock Movement'!$C$21:$C$24</c:f>
              <c:numCache>
                <c:formatCode>General</c:formatCode>
                <c:ptCount val="3"/>
                <c:pt idx="0">
                  <c:v>411</c:v>
                </c:pt>
                <c:pt idx="1">
                  <c:v>354</c:v>
                </c:pt>
                <c:pt idx="2">
                  <c:v>387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0588-4352-8FDC-B864794D7B73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2108907471"/>
        <c:axId val="2108914191"/>
      </c:barChart>
      <c:catAx>
        <c:axId val="2108907471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08914191"/>
        <c:crosses val="autoZero"/>
        <c:auto val="1"/>
        <c:lblAlgn val="ctr"/>
        <c:lblOffset val="100"/>
        <c:noMultiLvlLbl val="0"/>
      </c:catAx>
      <c:valAx>
        <c:axId val="210891419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0890747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86001316978462539"/>
          <c:y val="0.49442074948964715"/>
          <c:w val="0.12318841058952973"/>
          <c:h val="0.22351742490522017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[Warehouse Admin Project by Meliani Wahyuli.xlsx]Inventory &amp; Stock Movement!PivotTable3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rgbClr val="0070C0"/>
                </a:solidFill>
                <a:latin typeface="+mn-lt"/>
                <a:ea typeface="+mn-ea"/>
                <a:cs typeface="+mn-cs"/>
              </a:defRPr>
            </a:pPr>
            <a:r>
              <a:rPr lang="en-ID" sz="1400" b="1" i="0" u="none" strike="noStrike" kern="1200" spc="0" baseline="0">
                <a:solidFill>
                  <a:srgbClr val="0070C0"/>
                </a:solidFill>
              </a:rPr>
              <a:t>Stock IN/OUT per Month</a:t>
            </a:r>
            <a:endParaRPr lang="en-ID" sz="1400" b="1">
              <a:solidFill>
                <a:srgbClr val="0070C0"/>
              </a:solidFill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rgbClr val="0070C0"/>
              </a:solidFill>
              <a:latin typeface="+mn-lt"/>
              <a:ea typeface="+mn-ea"/>
              <a:cs typeface="+mn-cs"/>
            </a:defRPr>
          </a:pPr>
          <a:endParaRPr lang="en-ID"/>
        </a:p>
      </c:txPr>
    </c:title>
    <c:autoTitleDeleted val="0"/>
    <c:pivotFmts>
      <c:pivotFmt>
        <c:idx val="0"/>
        <c:spPr>
          <a:ln w="28575" cap="rnd">
            <a:solidFill>
              <a:schemeClr val="accent6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ln w="28575" cap="rnd">
            <a:solidFill>
              <a:schemeClr val="accent6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'Inventory &amp; Stock Movement'!$B$38:$B$39</c:f>
              <c:strCache>
                <c:ptCount val="1"/>
                <c:pt idx="0">
                  <c:v>IN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cat>
            <c:strRef>
              <c:f>'Inventory &amp; Stock Movement'!$A$40:$A$43</c:f>
              <c:strCache>
                <c:ptCount val="3"/>
                <c:pt idx="0">
                  <c:v>Jul-2025</c:v>
                </c:pt>
                <c:pt idx="1">
                  <c:v>Aug-2025</c:v>
                </c:pt>
                <c:pt idx="2">
                  <c:v>Sep-2025</c:v>
                </c:pt>
              </c:strCache>
            </c:strRef>
          </c:cat>
          <c:val>
            <c:numRef>
              <c:f>'Inventory &amp; Stock Movement'!$B$40:$B$43</c:f>
              <c:numCache>
                <c:formatCode>General</c:formatCode>
                <c:ptCount val="3"/>
                <c:pt idx="0">
                  <c:v>302</c:v>
                </c:pt>
                <c:pt idx="1">
                  <c:v>262</c:v>
                </c:pt>
                <c:pt idx="2">
                  <c:v>270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4848-4617-8BAE-88E5F0032A32}"/>
            </c:ext>
          </c:extLst>
        </c:ser>
        <c:ser>
          <c:idx val="1"/>
          <c:order val="1"/>
          <c:tx>
            <c:strRef>
              <c:f>'Inventory &amp; Stock Movement'!$C$38:$C$39</c:f>
              <c:strCache>
                <c:ptCount val="1"/>
                <c:pt idx="0">
                  <c:v>OUT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strRef>
              <c:f>'Inventory &amp; Stock Movement'!$A$40:$A$43</c:f>
              <c:strCache>
                <c:ptCount val="3"/>
                <c:pt idx="0">
                  <c:v>Jul-2025</c:v>
                </c:pt>
                <c:pt idx="1">
                  <c:v>Aug-2025</c:v>
                </c:pt>
                <c:pt idx="2">
                  <c:v>Sep-2025</c:v>
                </c:pt>
              </c:strCache>
            </c:strRef>
          </c:cat>
          <c:val>
            <c:numRef>
              <c:f>'Inventory &amp; Stock Movement'!$C$40:$C$43</c:f>
              <c:numCache>
                <c:formatCode>General</c:formatCode>
                <c:ptCount val="3"/>
                <c:pt idx="0">
                  <c:v>411</c:v>
                </c:pt>
                <c:pt idx="1">
                  <c:v>354</c:v>
                </c:pt>
                <c:pt idx="2">
                  <c:v>387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4848-4617-8BAE-88E5F0032A3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764009279"/>
        <c:axId val="1764006879"/>
      </c:lineChart>
      <c:catAx>
        <c:axId val="176400927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64006879"/>
        <c:crosses val="autoZero"/>
        <c:auto val="1"/>
        <c:lblAlgn val="ctr"/>
        <c:lblOffset val="100"/>
        <c:noMultiLvlLbl val="0"/>
      </c:catAx>
      <c:valAx>
        <c:axId val="176400687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6400927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5"/>
    </mc:Choice>
    <mc:Fallback>
      <c:style val="5"/>
    </mc:Fallback>
  </mc:AlternateContent>
  <c:pivotSource>
    <c:name>[Warehouse Admin Project by Meliani Wahyuli.xlsx]Inventory &amp; Stock Movement!PivotTable4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chemeClr val="accent6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="1">
                <a:solidFill>
                  <a:schemeClr val="accent6">
                    <a:lumMod val="75000"/>
                  </a:schemeClr>
                </a:solidFill>
              </a:rPr>
              <a:t>Top</a:t>
            </a:r>
            <a:r>
              <a:rPr lang="en-US" b="1" baseline="0">
                <a:solidFill>
                  <a:schemeClr val="accent6">
                    <a:lumMod val="75000"/>
                  </a:schemeClr>
                </a:solidFill>
              </a:rPr>
              <a:t> 5 Moving Items (Qty Out)</a:t>
            </a:r>
            <a:endParaRPr lang="en-US" b="1">
              <a:solidFill>
                <a:schemeClr val="accent6">
                  <a:lumMod val="75000"/>
                </a:schemeClr>
              </a:solidFill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chemeClr val="accent6">
                  <a:lumMod val="7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3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'Inventory &amp; Stock Movement'!$B$57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'Inventory &amp; Stock Movement'!$A$58:$A$63</c:f>
              <c:strCache>
                <c:ptCount val="5"/>
                <c:pt idx="0">
                  <c:v>Kabel Listrik Roll 50m</c:v>
                </c:pt>
                <c:pt idx="1">
                  <c:v>Gerinda Tangan</c:v>
                </c:pt>
                <c:pt idx="2">
                  <c:v>Cat Minyak 5L</c:v>
                </c:pt>
                <c:pt idx="3">
                  <c:v>Pipa PVC 4 inch (per batang)</c:v>
                </c:pt>
                <c:pt idx="4">
                  <c:v>Pompa Air Industri</c:v>
                </c:pt>
              </c:strCache>
            </c:strRef>
          </c:cat>
          <c:val>
            <c:numRef>
              <c:f>'Inventory &amp; Stock Movement'!$B$58:$B$63</c:f>
              <c:numCache>
                <c:formatCode>General</c:formatCode>
                <c:ptCount val="5"/>
                <c:pt idx="0">
                  <c:v>95</c:v>
                </c:pt>
                <c:pt idx="1">
                  <c:v>94</c:v>
                </c:pt>
                <c:pt idx="2">
                  <c:v>80</c:v>
                </c:pt>
                <c:pt idx="3">
                  <c:v>79</c:v>
                </c:pt>
                <c:pt idx="4">
                  <c:v>77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2AC-4F03-B4A1-7D132607F2D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axId val="131511231"/>
        <c:axId val="131518431"/>
      </c:barChart>
      <c:catAx>
        <c:axId val="13151123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1518431"/>
        <c:crosses val="autoZero"/>
        <c:auto val="1"/>
        <c:lblAlgn val="ctr"/>
        <c:lblOffset val="100"/>
        <c:noMultiLvlLbl val="0"/>
      </c:catAx>
      <c:valAx>
        <c:axId val="13151843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1511231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[Warehouse Admin Project by Meliani Wahyuli.xlsx]Invoice &amp; Sales Tracking!PivotTable1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D" sz="1400" b="1" i="0" u="none" strike="noStrike" baseline="0">
                <a:solidFill>
                  <a:schemeClr val="accent6">
                    <a:lumMod val="75000"/>
                  </a:schemeClr>
                </a:solidFill>
                <a:effectLst/>
              </a:rPr>
              <a:t>Payment Status – Paid vs Unpaid</a:t>
            </a:r>
            <a:endParaRPr lang="en-US" b="1">
              <a:solidFill>
                <a:schemeClr val="accent6">
                  <a:lumMod val="75000"/>
                </a:schemeClr>
              </a:solidFill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6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bestFit"/>
          <c:showLegendKey val="0"/>
          <c:showVal val="0"/>
          <c:showCatName val="0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6"/>
          </a:solidFill>
          <a:ln w="19050">
            <a:solidFill>
              <a:schemeClr val="lt1"/>
            </a:solidFill>
          </a:ln>
          <a:effectLst/>
        </c:spPr>
      </c:pivotFmt>
      <c:pivotFmt>
        <c:idx val="2"/>
        <c:spPr>
          <a:solidFill>
            <a:schemeClr val="accent6"/>
          </a:solidFill>
          <a:ln w="19050">
            <a:solidFill>
              <a:schemeClr val="lt1"/>
            </a:solidFill>
          </a:ln>
          <a:effectLst/>
        </c:spPr>
      </c:pivotFmt>
    </c:pivotFmts>
    <c:plotArea>
      <c:layout/>
      <c:pieChart>
        <c:varyColors val="1"/>
        <c:ser>
          <c:idx val="0"/>
          <c:order val="0"/>
          <c:tx>
            <c:strRef>
              <c:f>'Invoice &amp; Sales Tracking'!$B$1</c:f>
              <c:strCache>
                <c:ptCount val="1"/>
                <c:pt idx="0">
                  <c:v>Total</c:v>
                </c:pt>
              </c:strCache>
            </c:strRef>
          </c:tx>
          <c:dPt>
            <c:idx val="0"/>
            <c:bubble3D val="0"/>
            <c:spPr>
              <a:solidFill>
                <a:schemeClr val="accent6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E081-4816-99EB-306CB18F8068}"/>
              </c:ext>
            </c:extLst>
          </c:dPt>
          <c:dPt>
            <c:idx val="1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E081-4816-99EB-306CB18F8068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bestFit"/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'Invoice &amp; Sales Tracking'!$A$2:$A$4</c:f>
              <c:strCache>
                <c:ptCount val="2"/>
                <c:pt idx="0">
                  <c:v>Paid</c:v>
                </c:pt>
                <c:pt idx="1">
                  <c:v>Unpaid</c:v>
                </c:pt>
              </c:strCache>
            </c:strRef>
          </c:cat>
          <c:val>
            <c:numRef>
              <c:f>'Invoice &amp; Sales Tracking'!$B$2:$B$4</c:f>
              <c:numCache>
                <c:formatCode>General</c:formatCode>
                <c:ptCount val="2"/>
                <c:pt idx="0">
                  <c:v>40</c:v>
                </c:pt>
                <c:pt idx="1">
                  <c:v>30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65D-4A10-9831-E739D6481F3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36"/>
      </c:pieChart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71584925721056747"/>
          <c:y val="0.50854705661792277"/>
          <c:w val="0.18564515195576259"/>
          <c:h val="0.22990363704536934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[Warehouse Admin Project by Meliani Wahyuli.xlsx]Invoice &amp; Sales Tracking!PivotTable2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rgbClr val="00B050"/>
                </a:solidFill>
                <a:latin typeface="+mn-lt"/>
                <a:ea typeface="+mn-ea"/>
                <a:cs typeface="+mn-cs"/>
              </a:defRPr>
            </a:pPr>
            <a:r>
              <a:rPr lang="en-ID" sz="1400" b="1" i="0" u="none" strike="noStrike" baseline="0">
                <a:solidFill>
                  <a:srgbClr val="00B050"/>
                </a:solidFill>
                <a:effectLst/>
              </a:rPr>
              <a:t>Data Validity – OK vs Mismatch</a:t>
            </a:r>
            <a:endParaRPr lang="en-ID" b="1">
              <a:solidFill>
                <a:srgbClr val="00B050"/>
              </a:solidFill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rgbClr val="00B050"/>
              </a:solidFill>
              <a:latin typeface="+mn-lt"/>
              <a:ea typeface="+mn-ea"/>
              <a:cs typeface="+mn-cs"/>
            </a:defRPr>
          </a:pPr>
          <a:endParaRPr lang="en-ID"/>
        </a:p>
      </c:txPr>
    </c:title>
    <c:autoTitleDeleted val="0"/>
    <c:pivotFmts>
      <c:pivotFmt>
        <c:idx val="0"/>
        <c:spPr>
          <a:solidFill>
            <a:srgbClr val="93C47D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'Invoice &amp; Sales Tracking'!$B$18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rgbClr val="93C47D"/>
            </a:solidFill>
            <a:ln>
              <a:noFill/>
            </a:ln>
            <a:effectLst/>
          </c:spPr>
          <c:invertIfNegative val="0"/>
          <c:cat>
            <c:strRef>
              <c:f>'Invoice &amp; Sales Tracking'!$A$19:$A$21</c:f>
              <c:strCache>
                <c:ptCount val="2"/>
                <c:pt idx="0">
                  <c:v>Mismatch</c:v>
                </c:pt>
                <c:pt idx="1">
                  <c:v>OK</c:v>
                </c:pt>
              </c:strCache>
            </c:strRef>
          </c:cat>
          <c:val>
            <c:numRef>
              <c:f>'Invoice &amp; Sales Tracking'!$B$19:$B$21</c:f>
              <c:numCache>
                <c:formatCode>General</c:formatCode>
                <c:ptCount val="2"/>
                <c:pt idx="0">
                  <c:v>52</c:v>
                </c:pt>
                <c:pt idx="1">
                  <c:v>18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4C7-464F-99BE-10E25834FB5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axId val="16401184"/>
        <c:axId val="16402144"/>
      </c:barChart>
      <c:catAx>
        <c:axId val="16401184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402144"/>
        <c:crosses val="autoZero"/>
        <c:auto val="1"/>
        <c:lblAlgn val="ctr"/>
        <c:lblOffset val="100"/>
        <c:noMultiLvlLbl val="0"/>
      </c:catAx>
      <c:valAx>
        <c:axId val="1640214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40118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Data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8"/>
    </mc:Choice>
    <mc:Fallback>
      <c:style val="8"/>
    </mc:Fallback>
  </mc:AlternateContent>
  <c:pivotSource>
    <c:name>[Warehouse Admin Project by Meliani Wahyuli.xlsx]Invoice &amp; Sales Tracking!PivotTable4</c:name>
    <c:fmtId val="2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chemeClr val="accent5"/>
                </a:solidFill>
                <a:latin typeface="+mn-lt"/>
                <a:ea typeface="+mn-ea"/>
                <a:cs typeface="+mn-cs"/>
              </a:defRPr>
            </a:pPr>
            <a:r>
              <a:rPr lang="en-US" b="1">
                <a:solidFill>
                  <a:schemeClr val="accent5"/>
                </a:solidFill>
              </a:rPr>
              <a:t>Monthly</a:t>
            </a:r>
            <a:r>
              <a:rPr lang="en-US" b="1" baseline="0">
                <a:solidFill>
                  <a:schemeClr val="accent5"/>
                </a:solidFill>
              </a:rPr>
              <a:t> Sales Trend</a:t>
            </a:r>
            <a:endParaRPr lang="en-US" b="1">
              <a:solidFill>
                <a:schemeClr val="accent5"/>
              </a:solidFill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chemeClr val="accent5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ln w="28575" cap="rnd">
            <a:solidFill>
              <a:schemeClr val="accent6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ln w="28575" cap="rnd">
            <a:solidFill>
              <a:schemeClr val="accent6"/>
            </a:solidFill>
            <a:round/>
          </a:ln>
          <a:effectLst/>
        </c:spPr>
        <c:marker>
          <c:symbol val="none"/>
        </c:marker>
      </c:pivotFmt>
      <c:pivotFmt>
        <c:idx val="2"/>
        <c:spPr>
          <a:solidFill>
            <a:schemeClr val="accent6"/>
          </a:solidFill>
          <a:ln w="28575" cap="rnd">
            <a:solidFill>
              <a:schemeClr val="accent6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'Invoice &amp; Sales Tracking'!$B$45</c:f>
              <c:strCache>
                <c:ptCount val="1"/>
                <c:pt idx="0">
                  <c:v>Total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'Invoice &amp; Sales Tracking'!$A$46:$A$49</c:f>
              <c:strCache>
                <c:ptCount val="3"/>
                <c:pt idx="0">
                  <c:v>Jul-2025</c:v>
                </c:pt>
                <c:pt idx="1">
                  <c:v>Aug-2025</c:v>
                </c:pt>
                <c:pt idx="2">
                  <c:v>Sep-2025</c:v>
                </c:pt>
              </c:strCache>
            </c:strRef>
          </c:cat>
          <c:val>
            <c:numRef>
              <c:f>'Invoice &amp; Sales Tracking'!$B$46:$B$49</c:f>
              <c:numCache>
                <c:formatCode>_(* #,##0_);_(* \(#,##0\);_(* "-"??_);_(@_)</c:formatCode>
                <c:ptCount val="3"/>
                <c:pt idx="0">
                  <c:v>223424500</c:v>
                </c:pt>
                <c:pt idx="1">
                  <c:v>174435500</c:v>
                </c:pt>
                <c:pt idx="2">
                  <c:v>257502000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6749-43B4-B10F-CF54719E1D37}"/>
            </c:ext>
          </c:extLst>
        </c:ser>
        <c:dLbls>
          <c:dLblPos val="t"/>
          <c:showLegendKey val="0"/>
          <c:showVal val="1"/>
          <c:showCatName val="0"/>
          <c:showSerName val="0"/>
          <c:showPercent val="0"/>
          <c:showBubbleSize val="0"/>
        </c:dLbls>
        <c:smooth val="0"/>
        <c:axId val="1351432799"/>
        <c:axId val="1351433279"/>
      </c:lineChart>
      <c:catAx>
        <c:axId val="1351432799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51433279"/>
        <c:crosses val="autoZero"/>
        <c:auto val="1"/>
        <c:lblAlgn val="ctr"/>
        <c:lblOffset val="100"/>
        <c:noMultiLvlLbl val="0"/>
      </c:catAx>
      <c:valAx>
        <c:axId val="135143327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(* #,##0_);_(* \(#,##0\);_(* &quot;-&quot;??_);_(@_)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51432799"/>
        <c:crosses val="autoZero"/>
        <c:crossBetween val="between"/>
        <c:dispUnits>
          <c:builtInUnit val="millions"/>
        </c:dispUnits>
      </c:valAx>
      <c:spPr>
        <a:noFill/>
        <a:ln>
          <a:noFill/>
        </a:ln>
        <a:effectLst/>
      </c:spPr>
    </c:plotArea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1">
  <a:schemeClr val="accent1"/>
  <a:schemeClr val="accent3"/>
  <a:schemeClr val="accent5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3">
  <a:schemeClr val="accent6"/>
  <a:schemeClr val="accent5"/>
  <a:schemeClr val="accent4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withinLinear" id="16">
  <a:schemeClr val="accent3"/>
</cs:colorStyle>
</file>

<file path=xl/charts/colors4.xml><?xml version="1.0" encoding="utf-8"?>
<cs:colorStyle xmlns:cs="http://schemas.microsoft.com/office/drawing/2012/chartStyle" xmlns:a="http://schemas.openxmlformats.org/drawingml/2006/main" meth="cycle" id="13">
  <a:schemeClr val="accent6"/>
  <a:schemeClr val="accent5"/>
  <a:schemeClr val="accent4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withinLinear" id="19">
  <a:schemeClr val="accent6"/>
</cs:colorStyle>
</file>

<file path=xl/charts/colors7.xml><?xml version="1.0" encoding="utf-8"?>
<cs:colorStyle xmlns:cs="http://schemas.microsoft.com/office/drawing/2012/chartStyle" xmlns:a="http://schemas.openxmlformats.org/drawingml/2006/main" meth="cycle" id="11">
  <a:schemeClr val="accent1"/>
  <a:schemeClr val="accent3"/>
  <a:schemeClr val="accent5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3">
  <a:schemeClr val="accent6"/>
  <a:schemeClr val="accent5"/>
  <a:schemeClr val="accent4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3">
  <a:schemeClr val="accent6"/>
  <a:schemeClr val="accent5"/>
  <a:schemeClr val="accent4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withinLinear" id="16">
  <a:schemeClr val="accent3"/>
</cs:colorStyle>
</file>

<file path=xl/charts/colors11.xml><?xml version="1.0" encoding="utf-8"?>
<cs:colorStyle xmlns:cs="http://schemas.microsoft.com/office/drawing/2012/chartStyle" xmlns:a="http://schemas.openxmlformats.org/drawingml/2006/main" meth="cycle" id="13">
  <a:schemeClr val="accent6"/>
  <a:schemeClr val="accent5"/>
  <a:schemeClr val="accent4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3.xml><?xml version="1.0" encoding="utf-8"?>
<cs:colorStyle xmlns:cs="http://schemas.microsoft.com/office/drawing/2012/chartStyle" xmlns:a="http://schemas.openxmlformats.org/drawingml/2006/main" meth="withinLinear" id="19">
  <a:schemeClr val="accent6"/>
</cs:colorStyle>
</file>

<file path=xl/charts/style1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0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1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9.xml"/><Relationship Id="rId2" Type="http://schemas.openxmlformats.org/officeDocument/2006/relationships/chart" Target="../charts/chart8.xml"/><Relationship Id="rId1" Type="http://schemas.openxmlformats.org/officeDocument/2006/relationships/chart" Target="../charts/chart7.xml"/><Relationship Id="rId4" Type="http://schemas.openxmlformats.org/officeDocument/2006/relationships/chart" Target="../charts/chart10.xml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chart" Target="../charts/chart13.xml"/><Relationship Id="rId2" Type="http://schemas.openxmlformats.org/officeDocument/2006/relationships/chart" Target="../charts/chart12.xml"/><Relationship Id="rId1" Type="http://schemas.openxmlformats.org/officeDocument/2006/relationships/chart" Target="../charts/chart1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22</xdr:row>
      <xdr:rowOff>1</xdr:rowOff>
    </xdr:from>
    <xdr:to>
      <xdr:col>5</xdr:col>
      <xdr:colOff>1488281</xdr:colOff>
      <xdr:row>37</xdr:row>
      <xdr:rowOff>178593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8D540C05-BF0E-4A7F-9357-F5A759CF04D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7</xdr:col>
      <xdr:colOff>11907</xdr:colOff>
      <xdr:row>21</xdr:row>
      <xdr:rowOff>178592</xdr:rowOff>
    </xdr:from>
    <xdr:to>
      <xdr:col>12</xdr:col>
      <xdr:colOff>-1</xdr:colOff>
      <xdr:row>37</xdr:row>
      <xdr:rowOff>178593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BDBCC6A8-7180-4E02-8803-C97DE6B97D7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</xdr:col>
      <xdr:colOff>1</xdr:colOff>
      <xdr:row>39</xdr:row>
      <xdr:rowOff>-1</xdr:rowOff>
    </xdr:from>
    <xdr:to>
      <xdr:col>6</xdr:col>
      <xdr:colOff>333375</xdr:colOff>
      <xdr:row>55</xdr:row>
      <xdr:rowOff>178593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1D534301-9BB6-4011-9A3D-A75DF49F1AC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</xdr:col>
      <xdr:colOff>1</xdr:colOff>
      <xdr:row>62</xdr:row>
      <xdr:rowOff>-1</xdr:rowOff>
    </xdr:from>
    <xdr:to>
      <xdr:col>6</xdr:col>
      <xdr:colOff>11907</xdr:colOff>
      <xdr:row>77</xdr:row>
      <xdr:rowOff>190498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C6954BE4-A9DE-49F0-BA45-43AE6916E91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6</xdr:col>
      <xdr:colOff>333376</xdr:colOff>
      <xdr:row>62</xdr:row>
      <xdr:rowOff>11906</xdr:rowOff>
    </xdr:from>
    <xdr:to>
      <xdr:col>12</xdr:col>
      <xdr:colOff>11206</xdr:colOff>
      <xdr:row>77</xdr:row>
      <xdr:rowOff>190499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F79AFADF-D8CA-46A2-A86B-134CC5AAC4A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1</xdr:col>
      <xdr:colOff>1</xdr:colOff>
      <xdr:row>79</xdr:row>
      <xdr:rowOff>0</xdr:rowOff>
    </xdr:from>
    <xdr:to>
      <xdr:col>6</xdr:col>
      <xdr:colOff>1</xdr:colOff>
      <xdr:row>94</xdr:row>
      <xdr:rowOff>166687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770ECF96-47B5-43C0-B79C-A142EFB1E0B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526675</xdr:colOff>
      <xdr:row>0</xdr:row>
      <xdr:rowOff>0</xdr:rowOff>
    </xdr:from>
    <xdr:to>
      <xdr:col>11</xdr:col>
      <xdr:colOff>12886</xdr:colOff>
      <xdr:row>15</xdr:row>
      <xdr:rowOff>22412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F9591EF-B726-AB49-5682-2EDAD089DAF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4</xdr:col>
      <xdr:colOff>1681</xdr:colOff>
      <xdr:row>17</xdr:row>
      <xdr:rowOff>168088</xdr:rowOff>
    </xdr:from>
    <xdr:to>
      <xdr:col>10</xdr:col>
      <xdr:colOff>593912</xdr:colOff>
      <xdr:row>34</xdr:row>
      <xdr:rowOff>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35D4BC99-20B9-54DE-83AB-8C544FB78F8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3</xdr:col>
      <xdr:colOff>717177</xdr:colOff>
      <xdr:row>36</xdr:row>
      <xdr:rowOff>176212</xdr:rowOff>
    </xdr:from>
    <xdr:to>
      <xdr:col>10</xdr:col>
      <xdr:colOff>582706</xdr:colOff>
      <xdr:row>51</xdr:row>
      <xdr:rowOff>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B51AFE2E-E5D1-CBA0-A165-9C087D9584C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3</xdr:col>
      <xdr:colOff>11206</xdr:colOff>
      <xdr:row>53</xdr:row>
      <xdr:rowOff>181256</xdr:rowOff>
    </xdr:from>
    <xdr:to>
      <xdr:col>11</xdr:col>
      <xdr:colOff>559</xdr:colOff>
      <xdr:row>68</xdr:row>
      <xdr:rowOff>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A707FA68-1E9F-BFE1-01D3-564ADC3F270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10583</xdr:colOff>
      <xdr:row>0</xdr:row>
      <xdr:rowOff>0</xdr:rowOff>
    </xdr:from>
    <xdr:to>
      <xdr:col>8</xdr:col>
      <xdr:colOff>761999</xdr:colOff>
      <xdr:row>14</xdr:row>
      <xdr:rowOff>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95232B55-D54D-9CC9-1EDB-86AF0BACFB1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</xdr:col>
      <xdr:colOff>7408</xdr:colOff>
      <xdr:row>17</xdr:row>
      <xdr:rowOff>3704</xdr:rowOff>
    </xdr:from>
    <xdr:to>
      <xdr:col>8</xdr:col>
      <xdr:colOff>762000</xdr:colOff>
      <xdr:row>30</xdr:row>
      <xdr:rowOff>180975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763F4CB-6984-C27E-680C-75F9717C7AB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</xdr:col>
      <xdr:colOff>0</xdr:colOff>
      <xdr:row>41</xdr:row>
      <xdr:rowOff>186795</xdr:rowOff>
    </xdr:from>
    <xdr:to>
      <xdr:col>8</xdr:col>
      <xdr:colOff>767291</xdr:colOff>
      <xdr:row>56</xdr:row>
      <xdr:rowOff>161924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61DD043E-30B7-F8D9-8389-9B3E9A5C13B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_rels/pivotCacheDefinition3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3.xml"/></Relationships>
</file>

<file path=xl/pivotCache/_rels/pivotCacheDefinition4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4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Kayla Emi Muliyani" refreshedDate="45930.580322222224" createdVersion="8" refreshedVersion="8" minRefreshableVersion="3" recordCount="20" xr:uid="{61B68DB2-4689-43A2-B0A8-21A9E30F3FCF}">
  <cacheSource type="worksheet">
    <worksheetSource name="StockReport"/>
  </cacheSource>
  <cacheFields count="9">
    <cacheField name="Item ID" numFmtId="0">
      <sharedItems count="20">
        <s v="ITM001"/>
        <s v="ITM002"/>
        <s v="ITM003"/>
        <s v="ITM004"/>
        <s v="ITM005"/>
        <s v="ITM006"/>
        <s v="ITM007"/>
        <s v="ITM008"/>
        <s v="ITM009"/>
        <s v="ITM010"/>
        <s v="ITM011"/>
        <s v="ITM012"/>
        <s v="ITM013"/>
        <s v="ITM014"/>
        <s v="ITM015"/>
        <s v="ITM016"/>
        <s v="ITM017"/>
        <s v="ITM018"/>
        <s v="ITM019"/>
        <s v="ITM020"/>
      </sharedItems>
    </cacheField>
    <cacheField name="Item Name" numFmtId="0">
      <sharedItems/>
    </cacheField>
    <cacheField name="Category" numFmtId="0">
      <sharedItems count="5">
        <s v="Material Bangunan"/>
        <s v="Alat Pelindung"/>
        <s v="Peralatan &amp; Mesin"/>
        <s v="Elektrikal"/>
        <s v="Bahan Cair / Bahan Bakar"/>
      </sharedItems>
    </cacheField>
    <cacheField name="Initial Stock" numFmtId="0">
      <sharedItems containsSemiMixedTypes="0" containsString="0" containsNumber="1" containsInteger="1" minValue="36" maxValue="294"/>
    </cacheField>
    <cacheField name="Total IN" numFmtId="0">
      <sharedItems containsSemiMixedTypes="0" containsString="0" containsNumber="1" containsInteger="1" minValue="0" maxValue="94"/>
    </cacheField>
    <cacheField name="Total OUT" numFmtId="0">
      <sharedItems containsSemiMixedTypes="0" containsString="0" containsNumber="1" containsInteger="1" minValue="14" maxValue="95"/>
    </cacheField>
    <cacheField name="Current Stock" numFmtId="0">
      <sharedItems containsSemiMixedTypes="0" containsString="0" containsNumber="1" containsInteger="1" minValue="16" maxValue="317" count="20">
        <n v="317"/>
        <n v="277"/>
        <n v="16"/>
        <n v="94"/>
        <n v="157"/>
        <n v="31"/>
        <n v="225"/>
        <n v="87"/>
        <n v="64"/>
        <n v="173"/>
        <n v="146"/>
        <n v="19"/>
        <n v="111"/>
        <n v="52"/>
        <n v="166"/>
        <n v="213"/>
        <n v="130"/>
        <n v="250"/>
        <n v="108"/>
        <n v="207"/>
      </sharedItems>
    </cacheField>
    <cacheField name="Reorder Level" numFmtId="0">
      <sharedItems containsSemiMixedTypes="0" containsString="0" containsNumber="1" containsInteger="1" minValue="10" maxValue="45"/>
    </cacheField>
    <cacheField name="Status" numFmtId="0">
      <sharedItems count="2">
        <s v="OK"/>
        <s v="Low Stock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Kayla Emi Muliyani" refreshedDate="45931.734237500001" createdVersion="8" refreshedVersion="8" minRefreshableVersion="3" recordCount="70" xr:uid="{09759762-4DAB-4C81-B310-ABAF7FC43C7D}">
  <cacheSource type="worksheet">
    <worksheetSource name="InvoiceSummary"/>
  </cacheSource>
  <cacheFields count="6">
    <cacheField name="Invoice ID" numFmtId="0">
      <sharedItems/>
    </cacheField>
    <cacheField name="Date" numFmtId="14">
      <sharedItems containsDate="1" containsMixedTypes="1" minDate="2025-01-08T00:00:00" maxDate="2025-12-09T00:00:00"/>
    </cacheField>
    <cacheField name="Total Invoice" numFmtId="164">
      <sharedItems containsSemiMixedTypes="0" containsString="0" containsNumber="1" containsInteger="1" minValue="340000" maxValue="106804000"/>
    </cacheField>
    <cacheField name="Total OUT" numFmtId="164">
      <sharedItems containsSemiMixedTypes="0" containsString="0" containsNumber="1" containsInteger="1" minValue="0" maxValue="106804000"/>
    </cacheField>
    <cacheField name="Payment Status" numFmtId="0">
      <sharedItems count="4">
        <s v="Unpaid"/>
        <s v="Paid"/>
        <s v="Belum Lunas" u="1"/>
        <s v="Lunas" u="1"/>
      </sharedItems>
    </cacheField>
    <cacheField name="Check" numFmtId="0">
      <sharedItems count="2">
        <s v="OK"/>
        <s v="Mismatch"/>
      </sharedItems>
    </cacheField>
  </cacheFields>
  <extLst>
    <ext xmlns:x14="http://schemas.microsoft.com/office/spreadsheetml/2009/9/main" uri="{725AE2AE-9491-48be-B2B4-4EB974FC3084}">
      <x14:pivotCacheDefinition pivotCacheId="176529918"/>
    </ext>
  </extLst>
</pivotCacheDefinition>
</file>

<file path=xl/pivotCache/pivotCacheDefinition3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Kayla Emi Muliyani" refreshedDate="45938.401735763888" createdVersion="8" refreshedVersion="8" minRefreshableVersion="3" recordCount="200" xr:uid="{733EE297-6A1B-4E48-8D64-7D07EB6796E9}">
  <cacheSource type="worksheet">
    <worksheetSource name="Transactions"/>
  </cacheSource>
  <cacheFields count="12">
    <cacheField name="Transaction ID" numFmtId="0">
      <sharedItems/>
    </cacheField>
    <cacheField name="Date" numFmtId="165">
      <sharedItems containsSemiMixedTypes="0" containsNonDate="0" containsDate="1" containsString="0" minDate="2025-07-01T00:00:00" maxDate="2025-10-01T00:00:00"/>
    </cacheField>
    <cacheField name="Item ID" numFmtId="0">
      <sharedItems/>
    </cacheField>
    <cacheField name="Item Name" numFmtId="0">
      <sharedItems count="20">
        <s v="Gerinda Tangan"/>
        <s v="Bor Tangan Listrik"/>
        <s v="Obeng Set"/>
        <s v="Jaket Safety"/>
        <s v="Pompa Air Industri"/>
        <s v="Rantai Besi 10m"/>
        <s v="Genset Portable 1000W"/>
        <s v="Sarung Tangan Katun"/>
        <s v="Mesin Potong Besi"/>
        <s v="Masker Safety Box (isi 50)"/>
        <s v="Helm Proyek"/>
        <s v="Paku 5cm (1 kg)"/>
        <s v="Pipa PVC 4 inch (per batang)"/>
        <s v="Cat Minyak 5L"/>
        <s v="Lampu Sorot LED 100W"/>
        <s v="Drum Solar 200L"/>
        <s v="Mesin Las Listrik"/>
        <s v="Kabel Listrik Roll 50m"/>
        <s v="Cat Tembok 1 kg"/>
        <s v="Tangga Lipat Alumunium"/>
      </sharedItems>
    </cacheField>
    <cacheField name="Qty" numFmtId="0">
      <sharedItems containsSemiMixedTypes="0" containsString="0" containsNumber="1" containsInteger="1" minValue="1" maxValue="20"/>
    </cacheField>
    <cacheField name="Unit Price" numFmtId="164">
      <sharedItems containsSemiMixedTypes="0" containsString="0" containsNumber="1" containsInteger="1" minValue="11500" maxValue="4490000"/>
    </cacheField>
    <cacheField name="Total Price" numFmtId="164">
      <sharedItems containsSemiMixedTypes="0" containsString="0" containsNumber="1" containsInteger="1" minValue="20000" maxValue="58370000"/>
    </cacheField>
    <cacheField name="Type" numFmtId="0">
      <sharedItems count="2">
        <s v="IN"/>
        <s v="OUT"/>
      </sharedItems>
    </cacheField>
    <cacheField name="Remarks" numFmtId="0">
      <sharedItems/>
    </cacheField>
    <cacheField name="MonthLabel (kolom helper)" numFmtId="0">
      <sharedItems count="3">
        <s v="Aug-2025"/>
        <s v="Sep-2025"/>
        <s v="Jul-2025"/>
      </sharedItems>
    </cacheField>
    <cacheField name="MonthKey (kolom helper)" numFmtId="14">
      <sharedItems containsSemiMixedTypes="0" containsNonDate="0" containsDate="1" containsString="0" minDate="2025-07-01T00:00:00" maxDate="2025-09-02T00:00:00" count="3">
        <d v="2025-08-01T00:00:00"/>
        <d v="2025-09-01T00:00:00"/>
        <d v="2025-07-01T00:00:00"/>
      </sharedItems>
      <fieldGroup par="11"/>
    </cacheField>
    <cacheField name="Months (MonthKey (kolom helper))" numFmtId="0" databaseField="0">
      <fieldGroup base="10">
        <rangePr groupBy="months" startDate="2025-07-01T00:00:00" endDate="2025-09-02T00:00:00"/>
        <groupItems count="14">
          <s v="&lt;7/1/2025"/>
          <s v="Jan"/>
          <s v="Feb"/>
          <s v="Mar"/>
          <s v="Apr"/>
          <s v="May"/>
          <s v="Jun"/>
          <s v="Jul"/>
          <s v="Aug"/>
          <s v="Sep"/>
          <s v="Oct"/>
          <s v="Nov"/>
          <s v="Dec"/>
          <s v="&gt;9/2/2025"/>
        </groupItems>
      </fieldGroup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4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Kayla Emi Muliyani" refreshedDate="45939.503723495371" createdVersion="8" refreshedVersion="8" minRefreshableVersion="3" recordCount="200" xr:uid="{F6021DC8-CCD3-401C-882C-97B0208604E9}">
  <cacheSource type="worksheet">
    <worksheetSource name="InvoicesDetail"/>
  </cacheSource>
  <cacheFields count="12">
    <cacheField name="Invoice ID" numFmtId="0">
      <sharedItems count="70">
        <s v="INV001"/>
        <s v="INV002"/>
        <s v="INV003"/>
        <s v="INV004"/>
        <s v="INV005"/>
        <s v="INV006"/>
        <s v="INV007"/>
        <s v="INV008"/>
        <s v="INV009"/>
        <s v="INV010"/>
        <s v="INV011"/>
        <s v="INV012"/>
        <s v="INV013"/>
        <s v="INV014"/>
        <s v="INV015"/>
        <s v="INV016"/>
        <s v="INV017"/>
        <s v="INV018"/>
        <s v="INV019"/>
        <s v="INV020"/>
        <s v="INV021"/>
        <s v="INV022"/>
        <s v="INV023"/>
        <s v="INV024"/>
        <s v="INV025"/>
        <s v="INV026"/>
        <s v="INV027"/>
        <s v="INV028"/>
        <s v="INV029"/>
        <s v="INV030"/>
        <s v="INV031"/>
        <s v="INV032"/>
        <s v="INV033"/>
        <s v="INV034"/>
        <s v="INV035"/>
        <s v="INV036"/>
        <s v="INV037"/>
        <s v="INV038"/>
        <s v="INV039"/>
        <s v="INV040"/>
        <s v="INV041"/>
        <s v="INV042"/>
        <s v="INV043"/>
        <s v="INV044"/>
        <s v="INV045"/>
        <s v="INV046"/>
        <s v="INV047"/>
        <s v="INV048"/>
        <s v="INV049"/>
        <s v="INV050"/>
        <s v="INV051"/>
        <s v="INV052"/>
        <s v="INV053"/>
        <s v="INV054"/>
        <s v="INV055"/>
        <s v="INV056"/>
        <s v="INV057"/>
        <s v="INV058"/>
        <s v="INV059"/>
        <s v="INV060"/>
        <s v="INV061"/>
        <s v="INV062"/>
        <s v="INV063"/>
        <s v="INV064"/>
        <s v="INV065"/>
        <s v="INV066"/>
        <s v="INV067"/>
        <s v="INV068"/>
        <s v="INV069"/>
        <s v="INV070"/>
      </sharedItems>
    </cacheField>
    <cacheField name="Date" numFmtId="165">
      <sharedItems containsSemiMixedTypes="0" containsNonDate="0" containsDate="1" containsString="0" minDate="2025-07-01T00:00:00" maxDate="2025-10-01T00:00:00"/>
    </cacheField>
    <cacheField name="Transaction ID" numFmtId="0">
      <sharedItems/>
    </cacheField>
    <cacheField name="Item Name" numFmtId="0">
      <sharedItems count="20">
        <s v="Jaket Safety"/>
        <s v="Kabel Listrik Roll 50m"/>
        <s v="Bor Tangan Listrik"/>
        <s v="Paku 5cm (1 kg)"/>
        <s v="Mesin Las Listrik"/>
        <s v="Drum Solar 200L"/>
        <s v="Helm Proyek"/>
        <s v="Cat Minyak 5L"/>
        <s v="Obeng Set"/>
        <s v="Gerinda Tangan"/>
        <s v="Rantai Besi 10m"/>
        <s v="Pompa Air Industri"/>
        <s v="Mesin Potong Besi"/>
        <s v="Pipa PVC 4 inch (per batang)"/>
        <s v="Sarung Tangan Katun"/>
        <s v="Cat Tembok 1 kg"/>
        <s v="Lampu Sorot LED 100W"/>
        <s v="Genset Portable 1000W"/>
        <s v="Masker Safety Box (isi 50)"/>
        <s v="Tangga Lipat Alumunium"/>
      </sharedItems>
    </cacheField>
    <cacheField name="Qty" numFmtId="0">
      <sharedItems containsSemiMixedTypes="0" containsString="0" containsNumber="1" containsInteger="1" minValue="1" maxValue="20"/>
    </cacheField>
    <cacheField name="Unit Price" numFmtId="164">
      <sharedItems containsSemiMixedTypes="0" containsString="0" containsNumber="1" containsInteger="1" minValue="11500" maxValue="4490000"/>
    </cacheField>
    <cacheField name="Line Total" numFmtId="164">
      <sharedItems containsSemiMixedTypes="0" containsString="0" containsNumber="1" containsInteger="1" minValue="20000" maxValue="58370000" count="150">
        <n v="2695000"/>
        <n v="814000"/>
        <n v="1006500"/>
        <n v="270000"/>
        <n v="11480000"/>
        <n v="3180000"/>
        <n v="450000"/>
        <n v="1761500"/>
        <n v="1024000"/>
        <n v="1395000"/>
        <n v="1408000"/>
        <n v="4310000"/>
        <n v="94500"/>
        <n v="44900000"/>
        <n v="6400000"/>
        <n v="350000"/>
        <n v="3256000"/>
        <n v="2600000"/>
        <n v="200000"/>
        <n v="620000"/>
        <n v="9300000"/>
        <n v="280000"/>
        <n v="310000"/>
        <n v="862000"/>
        <n v="3900000"/>
        <n v="3355000"/>
        <n v="4490000"/>
        <n v="800000"/>
        <n v="2348500"/>
        <n v="1355000"/>
        <n v="1896000"/>
        <n v="1084000"/>
        <n v="5200000"/>
        <n v="15900000"/>
        <n v="31000"/>
        <n v="3430000"/>
        <n v="1820000"/>
        <n v="50000"/>
        <n v="203500"/>
        <n v="1060000"/>
        <n v="28206000"/>
        <n v="12720000"/>
        <n v="49390000"/>
        <n v="1659000"/>
        <n v="10600000"/>
        <n v="465000"/>
        <n v="20664000"/>
        <n v="2048000"/>
        <n v="2296000"/>
        <n v="8370000"/>
        <n v="9184000"/>
        <n v="53278000"/>
        <n v="1424500"/>
        <n v="92000"/>
        <n v="1560000"/>
        <n v="600000"/>
        <n v="512000"/>
        <n v="53880000"/>
        <n v="43624000"/>
        <n v="813000"/>
        <n v="60000"/>
        <n v="81000"/>
        <n v="128000"/>
        <n v="202500"/>
        <n v="47010000"/>
        <n v="220000"/>
        <n v="2439000"/>
        <n v="19200000"/>
        <n v="22960000"/>
        <n v="3866500"/>
        <n v="5603000"/>
        <n v="16072000"/>
        <n v="2940000"/>
        <n v="37608000"/>
        <n v="4070000"/>
        <n v="20000"/>
        <n v="9402000"/>
        <n v="1342000"/>
        <n v="6710000"/>
        <n v="1225000"/>
        <n v="279000"/>
        <n v="1897000"/>
        <n v="1000000"/>
        <n v="2370000"/>
        <n v="900000"/>
        <n v="431000"/>
        <n v="5580000"/>
        <n v="4266000"/>
        <n v="108000"/>
        <n v="400000"/>
        <n v="550000"/>
        <n v="150000"/>
        <n v="15670000"/>
        <n v="1960000"/>
        <n v="2168000"/>
        <n v="1920000"/>
        <n v="31430000"/>
        <n v="1185000"/>
        <n v="372000"/>
        <n v="3200000"/>
        <n v="5172000"/>
        <n v="3380000"/>
        <n v="35920000"/>
        <n v="4741000"/>
        <n v="980000"/>
        <n v="2586000"/>
        <n v="5040000"/>
        <n v="184000"/>
        <n v="300000"/>
        <n v="1677500"/>
        <n v="6034000"/>
        <n v="230000"/>
        <n v="41328000"/>
        <n v="496000"/>
        <n v="360000"/>
        <n v="250000"/>
        <n v="256500"/>
        <n v="7327000"/>
        <n v="4940000"/>
        <n v="320000"/>
        <n v="948500"/>
        <n v="22400000"/>
        <n v="1280000"/>
        <n v="18368000"/>
        <n v="4620000"/>
        <n v="100000"/>
        <n v="1040000"/>
        <n v="558000"/>
        <n v="610500"/>
        <n v="240000"/>
        <n v="2238500"/>
        <n v="3780000"/>
        <n v="2032500"/>
        <n v="135000"/>
        <n v="46000"/>
        <n v="28800000"/>
        <n v="155000"/>
        <n v="58370000"/>
        <n v="6720000"/>
        <n v="3459500"/>
        <n v="735000"/>
        <n v="406500"/>
        <n v="1152000"/>
        <n v="5368000"/>
        <n v="340000"/>
        <n v="18020000"/>
        <n v="4200000"/>
        <n v="243000"/>
        <n v="21938000"/>
        <n v="2013000"/>
      </sharedItems>
    </cacheField>
    <cacheField name="Payment Status" numFmtId="0">
      <sharedItems count="2">
        <s v="Unpaid"/>
        <s v="Paid"/>
      </sharedItems>
    </cacheField>
    <cacheField name="Remarks" numFmtId="0">
      <sharedItems/>
    </cacheField>
    <cacheField name="Type (kolom helper)" numFmtId="0">
      <sharedItems count="2">
        <s v="OUT"/>
        <s v="IN"/>
      </sharedItems>
    </cacheField>
    <cacheField name="MonthYear (kolom helper)" numFmtId="0">
      <sharedItems count="3">
        <s v="Sep-2025"/>
        <s v="Aug-2025"/>
        <s v="Jul-2025"/>
      </sharedItems>
    </cacheField>
    <cacheField name="Total Invoice (kolom helper)" numFmtId="164">
      <sharedItems containsString="0" containsBlank="1" containsNumber="1" containsInteger="1" minValue="340000" maxValue="106804000"/>
    </cacheField>
  </cacheFields>
  <extLst>
    <ext xmlns:x14="http://schemas.microsoft.com/office/spreadsheetml/2009/9/main" uri="{725AE2AE-9491-48be-B2B4-4EB974FC3084}">
      <x14:pivotCacheDefinition pivotCacheId="1329199809"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20">
  <r>
    <x v="0"/>
    <s v="Paku 5cm (1 kg)"/>
    <x v="0"/>
    <n v="267"/>
    <n v="84"/>
    <n v="34"/>
    <x v="0"/>
    <n v="35"/>
    <x v="0"/>
  </r>
  <r>
    <x v="1"/>
    <s v="Sarung Tangan Katun"/>
    <x v="1"/>
    <n v="269"/>
    <n v="77"/>
    <n v="69"/>
    <x v="1"/>
    <n v="15"/>
    <x v="0"/>
  </r>
  <r>
    <x v="2"/>
    <s v="Masker Safety Box (isi 50)"/>
    <x v="1"/>
    <n v="56"/>
    <n v="4"/>
    <n v="44"/>
    <x v="2"/>
    <n v="45"/>
    <x v="1"/>
  </r>
  <r>
    <x v="3"/>
    <s v="Cat Tembok 1 kg"/>
    <x v="0"/>
    <n v="104"/>
    <n v="53"/>
    <n v="63"/>
    <x v="3"/>
    <n v="23"/>
    <x v="0"/>
  </r>
  <r>
    <x v="4"/>
    <s v="Helm Proyek"/>
    <x v="1"/>
    <n v="121"/>
    <n v="76"/>
    <n v="40"/>
    <x v="4"/>
    <n v="40"/>
    <x v="0"/>
  </r>
  <r>
    <x v="5"/>
    <s v="Obeng Set"/>
    <x v="2"/>
    <n v="36"/>
    <n v="44"/>
    <n v="49"/>
    <x v="5"/>
    <n v="40"/>
    <x v="1"/>
  </r>
  <r>
    <x v="6"/>
    <s v="Bor Tangan Listrik"/>
    <x v="2"/>
    <n v="244"/>
    <n v="43"/>
    <n v="62"/>
    <x v="6"/>
    <n v="16"/>
    <x v="0"/>
  </r>
  <r>
    <x v="7"/>
    <s v="Tangga Lipat Alumunium"/>
    <x v="2"/>
    <n v="103"/>
    <n v="21"/>
    <n v="37"/>
    <x v="7"/>
    <n v="41"/>
    <x v="0"/>
  </r>
  <r>
    <x v="8"/>
    <s v="Pipa PVC 4 inch (per batang)"/>
    <x v="0"/>
    <n v="82"/>
    <n v="61"/>
    <n v="79"/>
    <x v="8"/>
    <n v="44"/>
    <x v="0"/>
  </r>
  <r>
    <x v="9"/>
    <s v="Jaket Safety"/>
    <x v="1"/>
    <n v="230"/>
    <n v="0"/>
    <n v="57"/>
    <x v="9"/>
    <n v="42"/>
    <x v="0"/>
  </r>
  <r>
    <x v="10"/>
    <s v="Lampu Sorot LED 100W"/>
    <x v="3"/>
    <n v="181"/>
    <n v="13"/>
    <n v="48"/>
    <x v="10"/>
    <n v="37"/>
    <x v="0"/>
  </r>
  <r>
    <x v="11"/>
    <s v="Kabel Listrik Roll 50m"/>
    <x v="3"/>
    <n v="83"/>
    <n v="31"/>
    <n v="95"/>
    <x v="11"/>
    <n v="19"/>
    <x v="0"/>
  </r>
  <r>
    <x v="12"/>
    <s v="Cat Minyak 5L"/>
    <x v="0"/>
    <n v="143"/>
    <n v="48"/>
    <n v="80"/>
    <x v="12"/>
    <n v="31"/>
    <x v="0"/>
  </r>
  <r>
    <x v="13"/>
    <s v="Rantai Besi 10m"/>
    <x v="0"/>
    <n v="100"/>
    <n v="20"/>
    <n v="68"/>
    <x v="13"/>
    <n v="10"/>
    <x v="0"/>
  </r>
  <r>
    <x v="14"/>
    <s v="Gerinda Tangan"/>
    <x v="2"/>
    <n v="166"/>
    <n v="94"/>
    <n v="94"/>
    <x v="14"/>
    <n v="24"/>
    <x v="0"/>
  </r>
  <r>
    <x v="15"/>
    <s v="Genset Portable 1000W"/>
    <x v="2"/>
    <n v="200"/>
    <n v="48"/>
    <n v="35"/>
    <x v="15"/>
    <n v="14"/>
    <x v="0"/>
  </r>
  <r>
    <x v="16"/>
    <s v="Mesin Potong Besi"/>
    <x v="2"/>
    <n v="120"/>
    <n v="24"/>
    <n v="14"/>
    <x v="16"/>
    <n v="20"/>
    <x v="0"/>
  </r>
  <r>
    <x v="17"/>
    <s v="Pompa Air Industri"/>
    <x v="2"/>
    <n v="294"/>
    <n v="33"/>
    <n v="77"/>
    <x v="17"/>
    <n v="36"/>
    <x v="0"/>
  </r>
  <r>
    <x v="18"/>
    <s v="Drum Solar 200L"/>
    <x v="4"/>
    <n v="146"/>
    <n v="15"/>
    <n v="53"/>
    <x v="18"/>
    <n v="37"/>
    <x v="0"/>
  </r>
  <r>
    <x v="19"/>
    <s v="Mesin Las Listrik"/>
    <x v="2"/>
    <n v="216"/>
    <n v="45"/>
    <n v="54"/>
    <x v="19"/>
    <n v="13"/>
    <x v="0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70">
  <r>
    <s v="INV001"/>
    <s v="15/08/2025"/>
    <n v="3509000"/>
    <n v="3509000"/>
    <x v="0"/>
    <x v="0"/>
  </r>
  <r>
    <s v="INV002"/>
    <s v="24/08/2025"/>
    <n v="12756500"/>
    <n v="12486500"/>
    <x v="0"/>
    <x v="1"/>
  </r>
  <r>
    <s v="INV003"/>
    <s v="17/08/2025"/>
    <n v="6415500"/>
    <n v="5391500"/>
    <x v="1"/>
    <x v="1"/>
  </r>
  <r>
    <s v="INV004"/>
    <d v="2025-12-08T00:00:00"/>
    <n v="7113000"/>
    <n v="7113000"/>
    <x v="1"/>
    <x v="0"/>
  </r>
  <r>
    <s v="INV005"/>
    <d v="2025-06-08T00:00:00"/>
    <n v="51394500"/>
    <n v="0"/>
    <x v="0"/>
    <x v="1"/>
  </r>
  <r>
    <s v="INV006"/>
    <d v="2025-04-08T00:00:00"/>
    <n v="1164000"/>
    <n v="350000"/>
    <x v="0"/>
    <x v="1"/>
  </r>
  <r>
    <s v="INV007"/>
    <d v="2025-06-08T00:00:00"/>
    <n v="6676000"/>
    <n v="620000"/>
    <x v="1"/>
    <x v="1"/>
  </r>
  <r>
    <s v="INV008"/>
    <s v="26/08/2025"/>
    <n v="10752000"/>
    <n v="10442000"/>
    <x v="0"/>
    <x v="1"/>
  </r>
  <r>
    <s v="INV009"/>
    <s v="29/08/2025"/>
    <n v="12545000"/>
    <n v="3355000"/>
    <x v="1"/>
    <x v="1"/>
  </r>
  <r>
    <s v="INV010"/>
    <d v="2025-05-08T00:00:00"/>
    <n v="5599500"/>
    <n v="3703500"/>
    <x v="0"/>
    <x v="1"/>
  </r>
  <r>
    <s v="INV011"/>
    <s v="20/08/2025"/>
    <n v="2980000"/>
    <n v="1896000"/>
    <x v="0"/>
    <x v="1"/>
  </r>
  <r>
    <s v="INV012"/>
    <s v="27/08/2025"/>
    <n v="24561000"/>
    <n v="8630000"/>
    <x v="0"/>
    <x v="1"/>
  </r>
  <r>
    <s v="INV013"/>
    <d v="2025-01-08T00:00:00"/>
    <n v="3133500"/>
    <n v="1263500"/>
    <x v="1"/>
    <x v="1"/>
  </r>
  <r>
    <s v="INV014"/>
    <s v="26/08/2025"/>
    <n v="90316000"/>
    <n v="62110000"/>
    <x v="1"/>
    <x v="1"/>
  </r>
  <r>
    <s v="INV015"/>
    <d v="2025-06-08T00:00:00"/>
    <n v="34250000"/>
    <n v="12724000"/>
    <x v="0"/>
    <x v="1"/>
  </r>
  <r>
    <s v="INV016"/>
    <d v="2025-02-08T00:00:00"/>
    <n v="5428000"/>
    <n v="2296000"/>
    <x v="0"/>
    <x v="1"/>
  </r>
  <r>
    <s v="INV017"/>
    <d v="2025-09-08T00:00:00"/>
    <n v="70832000"/>
    <n v="8370000"/>
    <x v="1"/>
    <x v="1"/>
  </r>
  <r>
    <s v="INV018"/>
    <s v="17/08/2025"/>
    <n v="1424500"/>
    <n v="1424500"/>
    <x v="0"/>
    <x v="0"/>
  </r>
  <r>
    <s v="INV019"/>
    <s v="18/08/2025"/>
    <n v="1652000"/>
    <n v="1652000"/>
    <x v="1"/>
    <x v="0"/>
  </r>
  <r>
    <s v="INV020"/>
    <s v="21/08/2025"/>
    <n v="19596000"/>
    <n v="0"/>
    <x v="1"/>
    <x v="1"/>
  </r>
  <r>
    <s v="INV021"/>
    <d v="2025-03-08T00:00:00"/>
    <n v="106804000"/>
    <n v="106804000"/>
    <x v="1"/>
    <x v="0"/>
  </r>
  <r>
    <s v="INV022"/>
    <s v="22/08/2025"/>
    <n v="1768000"/>
    <n v="1687000"/>
    <x v="0"/>
    <x v="1"/>
  </r>
  <r>
    <s v="INV023"/>
    <s v="14/08/2025"/>
    <n v="8700500"/>
    <n v="202500"/>
    <x v="1"/>
    <x v="1"/>
  </r>
  <r>
    <s v="INV024"/>
    <d v="2025-03-08T00:00:00"/>
    <n v="49872500"/>
    <n v="49652500"/>
    <x v="1"/>
    <x v="1"/>
  </r>
  <r>
    <s v="INV025"/>
    <s v="29/08/2025"/>
    <n v="46026500"/>
    <n v="26826500"/>
    <x v="1"/>
    <x v="1"/>
  </r>
  <r>
    <s v="INV026"/>
    <d v="2025-12-08T00:00:00"/>
    <n v="26875000"/>
    <n v="10803000"/>
    <x v="1"/>
    <x v="1"/>
  </r>
  <r>
    <s v="INV027"/>
    <s v="21/08/2025"/>
    <n v="9155000"/>
    <n v="6806500"/>
    <x v="1"/>
    <x v="1"/>
  </r>
  <r>
    <s v="INV028"/>
    <d v="2025-06-08T00:00:00"/>
    <n v="41698000"/>
    <n v="41698000"/>
    <x v="1"/>
    <x v="0"/>
  </r>
  <r>
    <s v="INV029"/>
    <d v="2025-08-08T00:00:00"/>
    <n v="10744000"/>
    <n v="10744000"/>
    <x v="1"/>
    <x v="0"/>
  </r>
  <r>
    <s v="INV030"/>
    <s v="22/08/2025"/>
    <n v="10161000"/>
    <n v="1225000"/>
    <x v="1"/>
    <x v="1"/>
  </r>
  <r>
    <s v="INV031"/>
    <s v="13/08/2025"/>
    <n v="11740000"/>
    <n v="10740000"/>
    <x v="0"/>
    <x v="1"/>
  </r>
  <r>
    <s v="INV032"/>
    <s v="17/08/2025"/>
    <n v="47626000"/>
    <n v="46726000"/>
    <x v="1"/>
    <x v="1"/>
  </r>
  <r>
    <s v="INV033"/>
    <s v="15/08/2025"/>
    <n v="9063000"/>
    <n v="5708000"/>
    <x v="0"/>
    <x v="1"/>
  </r>
  <r>
    <s v="INV034"/>
    <s v="26/08/2025"/>
    <n v="4774000"/>
    <n v="4666000"/>
    <x v="1"/>
    <x v="1"/>
  </r>
  <r>
    <s v="INV035"/>
    <d v="2025-01-08T00:00:00"/>
    <n v="3150000"/>
    <n v="3150000"/>
    <x v="0"/>
    <x v="0"/>
  </r>
  <r>
    <s v="INV036"/>
    <d v="2025-07-08T00:00:00"/>
    <n v="17780000"/>
    <n v="17630000"/>
    <x v="1"/>
    <x v="1"/>
  </r>
  <r>
    <s v="INV037"/>
    <s v="15/08/2025"/>
    <n v="35518000"/>
    <n v="33598000"/>
    <x v="1"/>
    <x v="1"/>
  </r>
  <r>
    <s v="INV038"/>
    <d v="2025-05-08T00:00:00"/>
    <n v="1557000"/>
    <n v="1185000"/>
    <x v="1"/>
    <x v="1"/>
  </r>
  <r>
    <s v="INV039"/>
    <s v="25/08/2025"/>
    <n v="8372000"/>
    <n v="0"/>
    <x v="0"/>
    <x v="1"/>
  </r>
  <r>
    <s v="INV040"/>
    <s v="16/08/2025"/>
    <n v="8370000"/>
    <n v="0"/>
    <x v="1"/>
    <x v="1"/>
  </r>
  <r>
    <s v="INV041"/>
    <s v="28/08/2025"/>
    <n v="64154000"/>
    <n v="39300000"/>
    <x v="0"/>
    <x v="1"/>
  </r>
  <r>
    <s v="INV042"/>
    <s v="22/08/2025"/>
    <n v="26385000"/>
    <n v="5721000"/>
    <x v="1"/>
    <x v="1"/>
  </r>
  <r>
    <s v="INV043"/>
    <s v="26/08/2025"/>
    <n v="40691000"/>
    <n v="33065000"/>
    <x v="0"/>
    <x v="1"/>
  </r>
  <r>
    <s v="INV044"/>
    <d v="2025-08-08T00:00:00"/>
    <n v="2161500"/>
    <n v="2161500"/>
    <x v="0"/>
    <x v="0"/>
  </r>
  <r>
    <s v="INV045"/>
    <s v="14/08/2025"/>
    <n v="47592000"/>
    <n v="47592000"/>
    <x v="1"/>
    <x v="0"/>
  </r>
  <r>
    <s v="INV046"/>
    <d v="2025-12-08T00:00:00"/>
    <n v="1362500"/>
    <n v="256500"/>
    <x v="1"/>
    <x v="1"/>
  </r>
  <r>
    <s v="INV047"/>
    <s v="14/08/2025"/>
    <n v="9675500"/>
    <n v="9675500"/>
    <x v="0"/>
    <x v="0"/>
  </r>
  <r>
    <s v="INV048"/>
    <s v="26/08/2025"/>
    <n v="4940000"/>
    <n v="0"/>
    <x v="0"/>
    <x v="1"/>
  </r>
  <r>
    <s v="INV049"/>
    <d v="2025-03-08T00:00:00"/>
    <n v="5060000"/>
    <n v="4740000"/>
    <x v="0"/>
    <x v="1"/>
  </r>
  <r>
    <s v="INV050"/>
    <s v="20/08/2025"/>
    <n v="23348500"/>
    <n v="23348500"/>
    <x v="1"/>
    <x v="0"/>
  </r>
  <r>
    <s v="INV051"/>
    <s v="19/08/2025"/>
    <n v="21208000"/>
    <n v="1280000"/>
    <x v="0"/>
    <x v="1"/>
  </r>
  <r>
    <s v="INV052"/>
    <s v="13/08/2025"/>
    <n v="4720000"/>
    <n v="4720000"/>
    <x v="1"/>
    <x v="0"/>
  </r>
  <r>
    <s v="INV053"/>
    <d v="2025-12-08T00:00:00"/>
    <n v="12198000"/>
    <n v="11158000"/>
    <x v="0"/>
    <x v="1"/>
  </r>
  <r>
    <s v="INV054"/>
    <s v="13/08/2025"/>
    <n v="3450500"/>
    <n v="3210500"/>
    <x v="1"/>
    <x v="1"/>
  </r>
  <r>
    <s v="INV055"/>
    <d v="2025-06-08T00:00:00"/>
    <n v="24638500"/>
    <n v="22400000"/>
    <x v="1"/>
    <x v="1"/>
  </r>
  <r>
    <s v="INV056"/>
    <d v="2025-05-08T00:00:00"/>
    <n v="8477500"/>
    <n v="1280000"/>
    <x v="0"/>
    <x v="1"/>
  </r>
  <r>
    <s v="INV057"/>
    <d v="2025-07-08T00:00:00"/>
    <n v="15980000"/>
    <n v="310000"/>
    <x v="0"/>
    <x v="1"/>
  </r>
  <r>
    <s v="INV058"/>
    <s v="15/08/2025"/>
    <n v="28981000"/>
    <n v="0"/>
    <x v="0"/>
    <x v="1"/>
  </r>
  <r>
    <s v="INV059"/>
    <s v="27/08/2025"/>
    <n v="79925000"/>
    <n v="0"/>
    <x v="0"/>
    <x v="1"/>
  </r>
  <r>
    <s v="INV060"/>
    <d v="2025-11-08T00:00:00"/>
    <n v="68445000"/>
    <n v="68445000"/>
    <x v="1"/>
    <x v="0"/>
  </r>
  <r>
    <s v="INV061"/>
    <s v="29/08/2025"/>
    <n v="57339500"/>
    <n v="3459500"/>
    <x v="1"/>
    <x v="1"/>
  </r>
  <r>
    <s v="INV062"/>
    <s v="28/08/2025"/>
    <n v="3031000"/>
    <n v="3031000"/>
    <x v="1"/>
    <x v="0"/>
  </r>
  <r>
    <s v="INV063"/>
    <d v="2025-01-08T00:00:00"/>
    <n v="609000"/>
    <n v="0"/>
    <x v="0"/>
    <x v="1"/>
  </r>
  <r>
    <s v="INV064"/>
    <s v="16/08/2025"/>
    <n v="9522000"/>
    <n v="1152000"/>
    <x v="1"/>
    <x v="1"/>
  </r>
  <r>
    <s v="INV065"/>
    <s v="13/08/2025"/>
    <n v="50588000"/>
    <n v="41288000"/>
    <x v="0"/>
    <x v="1"/>
  </r>
  <r>
    <s v="INV066"/>
    <d v="2025-01-08T00:00:00"/>
    <n v="340000"/>
    <n v="340000"/>
    <x v="1"/>
    <x v="0"/>
  </r>
  <r>
    <s v="INV067"/>
    <s v="25/08/2025"/>
    <n v="19044000"/>
    <n v="19044000"/>
    <x v="1"/>
    <x v="0"/>
  </r>
  <r>
    <s v="INV068"/>
    <d v="2025-02-08T00:00:00"/>
    <n v="4200000"/>
    <n v="4200000"/>
    <x v="1"/>
    <x v="0"/>
  </r>
  <r>
    <s v="INV069"/>
    <s v="19/08/2025"/>
    <n v="22181000"/>
    <n v="0"/>
    <x v="1"/>
    <x v="1"/>
  </r>
  <r>
    <s v="INV070"/>
    <s v="25/08/2025"/>
    <n v="2013000"/>
    <n v="0"/>
    <x v="1"/>
    <x v="1"/>
  </r>
</pivotCacheRecords>
</file>

<file path=xl/pivotCache/pivotCacheRecords3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200">
  <r>
    <s v="TRX001"/>
    <d v="2025-08-07T00:00:00"/>
    <s v="ITM015"/>
    <x v="0"/>
    <n v="20"/>
    <n v="465000"/>
    <n v="9300000"/>
    <x v="0"/>
    <s v="Retur Barang"/>
    <x v="0"/>
    <x v="0"/>
  </r>
  <r>
    <s v="TRX002"/>
    <d v="2025-08-09T00:00:00"/>
    <s v="ITM007"/>
    <x v="1"/>
    <n v="7"/>
    <n v="335500"/>
    <n v="2348500"/>
    <x v="0"/>
    <s v="Restock"/>
    <x v="0"/>
    <x v="0"/>
  </r>
  <r>
    <s v="TRX003"/>
    <d v="2025-09-02T00:00:00"/>
    <s v="ITM006"/>
    <x v="2"/>
    <n v="8"/>
    <n v="128000"/>
    <n v="1024000"/>
    <x v="1"/>
    <s v="PO #002"/>
    <x v="1"/>
    <x v="1"/>
  </r>
  <r>
    <s v="TRX004"/>
    <d v="2025-09-17T00:00:00"/>
    <s v="ITM010"/>
    <x v="3"/>
    <n v="12"/>
    <n v="245000"/>
    <n v="2940000"/>
    <x v="1"/>
    <s v="Project Site B"/>
    <x v="1"/>
    <x v="1"/>
  </r>
  <r>
    <s v="TRX005"/>
    <d v="2025-08-11T00:00:00"/>
    <s v="ITM018"/>
    <x v="4"/>
    <n v="7"/>
    <n v="4490000"/>
    <n v="31430000"/>
    <x v="1"/>
    <s v="Project Site A"/>
    <x v="0"/>
    <x v="0"/>
  </r>
  <r>
    <s v="TRX006"/>
    <d v="2025-07-05T00:00:00"/>
    <s v="ITM014"/>
    <x v="5"/>
    <n v="14"/>
    <n v="431000"/>
    <n v="6034000"/>
    <x v="1"/>
    <s v="Restock"/>
    <x v="2"/>
    <x v="2"/>
  </r>
  <r>
    <s v="TRX007"/>
    <d v="2025-07-21T00:00:00"/>
    <s v="ITM016"/>
    <x v="6"/>
    <n v="5"/>
    <n v="3134000"/>
    <n v="15670000"/>
    <x v="0"/>
    <s v="PO #002"/>
    <x v="2"/>
    <x v="2"/>
  </r>
  <r>
    <s v="TRX008"/>
    <d v="2025-09-07T00:00:00"/>
    <s v="ITM007"/>
    <x v="1"/>
    <n v="3"/>
    <n v="335500"/>
    <n v="1006500"/>
    <x v="1"/>
    <s v="Project Site A"/>
    <x v="1"/>
    <x v="1"/>
  </r>
  <r>
    <s v="TRX009"/>
    <d v="2025-07-30T00:00:00"/>
    <s v="ITM002"/>
    <x v="7"/>
    <n v="16"/>
    <n v="20000"/>
    <n v="320000"/>
    <x v="0"/>
    <s v="Internal Use"/>
    <x v="2"/>
    <x v="2"/>
  </r>
  <r>
    <s v="TRX010"/>
    <d v="2025-08-19T00:00:00"/>
    <s v="ITM017"/>
    <x v="8"/>
    <n v="6"/>
    <n v="3200000"/>
    <n v="19200000"/>
    <x v="0"/>
    <s v="Proyek Maintenance"/>
    <x v="0"/>
    <x v="0"/>
  </r>
  <r>
    <s v="TRX011"/>
    <d v="2025-07-05T00:00:00"/>
    <s v="ITM003"/>
    <x v="9"/>
    <n v="8"/>
    <n v="11500"/>
    <n v="92000"/>
    <x v="1"/>
    <s v="Proyek Maintenance"/>
    <x v="2"/>
    <x v="2"/>
  </r>
  <r>
    <s v="TRX012"/>
    <d v="2025-08-03T00:00:00"/>
    <s v="ITM005"/>
    <x v="10"/>
    <n v="5"/>
    <n v="50000"/>
    <n v="250000"/>
    <x v="1"/>
    <s v="Internal Use"/>
    <x v="0"/>
    <x v="0"/>
  </r>
  <r>
    <s v="TRX013"/>
    <d v="2025-08-21T00:00:00"/>
    <s v="ITM001"/>
    <x v="11"/>
    <n v="20"/>
    <n v="13500"/>
    <n v="270000"/>
    <x v="0"/>
    <s v="PO #003"/>
    <x v="0"/>
    <x v="0"/>
  </r>
  <r>
    <s v="TRX014"/>
    <d v="2025-07-08T00:00:00"/>
    <s v="ITM009"/>
    <x v="12"/>
    <n v="15"/>
    <n v="260000"/>
    <n v="3900000"/>
    <x v="0"/>
    <s v="PO #002"/>
    <x v="2"/>
    <x v="2"/>
  </r>
  <r>
    <s v="TRX015"/>
    <d v="2025-09-06T00:00:00"/>
    <s v="ITM015"/>
    <x v="0"/>
    <n v="3"/>
    <n v="465000"/>
    <n v="1395000"/>
    <x v="1"/>
    <s v="Internal Use"/>
    <x v="1"/>
    <x v="1"/>
  </r>
  <r>
    <s v="TRX016"/>
    <d v="2025-09-03T00:00:00"/>
    <s v="ITM015"/>
    <x v="0"/>
    <n v="3"/>
    <n v="465000"/>
    <n v="1395000"/>
    <x v="1"/>
    <s v="Internal Use"/>
    <x v="1"/>
    <x v="1"/>
  </r>
  <r>
    <s v="TRX017"/>
    <d v="2025-07-11T00:00:00"/>
    <s v="ITM013"/>
    <x v="13"/>
    <n v="16"/>
    <n v="135500"/>
    <n v="2168000"/>
    <x v="1"/>
    <s v="PO #001"/>
    <x v="2"/>
    <x v="2"/>
  </r>
  <r>
    <s v="TRX018"/>
    <d v="2025-09-13T00:00:00"/>
    <s v="ITM006"/>
    <x v="2"/>
    <n v="15"/>
    <n v="128000"/>
    <n v="1920000"/>
    <x v="0"/>
    <s v="PO #003"/>
    <x v="1"/>
    <x v="1"/>
  </r>
  <r>
    <s v="TRX019"/>
    <d v="2025-09-08T00:00:00"/>
    <s v="ITM005"/>
    <x v="10"/>
    <n v="20"/>
    <n v="50000"/>
    <n v="1000000"/>
    <x v="0"/>
    <s v="Retur Barang"/>
    <x v="1"/>
    <x v="1"/>
  </r>
  <r>
    <s v="TRX020"/>
    <d v="2025-08-10T00:00:00"/>
    <s v="ITM015"/>
    <x v="0"/>
    <n v="18"/>
    <n v="465000"/>
    <n v="8370000"/>
    <x v="1"/>
    <s v="PO #003"/>
    <x v="0"/>
    <x v="0"/>
  </r>
  <r>
    <s v="TRX021"/>
    <d v="2025-07-04T00:00:00"/>
    <s v="ITM005"/>
    <x v="10"/>
    <n v="11"/>
    <n v="50000"/>
    <n v="550000"/>
    <x v="1"/>
    <s v="Project Site C"/>
    <x v="2"/>
    <x v="2"/>
  </r>
  <r>
    <s v="TRX022"/>
    <d v="2025-07-29T00:00:00"/>
    <s v="ITM009"/>
    <x v="12"/>
    <n v="13"/>
    <n v="260000"/>
    <n v="3380000"/>
    <x v="1"/>
    <s v="Project Site A"/>
    <x v="2"/>
    <x v="2"/>
  </r>
  <r>
    <s v="TRX023"/>
    <d v="2025-09-20T00:00:00"/>
    <s v="ITM001"/>
    <x v="11"/>
    <n v="7"/>
    <n v="13500"/>
    <n v="94500"/>
    <x v="0"/>
    <s v="Retur Barang"/>
    <x v="1"/>
    <x v="1"/>
  </r>
  <r>
    <s v="TRX024"/>
    <d v="2025-09-17T00:00:00"/>
    <s v="ITM018"/>
    <x v="4"/>
    <n v="10"/>
    <n v="4490000"/>
    <n v="44900000"/>
    <x v="0"/>
    <s v="Proyek Maintenance"/>
    <x v="1"/>
    <x v="1"/>
  </r>
  <r>
    <s v="TRX025"/>
    <d v="2025-07-14T00:00:00"/>
    <s v="ITM014"/>
    <x v="5"/>
    <n v="6"/>
    <n v="431000"/>
    <n v="2586000"/>
    <x v="0"/>
    <s v="Project Site B"/>
    <x v="2"/>
    <x v="2"/>
  </r>
  <r>
    <s v="TRX026"/>
    <d v="2025-08-24T00:00:00"/>
    <s v="ITM016"/>
    <x v="6"/>
    <n v="3"/>
    <n v="3134000"/>
    <n v="9402000"/>
    <x v="1"/>
    <s v="Project Site C"/>
    <x v="0"/>
    <x v="0"/>
  </r>
  <r>
    <s v="TRX027"/>
    <d v="2025-07-18T00:00:00"/>
    <s v="ITM007"/>
    <x v="1"/>
    <n v="10"/>
    <n v="335500"/>
    <n v="3355000"/>
    <x v="0"/>
    <s v="Project Site C"/>
    <x v="2"/>
    <x v="2"/>
  </r>
  <r>
    <s v="TRX028"/>
    <d v="2025-08-31T00:00:00"/>
    <s v="ITM016"/>
    <x v="6"/>
    <n v="12"/>
    <n v="3134000"/>
    <n v="37608000"/>
    <x v="1"/>
    <s v="PO #001"/>
    <x v="0"/>
    <x v="0"/>
  </r>
  <r>
    <s v="TRX029"/>
    <d v="2025-08-26T00:00:00"/>
    <s v="ITM011"/>
    <x v="14"/>
    <n v="7"/>
    <n v="237000"/>
    <n v="1659000"/>
    <x v="1"/>
    <s v="Proyek Maintenance"/>
    <x v="0"/>
    <x v="0"/>
  </r>
  <r>
    <s v="TRX030"/>
    <d v="2025-09-16T00:00:00"/>
    <s v="ITM005"/>
    <x v="10"/>
    <n v="18"/>
    <n v="50000"/>
    <n v="900000"/>
    <x v="0"/>
    <s v="PO #002"/>
    <x v="1"/>
    <x v="1"/>
  </r>
  <r>
    <s v="TRX031"/>
    <d v="2025-07-28T00:00:00"/>
    <s v="ITM019"/>
    <x v="15"/>
    <n v="10"/>
    <n v="1060000"/>
    <n v="10600000"/>
    <x v="1"/>
    <s v="PO #003"/>
    <x v="2"/>
    <x v="2"/>
  </r>
  <r>
    <s v="TRX032"/>
    <d v="2025-07-20T00:00:00"/>
    <s v="ITM018"/>
    <x v="4"/>
    <n v="10"/>
    <n v="4490000"/>
    <n v="44900000"/>
    <x v="0"/>
    <s v="PO #003"/>
    <x v="2"/>
    <x v="2"/>
  </r>
  <r>
    <s v="TRX033"/>
    <d v="2025-07-12T00:00:00"/>
    <s v="ITM007"/>
    <x v="1"/>
    <n v="4"/>
    <n v="335500"/>
    <n v="1342000"/>
    <x v="1"/>
    <s v="Project Site C"/>
    <x v="2"/>
    <x v="2"/>
  </r>
  <r>
    <s v="TRX034"/>
    <d v="2025-09-04T00:00:00"/>
    <s v="ITM006"/>
    <x v="2"/>
    <n v="11"/>
    <n v="128000"/>
    <n v="1408000"/>
    <x v="1"/>
    <s v="Project Site A"/>
    <x v="1"/>
    <x v="1"/>
  </r>
  <r>
    <s v="TRX035"/>
    <d v="2025-08-22T00:00:00"/>
    <s v="ITM014"/>
    <x v="5"/>
    <n v="10"/>
    <n v="431000"/>
    <n v="4310000"/>
    <x v="1"/>
    <s v="PO #002"/>
    <x v="0"/>
    <x v="0"/>
  </r>
  <r>
    <s v="TRX036"/>
    <d v="2025-08-25T00:00:00"/>
    <s v="ITM007"/>
    <x v="1"/>
    <n v="10"/>
    <n v="335500"/>
    <n v="3355000"/>
    <x v="1"/>
    <s v="PO #003"/>
    <x v="0"/>
    <x v="0"/>
  </r>
  <r>
    <s v="TRX037"/>
    <d v="2025-07-25T00:00:00"/>
    <s v="ITM015"/>
    <x v="0"/>
    <n v="20"/>
    <n v="465000"/>
    <n v="9300000"/>
    <x v="1"/>
    <s v="Proyek Maintenance"/>
    <x v="2"/>
    <x v="2"/>
  </r>
  <r>
    <s v="TRX038"/>
    <d v="2025-07-22T00:00:00"/>
    <s v="ITM002"/>
    <x v="7"/>
    <n v="14"/>
    <n v="20000"/>
    <n v="280000"/>
    <x v="1"/>
    <s v="PO #003"/>
    <x v="2"/>
    <x v="2"/>
  </r>
  <r>
    <s v="TRX039"/>
    <d v="2025-09-20T00:00:00"/>
    <s v="ITM017"/>
    <x v="8"/>
    <n v="6"/>
    <n v="3200000"/>
    <n v="19200000"/>
    <x v="0"/>
    <s v="Retur Barang"/>
    <x v="1"/>
    <x v="1"/>
  </r>
  <r>
    <s v="TRX040"/>
    <d v="2025-09-11T00:00:00"/>
    <s v="ITM020"/>
    <x v="16"/>
    <n v="4"/>
    <n v="2296000"/>
    <n v="9184000"/>
    <x v="0"/>
    <s v="Project Site B"/>
    <x v="1"/>
    <x v="1"/>
  </r>
  <r>
    <s v="TRX041"/>
    <d v="2025-07-21T00:00:00"/>
    <s v="ITM013"/>
    <x v="13"/>
    <n v="6"/>
    <n v="135500"/>
    <n v="813000"/>
    <x v="1"/>
    <s v="Project Site C"/>
    <x v="2"/>
    <x v="2"/>
  </r>
  <r>
    <s v="TRX042"/>
    <d v="2025-09-05T00:00:00"/>
    <s v="ITM012"/>
    <x v="17"/>
    <n v="3"/>
    <n v="203500"/>
    <n v="610500"/>
    <x v="1"/>
    <s v="Proyek Maintenance"/>
    <x v="1"/>
    <x v="1"/>
  </r>
  <r>
    <s v="TRX043"/>
    <d v="2025-09-07T00:00:00"/>
    <s v="ITM004"/>
    <x v="18"/>
    <n v="5"/>
    <n v="31000"/>
    <n v="155000"/>
    <x v="0"/>
    <s v="PO #003"/>
    <x v="1"/>
    <x v="1"/>
  </r>
  <r>
    <s v="TRX044"/>
    <d v="2025-07-13T00:00:00"/>
    <s v="ITM008"/>
    <x v="19"/>
    <n v="9"/>
    <n v="420000"/>
    <n v="3780000"/>
    <x v="0"/>
    <s v="Project Site B"/>
    <x v="2"/>
    <x v="2"/>
  </r>
  <r>
    <s v="TRX045"/>
    <d v="2025-08-28T00:00:00"/>
    <s v="ITM013"/>
    <x v="13"/>
    <n v="15"/>
    <n v="135500"/>
    <n v="2032500"/>
    <x v="0"/>
    <s v="PO #001"/>
    <x v="0"/>
    <x v="0"/>
  </r>
  <r>
    <s v="TRX046"/>
    <d v="2025-07-17T00:00:00"/>
    <s v="ITM011"/>
    <x v="14"/>
    <n v="5"/>
    <n v="237000"/>
    <n v="1185000"/>
    <x v="0"/>
    <s v="Retur Barang"/>
    <x v="2"/>
    <x v="2"/>
  </r>
  <r>
    <s v="TRX047"/>
    <d v="2025-09-27T00:00:00"/>
    <s v="ITM002"/>
    <x v="7"/>
    <n v="10"/>
    <n v="20000"/>
    <n v="200000"/>
    <x v="0"/>
    <s v="PO #001"/>
    <x v="1"/>
    <x v="1"/>
  </r>
  <r>
    <s v="TRX048"/>
    <d v="2025-07-29T00:00:00"/>
    <s v="ITM013"/>
    <x v="13"/>
    <n v="8"/>
    <n v="135500"/>
    <n v="1084000"/>
    <x v="0"/>
    <s v="Retur Barang"/>
    <x v="2"/>
    <x v="2"/>
  </r>
  <r>
    <s v="TRX049"/>
    <d v="2025-08-15T00:00:00"/>
    <s v="ITM002"/>
    <x v="7"/>
    <n v="3"/>
    <n v="20000"/>
    <n v="60000"/>
    <x v="1"/>
    <s v="Project Site A"/>
    <x v="0"/>
    <x v="0"/>
  </r>
  <r>
    <s v="TRX050"/>
    <d v="2025-09-15T00:00:00"/>
    <s v="ITM012"/>
    <x v="17"/>
    <n v="4"/>
    <n v="203500"/>
    <n v="814000"/>
    <x v="1"/>
    <s v="Internal Use"/>
    <x v="1"/>
    <x v="1"/>
  </r>
  <r>
    <s v="TRX051"/>
    <d v="2025-07-06T00:00:00"/>
    <s v="ITM015"/>
    <x v="0"/>
    <n v="18"/>
    <n v="465000"/>
    <n v="8370000"/>
    <x v="1"/>
    <s v="PO #002"/>
    <x v="2"/>
    <x v="2"/>
  </r>
  <r>
    <s v="TRX052"/>
    <d v="2025-08-25T00:00:00"/>
    <s v="ITM007"/>
    <x v="1"/>
    <n v="7"/>
    <n v="335500"/>
    <n v="2348500"/>
    <x v="1"/>
    <s v="Project Site B"/>
    <x v="0"/>
    <x v="0"/>
  </r>
  <r>
    <s v="TRX053"/>
    <d v="2025-07-29T00:00:00"/>
    <s v="ITM020"/>
    <x v="16"/>
    <n v="9"/>
    <n v="2296000"/>
    <n v="20664000"/>
    <x v="0"/>
    <s v="PO #003"/>
    <x v="2"/>
    <x v="2"/>
  </r>
  <r>
    <s v="TRX054"/>
    <d v="2025-09-21T00:00:00"/>
    <s v="ITM014"/>
    <x v="5"/>
    <n v="11"/>
    <n v="431000"/>
    <n v="4741000"/>
    <x v="1"/>
    <s v="Project Site C"/>
    <x v="1"/>
    <x v="1"/>
  </r>
  <r>
    <s v="TRX055"/>
    <d v="2025-08-28T00:00:00"/>
    <s v="ITM004"/>
    <x v="18"/>
    <n v="16"/>
    <n v="31000"/>
    <n v="496000"/>
    <x v="0"/>
    <s v="Project Site A"/>
    <x v="0"/>
    <x v="0"/>
  </r>
  <r>
    <s v="TRX056"/>
    <d v="2025-09-05T00:00:00"/>
    <s v="ITM009"/>
    <x v="12"/>
    <n v="20"/>
    <n v="260000"/>
    <n v="5200000"/>
    <x v="1"/>
    <s v="Restock"/>
    <x v="1"/>
    <x v="1"/>
  </r>
  <r>
    <s v="TRX057"/>
    <d v="2025-08-10T00:00:00"/>
    <s v="ITM009"/>
    <x v="12"/>
    <n v="7"/>
    <n v="260000"/>
    <n v="1820000"/>
    <x v="0"/>
    <s v="PO #003"/>
    <x v="0"/>
    <x v="0"/>
  </r>
  <r>
    <s v="TRX058"/>
    <d v="2025-09-21T00:00:00"/>
    <s v="ITM006"/>
    <x v="2"/>
    <n v="16"/>
    <n v="128000"/>
    <n v="2048000"/>
    <x v="0"/>
    <s v="Project Site C"/>
    <x v="1"/>
    <x v="1"/>
  </r>
  <r>
    <s v="TRX059"/>
    <d v="2025-07-19T00:00:00"/>
    <s v="ITM005"/>
    <x v="10"/>
    <n v="7"/>
    <n v="50000"/>
    <n v="350000"/>
    <x v="1"/>
    <s v="Project Site B"/>
    <x v="2"/>
    <x v="2"/>
  </r>
  <r>
    <s v="TRX060"/>
    <d v="2025-09-19T00:00:00"/>
    <s v="ITM012"/>
    <x v="17"/>
    <n v="16"/>
    <n v="203500"/>
    <n v="3256000"/>
    <x v="0"/>
    <s v="PO #001"/>
    <x v="1"/>
    <x v="1"/>
  </r>
  <r>
    <s v="TRX061"/>
    <d v="2025-07-27T00:00:00"/>
    <s v="ITM009"/>
    <x v="12"/>
    <n v="10"/>
    <n v="260000"/>
    <n v="2600000"/>
    <x v="0"/>
    <s v="Project Site B"/>
    <x v="2"/>
    <x v="2"/>
  </r>
  <r>
    <s v="TRX062"/>
    <d v="2025-09-19T00:00:00"/>
    <s v="ITM018"/>
    <x v="4"/>
    <n v="1"/>
    <n v="4490000"/>
    <n v="4490000"/>
    <x v="0"/>
    <s v="Proyek Maintenance"/>
    <x v="1"/>
    <x v="1"/>
  </r>
  <r>
    <s v="TRX063"/>
    <d v="2025-08-22T00:00:00"/>
    <s v="ITM009"/>
    <x v="12"/>
    <n v="19"/>
    <n v="260000"/>
    <n v="4940000"/>
    <x v="0"/>
    <s v="Project Site A"/>
    <x v="0"/>
    <x v="0"/>
  </r>
  <r>
    <s v="TRX064"/>
    <d v="2025-07-06T00:00:00"/>
    <s v="ITM008"/>
    <x v="19"/>
    <n v="11"/>
    <n v="420000"/>
    <n v="4620000"/>
    <x v="1"/>
    <s v="PO #002"/>
    <x v="2"/>
    <x v="2"/>
  </r>
  <r>
    <s v="TRX065"/>
    <d v="2025-08-09T00:00:00"/>
    <s v="ITM005"/>
    <x v="10"/>
    <n v="12"/>
    <n v="50000"/>
    <n v="600000"/>
    <x v="0"/>
    <s v="PO #002"/>
    <x v="0"/>
    <x v="0"/>
  </r>
  <r>
    <s v="TRX066"/>
    <d v="2025-08-20T00:00:00"/>
    <s v="ITM013"/>
    <x v="13"/>
    <n v="8"/>
    <n v="135500"/>
    <n v="1084000"/>
    <x v="0"/>
    <s v="Restock"/>
    <x v="0"/>
    <x v="0"/>
  </r>
  <r>
    <s v="TRX067"/>
    <d v="2025-08-28T00:00:00"/>
    <s v="ITM017"/>
    <x v="8"/>
    <n v="1"/>
    <n v="3200000"/>
    <n v="3200000"/>
    <x v="0"/>
    <s v="Proyek Maintenance"/>
    <x v="0"/>
    <x v="0"/>
  </r>
  <r>
    <s v="TRX068"/>
    <d v="2025-08-05T00:00:00"/>
    <s v="ITM003"/>
    <x v="9"/>
    <n v="16"/>
    <n v="11500"/>
    <n v="184000"/>
    <x v="1"/>
    <s v="Project Site B"/>
    <x v="0"/>
    <x v="0"/>
  </r>
  <r>
    <s v="TRX069"/>
    <d v="2025-09-16T00:00:00"/>
    <s v="ITM001"/>
    <x v="11"/>
    <n v="6"/>
    <n v="13500"/>
    <n v="81000"/>
    <x v="0"/>
    <s v="Project Site A"/>
    <x v="1"/>
    <x v="1"/>
  </r>
  <r>
    <s v="TRX070"/>
    <d v="2025-08-11T00:00:00"/>
    <s v="ITM006"/>
    <x v="2"/>
    <n v="10"/>
    <n v="128000"/>
    <n v="1280000"/>
    <x v="1"/>
    <s v="Internal Use"/>
    <x v="0"/>
    <x v="0"/>
  </r>
  <r>
    <s v="TRX071"/>
    <d v="2025-09-18T00:00:00"/>
    <s v="ITM018"/>
    <x v="4"/>
    <n v="10"/>
    <n v="4490000"/>
    <n v="44900000"/>
    <x v="1"/>
    <s v="PO #003"/>
    <x v="1"/>
    <x v="1"/>
  </r>
  <r>
    <s v="TRX072"/>
    <d v="2025-07-23T00:00:00"/>
    <s v="ITM008"/>
    <x v="19"/>
    <n v="12"/>
    <n v="420000"/>
    <n v="5040000"/>
    <x v="0"/>
    <s v="Restock"/>
    <x v="2"/>
    <x v="2"/>
  </r>
  <r>
    <s v="TRX073"/>
    <d v="2025-08-28T00:00:00"/>
    <s v="ITM002"/>
    <x v="7"/>
    <n v="15"/>
    <n v="20000"/>
    <n v="300000"/>
    <x v="1"/>
    <s v="Project Site C"/>
    <x v="0"/>
    <x v="0"/>
  </r>
  <r>
    <s v="TRX074"/>
    <d v="2025-08-11T00:00:00"/>
    <s v="ITM014"/>
    <x v="5"/>
    <n v="17"/>
    <n v="431000"/>
    <n v="7327000"/>
    <x v="1"/>
    <s v="PO #001"/>
    <x v="0"/>
    <x v="0"/>
  </r>
  <r>
    <s v="TRX075"/>
    <d v="2025-08-14T00:00:00"/>
    <s v="ITM012"/>
    <x v="17"/>
    <n v="17"/>
    <n v="203500"/>
    <n v="3459500"/>
    <x v="1"/>
    <s v="PO #001"/>
    <x v="0"/>
    <x v="0"/>
  </r>
  <r>
    <s v="TRX076"/>
    <d v="2025-09-26T00:00:00"/>
    <s v="ITM009"/>
    <x v="12"/>
    <n v="10"/>
    <n v="260000"/>
    <n v="2600000"/>
    <x v="1"/>
    <s v="Restock"/>
    <x v="1"/>
    <x v="1"/>
  </r>
  <r>
    <s v="TRX077"/>
    <d v="2025-08-07T00:00:00"/>
    <s v="ITM009"/>
    <x v="12"/>
    <n v="4"/>
    <n v="260000"/>
    <n v="1040000"/>
    <x v="0"/>
    <s v="Restock"/>
    <x v="0"/>
    <x v="0"/>
  </r>
  <r>
    <s v="TRX078"/>
    <d v="2025-08-15T00:00:00"/>
    <s v="ITM009"/>
    <x v="12"/>
    <n v="6"/>
    <n v="260000"/>
    <n v="1560000"/>
    <x v="0"/>
    <s v="Project Site B"/>
    <x v="0"/>
    <x v="0"/>
  </r>
  <r>
    <s v="TRX079"/>
    <d v="2025-09-13T00:00:00"/>
    <s v="ITM010"/>
    <x v="3"/>
    <n v="11"/>
    <n v="245000"/>
    <n v="2695000"/>
    <x v="1"/>
    <s v="Project Site A"/>
    <x v="1"/>
    <x v="1"/>
  </r>
  <r>
    <s v="TRX080"/>
    <d v="2025-07-17T00:00:00"/>
    <s v="ITM019"/>
    <x v="15"/>
    <n v="3"/>
    <n v="1060000"/>
    <n v="3180000"/>
    <x v="1"/>
    <s v="Proyek Maintenance"/>
    <x v="2"/>
    <x v="2"/>
  </r>
  <r>
    <s v="TRX081"/>
    <d v="2025-08-10T00:00:00"/>
    <s v="ITM012"/>
    <x v="17"/>
    <n v="4"/>
    <n v="203500"/>
    <n v="814000"/>
    <x v="0"/>
    <s v="Retur Barang"/>
    <x v="0"/>
    <x v="0"/>
  </r>
  <r>
    <s v="TRX082"/>
    <d v="2025-09-20T00:00:00"/>
    <s v="ITM002"/>
    <x v="7"/>
    <n v="10"/>
    <n v="20000"/>
    <n v="200000"/>
    <x v="0"/>
    <s v="Project Site C"/>
    <x v="1"/>
    <x v="1"/>
  </r>
  <r>
    <s v="TRX083"/>
    <d v="2025-07-01T00:00:00"/>
    <s v="ITM011"/>
    <x v="14"/>
    <n v="18"/>
    <n v="237000"/>
    <n v="4266000"/>
    <x v="1"/>
    <s v="Retur Barang"/>
    <x v="2"/>
    <x v="2"/>
  </r>
  <r>
    <s v="TRX084"/>
    <d v="2025-08-19T00:00:00"/>
    <s v="ITM020"/>
    <x v="16"/>
    <n v="1"/>
    <n v="2296000"/>
    <n v="2296000"/>
    <x v="1"/>
    <s v="PO #001"/>
    <x v="0"/>
    <x v="0"/>
  </r>
  <r>
    <s v="TRX085"/>
    <d v="2025-07-02T00:00:00"/>
    <s v="ITM020"/>
    <x v="16"/>
    <n v="4"/>
    <n v="2296000"/>
    <n v="9184000"/>
    <x v="0"/>
    <s v="PO #002"/>
    <x v="2"/>
    <x v="2"/>
  </r>
  <r>
    <s v="TRX086"/>
    <d v="2025-07-13T00:00:00"/>
    <s v="ITM001"/>
    <x v="11"/>
    <n v="18"/>
    <n v="13500"/>
    <n v="243000"/>
    <x v="0"/>
    <s v="Project Site A"/>
    <x v="2"/>
    <x v="2"/>
  </r>
  <r>
    <s v="TRX087"/>
    <d v="2025-07-18T00:00:00"/>
    <s v="ITM013"/>
    <x v="13"/>
    <n v="10"/>
    <n v="135500"/>
    <n v="1355000"/>
    <x v="1"/>
    <s v="PO #001"/>
    <x v="2"/>
    <x v="2"/>
  </r>
  <r>
    <s v="TRX088"/>
    <d v="2025-07-07T00:00:00"/>
    <s v="ITM011"/>
    <x v="14"/>
    <n v="5"/>
    <n v="237000"/>
    <n v="1185000"/>
    <x v="1"/>
    <s v="PO #003"/>
    <x v="2"/>
    <x v="2"/>
  </r>
  <r>
    <s v="TRX089"/>
    <d v="2025-08-20T00:00:00"/>
    <s v="ITM006"/>
    <x v="2"/>
    <n v="1"/>
    <n v="128000"/>
    <n v="128000"/>
    <x v="0"/>
    <s v="Restock"/>
    <x v="0"/>
    <x v="0"/>
  </r>
  <r>
    <s v="TRX090"/>
    <d v="2025-09-02T00:00:00"/>
    <s v="ITM012"/>
    <x v="17"/>
    <n v="1"/>
    <n v="203500"/>
    <n v="203500"/>
    <x v="1"/>
    <s v="Project Site A"/>
    <x v="1"/>
    <x v="1"/>
  </r>
  <r>
    <s v="TRX091"/>
    <d v="2025-07-04T00:00:00"/>
    <s v="ITM016"/>
    <x v="6"/>
    <n v="15"/>
    <n v="3134000"/>
    <n v="47010000"/>
    <x v="1"/>
    <s v="Restock"/>
    <x v="2"/>
    <x v="2"/>
  </r>
  <r>
    <s v="TRX092"/>
    <d v="2025-09-07T00:00:00"/>
    <s v="ITM018"/>
    <x v="4"/>
    <n v="13"/>
    <n v="4490000"/>
    <n v="58370000"/>
    <x v="1"/>
    <s v="Proyek Maintenance"/>
    <x v="1"/>
    <x v="1"/>
  </r>
  <r>
    <s v="TRX093"/>
    <d v="2025-08-29T00:00:00"/>
    <s v="ITM001"/>
    <x v="11"/>
    <n v="10"/>
    <n v="13500"/>
    <n v="135000"/>
    <x v="0"/>
    <s v="Restock"/>
    <x v="0"/>
    <x v="0"/>
  </r>
  <r>
    <s v="TRX094"/>
    <d v="2025-07-03T00:00:00"/>
    <s v="ITM019"/>
    <x v="15"/>
    <n v="15"/>
    <n v="1060000"/>
    <n v="15900000"/>
    <x v="0"/>
    <s v="Project Site B"/>
    <x v="2"/>
    <x v="2"/>
  </r>
  <r>
    <s v="TRX095"/>
    <d v="2025-07-23T00:00:00"/>
    <s v="ITM002"/>
    <x v="7"/>
    <n v="11"/>
    <n v="20000"/>
    <n v="220000"/>
    <x v="0"/>
    <s v="Internal Use"/>
    <x v="2"/>
    <x v="2"/>
  </r>
  <r>
    <s v="TRX096"/>
    <d v="2025-08-12T00:00:00"/>
    <s v="ITM008"/>
    <x v="19"/>
    <n v="16"/>
    <n v="420000"/>
    <n v="6720000"/>
    <x v="1"/>
    <s v="Retur Barang"/>
    <x v="0"/>
    <x v="0"/>
  </r>
  <r>
    <s v="TRX097"/>
    <d v="2025-09-13T00:00:00"/>
    <s v="ITM012"/>
    <x v="17"/>
    <n v="4"/>
    <n v="203500"/>
    <n v="814000"/>
    <x v="1"/>
    <s v="PO #003"/>
    <x v="1"/>
    <x v="1"/>
  </r>
  <r>
    <s v="TRX098"/>
    <d v="2025-09-30T00:00:00"/>
    <s v="ITM019"/>
    <x v="15"/>
    <n v="10"/>
    <n v="1060000"/>
    <n v="10600000"/>
    <x v="1"/>
    <s v="Project Site B"/>
    <x v="1"/>
    <x v="1"/>
  </r>
  <r>
    <s v="TRX099"/>
    <d v="2025-09-30T00:00:00"/>
    <s v="ITM015"/>
    <x v="0"/>
    <n v="12"/>
    <n v="465000"/>
    <n v="5580000"/>
    <x v="1"/>
    <s v="Project Site B"/>
    <x v="1"/>
    <x v="1"/>
  </r>
  <r>
    <s v="TRX100"/>
    <d v="2025-07-06T00:00:00"/>
    <s v="ITM006"/>
    <x v="2"/>
    <n v="1"/>
    <n v="128000"/>
    <n v="128000"/>
    <x v="1"/>
    <s v="PO #001"/>
    <x v="2"/>
    <x v="2"/>
  </r>
  <r>
    <s v="TRX101"/>
    <d v="2025-09-04T00:00:00"/>
    <s v="ITM007"/>
    <x v="1"/>
    <n v="7"/>
    <n v="335500"/>
    <n v="2348500"/>
    <x v="1"/>
    <s v="PO #001"/>
    <x v="1"/>
    <x v="1"/>
  </r>
  <r>
    <s v="TRX102"/>
    <d v="2025-08-30T00:00:00"/>
    <s v="ITM013"/>
    <x v="13"/>
    <n v="10"/>
    <n v="135500"/>
    <n v="1355000"/>
    <x v="1"/>
    <s v="PO #003"/>
    <x v="0"/>
    <x v="0"/>
  </r>
  <r>
    <s v="TRX103"/>
    <d v="2025-08-21T00:00:00"/>
    <s v="ITM020"/>
    <x v="16"/>
    <n v="10"/>
    <n v="2296000"/>
    <n v="22960000"/>
    <x v="1"/>
    <s v="Project Site B"/>
    <x v="0"/>
    <x v="0"/>
  </r>
  <r>
    <s v="TRX104"/>
    <d v="2025-07-08T00:00:00"/>
    <s v="ITM002"/>
    <x v="7"/>
    <n v="17"/>
    <n v="20000"/>
    <n v="340000"/>
    <x v="1"/>
    <s v="Project Site B"/>
    <x v="2"/>
    <x v="2"/>
  </r>
  <r>
    <s v="TRX105"/>
    <d v="2025-08-31T00:00:00"/>
    <s v="ITM009"/>
    <x v="12"/>
    <n v="20"/>
    <n v="260000"/>
    <n v="5200000"/>
    <x v="1"/>
    <s v="PO #003"/>
    <x v="0"/>
    <x v="0"/>
  </r>
  <r>
    <s v="TRX106"/>
    <d v="2025-09-25T00:00:00"/>
    <s v="ITM005"/>
    <x v="10"/>
    <n v="16"/>
    <n v="50000"/>
    <n v="800000"/>
    <x v="0"/>
    <s v="Restock"/>
    <x v="1"/>
    <x v="1"/>
  </r>
  <r>
    <s v="TRX107"/>
    <d v="2025-08-10T00:00:00"/>
    <s v="ITM014"/>
    <x v="5"/>
    <n v="1"/>
    <n v="431000"/>
    <n v="431000"/>
    <x v="1"/>
    <s v="Retur Barang"/>
    <x v="0"/>
    <x v="0"/>
  </r>
  <r>
    <s v="TRX108"/>
    <d v="2025-09-22T00:00:00"/>
    <s v="ITM013"/>
    <x v="13"/>
    <n v="7"/>
    <n v="135500"/>
    <n v="948500"/>
    <x v="1"/>
    <s v="Project Site B"/>
    <x v="1"/>
    <x v="1"/>
  </r>
  <r>
    <s v="TRX109"/>
    <d v="2025-08-15T00:00:00"/>
    <s v="ITM011"/>
    <x v="14"/>
    <n v="8"/>
    <n v="237000"/>
    <n v="1896000"/>
    <x v="1"/>
    <s v="Internal Use"/>
    <x v="0"/>
    <x v="0"/>
  </r>
  <r>
    <s v="TRX110"/>
    <d v="2025-08-22T00:00:00"/>
    <s v="ITM012"/>
    <x v="17"/>
    <n v="19"/>
    <n v="203500"/>
    <n v="3866500"/>
    <x v="1"/>
    <s v="PO #001"/>
    <x v="0"/>
    <x v="0"/>
  </r>
  <r>
    <s v="TRX111"/>
    <d v="2025-07-09T00:00:00"/>
    <s v="ITM007"/>
    <x v="1"/>
    <n v="20"/>
    <n v="335500"/>
    <n v="6710000"/>
    <x v="0"/>
    <s v="Internal Use"/>
    <x v="2"/>
    <x v="2"/>
  </r>
  <r>
    <s v="TRX112"/>
    <d v="2025-07-23T00:00:00"/>
    <s v="ITM010"/>
    <x v="3"/>
    <n v="5"/>
    <n v="245000"/>
    <n v="1225000"/>
    <x v="1"/>
    <s v="PO #002"/>
    <x v="2"/>
    <x v="2"/>
  </r>
  <r>
    <s v="TRX113"/>
    <d v="2025-08-05T00:00:00"/>
    <s v="ITM004"/>
    <x v="18"/>
    <n v="9"/>
    <n v="31000"/>
    <n v="279000"/>
    <x v="0"/>
    <s v="Restock"/>
    <x v="0"/>
    <x v="0"/>
  </r>
  <r>
    <s v="TRX114"/>
    <d v="2025-09-30T00:00:00"/>
    <s v="ITM013"/>
    <x v="13"/>
    <n v="14"/>
    <n v="135500"/>
    <n v="1897000"/>
    <x v="0"/>
    <s v="PO #001"/>
    <x v="1"/>
    <x v="1"/>
  </r>
  <r>
    <s v="TRX115"/>
    <d v="2025-09-25T00:00:00"/>
    <s v="ITM005"/>
    <x v="10"/>
    <n v="1"/>
    <n v="50000"/>
    <n v="50000"/>
    <x v="0"/>
    <s v="Retur Barang"/>
    <x v="1"/>
    <x v="1"/>
  </r>
  <r>
    <s v="TRX116"/>
    <d v="2025-09-04T00:00:00"/>
    <s v="ITM009"/>
    <x v="12"/>
    <n v="6"/>
    <n v="260000"/>
    <n v="1560000"/>
    <x v="1"/>
    <s v="PO #001"/>
    <x v="1"/>
    <x v="1"/>
  </r>
  <r>
    <s v="TRX117"/>
    <d v="2025-09-22T00:00:00"/>
    <s v="ITM018"/>
    <x v="4"/>
    <n v="12"/>
    <n v="4490000"/>
    <n v="53880000"/>
    <x v="1"/>
    <s v="Proyek Maintenance"/>
    <x v="1"/>
    <x v="1"/>
  </r>
  <r>
    <s v="TRX118"/>
    <d v="2025-07-11T00:00:00"/>
    <s v="ITM020"/>
    <x v="16"/>
    <n v="19"/>
    <n v="2296000"/>
    <n v="43624000"/>
    <x v="1"/>
    <s v="Retur Barang"/>
    <x v="2"/>
    <x v="2"/>
  </r>
  <r>
    <s v="TRX119"/>
    <d v="2025-09-15T00:00:00"/>
    <s v="ITM003"/>
    <x v="9"/>
    <n v="4"/>
    <n v="11500"/>
    <n v="46000"/>
    <x v="0"/>
    <s v="PO #002"/>
    <x v="1"/>
    <x v="1"/>
  </r>
  <r>
    <s v="TRX120"/>
    <d v="2025-08-15T00:00:00"/>
    <s v="ITM004"/>
    <x v="18"/>
    <n v="10"/>
    <n v="31000"/>
    <n v="310000"/>
    <x v="1"/>
    <s v="Retur Barang"/>
    <x v="0"/>
    <x v="0"/>
  </r>
  <r>
    <s v="TRX121"/>
    <d v="2025-07-12T00:00:00"/>
    <s v="ITM005"/>
    <x v="10"/>
    <n v="9"/>
    <n v="50000"/>
    <n v="450000"/>
    <x v="1"/>
    <s v="PO #003"/>
    <x v="2"/>
    <x v="2"/>
  </r>
  <r>
    <s v="TRX122"/>
    <d v="2025-07-03T00:00:00"/>
    <s v="ITM018"/>
    <x v="4"/>
    <n v="12"/>
    <n v="4490000"/>
    <n v="53880000"/>
    <x v="0"/>
    <s v="Project Site C"/>
    <x v="2"/>
    <x v="2"/>
  </r>
  <r>
    <s v="TRX123"/>
    <d v="2025-09-20T00:00:00"/>
    <s v="ITM004"/>
    <x v="18"/>
    <n v="15"/>
    <n v="31000"/>
    <n v="465000"/>
    <x v="1"/>
    <s v="Internal Use"/>
    <x v="1"/>
    <x v="1"/>
  </r>
  <r>
    <s v="TRX124"/>
    <d v="2025-09-13T00:00:00"/>
    <s v="ITM019"/>
    <x v="15"/>
    <n v="17"/>
    <n v="1060000"/>
    <n v="18020000"/>
    <x v="1"/>
    <s v="Project Site C"/>
    <x v="1"/>
    <x v="1"/>
  </r>
  <r>
    <s v="TRX125"/>
    <d v="2025-09-24T00:00:00"/>
    <s v="ITM013"/>
    <x v="13"/>
    <n v="13"/>
    <n v="135500"/>
    <n v="1761500"/>
    <x v="1"/>
    <s v="Internal Use"/>
    <x v="1"/>
    <x v="1"/>
  </r>
  <r>
    <s v="TRX126"/>
    <d v="2025-07-06T00:00:00"/>
    <s v="ITM002"/>
    <x v="7"/>
    <n v="14"/>
    <n v="20000"/>
    <n v="280000"/>
    <x v="1"/>
    <s v="Project Site A"/>
    <x v="2"/>
    <x v="2"/>
  </r>
  <r>
    <s v="TRX127"/>
    <d v="2025-07-18T00:00:00"/>
    <s v="ITM001"/>
    <x v="11"/>
    <n v="8"/>
    <n v="13500"/>
    <n v="108000"/>
    <x v="0"/>
    <s v="PO #002"/>
    <x v="2"/>
    <x v="2"/>
  </r>
  <r>
    <s v="TRX128"/>
    <d v="2025-07-21T00:00:00"/>
    <s v="ITM005"/>
    <x v="10"/>
    <n v="8"/>
    <n v="50000"/>
    <n v="400000"/>
    <x v="1"/>
    <s v="Restock"/>
    <x v="2"/>
    <x v="2"/>
  </r>
  <r>
    <s v="TRX129"/>
    <d v="2025-08-02T00:00:00"/>
    <s v="ITM015"/>
    <x v="0"/>
    <n v="20"/>
    <n v="465000"/>
    <n v="9300000"/>
    <x v="0"/>
    <s v="Project Site A"/>
    <x v="0"/>
    <x v="0"/>
  </r>
  <r>
    <s v="TRX130"/>
    <d v="2025-07-01T00:00:00"/>
    <s v="ITM017"/>
    <x v="8"/>
    <n v="2"/>
    <n v="3200000"/>
    <n v="6400000"/>
    <x v="0"/>
    <s v="Restock"/>
    <x v="2"/>
    <x v="2"/>
  </r>
  <r>
    <s v="TRX131"/>
    <d v="2025-08-13T00:00:00"/>
    <s v="ITM007"/>
    <x v="1"/>
    <n v="16"/>
    <n v="335500"/>
    <n v="5368000"/>
    <x v="1"/>
    <s v="PO #001"/>
    <x v="0"/>
    <x v="0"/>
  </r>
  <r>
    <s v="TRX132"/>
    <d v="2025-08-07T00:00:00"/>
    <s v="ITM013"/>
    <x v="13"/>
    <n v="3"/>
    <n v="135500"/>
    <n v="406500"/>
    <x v="0"/>
    <s v="PO #001"/>
    <x v="0"/>
    <x v="0"/>
  </r>
  <r>
    <s v="TRX133"/>
    <d v="2025-09-01T00:00:00"/>
    <s v="ITM011"/>
    <x v="14"/>
    <n v="8"/>
    <n v="237000"/>
    <n v="1896000"/>
    <x v="0"/>
    <s v="Proyek Maintenance"/>
    <x v="1"/>
    <x v="1"/>
  </r>
  <r>
    <s v="TRX134"/>
    <d v="2025-08-04T00:00:00"/>
    <s v="ITM018"/>
    <x v="4"/>
    <n v="8"/>
    <n v="4490000"/>
    <n v="35920000"/>
    <x v="1"/>
    <s v="PO #002"/>
    <x v="0"/>
    <x v="0"/>
  </r>
  <r>
    <s v="TRX135"/>
    <d v="2025-08-11T00:00:00"/>
    <s v="ITM020"/>
    <x v="16"/>
    <n v="4"/>
    <n v="2296000"/>
    <n v="9184000"/>
    <x v="0"/>
    <s v="Project Site C"/>
    <x v="0"/>
    <x v="0"/>
  </r>
  <r>
    <s v="TRX136"/>
    <d v="2025-07-18T00:00:00"/>
    <s v="ITM004"/>
    <x v="18"/>
    <n v="10"/>
    <n v="31000"/>
    <n v="310000"/>
    <x v="0"/>
    <s v="Proyek Maintenance"/>
    <x v="2"/>
    <x v="2"/>
  </r>
  <r>
    <s v="TRX137"/>
    <d v="2025-07-12T00:00:00"/>
    <s v="ITM002"/>
    <x v="7"/>
    <n v="5"/>
    <n v="20000"/>
    <n v="100000"/>
    <x v="1"/>
    <s v="Restock"/>
    <x v="2"/>
    <x v="2"/>
  </r>
  <r>
    <s v="TRX138"/>
    <d v="2025-09-13T00:00:00"/>
    <s v="ITM014"/>
    <x v="5"/>
    <n v="2"/>
    <n v="431000"/>
    <n v="862000"/>
    <x v="1"/>
    <s v="PO #002"/>
    <x v="1"/>
    <x v="1"/>
  </r>
  <r>
    <s v="TRX139"/>
    <d v="2025-09-19T00:00:00"/>
    <s v="ITM016"/>
    <x v="6"/>
    <n v="7"/>
    <n v="3134000"/>
    <n v="21938000"/>
    <x v="0"/>
    <s v="Restock"/>
    <x v="1"/>
    <x v="1"/>
  </r>
  <r>
    <s v="TRX140"/>
    <d v="2025-09-19T00:00:00"/>
    <s v="ITM013"/>
    <x v="13"/>
    <n v="18"/>
    <n v="135500"/>
    <n v="2439000"/>
    <x v="1"/>
    <s v="Project Site C"/>
    <x v="1"/>
    <x v="1"/>
  </r>
  <r>
    <s v="TRX141"/>
    <d v="2025-09-19T00:00:00"/>
    <s v="ITM014"/>
    <x v="5"/>
    <n v="13"/>
    <n v="431000"/>
    <n v="5603000"/>
    <x v="1"/>
    <s v="Proyek Maintenance"/>
    <x v="1"/>
    <x v="1"/>
  </r>
  <r>
    <s v="TRX142"/>
    <d v="2025-08-08T00:00:00"/>
    <s v="ITM020"/>
    <x v="16"/>
    <n v="7"/>
    <n v="2296000"/>
    <n v="16072000"/>
    <x v="0"/>
    <s v="Internal Use"/>
    <x v="0"/>
    <x v="0"/>
  </r>
  <r>
    <s v="TRX143"/>
    <d v="2025-09-05T00:00:00"/>
    <s v="ITM020"/>
    <x v="16"/>
    <n v="9"/>
    <n v="2296000"/>
    <n v="20664000"/>
    <x v="0"/>
    <s v="Internal Use"/>
    <x v="1"/>
    <x v="1"/>
  </r>
  <r>
    <s v="TRX144"/>
    <d v="2025-08-23T00:00:00"/>
    <s v="ITM012"/>
    <x v="17"/>
    <n v="20"/>
    <n v="203500"/>
    <n v="4070000"/>
    <x v="1"/>
    <s v="Proyek Maintenance"/>
    <x v="0"/>
    <x v="0"/>
  </r>
  <r>
    <s v="TRX145"/>
    <d v="2025-09-23T00:00:00"/>
    <s v="ITM002"/>
    <x v="7"/>
    <n v="1"/>
    <n v="20000"/>
    <n v="20000"/>
    <x v="1"/>
    <s v="PO #002"/>
    <x v="1"/>
    <x v="1"/>
  </r>
  <r>
    <s v="TRX146"/>
    <d v="2025-09-09T00:00:00"/>
    <s v="ITM003"/>
    <x v="9"/>
    <n v="20"/>
    <n v="11500"/>
    <n v="230000"/>
    <x v="1"/>
    <s v="PO #001"/>
    <x v="1"/>
    <x v="1"/>
  </r>
  <r>
    <s v="TRX147"/>
    <d v="2025-09-09T00:00:00"/>
    <s v="ITM002"/>
    <x v="7"/>
    <n v="18"/>
    <n v="20000"/>
    <n v="360000"/>
    <x v="0"/>
    <s v="Restock"/>
    <x v="1"/>
    <x v="1"/>
  </r>
  <r>
    <s v="TRX148"/>
    <d v="2025-07-02T00:00:00"/>
    <s v="ITM005"/>
    <x v="10"/>
    <n v="5"/>
    <n v="50000"/>
    <n v="250000"/>
    <x v="0"/>
    <s v="Project Site C"/>
    <x v="2"/>
    <x v="2"/>
  </r>
  <r>
    <s v="TRX149"/>
    <d v="2025-08-13T00:00:00"/>
    <s v="ITM020"/>
    <x v="16"/>
    <n v="8"/>
    <n v="2296000"/>
    <n v="18368000"/>
    <x v="0"/>
    <s v="PO #002"/>
    <x v="0"/>
    <x v="0"/>
  </r>
  <r>
    <s v="TRX150"/>
    <d v="2025-07-27T00:00:00"/>
    <s v="ITM004"/>
    <x v="18"/>
    <n v="1"/>
    <n v="31000"/>
    <n v="31000"/>
    <x v="0"/>
    <s v="Retur Barang"/>
    <x v="2"/>
    <x v="2"/>
  </r>
  <r>
    <s v="TRX151"/>
    <d v="2025-09-26T00:00:00"/>
    <s v="ITM010"/>
    <x v="3"/>
    <n v="4"/>
    <n v="245000"/>
    <n v="980000"/>
    <x v="1"/>
    <s v="Internal Use"/>
    <x v="1"/>
    <x v="1"/>
  </r>
  <r>
    <s v="TRX152"/>
    <d v="2025-09-14T00:00:00"/>
    <s v="ITM020"/>
    <x v="16"/>
    <n v="5"/>
    <n v="2296000"/>
    <n v="11480000"/>
    <x v="1"/>
    <s v="PO #003"/>
    <x v="1"/>
    <x v="1"/>
  </r>
  <r>
    <s v="TRX153"/>
    <d v="2025-09-02T00:00:00"/>
    <s v="ITM018"/>
    <x v="4"/>
    <n v="7"/>
    <n v="4490000"/>
    <n v="31430000"/>
    <x v="1"/>
    <s v="Project Site A"/>
    <x v="1"/>
    <x v="1"/>
  </r>
  <r>
    <s v="TRX154"/>
    <d v="2025-09-20T00:00:00"/>
    <s v="ITM005"/>
    <x v="10"/>
    <n v="3"/>
    <n v="50000"/>
    <n v="150000"/>
    <x v="0"/>
    <s v="Project Site B"/>
    <x v="1"/>
    <x v="1"/>
  </r>
  <r>
    <s v="TRX155"/>
    <d v="2025-09-01T00:00:00"/>
    <s v="ITM016"/>
    <x v="6"/>
    <n v="5"/>
    <n v="3134000"/>
    <n v="15670000"/>
    <x v="0"/>
    <s v="Project Site A"/>
    <x v="1"/>
    <x v="1"/>
  </r>
  <r>
    <s v="TRX156"/>
    <d v="2025-07-02T00:00:00"/>
    <s v="ITM007"/>
    <x v="1"/>
    <n v="5"/>
    <n v="335500"/>
    <n v="1677500"/>
    <x v="1"/>
    <s v="PO #002"/>
    <x v="2"/>
    <x v="2"/>
  </r>
  <r>
    <s v="TRX157"/>
    <d v="2025-07-18T00:00:00"/>
    <s v="ITM002"/>
    <x v="7"/>
    <n v="12"/>
    <n v="20000"/>
    <n v="240000"/>
    <x v="0"/>
    <s v="PO #003"/>
    <x v="2"/>
    <x v="2"/>
  </r>
  <r>
    <s v="TRX158"/>
    <d v="2025-09-23T00:00:00"/>
    <s v="ITM005"/>
    <x v="10"/>
    <n v="1"/>
    <n v="50000"/>
    <n v="50000"/>
    <x v="0"/>
    <s v="Project Site B"/>
    <x v="1"/>
    <x v="1"/>
  </r>
  <r>
    <s v="TRX159"/>
    <d v="2025-07-11T00:00:00"/>
    <s v="ITM004"/>
    <x v="18"/>
    <n v="20"/>
    <n v="31000"/>
    <n v="620000"/>
    <x v="1"/>
    <s v="PO #001"/>
    <x v="2"/>
    <x v="2"/>
  </r>
  <r>
    <s v="TRX160"/>
    <d v="2025-09-12T00:00:00"/>
    <s v="ITM016"/>
    <x v="6"/>
    <n v="9"/>
    <n v="3134000"/>
    <n v="28206000"/>
    <x v="0"/>
    <s v="Project Site B"/>
    <x v="1"/>
    <x v="1"/>
  </r>
  <r>
    <s v="TRX161"/>
    <d v="2025-08-14T00:00:00"/>
    <s v="ITM017"/>
    <x v="8"/>
    <n v="9"/>
    <n v="3200000"/>
    <n v="28800000"/>
    <x v="0"/>
    <s v="Project Site A"/>
    <x v="0"/>
    <x v="0"/>
  </r>
  <r>
    <s v="TRX162"/>
    <d v="2025-07-02T00:00:00"/>
    <s v="ITM017"/>
    <x v="8"/>
    <n v="7"/>
    <n v="3200000"/>
    <n v="22400000"/>
    <x v="1"/>
    <s v="Proyek Maintenance"/>
    <x v="2"/>
    <x v="2"/>
  </r>
  <r>
    <s v="TRX163"/>
    <d v="2025-08-19T00:00:00"/>
    <s v="ITM011"/>
    <x v="14"/>
    <n v="10"/>
    <n v="237000"/>
    <n v="2370000"/>
    <x v="1"/>
    <s v="Project Site C"/>
    <x v="0"/>
    <x v="0"/>
  </r>
  <r>
    <s v="TRX164"/>
    <d v="2025-07-08T00:00:00"/>
    <s v="ITM004"/>
    <x v="18"/>
    <n v="12"/>
    <n v="31000"/>
    <n v="372000"/>
    <x v="0"/>
    <s v="Restock"/>
    <x v="2"/>
    <x v="2"/>
  </r>
  <r>
    <s v="TRX165"/>
    <d v="2025-09-17T00:00:00"/>
    <s v="ITM019"/>
    <x v="15"/>
    <n v="12"/>
    <n v="1060000"/>
    <n v="12720000"/>
    <x v="1"/>
    <s v="Project Site B"/>
    <x v="1"/>
    <x v="1"/>
  </r>
  <r>
    <s v="TRX166"/>
    <d v="2025-09-02T00:00:00"/>
    <s v="ITM014"/>
    <x v="5"/>
    <n v="2"/>
    <n v="431000"/>
    <n v="862000"/>
    <x v="0"/>
    <s v="PO #001"/>
    <x v="1"/>
    <x v="1"/>
  </r>
  <r>
    <s v="TRX167"/>
    <d v="2025-08-23T00:00:00"/>
    <s v="ITM015"/>
    <x v="0"/>
    <n v="18"/>
    <n v="465000"/>
    <n v="8370000"/>
    <x v="0"/>
    <s v="Project Site C"/>
    <x v="0"/>
    <x v="0"/>
  </r>
  <r>
    <s v="TRX168"/>
    <d v="2025-07-24T00:00:00"/>
    <s v="ITM001"/>
    <x v="11"/>
    <n v="15"/>
    <n v="13500"/>
    <n v="202500"/>
    <x v="1"/>
    <s v="PO #001"/>
    <x v="2"/>
    <x v="2"/>
  </r>
  <r>
    <s v="TRX169"/>
    <d v="2025-07-16T00:00:00"/>
    <s v="ITM015"/>
    <x v="0"/>
    <n v="20"/>
    <n v="465000"/>
    <n v="9300000"/>
    <x v="1"/>
    <s v="Retur Barang"/>
    <x v="2"/>
    <x v="2"/>
  </r>
  <r>
    <s v="TRX170"/>
    <d v="2025-07-14T00:00:00"/>
    <s v="ITM007"/>
    <x v="1"/>
    <n v="10"/>
    <n v="335500"/>
    <n v="3355000"/>
    <x v="1"/>
    <s v="Proyek Maintenance"/>
    <x v="2"/>
    <x v="2"/>
  </r>
  <r>
    <s v="TRX171"/>
    <d v="2025-07-10T00:00:00"/>
    <s v="ITM001"/>
    <x v="11"/>
    <n v="15"/>
    <n v="13500"/>
    <n v="202500"/>
    <x v="0"/>
    <s v="PO #003"/>
    <x v="2"/>
    <x v="2"/>
  </r>
  <r>
    <s v="TRX172"/>
    <d v="2025-08-21T00:00:00"/>
    <s v="ITM009"/>
    <x v="12"/>
    <n v="10"/>
    <n v="260000"/>
    <n v="2600000"/>
    <x v="1"/>
    <s v="Restock"/>
    <x v="0"/>
    <x v="0"/>
  </r>
  <r>
    <s v="TRX173"/>
    <d v="2025-08-11T00:00:00"/>
    <s v="ITM012"/>
    <x v="17"/>
    <n v="1"/>
    <n v="203500"/>
    <n v="203500"/>
    <x v="1"/>
    <s v="PO #001"/>
    <x v="0"/>
    <x v="0"/>
  </r>
  <r>
    <s v="TRX174"/>
    <d v="2025-09-03T00:00:00"/>
    <s v="ITM010"/>
    <x v="3"/>
    <n v="14"/>
    <n v="245000"/>
    <n v="3430000"/>
    <x v="1"/>
    <s v="Proyek Maintenance"/>
    <x v="1"/>
    <x v="1"/>
  </r>
  <r>
    <s v="TRX175"/>
    <d v="2025-09-16T00:00:00"/>
    <s v="ITM015"/>
    <x v="0"/>
    <n v="18"/>
    <n v="465000"/>
    <n v="8370000"/>
    <x v="0"/>
    <s v="Project Site C"/>
    <x v="1"/>
    <x v="1"/>
  </r>
  <r>
    <s v="TRX176"/>
    <d v="2025-07-29T00:00:00"/>
    <s v="ITM020"/>
    <x v="16"/>
    <n v="18"/>
    <n v="2296000"/>
    <n v="41328000"/>
    <x v="1"/>
    <s v="PO #003"/>
    <x v="2"/>
    <x v="2"/>
  </r>
  <r>
    <s v="TRX177"/>
    <d v="2025-08-10T00:00:00"/>
    <s v="ITM017"/>
    <x v="8"/>
    <n v="7"/>
    <n v="3200000"/>
    <n v="22400000"/>
    <x v="1"/>
    <s v="Project Site B"/>
    <x v="0"/>
    <x v="0"/>
  </r>
  <r>
    <s v="TRX178"/>
    <d v="2025-08-15T00:00:00"/>
    <s v="ITM004"/>
    <x v="18"/>
    <n v="18"/>
    <n v="31000"/>
    <n v="558000"/>
    <x v="1"/>
    <s v="PO #001"/>
    <x v="0"/>
    <x v="0"/>
  </r>
  <r>
    <s v="TRX179"/>
    <d v="2025-08-02T00:00:00"/>
    <s v="ITM006"/>
    <x v="2"/>
    <n v="4"/>
    <n v="128000"/>
    <n v="512000"/>
    <x v="0"/>
    <s v="Retur Barang"/>
    <x v="0"/>
    <x v="0"/>
  </r>
  <r>
    <s v="TRX180"/>
    <d v="2025-07-26T00:00:00"/>
    <s v="ITM018"/>
    <x v="4"/>
    <n v="8"/>
    <n v="4490000"/>
    <n v="35920000"/>
    <x v="1"/>
    <s v="PO #003"/>
    <x v="2"/>
    <x v="2"/>
  </r>
  <r>
    <s v="TRX181"/>
    <d v="2025-07-26T00:00:00"/>
    <s v="ITM016"/>
    <x v="6"/>
    <n v="5"/>
    <n v="3134000"/>
    <n v="15670000"/>
    <x v="1"/>
    <s v="PO #003"/>
    <x v="2"/>
    <x v="2"/>
  </r>
  <r>
    <s v="TRX182"/>
    <d v="2025-07-10T00:00:00"/>
    <s v="ITM014"/>
    <x v="5"/>
    <n v="12"/>
    <n v="431000"/>
    <n v="5172000"/>
    <x v="0"/>
    <s v="Project Site B"/>
    <x v="2"/>
    <x v="2"/>
  </r>
  <r>
    <s v="TRX183"/>
    <d v="2025-07-31T00:00:00"/>
    <s v="ITM016"/>
    <x v="6"/>
    <n v="5"/>
    <n v="3134000"/>
    <n v="15670000"/>
    <x v="0"/>
    <s v="Restock"/>
    <x v="2"/>
    <x v="2"/>
  </r>
  <r>
    <s v="TRX184"/>
    <d v="2025-09-01T00:00:00"/>
    <s v="ITM006"/>
    <x v="2"/>
    <n v="10"/>
    <n v="128000"/>
    <n v="1280000"/>
    <x v="1"/>
    <s v="Proyek Maintenance"/>
    <x v="1"/>
    <x v="1"/>
  </r>
  <r>
    <s v="TRX185"/>
    <d v="2025-08-22T00:00:00"/>
    <s v="ITM019"/>
    <x v="15"/>
    <n v="1"/>
    <n v="1060000"/>
    <n v="1060000"/>
    <x v="1"/>
    <s v="Project Site C"/>
    <x v="0"/>
    <x v="0"/>
  </r>
  <r>
    <s v="TRX186"/>
    <d v="2025-09-15T00:00:00"/>
    <s v="ITM001"/>
    <x v="11"/>
    <n v="19"/>
    <n v="13500"/>
    <n v="256500"/>
    <x v="1"/>
    <s v="Project Site C"/>
    <x v="1"/>
    <x v="1"/>
  </r>
  <r>
    <s v="TRX187"/>
    <d v="2025-07-11T00:00:00"/>
    <s v="ITM020"/>
    <x v="16"/>
    <n v="1"/>
    <n v="2296000"/>
    <n v="2296000"/>
    <x v="1"/>
    <s v="Proyek Maintenance"/>
    <x v="2"/>
    <x v="2"/>
  </r>
  <r>
    <s v="TRX188"/>
    <d v="2025-07-02T00:00:00"/>
    <s v="ITM010"/>
    <x v="3"/>
    <n v="3"/>
    <n v="245000"/>
    <n v="735000"/>
    <x v="1"/>
    <s v="Project Site A"/>
    <x v="2"/>
    <x v="2"/>
  </r>
  <r>
    <s v="TRX189"/>
    <d v="2025-07-29T00:00:00"/>
    <s v="ITM010"/>
    <x v="3"/>
    <n v="8"/>
    <n v="245000"/>
    <n v="1960000"/>
    <x v="1"/>
    <s v="Restock"/>
    <x v="2"/>
    <x v="2"/>
  </r>
  <r>
    <s v="TRX190"/>
    <d v="2025-07-11T00:00:00"/>
    <s v="ITM006"/>
    <x v="2"/>
    <n v="9"/>
    <n v="128000"/>
    <n v="1152000"/>
    <x v="1"/>
    <s v="Internal Use"/>
    <x v="2"/>
    <x v="2"/>
  </r>
  <r>
    <s v="TRX191"/>
    <d v="2025-08-30T00:00:00"/>
    <s v="ITM015"/>
    <x v="0"/>
    <n v="18"/>
    <n v="465000"/>
    <n v="8370000"/>
    <x v="0"/>
    <s v="PO #002"/>
    <x v="0"/>
    <x v="0"/>
  </r>
  <r>
    <s v="TRX192"/>
    <d v="2025-07-09T00:00:00"/>
    <s v="ITM018"/>
    <x v="4"/>
    <n v="1"/>
    <n v="4490000"/>
    <n v="4490000"/>
    <x v="1"/>
    <s v="PO #003"/>
    <x v="2"/>
    <x v="2"/>
  </r>
  <r>
    <s v="TRX193"/>
    <d v="2025-08-06T00:00:00"/>
    <s v="ITM007"/>
    <x v="1"/>
    <n v="6"/>
    <n v="335500"/>
    <n v="2013000"/>
    <x v="0"/>
    <s v="Project Site B"/>
    <x v="0"/>
    <x v="0"/>
  </r>
  <r>
    <s v="TRX194"/>
    <d v="2025-09-25T00:00:00"/>
    <s v="ITM012"/>
    <x v="17"/>
    <n v="19"/>
    <n v="203500"/>
    <n v="3866500"/>
    <x v="1"/>
    <s v="PO #003"/>
    <x v="1"/>
    <x v="1"/>
  </r>
  <r>
    <s v="TRX195"/>
    <d v="2025-07-07T00:00:00"/>
    <s v="ITM006"/>
    <x v="2"/>
    <n v="8"/>
    <n v="128000"/>
    <n v="1024000"/>
    <x v="0"/>
    <s v="Project Site C"/>
    <x v="2"/>
    <x v="2"/>
  </r>
  <r>
    <s v="TRX196"/>
    <d v="2025-09-23T00:00:00"/>
    <s v="ITM012"/>
    <x v="17"/>
    <n v="11"/>
    <n v="203500"/>
    <n v="2238500"/>
    <x v="0"/>
    <s v="Internal Use"/>
    <x v="1"/>
    <x v="1"/>
  </r>
  <r>
    <s v="TRX197"/>
    <d v="2025-08-07T00:00:00"/>
    <s v="ITM018"/>
    <x v="4"/>
    <n v="11"/>
    <n v="4490000"/>
    <n v="49390000"/>
    <x v="1"/>
    <s v="PO #001"/>
    <x v="0"/>
    <x v="0"/>
  </r>
  <r>
    <s v="TRX198"/>
    <d v="2025-07-20T00:00:00"/>
    <s v="ITM016"/>
    <x v="6"/>
    <n v="17"/>
    <n v="3134000"/>
    <n v="53278000"/>
    <x v="0"/>
    <s v="PO #003"/>
    <x v="2"/>
    <x v="2"/>
  </r>
  <r>
    <s v="TRX199"/>
    <d v="2025-09-01T00:00:00"/>
    <s v="ITM008"/>
    <x v="19"/>
    <n v="10"/>
    <n v="420000"/>
    <n v="4200000"/>
    <x v="1"/>
    <s v="Project Site B"/>
    <x v="1"/>
    <x v="1"/>
  </r>
  <r>
    <s v="TRX200"/>
    <d v="2025-09-15T00:00:00"/>
    <s v="ITM012"/>
    <x v="17"/>
    <n v="7"/>
    <n v="203500"/>
    <n v="1424500"/>
    <x v="1"/>
    <s v="PO #002"/>
    <x v="1"/>
    <x v="1"/>
  </r>
</pivotCacheRecords>
</file>

<file path=xl/pivotCache/pivotCacheRecords4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200">
  <r>
    <x v="0"/>
    <d v="2025-09-13T00:00:00"/>
    <s v="TRX079"/>
    <x v="0"/>
    <n v="11"/>
    <n v="245000"/>
    <x v="0"/>
    <x v="0"/>
    <s v="PO #003"/>
    <x v="0"/>
    <x v="0"/>
    <n v="3509000"/>
  </r>
  <r>
    <x v="0"/>
    <d v="2025-09-13T00:00:00"/>
    <s v="TRX097"/>
    <x v="1"/>
    <n v="4"/>
    <n v="203500"/>
    <x v="1"/>
    <x v="0"/>
    <s v="PO #003"/>
    <x v="0"/>
    <x v="0"/>
    <m/>
  </r>
  <r>
    <x v="1"/>
    <d v="2025-09-07T00:00:00"/>
    <s v="TRX008"/>
    <x v="2"/>
    <n v="3"/>
    <n v="335500"/>
    <x v="2"/>
    <x v="0"/>
    <s v="Project Site A"/>
    <x v="0"/>
    <x v="0"/>
    <n v="12756500"/>
  </r>
  <r>
    <x v="1"/>
    <d v="2025-08-21T00:00:00"/>
    <s v="TRX013"/>
    <x v="3"/>
    <n v="20"/>
    <n v="13500"/>
    <x v="3"/>
    <x v="0"/>
    <s v="Project Site A"/>
    <x v="1"/>
    <x v="1"/>
    <m/>
  </r>
  <r>
    <x v="1"/>
    <d v="2025-09-14T00:00:00"/>
    <s v="TRX152"/>
    <x v="4"/>
    <n v="5"/>
    <n v="2296000"/>
    <x v="4"/>
    <x v="0"/>
    <s v="Project Site A"/>
    <x v="0"/>
    <x v="0"/>
    <m/>
  </r>
  <r>
    <x v="2"/>
    <d v="2025-07-17T00:00:00"/>
    <s v="TRX080"/>
    <x v="5"/>
    <n v="3"/>
    <n v="1060000"/>
    <x v="5"/>
    <x v="1"/>
    <s v="Proyek Maintenance"/>
    <x v="0"/>
    <x v="2"/>
    <n v="6415500"/>
  </r>
  <r>
    <x v="2"/>
    <d v="2025-07-12T00:00:00"/>
    <s v="TRX121"/>
    <x v="6"/>
    <n v="9"/>
    <n v="50000"/>
    <x v="6"/>
    <x v="1"/>
    <s v="Proyek Maintenance"/>
    <x v="0"/>
    <x v="2"/>
    <m/>
  </r>
  <r>
    <x v="2"/>
    <d v="2025-09-24T00:00:00"/>
    <s v="TRX125"/>
    <x v="7"/>
    <n v="13"/>
    <n v="135500"/>
    <x v="7"/>
    <x v="1"/>
    <s v="Proyek Maintenance"/>
    <x v="0"/>
    <x v="0"/>
    <m/>
  </r>
  <r>
    <x v="2"/>
    <d v="2025-07-07T00:00:00"/>
    <s v="TRX195"/>
    <x v="8"/>
    <n v="8"/>
    <n v="128000"/>
    <x v="8"/>
    <x v="1"/>
    <s v="Proyek Maintenance"/>
    <x v="1"/>
    <x v="2"/>
    <m/>
  </r>
  <r>
    <x v="3"/>
    <d v="2025-09-06T00:00:00"/>
    <s v="TRX015"/>
    <x v="9"/>
    <n v="3"/>
    <n v="465000"/>
    <x v="9"/>
    <x v="1"/>
    <s v="Proyek Maintenance"/>
    <x v="0"/>
    <x v="0"/>
    <n v="7113000"/>
  </r>
  <r>
    <x v="3"/>
    <d v="2025-09-04T00:00:00"/>
    <s v="TRX034"/>
    <x v="8"/>
    <n v="11"/>
    <n v="128000"/>
    <x v="10"/>
    <x v="1"/>
    <s v="Proyek Maintenance"/>
    <x v="0"/>
    <x v="0"/>
    <m/>
  </r>
  <r>
    <x v="3"/>
    <d v="2025-08-22T00:00:00"/>
    <s v="TRX035"/>
    <x v="10"/>
    <n v="10"/>
    <n v="431000"/>
    <x v="11"/>
    <x v="1"/>
    <s v="Proyek Maintenance"/>
    <x v="0"/>
    <x v="1"/>
    <m/>
  </r>
  <r>
    <x v="4"/>
    <d v="2025-09-20T00:00:00"/>
    <s v="TRX023"/>
    <x v="3"/>
    <n v="7"/>
    <n v="13500"/>
    <x v="12"/>
    <x v="0"/>
    <s v="PO #002"/>
    <x v="1"/>
    <x v="0"/>
    <n v="51394500"/>
  </r>
  <r>
    <x v="4"/>
    <d v="2025-09-17T00:00:00"/>
    <s v="TRX024"/>
    <x v="11"/>
    <n v="10"/>
    <n v="4490000"/>
    <x v="13"/>
    <x v="0"/>
    <s v="PO #002"/>
    <x v="1"/>
    <x v="0"/>
    <m/>
  </r>
  <r>
    <x v="4"/>
    <d v="2025-07-01T00:00:00"/>
    <s v="TRX130"/>
    <x v="12"/>
    <n v="2"/>
    <n v="3200000"/>
    <x v="14"/>
    <x v="0"/>
    <s v="PO #002"/>
    <x v="1"/>
    <x v="2"/>
    <m/>
  </r>
  <r>
    <x v="5"/>
    <d v="2025-07-19T00:00:00"/>
    <s v="TRX059"/>
    <x v="6"/>
    <n v="7"/>
    <n v="50000"/>
    <x v="15"/>
    <x v="0"/>
    <s v="Project Site C + D"/>
    <x v="0"/>
    <x v="2"/>
    <n v="1164000"/>
  </r>
  <r>
    <x v="5"/>
    <d v="2025-08-10T00:00:00"/>
    <s v="TRX081"/>
    <x v="1"/>
    <n v="4"/>
    <n v="203500"/>
    <x v="1"/>
    <x v="0"/>
    <s v="Project Site C + D"/>
    <x v="1"/>
    <x v="1"/>
    <m/>
  </r>
  <r>
    <x v="6"/>
    <d v="2025-09-19T00:00:00"/>
    <s v="TRX060"/>
    <x v="1"/>
    <n v="16"/>
    <n v="203500"/>
    <x v="16"/>
    <x v="1"/>
    <s v="Project Site C + D"/>
    <x v="1"/>
    <x v="0"/>
    <n v="6676000"/>
  </r>
  <r>
    <x v="6"/>
    <d v="2025-07-27T00:00:00"/>
    <s v="TRX061"/>
    <x v="13"/>
    <n v="10"/>
    <n v="260000"/>
    <x v="17"/>
    <x v="1"/>
    <s v="Project Site C + D"/>
    <x v="1"/>
    <x v="2"/>
    <m/>
  </r>
  <r>
    <x v="6"/>
    <d v="2025-09-20T00:00:00"/>
    <s v="TRX082"/>
    <x v="14"/>
    <n v="10"/>
    <n v="20000"/>
    <x v="18"/>
    <x v="1"/>
    <s v="Project Site C + D"/>
    <x v="1"/>
    <x v="0"/>
    <m/>
  </r>
  <r>
    <x v="6"/>
    <d v="2025-07-11T00:00:00"/>
    <s v="TRX159"/>
    <x v="15"/>
    <n v="20"/>
    <n v="31000"/>
    <x v="19"/>
    <x v="1"/>
    <s v="Project Site C + D"/>
    <x v="0"/>
    <x v="2"/>
    <m/>
  </r>
  <r>
    <x v="7"/>
    <d v="2025-07-25T00:00:00"/>
    <s v="TRX037"/>
    <x v="9"/>
    <n v="20"/>
    <n v="465000"/>
    <x v="20"/>
    <x v="0"/>
    <s v="PO #001"/>
    <x v="0"/>
    <x v="2"/>
    <n v="10752000"/>
  </r>
  <r>
    <x v="7"/>
    <d v="2025-07-22T00:00:00"/>
    <s v="TRX038"/>
    <x v="14"/>
    <n v="14"/>
    <n v="20000"/>
    <x v="21"/>
    <x v="0"/>
    <s v="PO #001"/>
    <x v="0"/>
    <x v="2"/>
    <m/>
  </r>
  <r>
    <x v="7"/>
    <d v="2025-07-18T00:00:00"/>
    <s v="TRX136"/>
    <x v="15"/>
    <n v="10"/>
    <n v="31000"/>
    <x v="22"/>
    <x v="0"/>
    <s v="PO #001"/>
    <x v="1"/>
    <x v="2"/>
    <m/>
  </r>
  <r>
    <x v="7"/>
    <d v="2025-09-13T00:00:00"/>
    <s v="TRX138"/>
    <x v="10"/>
    <n v="2"/>
    <n v="431000"/>
    <x v="23"/>
    <x v="0"/>
    <s v="PO #001"/>
    <x v="0"/>
    <x v="0"/>
    <m/>
  </r>
  <r>
    <x v="8"/>
    <d v="2025-07-08T00:00:00"/>
    <s v="TRX014"/>
    <x v="13"/>
    <n v="15"/>
    <n v="260000"/>
    <x v="24"/>
    <x v="1"/>
    <s v="PO #002"/>
    <x v="1"/>
    <x v="2"/>
    <n v="12545000"/>
  </r>
  <r>
    <x v="8"/>
    <d v="2025-08-25T00:00:00"/>
    <s v="TRX036"/>
    <x v="2"/>
    <n v="10"/>
    <n v="335500"/>
    <x v="25"/>
    <x v="1"/>
    <s v="PO #002"/>
    <x v="0"/>
    <x v="1"/>
    <m/>
  </r>
  <r>
    <x v="8"/>
    <d v="2025-09-19T00:00:00"/>
    <s v="TRX062"/>
    <x v="11"/>
    <n v="1"/>
    <n v="4490000"/>
    <x v="26"/>
    <x v="1"/>
    <s v="PO #002"/>
    <x v="1"/>
    <x v="0"/>
    <m/>
  </r>
  <r>
    <x v="8"/>
    <d v="2025-09-25T00:00:00"/>
    <s v="TRX106"/>
    <x v="6"/>
    <n v="16"/>
    <n v="50000"/>
    <x v="27"/>
    <x v="1"/>
    <s v="PO #002"/>
    <x v="1"/>
    <x v="0"/>
    <m/>
  </r>
  <r>
    <x v="9"/>
    <d v="2025-09-04T00:00:00"/>
    <s v="TRX101"/>
    <x v="2"/>
    <n v="7"/>
    <n v="335500"/>
    <x v="28"/>
    <x v="0"/>
    <s v="Proyek Maintenance"/>
    <x v="0"/>
    <x v="0"/>
    <n v="5599500"/>
  </r>
  <r>
    <x v="9"/>
    <d v="2025-08-30T00:00:00"/>
    <s v="TRX102"/>
    <x v="7"/>
    <n v="10"/>
    <n v="135500"/>
    <x v="29"/>
    <x v="0"/>
    <s v="Proyek Maintenance"/>
    <x v="0"/>
    <x v="1"/>
    <m/>
  </r>
  <r>
    <x v="9"/>
    <d v="2025-09-01T00:00:00"/>
    <s v="TRX133"/>
    <x v="16"/>
    <n v="8"/>
    <n v="237000"/>
    <x v="30"/>
    <x v="0"/>
    <s v="Proyek Maintenance"/>
    <x v="1"/>
    <x v="0"/>
    <m/>
  </r>
  <r>
    <x v="10"/>
    <d v="2025-07-29T00:00:00"/>
    <s v="TRX048"/>
    <x v="7"/>
    <n v="8"/>
    <n v="135500"/>
    <x v="31"/>
    <x v="0"/>
    <s v="Project Site B"/>
    <x v="1"/>
    <x v="2"/>
    <n v="2980000"/>
  </r>
  <r>
    <x v="10"/>
    <d v="2025-08-15T00:00:00"/>
    <s v="TRX109"/>
    <x v="16"/>
    <n v="8"/>
    <n v="237000"/>
    <x v="30"/>
    <x v="0"/>
    <s v="Project Site B"/>
    <x v="0"/>
    <x v="1"/>
    <m/>
  </r>
  <r>
    <x v="11"/>
    <d v="2025-09-05T00:00:00"/>
    <s v="TRX056"/>
    <x v="13"/>
    <n v="20"/>
    <n v="260000"/>
    <x v="32"/>
    <x v="0"/>
    <s v="PO #003"/>
    <x v="0"/>
    <x v="0"/>
    <n v="24561000"/>
  </r>
  <r>
    <x v="11"/>
    <d v="2025-07-03T00:00:00"/>
    <s v="TRX094"/>
    <x v="5"/>
    <n v="15"/>
    <n v="1060000"/>
    <x v="33"/>
    <x v="0"/>
    <s v="PO #003"/>
    <x v="1"/>
    <x v="2"/>
    <m/>
  </r>
  <r>
    <x v="11"/>
    <d v="2025-07-27T00:00:00"/>
    <s v="TRX150"/>
    <x v="15"/>
    <n v="1"/>
    <n v="31000"/>
    <x v="34"/>
    <x v="0"/>
    <s v="PO #003"/>
    <x v="1"/>
    <x v="2"/>
    <m/>
  </r>
  <r>
    <x v="11"/>
    <d v="2025-09-03T00:00:00"/>
    <s v="TRX174"/>
    <x v="0"/>
    <n v="14"/>
    <n v="245000"/>
    <x v="35"/>
    <x v="0"/>
    <s v="PO #003"/>
    <x v="0"/>
    <x v="0"/>
    <m/>
  </r>
  <r>
    <x v="12"/>
    <d v="2025-08-10T00:00:00"/>
    <s v="TRX057"/>
    <x v="13"/>
    <n v="7"/>
    <n v="260000"/>
    <x v="36"/>
    <x v="1"/>
    <s v="Project Site C + D"/>
    <x v="1"/>
    <x v="1"/>
    <n v="3133500"/>
  </r>
  <r>
    <x v="12"/>
    <d v="2025-09-23T00:00:00"/>
    <s v="TRX158"/>
    <x v="6"/>
    <n v="1"/>
    <n v="50000"/>
    <x v="37"/>
    <x v="1"/>
    <s v="Project Site C + D"/>
    <x v="1"/>
    <x v="0"/>
    <m/>
  </r>
  <r>
    <x v="12"/>
    <d v="2025-08-11T00:00:00"/>
    <s v="TRX173"/>
    <x v="1"/>
    <n v="1"/>
    <n v="203500"/>
    <x v="38"/>
    <x v="1"/>
    <s v="Project Site C + D"/>
    <x v="0"/>
    <x v="1"/>
    <m/>
  </r>
  <r>
    <x v="12"/>
    <d v="2025-08-22T00:00:00"/>
    <s v="TRX185"/>
    <x v="5"/>
    <n v="1"/>
    <n v="1060000"/>
    <x v="39"/>
    <x v="1"/>
    <s v="Project Site C + D"/>
    <x v="0"/>
    <x v="1"/>
    <m/>
  </r>
  <r>
    <x v="13"/>
    <d v="2025-09-12T00:00:00"/>
    <s v="TRX160"/>
    <x v="17"/>
    <n v="9"/>
    <n v="3134000"/>
    <x v="40"/>
    <x v="1"/>
    <s v="Project Site A"/>
    <x v="1"/>
    <x v="0"/>
    <n v="90316000"/>
  </r>
  <r>
    <x v="13"/>
    <d v="2025-09-17T00:00:00"/>
    <s v="TRX165"/>
    <x v="5"/>
    <n v="12"/>
    <n v="1060000"/>
    <x v="41"/>
    <x v="1"/>
    <s v="Project Site A"/>
    <x v="0"/>
    <x v="0"/>
    <m/>
  </r>
  <r>
    <x v="13"/>
    <d v="2025-08-07T00:00:00"/>
    <s v="TRX197"/>
    <x v="11"/>
    <n v="11"/>
    <n v="4490000"/>
    <x v="42"/>
    <x v="1"/>
    <s v="Project Site A"/>
    <x v="0"/>
    <x v="1"/>
    <m/>
  </r>
  <r>
    <x v="14"/>
    <d v="2025-08-26T00:00:00"/>
    <s v="TRX029"/>
    <x v="16"/>
    <n v="7"/>
    <n v="237000"/>
    <x v="43"/>
    <x v="0"/>
    <s v="Restock"/>
    <x v="0"/>
    <x v="1"/>
    <n v="34250000"/>
  </r>
  <r>
    <x v="14"/>
    <d v="2025-07-28T00:00:00"/>
    <s v="TRX031"/>
    <x v="5"/>
    <n v="10"/>
    <n v="1060000"/>
    <x v="44"/>
    <x v="0"/>
    <s v="Restock"/>
    <x v="0"/>
    <x v="2"/>
    <m/>
  </r>
  <r>
    <x v="14"/>
    <d v="2025-09-20T00:00:00"/>
    <s v="TRX123"/>
    <x v="15"/>
    <n v="15"/>
    <n v="31000"/>
    <x v="45"/>
    <x v="0"/>
    <s v="Restock"/>
    <x v="0"/>
    <x v="0"/>
    <m/>
  </r>
  <r>
    <x v="14"/>
    <d v="2025-09-05T00:00:00"/>
    <s v="TRX143"/>
    <x v="4"/>
    <n v="9"/>
    <n v="2296000"/>
    <x v="46"/>
    <x v="0"/>
    <s v="Restock"/>
    <x v="1"/>
    <x v="0"/>
    <m/>
  </r>
  <r>
    <x v="14"/>
    <d v="2025-09-02T00:00:00"/>
    <s v="TRX166"/>
    <x v="10"/>
    <n v="2"/>
    <n v="431000"/>
    <x v="23"/>
    <x v="0"/>
    <s v="Restock"/>
    <x v="1"/>
    <x v="0"/>
    <m/>
  </r>
  <r>
    <x v="15"/>
    <d v="2025-09-21T00:00:00"/>
    <s v="TRX058"/>
    <x v="8"/>
    <n v="16"/>
    <n v="128000"/>
    <x v="47"/>
    <x v="0"/>
    <s v="Project Site B"/>
    <x v="1"/>
    <x v="0"/>
    <n v="5428000"/>
  </r>
  <r>
    <x v="15"/>
    <d v="2025-08-20T00:00:00"/>
    <s v="TRX066"/>
    <x v="7"/>
    <n v="8"/>
    <n v="135500"/>
    <x v="31"/>
    <x v="0"/>
    <s v="Project Site B"/>
    <x v="1"/>
    <x v="1"/>
    <m/>
  </r>
  <r>
    <x v="15"/>
    <d v="2025-08-19T00:00:00"/>
    <s v="TRX084"/>
    <x v="4"/>
    <n v="1"/>
    <n v="2296000"/>
    <x v="48"/>
    <x v="0"/>
    <s v="Project Site B"/>
    <x v="0"/>
    <x v="1"/>
    <m/>
  </r>
  <r>
    <x v="16"/>
    <d v="2025-07-06T00:00:00"/>
    <s v="TRX051"/>
    <x v="9"/>
    <n v="18"/>
    <n v="465000"/>
    <x v="49"/>
    <x v="1"/>
    <s v="Retur Barang"/>
    <x v="0"/>
    <x v="2"/>
    <n v="70832000"/>
  </r>
  <r>
    <x v="16"/>
    <d v="2025-07-02T00:00:00"/>
    <s v="TRX085"/>
    <x v="4"/>
    <n v="4"/>
    <n v="2296000"/>
    <x v="50"/>
    <x v="1"/>
    <s v="Retur Barang"/>
    <x v="1"/>
    <x v="2"/>
    <m/>
  </r>
  <r>
    <x v="16"/>
    <d v="2025-07-20T00:00:00"/>
    <s v="TRX198"/>
    <x v="17"/>
    <n v="17"/>
    <n v="3134000"/>
    <x v="51"/>
    <x v="1"/>
    <s v="Retur Barang"/>
    <x v="1"/>
    <x v="2"/>
    <m/>
  </r>
  <r>
    <x v="17"/>
    <d v="2025-09-15T00:00:00"/>
    <s v="TRX200"/>
    <x v="1"/>
    <n v="7"/>
    <n v="203500"/>
    <x v="52"/>
    <x v="0"/>
    <s v="Project Site C + D"/>
    <x v="0"/>
    <x v="0"/>
    <n v="1424500"/>
  </r>
  <r>
    <x v="18"/>
    <d v="2025-07-05T00:00:00"/>
    <s v="TRX011"/>
    <x v="18"/>
    <n v="8"/>
    <n v="11500"/>
    <x v="53"/>
    <x v="1"/>
    <s v="Proyek Maintenance"/>
    <x v="0"/>
    <x v="2"/>
    <n v="1652000"/>
  </r>
  <r>
    <x v="18"/>
    <d v="2025-09-04T00:00:00"/>
    <s v="TRX116"/>
    <x v="13"/>
    <n v="6"/>
    <n v="260000"/>
    <x v="54"/>
    <x v="1"/>
    <s v="Proyek Maintenance"/>
    <x v="0"/>
    <x v="0"/>
    <m/>
  </r>
  <r>
    <x v="19"/>
    <d v="2025-08-07T00:00:00"/>
    <s v="TRX001"/>
    <x v="9"/>
    <n v="20"/>
    <n v="465000"/>
    <x v="20"/>
    <x v="1"/>
    <s v="PO #002"/>
    <x v="1"/>
    <x v="1"/>
    <n v="19596000"/>
  </r>
  <r>
    <x v="19"/>
    <d v="2025-09-11T00:00:00"/>
    <s v="TRX040"/>
    <x v="4"/>
    <n v="4"/>
    <n v="2296000"/>
    <x v="50"/>
    <x v="1"/>
    <s v="PO #002"/>
    <x v="1"/>
    <x v="0"/>
    <m/>
  </r>
  <r>
    <x v="19"/>
    <d v="2025-08-09T00:00:00"/>
    <s v="TRX065"/>
    <x v="6"/>
    <n v="12"/>
    <n v="50000"/>
    <x v="55"/>
    <x v="1"/>
    <s v="PO #002"/>
    <x v="1"/>
    <x v="1"/>
    <m/>
  </r>
  <r>
    <x v="19"/>
    <d v="2025-08-02T00:00:00"/>
    <s v="TRX179"/>
    <x v="8"/>
    <n v="4"/>
    <n v="128000"/>
    <x v="56"/>
    <x v="1"/>
    <s v="PO #002"/>
    <x v="1"/>
    <x v="1"/>
    <m/>
  </r>
  <r>
    <x v="20"/>
    <d v="2025-09-22T00:00:00"/>
    <s v="TRX117"/>
    <x v="11"/>
    <n v="12"/>
    <n v="4490000"/>
    <x v="57"/>
    <x v="1"/>
    <s v="Project Site B"/>
    <x v="0"/>
    <x v="0"/>
    <n v="106804000"/>
  </r>
  <r>
    <x v="20"/>
    <d v="2025-07-11T00:00:00"/>
    <s v="TRX118"/>
    <x v="4"/>
    <n v="19"/>
    <n v="2296000"/>
    <x v="58"/>
    <x v="1"/>
    <s v="Project Site B"/>
    <x v="0"/>
    <x v="2"/>
    <m/>
  </r>
  <r>
    <x v="20"/>
    <d v="2025-07-16T00:00:00"/>
    <s v="TRX169"/>
    <x v="9"/>
    <n v="20"/>
    <n v="465000"/>
    <x v="20"/>
    <x v="1"/>
    <s v="Project Site B"/>
    <x v="0"/>
    <x v="2"/>
    <m/>
  </r>
  <r>
    <x v="21"/>
    <d v="2025-07-21T00:00:00"/>
    <s v="TRX041"/>
    <x v="7"/>
    <n v="6"/>
    <n v="135500"/>
    <x v="59"/>
    <x v="0"/>
    <s v="Proyek Maintenance"/>
    <x v="0"/>
    <x v="2"/>
    <n v="1768000"/>
  </r>
  <r>
    <x v="21"/>
    <d v="2025-08-15T00:00:00"/>
    <s v="TRX049"/>
    <x v="14"/>
    <n v="3"/>
    <n v="20000"/>
    <x v="60"/>
    <x v="0"/>
    <s v="Proyek Maintenance"/>
    <x v="0"/>
    <x v="1"/>
    <m/>
  </r>
  <r>
    <x v="21"/>
    <d v="2025-09-15T00:00:00"/>
    <s v="TRX050"/>
    <x v="1"/>
    <n v="4"/>
    <n v="203500"/>
    <x v="1"/>
    <x v="0"/>
    <s v="Proyek Maintenance"/>
    <x v="0"/>
    <x v="0"/>
    <m/>
  </r>
  <r>
    <x v="21"/>
    <d v="2025-09-16T00:00:00"/>
    <s v="TRX069"/>
    <x v="3"/>
    <n v="6"/>
    <n v="13500"/>
    <x v="61"/>
    <x v="0"/>
    <s v="Proyek Maintenance"/>
    <x v="1"/>
    <x v="0"/>
    <m/>
  </r>
  <r>
    <x v="22"/>
    <d v="2025-08-20T00:00:00"/>
    <s v="TRX089"/>
    <x v="8"/>
    <n v="1"/>
    <n v="128000"/>
    <x v="62"/>
    <x v="1"/>
    <s v="PO #002"/>
    <x v="1"/>
    <x v="1"/>
    <n v="8700500"/>
  </r>
  <r>
    <x v="22"/>
    <d v="2025-08-23T00:00:00"/>
    <s v="TRX167"/>
    <x v="9"/>
    <n v="18"/>
    <n v="465000"/>
    <x v="49"/>
    <x v="1"/>
    <s v="PO #002"/>
    <x v="1"/>
    <x v="1"/>
    <m/>
  </r>
  <r>
    <x v="22"/>
    <d v="2025-07-24T00:00:00"/>
    <s v="TRX168"/>
    <x v="3"/>
    <n v="15"/>
    <n v="13500"/>
    <x v="63"/>
    <x v="1"/>
    <s v="PO #002"/>
    <x v="0"/>
    <x v="2"/>
    <m/>
  </r>
  <r>
    <x v="23"/>
    <d v="2025-09-02T00:00:00"/>
    <s v="TRX090"/>
    <x v="1"/>
    <n v="1"/>
    <n v="203500"/>
    <x v="38"/>
    <x v="1"/>
    <s v="Project Site A"/>
    <x v="0"/>
    <x v="0"/>
    <n v="49872500"/>
  </r>
  <r>
    <x v="23"/>
    <d v="2025-07-04T00:00:00"/>
    <s v="TRX091"/>
    <x v="17"/>
    <n v="15"/>
    <n v="3134000"/>
    <x v="64"/>
    <x v="1"/>
    <s v="Project Site A"/>
    <x v="0"/>
    <x v="2"/>
    <m/>
  </r>
  <r>
    <x v="23"/>
    <d v="2025-07-23T00:00:00"/>
    <s v="TRX095"/>
    <x v="14"/>
    <n v="11"/>
    <n v="20000"/>
    <x v="65"/>
    <x v="1"/>
    <s v="Project Site A"/>
    <x v="1"/>
    <x v="2"/>
    <m/>
  </r>
  <r>
    <x v="23"/>
    <d v="2025-09-19T00:00:00"/>
    <s v="TRX140"/>
    <x v="7"/>
    <n v="18"/>
    <n v="135500"/>
    <x v="66"/>
    <x v="1"/>
    <s v="Project Site A"/>
    <x v="0"/>
    <x v="0"/>
    <m/>
  </r>
  <r>
    <x v="24"/>
    <d v="2025-09-20T00:00:00"/>
    <s v="TRX039"/>
    <x v="12"/>
    <n v="6"/>
    <n v="3200000"/>
    <x v="67"/>
    <x v="1"/>
    <s v="Proyek Maintenance"/>
    <x v="1"/>
    <x v="0"/>
    <n v="46026500"/>
  </r>
  <r>
    <x v="24"/>
    <d v="2025-08-21T00:00:00"/>
    <s v="TRX103"/>
    <x v="4"/>
    <n v="10"/>
    <n v="2296000"/>
    <x v="68"/>
    <x v="1"/>
    <s v="Proyek Maintenance"/>
    <x v="0"/>
    <x v="1"/>
    <m/>
  </r>
  <r>
    <x v="24"/>
    <d v="2025-09-25T00:00:00"/>
    <s v="TRX194"/>
    <x v="1"/>
    <n v="19"/>
    <n v="203500"/>
    <x v="69"/>
    <x v="1"/>
    <s v="Proyek Maintenance"/>
    <x v="0"/>
    <x v="0"/>
    <m/>
  </r>
  <r>
    <x v="25"/>
    <d v="2025-08-31T00:00:00"/>
    <s v="TRX105"/>
    <x v="13"/>
    <n v="20"/>
    <n v="260000"/>
    <x v="32"/>
    <x v="1"/>
    <s v="PO #002"/>
    <x v="0"/>
    <x v="1"/>
    <n v="26875000"/>
  </r>
  <r>
    <x v="25"/>
    <d v="2025-09-19T00:00:00"/>
    <s v="TRX141"/>
    <x v="10"/>
    <n v="13"/>
    <n v="431000"/>
    <x v="70"/>
    <x v="1"/>
    <s v="PO #002"/>
    <x v="0"/>
    <x v="0"/>
    <m/>
  </r>
  <r>
    <x v="25"/>
    <d v="2025-08-08T00:00:00"/>
    <s v="TRX142"/>
    <x v="4"/>
    <n v="7"/>
    <n v="2296000"/>
    <x v="71"/>
    <x v="1"/>
    <s v="PO #002"/>
    <x v="1"/>
    <x v="1"/>
    <m/>
  </r>
  <r>
    <x v="26"/>
    <d v="2025-08-09T00:00:00"/>
    <s v="TRX002"/>
    <x v="2"/>
    <n v="7"/>
    <n v="335500"/>
    <x v="28"/>
    <x v="1"/>
    <s v="PO #001"/>
    <x v="1"/>
    <x v="1"/>
    <n v="9155000"/>
  </r>
  <r>
    <x v="26"/>
    <d v="2025-09-17T00:00:00"/>
    <s v="TRX004"/>
    <x v="0"/>
    <n v="12"/>
    <n v="245000"/>
    <x v="72"/>
    <x v="1"/>
    <s v="PO #001"/>
    <x v="0"/>
    <x v="0"/>
    <m/>
  </r>
  <r>
    <x v="26"/>
    <d v="2025-08-22T00:00:00"/>
    <s v="TRX110"/>
    <x v="1"/>
    <n v="19"/>
    <n v="203500"/>
    <x v="69"/>
    <x v="1"/>
    <s v="PO #001"/>
    <x v="0"/>
    <x v="1"/>
    <m/>
  </r>
  <r>
    <x v="27"/>
    <d v="2025-08-31T00:00:00"/>
    <s v="TRX028"/>
    <x v="17"/>
    <n v="12"/>
    <n v="3134000"/>
    <x v="73"/>
    <x v="1"/>
    <s v="Project Site B"/>
    <x v="0"/>
    <x v="1"/>
    <n v="41698000"/>
  </r>
  <r>
    <x v="27"/>
    <d v="2025-08-23T00:00:00"/>
    <s v="TRX144"/>
    <x v="1"/>
    <n v="20"/>
    <n v="203500"/>
    <x v="74"/>
    <x v="1"/>
    <s v="Project Site B"/>
    <x v="0"/>
    <x v="1"/>
    <m/>
  </r>
  <r>
    <x v="27"/>
    <d v="2025-09-23T00:00:00"/>
    <s v="TRX145"/>
    <x v="14"/>
    <n v="1"/>
    <n v="20000"/>
    <x v="75"/>
    <x v="1"/>
    <s v="Project Site B"/>
    <x v="0"/>
    <x v="0"/>
    <m/>
  </r>
  <r>
    <x v="28"/>
    <d v="2025-08-24T00:00:00"/>
    <s v="TRX026"/>
    <x v="17"/>
    <n v="3"/>
    <n v="3134000"/>
    <x v="76"/>
    <x v="1"/>
    <s v="Retur Barang"/>
    <x v="0"/>
    <x v="1"/>
    <n v="10744000"/>
  </r>
  <r>
    <x v="28"/>
    <d v="2025-07-12T00:00:00"/>
    <s v="TRX033"/>
    <x v="2"/>
    <n v="4"/>
    <n v="335500"/>
    <x v="77"/>
    <x v="1"/>
    <s v="Retur Barang"/>
    <x v="0"/>
    <x v="2"/>
    <m/>
  </r>
  <r>
    <x v="29"/>
    <d v="2025-07-09T00:00:00"/>
    <s v="TRX111"/>
    <x v="2"/>
    <n v="20"/>
    <n v="335500"/>
    <x v="78"/>
    <x v="1"/>
    <s v="PO #003"/>
    <x v="1"/>
    <x v="2"/>
    <n v="10161000"/>
  </r>
  <r>
    <x v="29"/>
    <d v="2025-07-23T00:00:00"/>
    <s v="TRX112"/>
    <x v="0"/>
    <n v="5"/>
    <n v="245000"/>
    <x v="79"/>
    <x v="1"/>
    <s v="PO #003"/>
    <x v="0"/>
    <x v="2"/>
    <m/>
  </r>
  <r>
    <x v="29"/>
    <d v="2025-08-05T00:00:00"/>
    <s v="TRX113"/>
    <x v="15"/>
    <n v="9"/>
    <n v="31000"/>
    <x v="80"/>
    <x v="1"/>
    <s v="PO #003"/>
    <x v="1"/>
    <x v="1"/>
    <m/>
  </r>
  <r>
    <x v="29"/>
    <d v="2025-09-30T00:00:00"/>
    <s v="TRX114"/>
    <x v="7"/>
    <n v="14"/>
    <n v="135500"/>
    <x v="81"/>
    <x v="1"/>
    <s v="PO #003"/>
    <x v="1"/>
    <x v="0"/>
    <m/>
  </r>
  <r>
    <x v="29"/>
    <d v="2025-09-25T00:00:00"/>
    <s v="TRX115"/>
    <x v="6"/>
    <n v="1"/>
    <n v="50000"/>
    <x v="37"/>
    <x v="1"/>
    <s v="PO #003"/>
    <x v="1"/>
    <x v="0"/>
    <m/>
  </r>
  <r>
    <x v="30"/>
    <d v="2025-09-08T00:00:00"/>
    <s v="TRX019"/>
    <x v="6"/>
    <n v="20"/>
    <n v="50000"/>
    <x v="82"/>
    <x v="0"/>
    <s v="PO #003"/>
    <x v="1"/>
    <x v="0"/>
    <n v="11740000"/>
  </r>
  <r>
    <x v="30"/>
    <d v="2025-08-10T00:00:00"/>
    <s v="TRX020"/>
    <x v="9"/>
    <n v="18"/>
    <n v="465000"/>
    <x v="49"/>
    <x v="0"/>
    <s v="PO #003"/>
    <x v="0"/>
    <x v="1"/>
    <m/>
  </r>
  <r>
    <x v="30"/>
    <d v="2025-08-19T00:00:00"/>
    <s v="TRX163"/>
    <x v="16"/>
    <n v="10"/>
    <n v="237000"/>
    <x v="83"/>
    <x v="0"/>
    <s v="PO #003"/>
    <x v="0"/>
    <x v="1"/>
    <m/>
  </r>
  <r>
    <x v="31"/>
    <d v="2025-09-03T00:00:00"/>
    <s v="TRX016"/>
    <x v="9"/>
    <n v="3"/>
    <n v="465000"/>
    <x v="9"/>
    <x v="1"/>
    <s v="Project Site B"/>
    <x v="0"/>
    <x v="0"/>
    <n v="47626000"/>
  </r>
  <r>
    <x v="31"/>
    <d v="2025-09-16T00:00:00"/>
    <s v="TRX030"/>
    <x v="6"/>
    <n v="18"/>
    <n v="50000"/>
    <x v="84"/>
    <x v="1"/>
    <s v="Project Site B"/>
    <x v="1"/>
    <x v="0"/>
    <m/>
  </r>
  <r>
    <x v="31"/>
    <d v="2025-09-18T00:00:00"/>
    <s v="TRX071"/>
    <x v="11"/>
    <n v="10"/>
    <n v="4490000"/>
    <x v="13"/>
    <x v="1"/>
    <s v="Project Site B"/>
    <x v="0"/>
    <x v="0"/>
    <m/>
  </r>
  <r>
    <x v="31"/>
    <d v="2025-08-10T00:00:00"/>
    <s v="TRX107"/>
    <x v="10"/>
    <n v="1"/>
    <n v="431000"/>
    <x v="85"/>
    <x v="1"/>
    <s v="Project Site B"/>
    <x v="0"/>
    <x v="1"/>
    <m/>
  </r>
  <r>
    <x v="32"/>
    <d v="2025-07-18T00:00:00"/>
    <s v="TRX027"/>
    <x v="2"/>
    <n v="10"/>
    <n v="335500"/>
    <x v="25"/>
    <x v="0"/>
    <s v="Retur Barang"/>
    <x v="1"/>
    <x v="2"/>
    <n v="9063000"/>
  </r>
  <r>
    <x v="32"/>
    <d v="2025-09-30T00:00:00"/>
    <s v="TRX099"/>
    <x v="9"/>
    <n v="12"/>
    <n v="465000"/>
    <x v="86"/>
    <x v="0"/>
    <s v="Retur Barang"/>
    <x v="0"/>
    <x v="0"/>
    <m/>
  </r>
  <r>
    <x v="32"/>
    <d v="2025-07-06T00:00:00"/>
    <s v="TRX100"/>
    <x v="8"/>
    <n v="1"/>
    <n v="128000"/>
    <x v="62"/>
    <x v="0"/>
    <s v="Retur Barang"/>
    <x v="0"/>
    <x v="2"/>
    <m/>
  </r>
  <r>
    <x v="33"/>
    <d v="2025-07-01T00:00:00"/>
    <s v="TRX083"/>
    <x v="16"/>
    <n v="18"/>
    <n v="237000"/>
    <x v="87"/>
    <x v="1"/>
    <s v="Restock"/>
    <x v="0"/>
    <x v="2"/>
    <n v="4774000"/>
  </r>
  <r>
    <x v="33"/>
    <d v="2025-07-18T00:00:00"/>
    <s v="TRX127"/>
    <x v="3"/>
    <n v="8"/>
    <n v="13500"/>
    <x v="88"/>
    <x v="1"/>
    <s v="Restock"/>
    <x v="1"/>
    <x v="2"/>
    <m/>
  </r>
  <r>
    <x v="33"/>
    <d v="2025-07-21T00:00:00"/>
    <s v="TRX128"/>
    <x v="6"/>
    <n v="8"/>
    <n v="50000"/>
    <x v="89"/>
    <x v="1"/>
    <s v="Restock"/>
    <x v="0"/>
    <x v="2"/>
    <m/>
  </r>
  <r>
    <x v="34"/>
    <d v="2025-07-04T00:00:00"/>
    <s v="TRX021"/>
    <x v="6"/>
    <n v="11"/>
    <n v="50000"/>
    <x v="90"/>
    <x v="0"/>
    <s v="Restock"/>
    <x v="0"/>
    <x v="2"/>
    <n v="3150000"/>
  </r>
  <r>
    <x v="34"/>
    <d v="2025-08-21T00:00:00"/>
    <s v="TRX172"/>
    <x v="13"/>
    <n v="10"/>
    <n v="260000"/>
    <x v="17"/>
    <x v="0"/>
    <s v="Restock"/>
    <x v="0"/>
    <x v="1"/>
    <m/>
  </r>
  <r>
    <x v="35"/>
    <d v="2025-09-20T00:00:00"/>
    <s v="TRX154"/>
    <x v="6"/>
    <n v="3"/>
    <n v="50000"/>
    <x v="91"/>
    <x v="1"/>
    <s v="Project Site A"/>
    <x v="1"/>
    <x v="0"/>
    <n v="17780000"/>
  </r>
  <r>
    <x v="35"/>
    <d v="2025-07-26T00:00:00"/>
    <s v="TRX181"/>
    <x v="17"/>
    <n v="5"/>
    <n v="3134000"/>
    <x v="92"/>
    <x v="1"/>
    <s v="Project Site A"/>
    <x v="0"/>
    <x v="2"/>
    <m/>
  </r>
  <r>
    <x v="35"/>
    <d v="2025-07-29T00:00:00"/>
    <s v="TRX189"/>
    <x v="0"/>
    <n v="8"/>
    <n v="245000"/>
    <x v="93"/>
    <x v="1"/>
    <s v="Project Site A"/>
    <x v="0"/>
    <x v="2"/>
    <m/>
  </r>
  <r>
    <x v="36"/>
    <d v="2025-07-11T00:00:00"/>
    <s v="TRX017"/>
    <x v="7"/>
    <n v="16"/>
    <n v="135500"/>
    <x v="94"/>
    <x v="1"/>
    <s v="Retur Barang"/>
    <x v="0"/>
    <x v="2"/>
    <n v="35518000"/>
  </r>
  <r>
    <x v="36"/>
    <d v="2025-09-13T00:00:00"/>
    <s v="TRX018"/>
    <x v="8"/>
    <n v="15"/>
    <n v="128000"/>
    <x v="95"/>
    <x v="1"/>
    <s v="Retur Barang"/>
    <x v="1"/>
    <x v="0"/>
    <m/>
  </r>
  <r>
    <x v="36"/>
    <d v="2025-09-02T00:00:00"/>
    <s v="TRX153"/>
    <x v="11"/>
    <n v="7"/>
    <n v="4490000"/>
    <x v="96"/>
    <x v="1"/>
    <s v="Retur Barang"/>
    <x v="0"/>
    <x v="0"/>
    <m/>
  </r>
  <r>
    <x v="37"/>
    <d v="2025-07-07T00:00:00"/>
    <s v="TRX088"/>
    <x v="16"/>
    <n v="5"/>
    <n v="237000"/>
    <x v="97"/>
    <x v="1"/>
    <s v="Proyek Maintenance"/>
    <x v="0"/>
    <x v="2"/>
    <n v="1557000"/>
  </r>
  <r>
    <x v="37"/>
    <d v="2025-07-08T00:00:00"/>
    <s v="TRX164"/>
    <x v="15"/>
    <n v="12"/>
    <n v="31000"/>
    <x v="98"/>
    <x v="1"/>
    <s v="Proyek Maintenance"/>
    <x v="1"/>
    <x v="2"/>
    <m/>
  </r>
  <r>
    <x v="38"/>
    <d v="2025-08-28T00:00:00"/>
    <s v="TRX067"/>
    <x v="12"/>
    <n v="1"/>
    <n v="3200000"/>
    <x v="99"/>
    <x v="0"/>
    <s v="PO #003"/>
    <x v="1"/>
    <x v="1"/>
    <n v="8372000"/>
  </r>
  <r>
    <x v="38"/>
    <d v="2025-07-10T00:00:00"/>
    <s v="TRX182"/>
    <x v="10"/>
    <n v="12"/>
    <n v="431000"/>
    <x v="100"/>
    <x v="0"/>
    <s v="PO #003"/>
    <x v="1"/>
    <x v="2"/>
    <m/>
  </r>
  <r>
    <x v="39"/>
    <d v="2025-09-16T00:00:00"/>
    <s v="TRX175"/>
    <x v="9"/>
    <n v="18"/>
    <n v="465000"/>
    <x v="49"/>
    <x v="1"/>
    <s v="Restock"/>
    <x v="1"/>
    <x v="0"/>
    <n v="8370000"/>
  </r>
  <r>
    <x v="40"/>
    <d v="2025-07-29T00:00:00"/>
    <s v="TRX022"/>
    <x v="13"/>
    <n v="13"/>
    <n v="260000"/>
    <x v="101"/>
    <x v="0"/>
    <s v="PO #001"/>
    <x v="0"/>
    <x v="2"/>
    <n v="64154000"/>
  </r>
  <r>
    <x v="40"/>
    <d v="2025-08-04T00:00:00"/>
    <s v="TRX134"/>
    <x v="11"/>
    <n v="8"/>
    <n v="4490000"/>
    <x v="102"/>
    <x v="0"/>
    <s v="PO #001"/>
    <x v="0"/>
    <x v="1"/>
    <m/>
  </r>
  <r>
    <x v="40"/>
    <d v="2025-08-11T00:00:00"/>
    <s v="TRX135"/>
    <x v="4"/>
    <n v="4"/>
    <n v="2296000"/>
    <x v="50"/>
    <x v="0"/>
    <s v="PO #001"/>
    <x v="1"/>
    <x v="1"/>
    <m/>
  </r>
  <r>
    <x v="40"/>
    <d v="2025-09-01T00:00:00"/>
    <s v="TRX155"/>
    <x v="17"/>
    <n v="5"/>
    <n v="3134000"/>
    <x v="92"/>
    <x v="0"/>
    <s v="PO #001"/>
    <x v="1"/>
    <x v="0"/>
    <m/>
  </r>
  <r>
    <x v="41"/>
    <d v="2025-07-29T00:00:00"/>
    <s v="TRX053"/>
    <x v="4"/>
    <n v="9"/>
    <n v="2296000"/>
    <x v="46"/>
    <x v="1"/>
    <s v="PO #003"/>
    <x v="1"/>
    <x v="2"/>
    <n v="26385000"/>
  </r>
  <r>
    <x v="41"/>
    <d v="2025-09-21T00:00:00"/>
    <s v="TRX054"/>
    <x v="10"/>
    <n v="11"/>
    <n v="431000"/>
    <x v="103"/>
    <x v="1"/>
    <s v="PO #003"/>
    <x v="0"/>
    <x v="0"/>
    <m/>
  </r>
  <r>
    <x v="41"/>
    <d v="2025-09-26T00:00:00"/>
    <s v="TRX151"/>
    <x v="0"/>
    <n v="4"/>
    <n v="245000"/>
    <x v="104"/>
    <x v="1"/>
    <s v="PO #003"/>
    <x v="0"/>
    <x v="0"/>
    <m/>
  </r>
  <r>
    <x v="42"/>
    <d v="2025-08-11T00:00:00"/>
    <s v="TRX005"/>
    <x v="11"/>
    <n v="7"/>
    <n v="4490000"/>
    <x v="96"/>
    <x v="0"/>
    <s v="Restock"/>
    <x v="0"/>
    <x v="1"/>
    <n v="40691000"/>
  </r>
  <r>
    <x v="42"/>
    <d v="2025-07-14T00:00:00"/>
    <s v="TRX025"/>
    <x v="10"/>
    <n v="6"/>
    <n v="431000"/>
    <x v="105"/>
    <x v="0"/>
    <s v="Restock"/>
    <x v="1"/>
    <x v="2"/>
    <m/>
  </r>
  <r>
    <x v="42"/>
    <d v="2025-07-23T00:00:00"/>
    <s v="TRX072"/>
    <x v="19"/>
    <n v="12"/>
    <n v="420000"/>
    <x v="106"/>
    <x v="0"/>
    <s v="Restock"/>
    <x v="1"/>
    <x v="2"/>
    <m/>
  </r>
  <r>
    <x v="42"/>
    <d v="2025-07-18T00:00:00"/>
    <s v="TRX087"/>
    <x v="7"/>
    <n v="10"/>
    <n v="135500"/>
    <x v="29"/>
    <x v="0"/>
    <s v="Restock"/>
    <x v="0"/>
    <x v="2"/>
    <m/>
  </r>
  <r>
    <x v="42"/>
    <d v="2025-07-06T00:00:00"/>
    <s v="TRX126"/>
    <x v="14"/>
    <n v="14"/>
    <n v="20000"/>
    <x v="21"/>
    <x v="0"/>
    <s v="Restock"/>
    <x v="0"/>
    <x v="2"/>
    <m/>
  </r>
  <r>
    <x v="43"/>
    <d v="2025-08-05T00:00:00"/>
    <s v="TRX068"/>
    <x v="18"/>
    <n v="16"/>
    <n v="11500"/>
    <x v="107"/>
    <x v="0"/>
    <s v="Project Site C + D"/>
    <x v="0"/>
    <x v="1"/>
    <n v="2161500"/>
  </r>
  <r>
    <x v="43"/>
    <d v="2025-08-28T00:00:00"/>
    <s v="TRX073"/>
    <x v="14"/>
    <n v="15"/>
    <n v="20000"/>
    <x v="108"/>
    <x v="0"/>
    <s v="Project Site C + D"/>
    <x v="0"/>
    <x v="1"/>
    <m/>
  </r>
  <r>
    <x v="43"/>
    <d v="2025-07-02T00:00:00"/>
    <s v="TRX156"/>
    <x v="2"/>
    <n v="5"/>
    <n v="335500"/>
    <x v="109"/>
    <x v="0"/>
    <s v="Project Site C + D"/>
    <x v="0"/>
    <x v="2"/>
    <m/>
  </r>
  <r>
    <x v="44"/>
    <d v="2025-07-05T00:00:00"/>
    <s v="TRX006"/>
    <x v="10"/>
    <n v="14"/>
    <n v="431000"/>
    <x v="110"/>
    <x v="1"/>
    <s v="Retur Barang"/>
    <x v="0"/>
    <x v="2"/>
    <n v="47592000"/>
  </r>
  <r>
    <x v="44"/>
    <d v="2025-09-09T00:00:00"/>
    <s v="TRX146"/>
    <x v="18"/>
    <n v="20"/>
    <n v="11500"/>
    <x v="111"/>
    <x v="1"/>
    <s v="Retur Barang"/>
    <x v="0"/>
    <x v="0"/>
    <m/>
  </r>
  <r>
    <x v="44"/>
    <d v="2025-07-29T00:00:00"/>
    <s v="TRX176"/>
    <x v="4"/>
    <n v="18"/>
    <n v="2296000"/>
    <x v="112"/>
    <x v="1"/>
    <s v="Retur Barang"/>
    <x v="0"/>
    <x v="2"/>
    <m/>
  </r>
  <r>
    <x v="45"/>
    <d v="2025-08-28T00:00:00"/>
    <s v="TRX055"/>
    <x v="15"/>
    <n v="16"/>
    <n v="31000"/>
    <x v="113"/>
    <x v="1"/>
    <s v="Project Site B"/>
    <x v="1"/>
    <x v="1"/>
    <n v="1362500"/>
  </r>
  <r>
    <x v="45"/>
    <d v="2025-09-09T00:00:00"/>
    <s v="TRX147"/>
    <x v="14"/>
    <n v="18"/>
    <n v="20000"/>
    <x v="114"/>
    <x v="1"/>
    <s v="Project Site B"/>
    <x v="1"/>
    <x v="0"/>
    <m/>
  </r>
  <r>
    <x v="45"/>
    <d v="2025-07-02T00:00:00"/>
    <s v="TRX148"/>
    <x v="6"/>
    <n v="5"/>
    <n v="50000"/>
    <x v="115"/>
    <x v="1"/>
    <s v="Project Site B"/>
    <x v="1"/>
    <x v="2"/>
    <m/>
  </r>
  <r>
    <x v="45"/>
    <d v="2025-09-15T00:00:00"/>
    <s v="TRX186"/>
    <x v="3"/>
    <n v="19"/>
    <n v="13500"/>
    <x v="116"/>
    <x v="1"/>
    <s v="Project Site B"/>
    <x v="0"/>
    <x v="0"/>
    <m/>
  </r>
  <r>
    <x v="46"/>
    <d v="2025-08-25T00:00:00"/>
    <s v="TRX052"/>
    <x v="2"/>
    <n v="7"/>
    <n v="335500"/>
    <x v="28"/>
    <x v="0"/>
    <s v="Project Site B"/>
    <x v="0"/>
    <x v="1"/>
    <n v="9675500"/>
  </r>
  <r>
    <x v="46"/>
    <d v="2025-08-11T00:00:00"/>
    <s v="TRX074"/>
    <x v="10"/>
    <n v="17"/>
    <n v="431000"/>
    <x v="117"/>
    <x v="0"/>
    <s v="Project Site B"/>
    <x v="0"/>
    <x v="1"/>
    <m/>
  </r>
  <r>
    <x v="47"/>
    <d v="2025-08-22T00:00:00"/>
    <s v="TRX063"/>
    <x v="13"/>
    <n v="19"/>
    <n v="260000"/>
    <x v="118"/>
    <x v="0"/>
    <s v="PO #001"/>
    <x v="1"/>
    <x v="1"/>
    <n v="4940000"/>
  </r>
  <r>
    <x v="48"/>
    <d v="2025-07-30T00:00:00"/>
    <s v="TRX009"/>
    <x v="14"/>
    <n v="16"/>
    <n v="20000"/>
    <x v="119"/>
    <x v="0"/>
    <s v="Restock"/>
    <x v="1"/>
    <x v="2"/>
    <n v="5060000"/>
  </r>
  <r>
    <x v="48"/>
    <d v="2025-08-03T00:00:00"/>
    <s v="TRX012"/>
    <x v="6"/>
    <n v="5"/>
    <n v="50000"/>
    <x v="115"/>
    <x v="0"/>
    <s v="Restock"/>
    <x v="0"/>
    <x v="1"/>
    <m/>
  </r>
  <r>
    <x v="48"/>
    <d v="2025-07-09T00:00:00"/>
    <s v="TRX192"/>
    <x v="11"/>
    <n v="1"/>
    <n v="4490000"/>
    <x v="26"/>
    <x v="0"/>
    <s v="Restock"/>
    <x v="0"/>
    <x v="2"/>
    <m/>
  </r>
  <r>
    <x v="49"/>
    <d v="2025-09-22T00:00:00"/>
    <s v="TRX108"/>
    <x v="7"/>
    <n v="7"/>
    <n v="135500"/>
    <x v="120"/>
    <x v="1"/>
    <s v="PO #003"/>
    <x v="0"/>
    <x v="0"/>
    <n v="23348500"/>
  </r>
  <r>
    <x v="49"/>
    <d v="2025-08-10T00:00:00"/>
    <s v="TRX177"/>
    <x v="12"/>
    <n v="7"/>
    <n v="3200000"/>
    <x v="121"/>
    <x v="1"/>
    <s v="PO #003"/>
    <x v="0"/>
    <x v="1"/>
    <m/>
  </r>
  <r>
    <x v="50"/>
    <d v="2025-08-11T00:00:00"/>
    <s v="TRX070"/>
    <x v="8"/>
    <n v="10"/>
    <n v="128000"/>
    <x v="122"/>
    <x v="0"/>
    <s v="Project Site B"/>
    <x v="0"/>
    <x v="1"/>
    <n v="21208000"/>
  </r>
  <r>
    <x v="50"/>
    <d v="2025-08-15T00:00:00"/>
    <s v="TRX078"/>
    <x v="13"/>
    <n v="6"/>
    <n v="260000"/>
    <x v="54"/>
    <x v="0"/>
    <s v="Project Site B"/>
    <x v="1"/>
    <x v="1"/>
    <m/>
  </r>
  <r>
    <x v="50"/>
    <d v="2025-08-13T00:00:00"/>
    <s v="TRX149"/>
    <x v="4"/>
    <n v="8"/>
    <n v="2296000"/>
    <x v="123"/>
    <x v="0"/>
    <s v="Project Site B"/>
    <x v="1"/>
    <x v="1"/>
    <m/>
  </r>
  <r>
    <x v="51"/>
    <d v="2025-07-06T00:00:00"/>
    <s v="TRX064"/>
    <x v="19"/>
    <n v="11"/>
    <n v="420000"/>
    <x v="124"/>
    <x v="1"/>
    <s v="PO #001"/>
    <x v="0"/>
    <x v="2"/>
    <n v="4720000"/>
  </r>
  <r>
    <x v="51"/>
    <d v="2025-07-12T00:00:00"/>
    <s v="TRX137"/>
    <x v="14"/>
    <n v="5"/>
    <n v="20000"/>
    <x v="125"/>
    <x v="1"/>
    <s v="PO #001"/>
    <x v="0"/>
    <x v="2"/>
    <m/>
  </r>
  <r>
    <x v="52"/>
    <d v="2025-08-07T00:00:00"/>
    <s v="TRX077"/>
    <x v="13"/>
    <n v="4"/>
    <n v="260000"/>
    <x v="126"/>
    <x v="0"/>
    <s v="Project Site C + D"/>
    <x v="1"/>
    <x v="1"/>
    <n v="12198000"/>
  </r>
  <r>
    <x v="52"/>
    <d v="2025-09-30T00:00:00"/>
    <s v="TRX098"/>
    <x v="5"/>
    <n v="10"/>
    <n v="1060000"/>
    <x v="44"/>
    <x v="0"/>
    <s v="Project Site C + D"/>
    <x v="0"/>
    <x v="0"/>
    <m/>
  </r>
  <r>
    <x v="52"/>
    <d v="2025-08-15T00:00:00"/>
    <s v="TRX178"/>
    <x v="15"/>
    <n v="18"/>
    <n v="31000"/>
    <x v="127"/>
    <x v="0"/>
    <s v="Project Site C + D"/>
    <x v="0"/>
    <x v="1"/>
    <m/>
  </r>
  <r>
    <x v="53"/>
    <d v="2025-09-05T00:00:00"/>
    <s v="TRX042"/>
    <x v="1"/>
    <n v="3"/>
    <n v="203500"/>
    <x v="128"/>
    <x v="1"/>
    <s v="Retur Barang"/>
    <x v="0"/>
    <x v="0"/>
    <n v="3450500"/>
  </r>
  <r>
    <x v="53"/>
    <d v="2025-09-26T00:00:00"/>
    <s v="TRX076"/>
    <x v="13"/>
    <n v="10"/>
    <n v="260000"/>
    <x v="17"/>
    <x v="1"/>
    <s v="Retur Barang"/>
    <x v="0"/>
    <x v="0"/>
    <m/>
  </r>
  <r>
    <x v="53"/>
    <d v="2025-07-18T00:00:00"/>
    <s v="TRX157"/>
    <x v="14"/>
    <n v="12"/>
    <n v="20000"/>
    <x v="129"/>
    <x v="1"/>
    <s v="Retur Barang"/>
    <x v="1"/>
    <x v="2"/>
    <m/>
  </r>
  <r>
    <x v="54"/>
    <d v="2025-07-02T00:00:00"/>
    <s v="TRX162"/>
    <x v="12"/>
    <n v="7"/>
    <n v="3200000"/>
    <x v="121"/>
    <x v="1"/>
    <s v="Project Site C + D"/>
    <x v="0"/>
    <x v="2"/>
    <n v="24638500"/>
  </r>
  <r>
    <x v="54"/>
    <d v="2025-09-23T00:00:00"/>
    <s v="TRX196"/>
    <x v="1"/>
    <n v="11"/>
    <n v="203500"/>
    <x v="130"/>
    <x v="1"/>
    <s v="Project Site C + D"/>
    <x v="1"/>
    <x v="0"/>
    <m/>
  </r>
  <r>
    <x v="55"/>
    <d v="2025-07-13T00:00:00"/>
    <s v="TRX044"/>
    <x v="19"/>
    <n v="9"/>
    <n v="420000"/>
    <x v="131"/>
    <x v="0"/>
    <s v="Project Site A"/>
    <x v="1"/>
    <x v="2"/>
    <n v="8477500"/>
  </r>
  <r>
    <x v="55"/>
    <d v="2025-08-28T00:00:00"/>
    <s v="TRX045"/>
    <x v="7"/>
    <n v="15"/>
    <n v="135500"/>
    <x v="132"/>
    <x v="0"/>
    <s v="Project Site A"/>
    <x v="1"/>
    <x v="1"/>
    <m/>
  </r>
  <r>
    <x v="55"/>
    <d v="2025-07-17T00:00:00"/>
    <s v="TRX046"/>
    <x v="16"/>
    <n v="5"/>
    <n v="237000"/>
    <x v="97"/>
    <x v="0"/>
    <s v="Project Site A"/>
    <x v="1"/>
    <x v="2"/>
    <m/>
  </r>
  <r>
    <x v="55"/>
    <d v="2025-09-27T00:00:00"/>
    <s v="TRX047"/>
    <x v="14"/>
    <n v="10"/>
    <n v="20000"/>
    <x v="18"/>
    <x v="0"/>
    <s v="Project Site A"/>
    <x v="1"/>
    <x v="0"/>
    <m/>
  </r>
  <r>
    <x v="55"/>
    <d v="2025-09-01T00:00:00"/>
    <s v="TRX184"/>
    <x v="8"/>
    <n v="10"/>
    <n v="128000"/>
    <x v="122"/>
    <x v="0"/>
    <s v="Project Site A"/>
    <x v="0"/>
    <x v="0"/>
    <m/>
  </r>
  <r>
    <x v="56"/>
    <d v="2025-07-21T00:00:00"/>
    <s v="TRX007"/>
    <x v="17"/>
    <n v="5"/>
    <n v="3134000"/>
    <x v="92"/>
    <x v="0"/>
    <s v="Restock"/>
    <x v="1"/>
    <x v="2"/>
    <n v="15980000"/>
  </r>
  <r>
    <x v="56"/>
    <d v="2025-08-15T00:00:00"/>
    <s v="TRX120"/>
    <x v="15"/>
    <n v="10"/>
    <n v="31000"/>
    <x v="22"/>
    <x v="0"/>
    <s v="Restock"/>
    <x v="0"/>
    <x v="1"/>
    <m/>
  </r>
  <r>
    <x v="57"/>
    <d v="2025-08-29T00:00:00"/>
    <s v="TRX093"/>
    <x v="3"/>
    <n v="10"/>
    <n v="13500"/>
    <x v="133"/>
    <x v="0"/>
    <s v="Retur Barang"/>
    <x v="1"/>
    <x v="1"/>
    <n v="28981000"/>
  </r>
  <r>
    <x v="57"/>
    <d v="2025-09-15T00:00:00"/>
    <s v="TRX119"/>
    <x v="18"/>
    <n v="4"/>
    <n v="11500"/>
    <x v="134"/>
    <x v="0"/>
    <s v="Retur Barang"/>
    <x v="1"/>
    <x v="0"/>
    <m/>
  </r>
  <r>
    <x v="57"/>
    <d v="2025-08-14T00:00:00"/>
    <s v="TRX161"/>
    <x v="12"/>
    <n v="9"/>
    <n v="3200000"/>
    <x v="135"/>
    <x v="0"/>
    <s v="Retur Barang"/>
    <x v="1"/>
    <x v="1"/>
    <m/>
  </r>
  <r>
    <x v="58"/>
    <d v="2025-08-19T00:00:00"/>
    <s v="TRX010"/>
    <x v="12"/>
    <n v="6"/>
    <n v="3200000"/>
    <x v="67"/>
    <x v="0"/>
    <s v="Retur Barang"/>
    <x v="1"/>
    <x v="1"/>
    <n v="79925000"/>
  </r>
  <r>
    <x v="58"/>
    <d v="2025-07-20T00:00:00"/>
    <s v="TRX032"/>
    <x v="11"/>
    <n v="10"/>
    <n v="4490000"/>
    <x v="13"/>
    <x v="0"/>
    <s v="Retur Barang"/>
    <x v="1"/>
    <x v="2"/>
    <m/>
  </r>
  <r>
    <x v="58"/>
    <d v="2025-09-07T00:00:00"/>
    <s v="TRX043"/>
    <x v="15"/>
    <n v="5"/>
    <n v="31000"/>
    <x v="136"/>
    <x v="0"/>
    <s v="Retur Barang"/>
    <x v="1"/>
    <x v="0"/>
    <m/>
  </r>
  <r>
    <x v="58"/>
    <d v="2025-07-31T00:00:00"/>
    <s v="TRX183"/>
    <x v="17"/>
    <n v="5"/>
    <n v="3134000"/>
    <x v="92"/>
    <x v="0"/>
    <s v="Retur Barang"/>
    <x v="1"/>
    <x v="2"/>
    <m/>
  </r>
  <r>
    <x v="59"/>
    <d v="2025-09-07T00:00:00"/>
    <s v="TRX092"/>
    <x v="11"/>
    <n v="13"/>
    <n v="4490000"/>
    <x v="137"/>
    <x v="1"/>
    <s v="Project Site C + D"/>
    <x v="0"/>
    <x v="0"/>
    <n v="68445000"/>
  </r>
  <r>
    <x v="59"/>
    <d v="2025-08-12T00:00:00"/>
    <s v="TRX096"/>
    <x v="19"/>
    <n v="16"/>
    <n v="420000"/>
    <x v="138"/>
    <x v="1"/>
    <s v="Project Site C + D"/>
    <x v="0"/>
    <x v="1"/>
    <m/>
  </r>
  <r>
    <x v="59"/>
    <d v="2025-07-14T00:00:00"/>
    <s v="TRX170"/>
    <x v="2"/>
    <n v="10"/>
    <n v="335500"/>
    <x v="25"/>
    <x v="1"/>
    <s v="Project Site C + D"/>
    <x v="0"/>
    <x v="2"/>
    <m/>
  </r>
  <r>
    <x v="60"/>
    <d v="2025-08-14T00:00:00"/>
    <s v="TRX075"/>
    <x v="1"/>
    <n v="17"/>
    <n v="203500"/>
    <x v="139"/>
    <x v="1"/>
    <s v="PO #001"/>
    <x v="0"/>
    <x v="1"/>
    <n v="57339500"/>
  </r>
  <r>
    <x v="60"/>
    <d v="2025-07-03T00:00:00"/>
    <s v="TRX122"/>
    <x v="11"/>
    <n v="12"/>
    <n v="4490000"/>
    <x v="57"/>
    <x v="1"/>
    <s v="PO #001"/>
    <x v="1"/>
    <x v="2"/>
    <m/>
  </r>
  <r>
    <x v="61"/>
    <d v="2025-07-11T00:00:00"/>
    <s v="TRX187"/>
    <x v="4"/>
    <n v="1"/>
    <n v="2296000"/>
    <x v="48"/>
    <x v="1"/>
    <s v="Project Site A"/>
    <x v="0"/>
    <x v="2"/>
    <n v="3031000"/>
  </r>
  <r>
    <x v="61"/>
    <d v="2025-07-02T00:00:00"/>
    <s v="TRX188"/>
    <x v="0"/>
    <n v="3"/>
    <n v="245000"/>
    <x v="140"/>
    <x v="1"/>
    <s v="Project Site A"/>
    <x v="0"/>
    <x v="2"/>
    <m/>
  </r>
  <r>
    <x v="62"/>
    <d v="2025-08-07T00:00:00"/>
    <s v="TRX132"/>
    <x v="7"/>
    <n v="3"/>
    <n v="135500"/>
    <x v="141"/>
    <x v="0"/>
    <s v="Proyek Maintenance"/>
    <x v="1"/>
    <x v="1"/>
    <n v="609000"/>
  </r>
  <r>
    <x v="62"/>
    <d v="2025-07-10T00:00:00"/>
    <s v="TRX171"/>
    <x v="3"/>
    <n v="15"/>
    <n v="13500"/>
    <x v="63"/>
    <x v="0"/>
    <s v="Proyek Maintenance"/>
    <x v="1"/>
    <x v="2"/>
    <m/>
  </r>
  <r>
    <x v="63"/>
    <d v="2025-07-11T00:00:00"/>
    <s v="TRX190"/>
    <x v="8"/>
    <n v="9"/>
    <n v="128000"/>
    <x v="142"/>
    <x v="1"/>
    <s v="Restock"/>
    <x v="0"/>
    <x v="2"/>
    <n v="9522000"/>
  </r>
  <r>
    <x v="63"/>
    <d v="2025-08-30T00:00:00"/>
    <s v="TRX191"/>
    <x v="9"/>
    <n v="18"/>
    <n v="465000"/>
    <x v="49"/>
    <x v="1"/>
    <s v="Restock"/>
    <x v="1"/>
    <x v="1"/>
    <m/>
  </r>
  <r>
    <x v="64"/>
    <d v="2025-08-02T00:00:00"/>
    <s v="TRX129"/>
    <x v="9"/>
    <n v="20"/>
    <n v="465000"/>
    <x v="20"/>
    <x v="0"/>
    <s v="PO #003"/>
    <x v="1"/>
    <x v="1"/>
    <n v="50588000"/>
  </r>
  <r>
    <x v="64"/>
    <d v="2025-08-13T00:00:00"/>
    <s v="TRX131"/>
    <x v="2"/>
    <n v="16"/>
    <n v="335500"/>
    <x v="143"/>
    <x v="0"/>
    <s v="PO #003"/>
    <x v="0"/>
    <x v="1"/>
    <m/>
  </r>
  <r>
    <x v="64"/>
    <d v="2025-07-26T00:00:00"/>
    <s v="TRX180"/>
    <x v="11"/>
    <n v="8"/>
    <n v="4490000"/>
    <x v="102"/>
    <x v="0"/>
    <s v="PO #003"/>
    <x v="0"/>
    <x v="2"/>
    <m/>
  </r>
  <r>
    <x v="65"/>
    <d v="2025-07-08T00:00:00"/>
    <s v="TRX104"/>
    <x v="14"/>
    <n v="17"/>
    <n v="20000"/>
    <x v="144"/>
    <x v="1"/>
    <s v="Proyek Maintenance"/>
    <x v="0"/>
    <x v="2"/>
    <n v="340000"/>
  </r>
  <r>
    <x v="66"/>
    <d v="2025-09-02T00:00:00"/>
    <s v="TRX003"/>
    <x v="8"/>
    <n v="8"/>
    <n v="128000"/>
    <x v="8"/>
    <x v="1"/>
    <s v="Project Site C + D"/>
    <x v="0"/>
    <x v="0"/>
    <n v="19044000"/>
  </r>
  <r>
    <x v="66"/>
    <d v="2025-09-13T00:00:00"/>
    <s v="TRX124"/>
    <x v="5"/>
    <n v="17"/>
    <n v="1060000"/>
    <x v="145"/>
    <x v="1"/>
    <s v="Project Site C + D"/>
    <x v="0"/>
    <x v="0"/>
    <m/>
  </r>
  <r>
    <x v="67"/>
    <d v="2025-09-01T00:00:00"/>
    <s v="TRX199"/>
    <x v="19"/>
    <n v="10"/>
    <n v="420000"/>
    <x v="146"/>
    <x v="1"/>
    <s v="Project Site C + D"/>
    <x v="0"/>
    <x v="0"/>
    <n v="4200000"/>
  </r>
  <r>
    <x v="68"/>
    <d v="2025-07-13T00:00:00"/>
    <s v="TRX086"/>
    <x v="3"/>
    <n v="18"/>
    <n v="13500"/>
    <x v="147"/>
    <x v="1"/>
    <s v="Project Site B"/>
    <x v="1"/>
    <x v="2"/>
    <n v="22181000"/>
  </r>
  <r>
    <x v="68"/>
    <d v="2025-09-19T00:00:00"/>
    <s v="TRX139"/>
    <x v="17"/>
    <n v="7"/>
    <n v="3134000"/>
    <x v="148"/>
    <x v="1"/>
    <s v="Project Site B"/>
    <x v="1"/>
    <x v="0"/>
    <m/>
  </r>
  <r>
    <x v="69"/>
    <d v="2025-08-06T00:00:00"/>
    <s v="TRX193"/>
    <x v="2"/>
    <n v="6"/>
    <n v="335500"/>
    <x v="149"/>
    <x v="1"/>
    <s v="PO #001"/>
    <x v="1"/>
    <x v="1"/>
    <n v="201300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_rels/pivotTable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6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7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8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4.xml"/></Relationships>
</file>

<file path=xl/pivotTables/_rels/pivotTable9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4.xml"/></Relationships>
</file>

<file path=xl/pivotTables/_rels/pivotTable10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1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1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1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_rels/pivotTable1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_rels/pivotTable1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_rels/pivotTable16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FAE039F5-7FA3-43A2-BA08-B9F3D0468D7E}" name="PivotTable2" cacheId="2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4">
  <location ref="A19:D24" firstHeaderRow="1" firstDataRow="2" firstDataCol="1"/>
  <pivotFields count="12">
    <pivotField showAll="0"/>
    <pivotField numFmtId="165" showAll="0"/>
    <pivotField showAll="0"/>
    <pivotField showAll="0"/>
    <pivotField dataField="1" showAll="0"/>
    <pivotField numFmtId="164" showAll="0"/>
    <pivotField numFmtId="164" showAll="0"/>
    <pivotField axis="axisCol" showAll="0">
      <items count="3">
        <item x="0"/>
        <item x="1"/>
        <item t="default"/>
      </items>
    </pivotField>
    <pivotField showAll="0"/>
    <pivotField showAll="0"/>
    <pivotField numFmtId="14" showAll="0">
      <items count="4">
        <item x="2"/>
        <item x="0"/>
        <item x="1"/>
        <item t="default"/>
      </items>
    </pivotField>
    <pivotField axis="axisRow"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</pivotFields>
  <rowFields count="1">
    <field x="11"/>
  </rowFields>
  <rowItems count="4">
    <i>
      <x v="7"/>
    </i>
    <i>
      <x v="8"/>
    </i>
    <i>
      <x v="9"/>
    </i>
    <i t="grand">
      <x/>
    </i>
  </rowItems>
  <colFields count="1">
    <field x="7"/>
  </colFields>
  <colItems count="3">
    <i>
      <x/>
    </i>
    <i>
      <x v="1"/>
    </i>
    <i t="grand">
      <x/>
    </i>
  </colItems>
  <dataFields count="1">
    <dataField name="Sum of Qty" fld="4" baseField="0" baseItem="0"/>
  </dataFields>
  <chartFormats count="2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7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7" count="1" selected="0">
            <x v="1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56D6F3D9-50F5-49D1-861F-FC4DE03B8D0E}" name="PivotTable1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24">
  <location ref="A3:B6" firstHeaderRow="1" firstDataRow="1" firstDataCol="1" rowPageCount="1" colPageCount="1"/>
  <pivotFields count="9">
    <pivotField dataField="1" showAll="0">
      <items count="21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t="default"/>
      </items>
    </pivotField>
    <pivotField showAll="0"/>
    <pivotField axis="axisRow" showAll="0">
      <items count="6">
        <item x="1"/>
        <item x="4"/>
        <item x="3"/>
        <item x="0"/>
        <item x="2"/>
        <item t="default"/>
      </items>
    </pivotField>
    <pivotField showAll="0"/>
    <pivotField showAll="0"/>
    <pivotField showAll="0"/>
    <pivotField showAll="0"/>
    <pivotField showAll="0"/>
    <pivotField axis="axisPage" showAll="0">
      <items count="3">
        <item x="1"/>
        <item x="0"/>
        <item t="default"/>
      </items>
    </pivotField>
  </pivotFields>
  <rowFields count="1">
    <field x="2"/>
  </rowFields>
  <rowItems count="3">
    <i>
      <x/>
    </i>
    <i>
      <x v="4"/>
    </i>
    <i t="grand">
      <x/>
    </i>
  </rowItems>
  <colItems count="1">
    <i/>
  </colItems>
  <pageFields count="1">
    <pageField fld="8" item="0" hier="-1"/>
  </pageFields>
  <dataFields count="1">
    <dataField name="Count of Item ID" fld="0" subtotal="count" baseField="0" baseItem="0"/>
  </dataFields>
  <chartFormats count="6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0"/>
          </reference>
        </references>
      </pivotArea>
    </chartFormat>
    <chartFormat chart="0" format="2">
      <pivotArea type="data" outline="0" fieldPosition="0">
        <references count="2">
          <reference field="4294967294" count="1" selected="0">
            <x v="0"/>
          </reference>
          <reference field="2" count="1" selected="0">
            <x v="4"/>
          </reference>
        </references>
      </pivotArea>
    </chartFormat>
    <chartFormat chart="19" format="6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9" format="7">
      <pivotArea type="data" outline="0" fieldPosition="0">
        <references count="2">
          <reference field="4294967294" count="1" selected="0">
            <x v="0"/>
          </reference>
          <reference field="2" count="1" selected="0">
            <x v="0"/>
          </reference>
        </references>
      </pivotArea>
    </chartFormat>
    <chartFormat chart="19" format="8">
      <pivotArea type="data" outline="0" fieldPosition="0">
        <references count="2">
          <reference field="4294967294" count="1" selected="0">
            <x v="0"/>
          </reference>
          <reference field="2" count="1" selected="0">
            <x v="4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160BDA0A-ACF8-407C-AC00-AD949CDDE915}" name="PivotTable4" cacheId="2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15">
  <location ref="A57:B63" firstHeaderRow="1" firstDataRow="1" firstDataCol="1" rowPageCount="1" colPageCount="1"/>
  <pivotFields count="12">
    <pivotField showAll="0"/>
    <pivotField numFmtId="165" showAll="0"/>
    <pivotField showAll="0"/>
    <pivotField axis="axisRow" showAll="0" measureFilter="1" sortType="descending">
      <items count="21">
        <item x="1"/>
        <item x="13"/>
        <item x="18"/>
        <item x="15"/>
        <item x="6"/>
        <item x="0"/>
        <item x="10"/>
        <item x="3"/>
        <item x="17"/>
        <item x="14"/>
        <item x="9"/>
        <item x="16"/>
        <item x="8"/>
        <item x="2"/>
        <item x="11"/>
        <item x="12"/>
        <item x="4"/>
        <item x="5"/>
        <item x="7"/>
        <item x="19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dataField="1" showAll="0"/>
    <pivotField numFmtId="164" showAll="0"/>
    <pivotField numFmtId="164" showAll="0"/>
    <pivotField axis="axisPage" showAll="0">
      <items count="3">
        <item x="0"/>
        <item x="1"/>
        <item t="default"/>
      </items>
    </pivotField>
    <pivotField showAll="0"/>
    <pivotField showAll="0"/>
    <pivotField numFmtId="14" showAll="0">
      <items count="4">
        <item x="2"/>
        <item x="0"/>
        <item x="1"/>
        <item t="default"/>
      </items>
    </pivotField>
    <pivotField showAll="0" defaultSubtotal="0">
      <items count="14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</items>
    </pivotField>
  </pivotFields>
  <rowFields count="1">
    <field x="3"/>
  </rowFields>
  <rowItems count="6">
    <i>
      <x v="8"/>
    </i>
    <i>
      <x v="5"/>
    </i>
    <i>
      <x v="1"/>
    </i>
    <i>
      <x v="15"/>
    </i>
    <i>
      <x v="16"/>
    </i>
    <i t="grand">
      <x/>
    </i>
  </rowItems>
  <colItems count="1">
    <i/>
  </colItems>
  <pageFields count="1">
    <pageField fld="7" item="1" hier="-1"/>
  </pageFields>
  <dataFields count="1">
    <dataField name="Sum of Qty" fld="4" baseField="0" baseItem="0"/>
  </dataFields>
  <chartFormats count="2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4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filters count="1">
    <filter fld="3" type="count" evalOrder="-1" id="1" iMeasureFld="0">
      <autoFilter ref="A1">
        <filterColumn colId="0">
          <top10 val="5" filterVal="5"/>
        </filterColumn>
      </autoFilter>
    </filter>
  </filters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2CB69E67-BA3C-4FCA-A397-962C0778896A}" name="PivotTable3" cacheId="2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6">
  <location ref="A38:D43" firstHeaderRow="1" firstDataRow="2" firstDataCol="1"/>
  <pivotFields count="12">
    <pivotField showAll="0"/>
    <pivotField numFmtId="165" showAll="0"/>
    <pivotField showAll="0"/>
    <pivotField showAll="0"/>
    <pivotField dataField="1" showAll="0"/>
    <pivotField numFmtId="164" showAll="0"/>
    <pivotField numFmtId="164" showAll="0"/>
    <pivotField axis="axisCol" showAll="0">
      <items count="3">
        <item x="0"/>
        <item x="1"/>
        <item t="default"/>
      </items>
    </pivotField>
    <pivotField showAll="0"/>
    <pivotField axis="axisRow" showAll="0">
      <items count="4">
        <item x="2"/>
        <item x="0"/>
        <item x="1"/>
        <item t="default"/>
      </items>
    </pivotField>
    <pivotField numFmtId="14" showAll="0">
      <items count="4">
        <item x="2"/>
        <item x="0"/>
        <item x="1"/>
        <item t="default"/>
      </items>
    </pivotField>
    <pivotField showAll="0" defaultSubtotal="0">
      <items count="14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</items>
    </pivotField>
  </pivotFields>
  <rowFields count="1">
    <field x="9"/>
  </rowFields>
  <rowItems count="4">
    <i>
      <x/>
    </i>
    <i>
      <x v="1"/>
    </i>
    <i>
      <x v="2"/>
    </i>
    <i t="grand">
      <x/>
    </i>
  </rowItems>
  <colFields count="1">
    <field x="7"/>
  </colFields>
  <colItems count="3">
    <i>
      <x/>
    </i>
    <i>
      <x v="1"/>
    </i>
    <i t="grand">
      <x/>
    </i>
  </colItems>
  <dataFields count="1">
    <dataField name="Sum of Qty" fld="4" baseField="0" baseItem="0"/>
  </dataFields>
  <chartFormats count="4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7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7" count="1" selected="0">
            <x v="1"/>
          </reference>
        </references>
      </pivotArea>
    </chartFormat>
    <chartFormat chart="5" format="4" series="1">
      <pivotArea type="data" outline="0" fieldPosition="0">
        <references count="2">
          <reference field="4294967294" count="1" selected="0">
            <x v="0"/>
          </reference>
          <reference field="7" count="1" selected="0">
            <x v="0"/>
          </reference>
        </references>
      </pivotArea>
    </chartFormat>
    <chartFormat chart="5" format="5" series="1">
      <pivotArea type="data" outline="0" fieldPosition="0">
        <references count="2">
          <reference field="4294967294" count="1" selected="0">
            <x v="0"/>
          </reference>
          <reference field="7" count="1" selected="0">
            <x v="1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5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8ACB0A24-06B6-443E-8CA3-2ADA89D91D35}" name="PivotTable2" cacheId="1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6">
  <location ref="A18:B21" firstHeaderRow="1" firstDataRow="1" firstDataCol="1"/>
  <pivotFields count="6">
    <pivotField dataField="1" showAll="0"/>
    <pivotField showAll="0"/>
    <pivotField numFmtId="164" showAll="0"/>
    <pivotField numFmtId="164" showAll="0"/>
    <pivotField showAll="0"/>
    <pivotField axis="axisRow" showAll="0">
      <items count="3">
        <item x="1"/>
        <item x="0"/>
        <item t="default"/>
      </items>
    </pivotField>
  </pivotFields>
  <rowFields count="1">
    <field x="5"/>
  </rowFields>
  <rowItems count="3">
    <i>
      <x/>
    </i>
    <i>
      <x v="1"/>
    </i>
    <i t="grand">
      <x/>
    </i>
  </rowItems>
  <colItems count="1">
    <i/>
  </colItems>
  <dataFields count="1">
    <dataField name="Count of Invoice ID" fld="0" subtotal="count" baseField="0" baseItem="0"/>
  </dataFields>
  <chartFormats count="2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5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6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EB3582F2-4879-4B00-934E-FD3062E228ED}" name="PivotTable1" cacheId="1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18">
  <location ref="A1:B4" firstHeaderRow="1" firstDataRow="1" firstDataCol="1"/>
  <pivotFields count="6">
    <pivotField dataField="1" showAll="0"/>
    <pivotField showAll="0"/>
    <pivotField numFmtId="164" showAll="0"/>
    <pivotField numFmtId="164" showAll="0"/>
    <pivotField axis="axisRow" showAll="0">
      <items count="5">
        <item m="1" x="2"/>
        <item m="1" x="3"/>
        <item x="1"/>
        <item x="0"/>
        <item t="default"/>
      </items>
    </pivotField>
    <pivotField showAll="0"/>
  </pivotFields>
  <rowFields count="1">
    <field x="4"/>
  </rowFields>
  <rowItems count="3">
    <i>
      <x v="2"/>
    </i>
    <i>
      <x v="3"/>
    </i>
    <i t="grand">
      <x/>
    </i>
  </rowItems>
  <colItems count="1">
    <i/>
  </colItems>
  <dataFields count="1">
    <dataField name="Count of Invoice ID" fld="0" subtotal="count" baseField="0" baseItem="0"/>
  </dataFields>
  <chartFormats count="6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2"/>
          </reference>
        </references>
      </pivotArea>
    </chartFormat>
    <chartFormat chart="0" format="2">
      <pivotArea type="data" outline="0" fieldPosition="0">
        <references count="2">
          <reference field="4294967294" count="1" selected="0">
            <x v="0"/>
          </reference>
          <reference field="4" count="1" selected="0">
            <x v="3"/>
          </reference>
        </references>
      </pivotArea>
    </chartFormat>
    <chartFormat chart="17" format="6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7" format="7">
      <pivotArea type="data" outline="0" fieldPosition="0">
        <references count="2">
          <reference field="4294967294" count="1" selected="0">
            <x v="0"/>
          </reference>
          <reference field="4" count="1" selected="0">
            <x v="2"/>
          </reference>
        </references>
      </pivotArea>
    </chartFormat>
    <chartFormat chart="17" format="8">
      <pivotArea type="data" outline="0" fieldPosition="0">
        <references count="2">
          <reference field="4294967294" count="1" selected="0">
            <x v="0"/>
          </reference>
          <reference field="4" count="1" selected="0">
            <x v="3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7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5E2CF2A-0FA8-4A46-B21C-8B17404E80D2}" name="PivotTable3" cacheId="1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35:D39" firstHeaderRow="1" firstDataRow="2" firstDataCol="1"/>
  <pivotFields count="6">
    <pivotField dataField="1" showAll="0"/>
    <pivotField showAll="0"/>
    <pivotField numFmtId="164" showAll="0"/>
    <pivotField numFmtId="164" showAll="0"/>
    <pivotField axis="axisRow" showAll="0">
      <items count="5">
        <item m="1" x="2"/>
        <item m="1" x="3"/>
        <item x="1"/>
        <item x="0"/>
        <item t="default"/>
      </items>
    </pivotField>
    <pivotField axis="axisCol" showAll="0">
      <items count="3">
        <item x="1"/>
        <item x="0"/>
        <item t="default"/>
      </items>
    </pivotField>
  </pivotFields>
  <rowFields count="1">
    <field x="4"/>
  </rowFields>
  <rowItems count="3">
    <i>
      <x v="2"/>
    </i>
    <i>
      <x v="3"/>
    </i>
    <i t="grand">
      <x/>
    </i>
  </rowItems>
  <colFields count="1">
    <field x="5"/>
  </colFields>
  <colItems count="3">
    <i>
      <x/>
    </i>
    <i>
      <x v="1"/>
    </i>
    <i t="grand">
      <x/>
    </i>
  </colItems>
  <dataFields count="1">
    <dataField name="Count of Invoice ID" fld="0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8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AC2A9748-987B-46B1-802E-F05D5A4BC836}" name="PivotTable4" cacheId="3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20">
  <location ref="A45:B49" firstHeaderRow="1" firstDataRow="1" firstDataCol="1" rowPageCount="2" colPageCount="1"/>
  <pivotFields count="12">
    <pivotField axis="axisRow" showAll="0">
      <items count="71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t="default"/>
      </items>
    </pivotField>
    <pivotField numFmtId="165" showAll="0"/>
    <pivotField showAll="0"/>
    <pivotField showAll="0"/>
    <pivotField showAll="0"/>
    <pivotField numFmtId="164" showAll="0"/>
    <pivotField dataField="1" numFmtId="164" showAll="0"/>
    <pivotField axis="axisPage" showAll="0">
      <items count="3">
        <item x="1"/>
        <item x="0"/>
        <item t="default"/>
      </items>
    </pivotField>
    <pivotField showAll="0"/>
    <pivotField axis="axisPage" showAll="0">
      <items count="3">
        <item x="1"/>
        <item x="0"/>
        <item t="default"/>
      </items>
    </pivotField>
    <pivotField axis="axisRow" showAll="0">
      <items count="4">
        <item sd="0" x="2"/>
        <item sd="0" x="1"/>
        <item sd="0" x="0"/>
        <item t="default"/>
      </items>
    </pivotField>
    <pivotField numFmtId="164" showAll="0"/>
  </pivotFields>
  <rowFields count="2">
    <field x="10"/>
    <field x="0"/>
  </rowFields>
  <rowItems count="4">
    <i>
      <x/>
    </i>
    <i>
      <x v="1"/>
    </i>
    <i>
      <x v="2"/>
    </i>
    <i t="grand">
      <x/>
    </i>
  </rowItems>
  <colItems count="1">
    <i/>
  </colItems>
  <pageFields count="2">
    <pageField fld="7" item="0" hier="-1"/>
    <pageField fld="9" item="1" hier="-1"/>
  </pageFields>
  <dataFields count="1">
    <dataField name="Sum of Line Total" fld="6" baseField="0" baseItem="0" numFmtId="164"/>
  </dataFields>
  <chartFormats count="4">
    <chartFormat chart="2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" format="1">
      <pivotArea type="data" outline="0" fieldPosition="0">
        <references count="2">
          <reference field="4294967294" count="1" selected="0">
            <x v="0"/>
          </reference>
          <reference field="10" count="1" selected="0">
            <x v="1"/>
          </reference>
        </references>
      </pivotArea>
    </chartFormat>
    <chartFormat chart="14" format="3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5" format="4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9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1D16016E-978A-4EA8-BEFF-D58830194244}" name="PivotTable8" cacheId="3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20">
  <location ref="J21:K25" firstHeaderRow="1" firstDataRow="1" firstDataCol="1" rowPageCount="2" colPageCount="1"/>
  <pivotFields count="12">
    <pivotField axis="axisRow" showAll="0">
      <items count="71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t="default"/>
      </items>
    </pivotField>
    <pivotField numFmtId="165" showAll="0"/>
    <pivotField showAll="0"/>
    <pivotField showAll="0"/>
    <pivotField showAll="0"/>
    <pivotField numFmtId="164" showAll="0"/>
    <pivotField dataField="1" numFmtId="164" showAll="0"/>
    <pivotField axis="axisPage" showAll="0">
      <items count="3">
        <item x="1"/>
        <item x="0"/>
        <item t="default"/>
      </items>
    </pivotField>
    <pivotField showAll="0"/>
    <pivotField axis="axisPage" showAll="0">
      <items count="3">
        <item x="1"/>
        <item x="0"/>
        <item t="default"/>
      </items>
    </pivotField>
    <pivotField axis="axisRow" showAll="0">
      <items count="4">
        <item sd="0" x="2"/>
        <item sd="0" x="1"/>
        <item sd="0" x="0"/>
        <item t="default"/>
      </items>
    </pivotField>
    <pivotField numFmtId="164" showAll="0"/>
  </pivotFields>
  <rowFields count="2">
    <field x="10"/>
    <field x="0"/>
  </rowFields>
  <rowItems count="4">
    <i>
      <x/>
    </i>
    <i>
      <x v="1"/>
    </i>
    <i>
      <x v="2"/>
    </i>
    <i t="grand">
      <x/>
    </i>
  </rowItems>
  <colItems count="1">
    <i/>
  </colItems>
  <pageFields count="2">
    <pageField fld="7" item="0" hier="-1"/>
    <pageField fld="9" item="1" hier="-1"/>
  </pageFields>
  <dataFields count="1">
    <dataField name="Sum of Line Total" fld="6" baseField="0" baseItem="0" numFmtId="164"/>
  </dataFields>
  <chartFormats count="4">
    <chartFormat chart="2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" format="1">
      <pivotArea type="data" outline="0" fieldPosition="0">
        <references count="2">
          <reference field="4294967294" count="1" selected="0">
            <x v="0"/>
          </reference>
          <reference field="10" count="1" selected="0">
            <x v="1"/>
          </reference>
        </references>
      </pivotArea>
    </chartFormat>
    <chartFormat chart="14" format="3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5" format="4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0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A8C5249A-DBB6-4860-AB67-FB4B8CB4D478}" name="PivotTable7" cacheId="1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J11:M15" firstHeaderRow="1" firstDataRow="2" firstDataCol="1"/>
  <pivotFields count="6">
    <pivotField dataField="1" showAll="0"/>
    <pivotField showAll="0"/>
    <pivotField numFmtId="164" showAll="0"/>
    <pivotField numFmtId="164" showAll="0"/>
    <pivotField axis="axisRow" showAll="0">
      <items count="5">
        <item m="1" x="2"/>
        <item m="1" x="3"/>
        <item x="1"/>
        <item x="0"/>
        <item t="default"/>
      </items>
    </pivotField>
    <pivotField axis="axisCol" showAll="0">
      <items count="3">
        <item x="1"/>
        <item x="0"/>
        <item t="default"/>
      </items>
    </pivotField>
  </pivotFields>
  <rowFields count="1">
    <field x="4"/>
  </rowFields>
  <rowItems count="3">
    <i>
      <x v="2"/>
    </i>
    <i>
      <x v="3"/>
    </i>
    <i t="grand">
      <x/>
    </i>
  </rowItems>
  <colFields count="1">
    <field x="5"/>
  </colFields>
  <colItems count="3">
    <i>
      <x/>
    </i>
    <i>
      <x v="1"/>
    </i>
    <i t="grand">
      <x/>
    </i>
  </colItems>
  <dataFields count="1">
    <dataField name="Count of Invoice ID" fld="0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AA72DC35-A786-4E8D-AB58-05E688E7103B}" name="PivotTable6" cacheId="1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6">
  <location ref="M5:N8" firstHeaderRow="1" firstDataRow="1" firstDataCol="1"/>
  <pivotFields count="6">
    <pivotField dataField="1" showAll="0"/>
    <pivotField showAll="0"/>
    <pivotField numFmtId="164" showAll="0"/>
    <pivotField numFmtId="164" showAll="0"/>
    <pivotField showAll="0"/>
    <pivotField axis="axisRow" showAll="0">
      <items count="3">
        <item x="1"/>
        <item x="0"/>
        <item t="default"/>
      </items>
    </pivotField>
  </pivotFields>
  <rowFields count="1">
    <field x="5"/>
  </rowFields>
  <rowItems count="3">
    <i>
      <x/>
    </i>
    <i>
      <x v="1"/>
    </i>
    <i t="grand">
      <x/>
    </i>
  </rowItems>
  <colItems count="1">
    <i/>
  </colItems>
  <dataFields count="1">
    <dataField name="Count of Invoice ID" fld="0" subtotal="count" baseField="0" baseItem="0"/>
  </dataFields>
  <formats count="3">
    <format dxfId="25">
      <pivotArea field="5" type="button" dataOnly="0" labelOnly="1" outline="0" axis="axisRow" fieldPosition="0"/>
    </format>
    <format dxfId="24">
      <pivotArea field="5" type="button" dataOnly="0" labelOnly="1" outline="0" axis="axisRow" fieldPosition="0"/>
    </format>
    <format dxfId="6">
      <pivotArea dataOnly="0" labelOnly="1" outline="0" axis="axisValues" fieldPosition="0"/>
    </format>
  </formats>
  <chartFormats count="2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5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FD379EDD-601B-4CB2-BDA0-7B049E26348B}" name="PivotTable5" cacheId="1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18">
  <location ref="J5:K8" firstHeaderRow="1" firstDataRow="1" firstDataCol="1"/>
  <pivotFields count="6">
    <pivotField dataField="1" showAll="0"/>
    <pivotField showAll="0"/>
    <pivotField numFmtId="164" showAll="0"/>
    <pivotField numFmtId="164" showAll="0"/>
    <pivotField axis="axisRow" showAll="0">
      <items count="5">
        <item m="1" x="2"/>
        <item m="1" x="3"/>
        <item x="1"/>
        <item x="0"/>
        <item t="default"/>
      </items>
    </pivotField>
    <pivotField showAll="0"/>
  </pivotFields>
  <rowFields count="1">
    <field x="4"/>
  </rowFields>
  <rowItems count="3">
    <i>
      <x v="2"/>
    </i>
    <i>
      <x v="3"/>
    </i>
    <i t="grand">
      <x/>
    </i>
  </rowItems>
  <colItems count="1">
    <i/>
  </colItems>
  <dataFields count="1">
    <dataField name="Count of Invoice ID" fld="0" subtotal="count" baseField="0" baseItem="0"/>
  </dataFields>
  <formats count="7">
    <format dxfId="34">
      <pivotArea dataOnly="0" outline="0" axis="axisValues" fieldPosition="0"/>
    </format>
    <format dxfId="33">
      <pivotArea field="4" type="button" dataOnly="0" labelOnly="1" outline="0" axis="axisRow" fieldPosition="0"/>
    </format>
    <format dxfId="31">
      <pivotArea dataOnly="0" labelOnly="1" outline="0" axis="axisValues" fieldPosition="0"/>
    </format>
    <format dxfId="29">
      <pivotArea field="4" type="button" dataOnly="0" labelOnly="1" outline="0" axis="axisRow" fieldPosition="0"/>
    </format>
    <format dxfId="28">
      <pivotArea dataOnly="0" labelOnly="1" outline="0" axis="axisValues" fieldPosition="0"/>
    </format>
    <format dxfId="22">
      <pivotArea field="4" type="button" dataOnly="0" labelOnly="1" outline="0" axis="axisRow" fieldPosition="0"/>
    </format>
    <format dxfId="19">
      <pivotArea dataOnly="0" labelOnly="1" outline="0" axis="axisValues" fieldPosition="0"/>
    </format>
  </formats>
  <chartFormats count="6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2"/>
          </reference>
        </references>
      </pivotArea>
    </chartFormat>
    <chartFormat chart="0" format="2">
      <pivotArea type="data" outline="0" fieldPosition="0">
        <references count="2">
          <reference field="4294967294" count="1" selected="0">
            <x v="0"/>
          </reference>
          <reference field="4" count="1" selected="0">
            <x v="3"/>
          </reference>
        </references>
      </pivotArea>
    </chartFormat>
    <chartFormat chart="17" format="6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7" format="7">
      <pivotArea type="data" outline="0" fieldPosition="0">
        <references count="2">
          <reference field="4294967294" count="1" selected="0">
            <x v="0"/>
          </reference>
          <reference field="4" count="1" selected="0">
            <x v="2"/>
          </reference>
        </references>
      </pivotArea>
    </chartFormat>
    <chartFormat chart="17" format="8">
      <pivotArea type="data" outline="0" fieldPosition="0">
        <references count="2">
          <reference field="4294967294" count="1" selected="0">
            <x v="0"/>
          </reference>
          <reference field="4" count="1" selected="0">
            <x v="3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6C1C58EE-06DF-44D0-92AC-9FA9425FEBF3}" name="PivotTable4" cacheId="2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15">
  <location ref="A23:B29" firstHeaderRow="1" firstDataRow="1" firstDataCol="1" rowPageCount="1" colPageCount="1"/>
  <pivotFields count="12">
    <pivotField showAll="0"/>
    <pivotField numFmtId="165" showAll="0"/>
    <pivotField showAll="0"/>
    <pivotField axis="axisRow" showAll="0" measureFilter="1" sortType="descending">
      <items count="21">
        <item x="1"/>
        <item x="13"/>
        <item x="18"/>
        <item x="15"/>
        <item x="6"/>
        <item x="0"/>
        <item x="10"/>
        <item x="3"/>
        <item x="17"/>
        <item x="14"/>
        <item x="9"/>
        <item x="16"/>
        <item x="8"/>
        <item x="2"/>
        <item x="11"/>
        <item x="12"/>
        <item x="4"/>
        <item x="5"/>
        <item x="7"/>
        <item x="19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dataField="1" showAll="0"/>
    <pivotField numFmtId="164" showAll="0"/>
    <pivotField numFmtId="164" showAll="0"/>
    <pivotField axis="axisPage" showAll="0">
      <items count="3">
        <item x="0"/>
        <item x="1"/>
        <item t="default"/>
      </items>
    </pivotField>
    <pivotField showAll="0"/>
    <pivotField showAll="0"/>
    <pivotField numFmtId="14" showAll="0">
      <items count="4">
        <item x="2"/>
        <item x="0"/>
        <item x="1"/>
        <item t="default"/>
      </items>
    </pivotField>
    <pivotField showAll="0" defaultSubtotal="0">
      <items count="14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</items>
    </pivotField>
  </pivotFields>
  <rowFields count="1">
    <field x="3"/>
  </rowFields>
  <rowItems count="6">
    <i>
      <x v="8"/>
    </i>
    <i>
      <x v="5"/>
    </i>
    <i>
      <x v="1"/>
    </i>
    <i>
      <x v="15"/>
    </i>
    <i>
      <x v="16"/>
    </i>
    <i t="grand">
      <x/>
    </i>
  </rowItems>
  <colItems count="1">
    <i/>
  </colItems>
  <pageFields count="1">
    <pageField fld="7" item="1" hier="-1"/>
  </pageFields>
  <dataFields count="1">
    <dataField name="Sum of Qty" fld="4" baseField="0" baseItem="0"/>
  </dataFields>
  <chartFormats count="2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4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filters count="1">
    <filter fld="3" type="count" evalOrder="-1" id="1" iMeasureFld="0">
      <autoFilter ref="A1">
        <filterColumn colId="0">
          <top10 val="5" filterVal="5"/>
        </filterColumn>
      </autoFilter>
    </filter>
  </filters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7C7962CA-CA30-4234-92AB-810592BB9F68}" name="PivotTable3" cacheId="2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6">
  <location ref="A13:D18" firstHeaderRow="1" firstDataRow="2" firstDataCol="1"/>
  <pivotFields count="12">
    <pivotField showAll="0"/>
    <pivotField numFmtId="165" showAll="0"/>
    <pivotField showAll="0"/>
    <pivotField showAll="0"/>
    <pivotField dataField="1" showAll="0"/>
    <pivotField numFmtId="164" showAll="0"/>
    <pivotField numFmtId="164" showAll="0"/>
    <pivotField axis="axisCol" showAll="0">
      <items count="3">
        <item x="0"/>
        <item x="1"/>
        <item t="default"/>
      </items>
    </pivotField>
    <pivotField showAll="0"/>
    <pivotField axis="axisRow" showAll="0">
      <items count="4">
        <item x="2"/>
        <item x="0"/>
        <item x="1"/>
        <item t="default"/>
      </items>
    </pivotField>
    <pivotField numFmtId="14" showAll="0">
      <items count="4">
        <item x="2"/>
        <item x="0"/>
        <item x="1"/>
        <item t="default"/>
      </items>
    </pivotField>
    <pivotField showAll="0" defaultSubtotal="0">
      <items count="14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</items>
    </pivotField>
  </pivotFields>
  <rowFields count="1">
    <field x="9"/>
  </rowFields>
  <rowItems count="4">
    <i>
      <x/>
    </i>
    <i>
      <x v="1"/>
    </i>
    <i>
      <x v="2"/>
    </i>
    <i t="grand">
      <x/>
    </i>
  </rowItems>
  <colFields count="1">
    <field x="7"/>
  </colFields>
  <colItems count="3">
    <i>
      <x/>
    </i>
    <i>
      <x v="1"/>
    </i>
    <i t="grand">
      <x/>
    </i>
  </colItems>
  <dataFields count="1">
    <dataField name="Sum of Qty" fld="4" baseField="0" baseItem="0"/>
  </dataFields>
  <chartFormats count="4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7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7" count="1" selected="0">
            <x v="1"/>
          </reference>
        </references>
      </pivotArea>
    </chartFormat>
    <chartFormat chart="5" format="4" series="1">
      <pivotArea type="data" outline="0" fieldPosition="0">
        <references count="2">
          <reference field="4294967294" count="1" selected="0">
            <x v="0"/>
          </reference>
          <reference field="7" count="1" selected="0">
            <x v="0"/>
          </reference>
        </references>
      </pivotArea>
    </chartFormat>
    <chartFormat chart="5" format="5" series="1">
      <pivotArea type="data" outline="0" fieldPosition="0">
        <references count="2">
          <reference field="4294967294" count="1" selected="0">
            <x v="0"/>
          </reference>
          <reference field="7" count="1" selected="0">
            <x v="1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5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679E3A11-620A-4462-8BDB-FB8A244366DD}" name="PivotTable2" cacheId="2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4">
  <location ref="D5:G10" firstHeaderRow="1" firstDataRow="2" firstDataCol="1"/>
  <pivotFields count="12">
    <pivotField showAll="0"/>
    <pivotField numFmtId="165" showAll="0"/>
    <pivotField showAll="0"/>
    <pivotField showAll="0"/>
    <pivotField dataField="1" showAll="0"/>
    <pivotField numFmtId="164" showAll="0"/>
    <pivotField numFmtId="164" showAll="0"/>
    <pivotField axis="axisCol" showAll="0">
      <items count="3">
        <item x="0"/>
        <item x="1"/>
        <item t="default"/>
      </items>
    </pivotField>
    <pivotField showAll="0"/>
    <pivotField showAll="0"/>
    <pivotField numFmtId="14" showAll="0">
      <items count="4">
        <item x="2"/>
        <item x="0"/>
        <item x="1"/>
        <item t="default"/>
      </items>
    </pivotField>
    <pivotField axis="axisRow"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</pivotFields>
  <rowFields count="1">
    <field x="11"/>
  </rowFields>
  <rowItems count="4">
    <i>
      <x v="7"/>
    </i>
    <i>
      <x v="8"/>
    </i>
    <i>
      <x v="9"/>
    </i>
    <i t="grand">
      <x/>
    </i>
  </rowItems>
  <colFields count="1">
    <field x="7"/>
  </colFields>
  <colItems count="3">
    <i>
      <x/>
    </i>
    <i>
      <x v="1"/>
    </i>
    <i t="grand">
      <x/>
    </i>
  </colItems>
  <dataFields count="1">
    <dataField name="Sum of Qty" fld="4" baseField="0" baseItem="0"/>
  </dataFields>
  <chartFormats count="2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7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7" count="1" selected="0">
            <x v="1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6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4E1A7795-2D7C-49BA-8956-7FBD1380D5CD}" name="PivotTable1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24">
  <location ref="A7:B10" firstHeaderRow="1" firstDataRow="1" firstDataCol="1" rowPageCount="1" colPageCount="1"/>
  <pivotFields count="9">
    <pivotField dataField="1" showAll="0">
      <items count="21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t="default"/>
      </items>
    </pivotField>
    <pivotField showAll="0"/>
    <pivotField axis="axisRow" showAll="0">
      <items count="6">
        <item x="1"/>
        <item x="4"/>
        <item x="3"/>
        <item x="0"/>
        <item x="2"/>
        <item t="default"/>
      </items>
    </pivotField>
    <pivotField showAll="0"/>
    <pivotField showAll="0"/>
    <pivotField showAll="0"/>
    <pivotField showAll="0"/>
    <pivotField showAll="0"/>
    <pivotField axis="axisPage" showAll="0">
      <items count="3">
        <item x="1"/>
        <item x="0"/>
        <item t="default"/>
      </items>
    </pivotField>
  </pivotFields>
  <rowFields count="1">
    <field x="2"/>
  </rowFields>
  <rowItems count="3">
    <i>
      <x/>
    </i>
    <i>
      <x v="4"/>
    </i>
    <i t="grand">
      <x/>
    </i>
  </rowItems>
  <colItems count="1">
    <i/>
  </colItems>
  <pageFields count="1">
    <pageField fld="8" item="0" hier="-1"/>
  </pageFields>
  <dataFields count="1">
    <dataField name="Count of Item ID" fld="0" subtotal="count" baseField="0" baseItem="0"/>
  </dataFields>
  <chartFormats count="6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0"/>
          </reference>
        </references>
      </pivotArea>
    </chartFormat>
    <chartFormat chart="0" format="2">
      <pivotArea type="data" outline="0" fieldPosition="0">
        <references count="2">
          <reference field="4294967294" count="1" selected="0">
            <x v="0"/>
          </reference>
          <reference field="2" count="1" selected="0">
            <x v="4"/>
          </reference>
        </references>
      </pivotArea>
    </chartFormat>
    <chartFormat chart="19" format="6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9" format="7">
      <pivotArea type="data" outline="0" fieldPosition="0">
        <references count="2">
          <reference field="4294967294" count="1" selected="0">
            <x v="0"/>
          </reference>
          <reference field="2" count="1" selected="0">
            <x v="0"/>
          </reference>
        </references>
      </pivotArea>
    </chartFormat>
    <chartFormat chart="19" format="8">
      <pivotArea type="data" outline="0" fieldPosition="0">
        <references count="2">
          <reference field="4294967294" count="1" selected="0">
            <x v="0"/>
          </reference>
          <reference field="2" count="1" selected="0">
            <x v="4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FABCDD10-CADA-4F5C-ADD3-30A56ACE7F30}" name="Items" displayName="Items" ref="A1:G21" totalsRowShown="0" headerRowDxfId="83" dataDxfId="82" tableBorderDxfId="81">
  <autoFilter ref="A1:G21" xr:uid="{FABCDD10-CADA-4F5C-ADD3-30A56ACE7F30}"/>
  <tableColumns count="7">
    <tableColumn id="1" xr3:uid="{59150127-2A88-4B88-AA8F-1026845E9CDC}" name="Item ID" dataDxfId="80"/>
    <tableColumn id="2" xr3:uid="{09680B9E-CDF7-495E-9957-DCC4996CE652}" name="Item Name" dataDxfId="79"/>
    <tableColumn id="3" xr3:uid="{7BFA6F2D-EFC7-44CE-BAE0-302924792D00}" name="Category" dataDxfId="78"/>
    <tableColumn id="4" xr3:uid="{9890E42B-CA8A-4C15-9849-8F3AAA676BBD}" name="Unit" dataDxfId="77"/>
    <tableColumn id="5" xr3:uid="{EC2CFA3D-5BC4-43A2-A221-BE8A8B3A7046}" name="Unit Price" dataDxfId="76" dataCellStyle="Comma"/>
    <tableColumn id="6" xr3:uid="{1D41A743-5EFA-4303-A41B-E6E8E36906F3}" name="Stock" dataDxfId="75"/>
    <tableColumn id="7" xr3:uid="{41DD1ABE-0A3D-443E-AED3-1437D3E66A33}" name="Reorder Level" dataDxfId="74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6779AB09-AEA7-4A40-87E5-01279954473C}" name="Transactions" displayName="Transactions" ref="A1:K201" totalsRowShown="0" headerRowDxfId="73" tableBorderDxfId="72">
  <autoFilter ref="A1:K201" xr:uid="{6779AB09-AEA7-4A40-87E5-01279954473C}"/>
  <tableColumns count="11">
    <tableColumn id="1" xr3:uid="{C3A69ECC-8CE3-4EE3-B775-D62DEC8ACAFD}" name="Transaction ID" dataDxfId="71"/>
    <tableColumn id="10" xr3:uid="{18B201E5-CBC6-4E0F-9D1B-EF007ACE9D44}" name="Date" dataDxfId="70"/>
    <tableColumn id="3" xr3:uid="{FA12C430-174E-408E-B9DE-E63DEA706879}" name="Item ID" dataDxfId="69"/>
    <tableColumn id="4" xr3:uid="{B1B9FAFF-ED40-47C2-B8F5-8CB59B4F7C25}" name="Item Name" dataDxfId="68">
      <calculatedColumnFormula>VLOOKUP(C2,Items[],2,0)</calculatedColumnFormula>
    </tableColumn>
    <tableColumn id="5" xr3:uid="{99070AC4-39AF-4C64-9BD1-C2DA621FFE8F}" name="Qty" dataDxfId="67"/>
    <tableColumn id="6" xr3:uid="{92E7FD75-0902-4BF6-810D-6C30BA229EC6}" name="Unit Price" dataDxfId="66" dataCellStyle="Comma">
      <calculatedColumnFormula>VLOOKUP(C2,Items[],5,0)</calculatedColumnFormula>
    </tableColumn>
    <tableColumn id="7" xr3:uid="{7ABA4F35-D10B-4D5A-A463-1A8214089758}" name="Total Price" dataDxfId="65" dataCellStyle="Comma">
      <calculatedColumnFormula>E2*F2</calculatedColumnFormula>
    </tableColumn>
    <tableColumn id="8" xr3:uid="{8FFD0A55-0523-4972-A482-F34314EB7257}" name="Type" dataDxfId="64"/>
    <tableColumn id="9" xr3:uid="{21C4C14A-EE7A-4E52-95BD-96D8C9441956}" name="Remarks" dataDxfId="63"/>
    <tableColumn id="2" xr3:uid="{73A25E2E-94F7-45D5-B2C2-ECBEB5C34427}" name="MonthLabel (kolom helper)" dataDxfId="62">
      <calculatedColumnFormula>TEXT(Transactions[[#This Row],[Date]],"MMM-YYYY")</calculatedColumnFormula>
    </tableColumn>
    <tableColumn id="11" xr3:uid="{B3FBA565-1B3E-476C-AEBF-FFE1BCB236BD}" name="MonthKey (kolom helper)" dataDxfId="61">
      <calculatedColumnFormula>DATE(YEAR(Transactions[[#This Row],[Date]]), MONTH(Transactions[[#This Row],[Date]]), 1)</calculatedColumnFormula>
    </tableColumn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4C1A708D-D815-443C-8646-98757DB871B5}" name="InvoicesDetail" displayName="InvoicesDetail" ref="A1:K201" totalsRowShown="0">
  <autoFilter ref="A1:K201" xr:uid="{4C1A708D-D815-443C-8646-98757DB871B5}">
    <filterColumn colId="7">
      <filters>
        <filter val="Paid"/>
      </filters>
    </filterColumn>
    <filterColumn colId="9">
      <filters>
        <filter val="OUT"/>
      </filters>
    </filterColumn>
    <filterColumn colId="10">
      <filters>
        <filter val="Sep-2025"/>
      </filters>
    </filterColumn>
  </autoFilter>
  <tableColumns count="11">
    <tableColumn id="1" xr3:uid="{488E5016-FEB4-4A23-840C-2D6F4556CFF8}" name="Invoice ID"/>
    <tableColumn id="2" xr3:uid="{47C28824-7862-4CD8-88F8-19FCA1CED44A}" name="Date" dataDxfId="60"/>
    <tableColumn id="3" xr3:uid="{F9B5EAD5-B76E-4E45-8C3A-25B4829910EF}" name="Transaction ID"/>
    <tableColumn id="4" xr3:uid="{91BCE89F-AB91-43D0-AAA5-B3C09CEC9AEE}" name="Item Name" dataDxfId="59">
      <calculatedColumnFormula>VLOOKUP(C2,Transactions[],4,0)</calculatedColumnFormula>
    </tableColumn>
    <tableColumn id="5" xr3:uid="{B042F856-D1EA-444D-A252-C8FC6694B9C2}" name="Qty" dataDxfId="58">
      <calculatedColumnFormula>VLOOKUP(C2,Transactions[],5,0)</calculatedColumnFormula>
    </tableColumn>
    <tableColumn id="6" xr3:uid="{2FA2128F-681F-41A2-8D45-897E0BC769EC}" name="Unit Price" dataDxfId="57" dataCellStyle="Comma">
      <calculatedColumnFormula>VLOOKUP(C2,Transactions[],6,0)</calculatedColumnFormula>
    </tableColumn>
    <tableColumn id="7" xr3:uid="{5EB17EFF-DEC2-4578-B3FA-E8F681EB7BBB}" name="Line Total" dataDxfId="56" dataCellStyle="Comma">
      <calculatedColumnFormula>InvoicesDetail[[#This Row],[Qty]]*InvoicesDetail[[#This Row],[Unit Price]]</calculatedColumnFormula>
    </tableColumn>
    <tableColumn id="9" xr3:uid="{D76B60FE-7CD5-4A7E-AB65-60DA885614AC}" name="Payment Status"/>
    <tableColumn id="11" xr3:uid="{80FCA463-E507-4A61-9FB9-99CC59070A4F}" name="Remarks">
      <calculatedColumnFormula>VLOOKUP(A2,Invoices_Display!$A$1:$I$201,9,0)</calculatedColumnFormula>
    </tableColumn>
    <tableColumn id="12" xr3:uid="{B7177E70-4124-4271-B57C-5DE2AA2602A2}" name="Type (kolom helper)">
      <calculatedColumnFormula>VLOOKUP(InvoicesDetail[[#This Row],[Transaction ID]],Transactions[],8,0)</calculatedColumnFormula>
    </tableColumn>
    <tableColumn id="10" xr3:uid="{574E5D3E-B8DE-482F-B567-001BA5091954}" name="MonthYear (kolom helper)" dataDxfId="55">
      <calculatedColumnFormula>TEXT(InvoicesDetail[[#This Row],[Date]],"MMM-YYYY")</calculatedColumnFormula>
    </tableColumn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953B1713-2D3B-48AA-8231-4972BE6E3BE9}" name="InvoicesDisplay" displayName="InvoicesDisplay" ref="A1:I71" totalsRowShown="0">
  <autoFilter ref="A1:I71" xr:uid="{953B1713-2D3B-48AA-8231-4972BE6E3BE9}"/>
  <tableColumns count="9">
    <tableColumn id="1" xr3:uid="{528D732B-5AEC-435E-AAF4-B68640A0AE23}" name="Invoice ID"/>
    <tableColumn id="2" xr3:uid="{944002EE-B387-4C5D-B238-1E8834A45430}" name="Date" dataDxfId="54">
      <calculatedColumnFormula>VLOOKUP(InvoicesDisplay[[#This Row],[Invoice ID]],InvoicesDetail[],2,0)</calculatedColumnFormula>
    </tableColumn>
    <tableColumn id="3" xr3:uid="{64EAE3CA-5F5C-47FC-ABE4-8292EB1ECB59}" name="Transaction ID">
      <calculatedColumnFormula array="1">_xlfn.TEXTJOIN(", ",TRUE,_xlfn._xlws.FILTER(Invoices_Detail!$C$2:$C$201,Invoices_Detail!$A$2:$A$201=A2))</calculatedColumnFormula>
    </tableColumn>
    <tableColumn id="4" xr3:uid="{14679405-C34A-4B24-9498-730BCF501861}" name="Item Name">
      <calculatedColumnFormula array="1">_xlfn.TEXTJOIN("; ",TRUE,_xlfn._xlws.FILTER(Invoices_Detail!$D$2:$D$201,Invoices_Detail!$A$2:$A$201=A2))</calculatedColumnFormula>
    </tableColumn>
    <tableColumn id="5" xr3:uid="{8732C7F3-4F29-40C2-8D8E-1AB1507080A4}" name="Qty">
      <calculatedColumnFormula array="1">_xlfn.TEXTJOIN(" + ",TRUE,_xlfn._xlws.FILTER(Invoices_Detail!$E$2:$E$201,Invoices_Detail!$A$2:$A$201=A2))</calculatedColumnFormula>
    </tableColumn>
    <tableColumn id="6" xr3:uid="{77079ED9-9291-4B68-A5D1-B4B023BFFE8F}" name="Unit Price">
      <calculatedColumnFormula array="1">_xlfn.TEXTJOIN("; ",TRUE,_xlfn._xlws.FILTER(Invoices_Detail!$F$2:$F$201,Invoices_Detail!$A$2:$A$201=$A2))</calculatedColumnFormula>
    </tableColumn>
    <tableColumn id="7" xr3:uid="{E7953308-0133-4552-880F-C047E87702AE}" name="Total Invoice"/>
    <tableColumn id="8" xr3:uid="{6769FE4D-C374-408F-89FB-0FD58ACCC3D5}" name="Payment Status" dataDxfId="53">
      <calculatedColumnFormula>VLOOKUP(A2,InvoicesDetail[],8,0)</calculatedColumnFormula>
    </tableColumn>
    <tableColumn id="9" xr3:uid="{F26AF4B7-0744-439B-BE5E-94A31215A50E}" name="Remarks"/>
  </tableColumns>
  <tableStyleInfo name="TableStyleDark11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FEC57D6-2796-437E-962F-3C10131E0493}" name="StockReport" displayName="StockReport" ref="A1:J21" totalsRowShown="0" headerRowDxfId="52" dataDxfId="51">
  <autoFilter ref="A1:J21" xr:uid="{7FEC57D6-2796-437E-962F-3C10131E0493}"/>
  <tableColumns count="10">
    <tableColumn id="1" xr3:uid="{37D611FE-3988-4BB3-A1FE-29FCD772ABEB}" name="Item ID" dataDxfId="50"/>
    <tableColumn id="2" xr3:uid="{39823741-EAD6-4464-A0C9-548F799ABAA6}" name="Item Name" dataDxfId="49"/>
    <tableColumn id="3" xr3:uid="{ABDE852A-A28D-45E9-AE13-A6CFBF155907}" name="Category" dataDxfId="48">
      <calculatedColumnFormula>VLOOKUP(B2,Items!$B$2:$C$21,2,0)</calculatedColumnFormula>
    </tableColumn>
    <tableColumn id="5" xr3:uid="{2657D7CD-53D5-4493-8C51-62CB3BCB384A}" name="Total IN" dataDxfId="47">
      <calculatedColumnFormula>SUMIFS(Transactions[Qty], Transactions[Item ID],StockReport[[#This Row],[Item ID]], Transactions[Type],"IN")</calculatedColumnFormula>
    </tableColumn>
    <tableColumn id="6" xr3:uid="{CEDA3099-C2E8-4C13-899D-2DA2294BCB0C}" name="Total OUT" dataDxfId="46">
      <calculatedColumnFormula>SUMIFS(Transactions[Qty], Transactions[Item ID],StockReport[[#This Row],[Item ID]], Transactions[Type],"OUT")</calculatedColumnFormula>
    </tableColumn>
    <tableColumn id="7" xr3:uid="{2CB2EDE5-C8F5-45BF-8AF3-D750ACAF96B3}" name="Current Stock" dataDxfId="45">
      <calculatedColumnFormula>Items[[#This Row],[Stock]]+StockReport[[#This Row],[Total IN]]-StockReport[[#This Row],[Total OUT]]</calculatedColumnFormula>
    </tableColumn>
    <tableColumn id="8" xr3:uid="{2C00EE37-2B19-4464-8FCD-77842F0576F6}" name="Reorder Level" dataDxfId="44">
      <calculatedColumnFormula>VLOOKUP(StockReport[[#This Row],[Item ID]],Items[],7,0)</calculatedColumnFormula>
    </tableColumn>
    <tableColumn id="9" xr3:uid="{514C1C60-2341-4C95-941A-A5B9B7582FAC}" name="Status" dataDxfId="43">
      <calculatedColumnFormula>IF(StockReport[[#This Row],[Current Stock]]&lt;StockReport[[#This Row],[Reorder Level]], "Low Stock", "OK")</calculatedColumnFormula>
    </tableColumn>
    <tableColumn id="10" xr3:uid="{59245836-78DD-4618-AB4B-D1D3F8AFF19E}" name="Unit Price" dataDxfId="42" dataCellStyle="Comma">
      <calculatedColumnFormula>VLOOKUP(StockReport[[#This Row],[Item ID]],Items[],5,0)</calculatedColumnFormula>
    </tableColumn>
    <tableColumn id="11" xr3:uid="{C1F1F60C-16A3-4FF6-A1C9-E1D411F546AA}" name="Stock Value" dataDxfId="41" dataCellStyle="Comma">
      <calculatedColumnFormula>StockReport[[#This Row],[Current Stock]]*StockReport[[#This Row],[Unit Price]]</calculatedColumnFormula>
    </tableColumn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9D3B62B6-F116-4814-ADF0-687BD0E7F418}" name="InvoiceSummary" displayName="InvoiceSummary" ref="A1:G71" totalsRowShown="0">
  <autoFilter ref="A1:G71" xr:uid="{9D3B62B6-F116-4814-ADF0-687BD0E7F418}"/>
  <tableColumns count="7">
    <tableColumn id="1" xr3:uid="{742879A6-360A-42F3-AEBD-49293334E4D1}" name="Invoice ID"/>
    <tableColumn id="2" xr3:uid="{E4B47C8D-121B-42EF-83AA-F647A2D80E77}" name="Date" dataDxfId="40">
      <calculatedColumnFormula>VLOOKUP(InvoicesDisplay[[#This Row],[Invoice ID]],InvoicesDisplay[],2,0)</calculatedColumnFormula>
    </tableColumn>
    <tableColumn id="3" xr3:uid="{16DF0E6A-3881-498D-9CD0-838ABF1B2B9E}" name="Total Invoice" dataDxfId="39" dataCellStyle="Comma">
      <calculatedColumnFormula>SUMIFS(InvoicesDetail[Line Total], InvoicesDetail[Invoice ID], InvoiceSummary[[#This Row],[Invoice ID]])</calculatedColumnFormula>
    </tableColumn>
    <tableColumn id="4" xr3:uid="{2553EB0C-458F-4675-A5C2-22819FB52E9B}" name="Total OUT" dataDxfId="38" dataCellStyle="Comma">
      <calculatedColumnFormula>SUMIFS(InvoicesDetail[Line Total],InvoicesDetail[Invoice ID],InvoiceSummary[[#This Row],[Invoice ID]],InvoicesDetail[Type (kolom helper)],"OUT")</calculatedColumnFormula>
    </tableColumn>
    <tableColumn id="5" xr3:uid="{50AE56A1-D067-4D55-96C0-2C6A94552EA6}" name="Payment Status" dataDxfId="37">
      <calculatedColumnFormula>VLOOKUP(InvoiceSummary[[#This Row],[Invoice ID]],InvoicesDetail[],8,0)</calculatedColumnFormula>
    </tableColumn>
    <tableColumn id="7" xr3:uid="{1A170CD2-2B7F-4D1C-BD38-14F0381D9F5A}" name="Check">
      <calculatedColumnFormula>IF(InvoiceSummary[[#This Row],[Total Invoice]]=InvoiceSummary[[#This Row],[Total OUT]], "OK", "Mismatch")</calculatedColumnFormula>
    </tableColumn>
    <tableColumn id="6" xr3:uid="{A020C32B-35B5-4FC5-BFA2-4E87E7AC3656}" name="Mismatch Amount" dataDxfId="36">
      <calculatedColumnFormula>InvoiceSummary[[#This Row],[Total Invoice]]-InvoiceSummary[[#This Row],[Total OUT]]</calculatedColumnFormula>
    </tableColumn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E5358D17-A65F-4143-96A7-F7A5B1A9E4C0}" name="Table7" displayName="Table7" ref="A1:B5" totalsRowShown="0">
  <autoFilter ref="A1:B5" xr:uid="{E5358D17-A65F-4143-96A7-F7A5B1A9E4C0}"/>
  <tableColumns count="2">
    <tableColumn id="1" xr3:uid="{F45B7504-27BF-4484-B158-4A265E4ADCEE}" name="KPI"/>
    <tableColumn id="2" xr3:uid="{360CFFE1-416C-49AF-809E-520823C854AE}" name="Valu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5.xml"/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pivotTable" Target="../pivotTables/pivotTable3.xml"/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Relationship Id="rId6" Type="http://schemas.openxmlformats.org/officeDocument/2006/relationships/drawing" Target="../drawings/drawing2.xml"/><Relationship Id="rId5" Type="http://schemas.openxmlformats.org/officeDocument/2006/relationships/printerSettings" Target="../printerSettings/printerSettings3.bin"/><Relationship Id="rId4" Type="http://schemas.openxmlformats.org/officeDocument/2006/relationships/pivotTable" Target="../pivotTables/pivotTable4.xm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table" Target="../tables/table6.xml"/><Relationship Id="rId1" Type="http://schemas.openxmlformats.org/officeDocument/2006/relationships/printerSettings" Target="../printerSettings/printerSettings4.bin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pivotTable" Target="../pivotTables/pivotTable7.xml"/><Relationship Id="rId2" Type="http://schemas.openxmlformats.org/officeDocument/2006/relationships/pivotTable" Target="../pivotTables/pivotTable6.xml"/><Relationship Id="rId1" Type="http://schemas.openxmlformats.org/officeDocument/2006/relationships/pivotTable" Target="../pivotTables/pivotTable5.xml"/><Relationship Id="rId6" Type="http://schemas.openxmlformats.org/officeDocument/2006/relationships/drawing" Target="../drawings/drawing3.xml"/><Relationship Id="rId5" Type="http://schemas.openxmlformats.org/officeDocument/2006/relationships/printerSettings" Target="../printerSettings/printerSettings5.bin"/><Relationship Id="rId4" Type="http://schemas.openxmlformats.org/officeDocument/2006/relationships/pivotTable" Target="../pivotTables/pivotTable8.xml"/></Relationships>
</file>

<file path=xl/worksheets/_rels/sheet10.xml.rels><?xml version="1.0" encoding="UTF-8" standalone="yes"?>
<Relationships xmlns="http://schemas.openxmlformats.org/package/2006/relationships"><Relationship Id="rId8" Type="http://schemas.openxmlformats.org/officeDocument/2006/relationships/pivotTable" Target="../pivotTables/pivotTable16.xml"/><Relationship Id="rId3" Type="http://schemas.openxmlformats.org/officeDocument/2006/relationships/pivotTable" Target="../pivotTables/pivotTable11.xml"/><Relationship Id="rId7" Type="http://schemas.openxmlformats.org/officeDocument/2006/relationships/pivotTable" Target="../pivotTables/pivotTable15.xml"/><Relationship Id="rId2" Type="http://schemas.openxmlformats.org/officeDocument/2006/relationships/pivotTable" Target="../pivotTables/pivotTable10.xml"/><Relationship Id="rId1" Type="http://schemas.openxmlformats.org/officeDocument/2006/relationships/pivotTable" Target="../pivotTables/pivotTable9.xml"/><Relationship Id="rId6" Type="http://schemas.openxmlformats.org/officeDocument/2006/relationships/pivotTable" Target="../pivotTables/pivotTable14.xml"/><Relationship Id="rId5" Type="http://schemas.openxmlformats.org/officeDocument/2006/relationships/pivotTable" Target="../pivotTables/pivotTable13.xml"/><Relationship Id="rId4" Type="http://schemas.openxmlformats.org/officeDocument/2006/relationships/pivotTable" Target="../pivotTables/pivotTable12.xml"/><Relationship Id="rId9" Type="http://schemas.openxmlformats.org/officeDocument/2006/relationships/printerSettings" Target="../printerSettings/printerSettings6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5C6050-2071-4B45-AF6A-F0BC1BEDF4DB}">
  <sheetPr>
    <tabColor theme="0"/>
    <pageSetUpPr fitToPage="1"/>
  </sheetPr>
  <dimension ref="B1:N61"/>
  <sheetViews>
    <sheetView topLeftCell="A79" zoomScaleNormal="100" workbookViewId="0">
      <selection activeCell="L43" sqref="L43"/>
    </sheetView>
  </sheetViews>
  <sheetFormatPr defaultRowHeight="15" x14ac:dyDescent="0.25"/>
  <cols>
    <col min="1" max="1" width="5.28515625" customWidth="1"/>
    <col min="3" max="3" width="22.7109375" customWidth="1"/>
    <col min="4" max="4" width="5" customWidth="1"/>
    <col min="6" max="6" width="22.7109375" customWidth="1"/>
    <col min="7" max="7" width="5.140625" customWidth="1"/>
    <col min="9" max="9" width="22.7109375" customWidth="1"/>
    <col min="10" max="10" width="5.140625" customWidth="1"/>
    <col min="12" max="12" width="22.7109375" customWidth="1"/>
    <col min="13" max="13" width="5.140625" customWidth="1"/>
  </cols>
  <sheetData>
    <row r="1" spans="2:14" ht="15" customHeight="1" x14ac:dyDescent="0.25">
      <c r="B1" s="63" t="s">
        <v>394</v>
      </c>
      <c r="C1" s="63"/>
      <c r="D1" s="63"/>
      <c r="E1" s="63"/>
      <c r="F1" s="63"/>
      <c r="G1" s="63"/>
      <c r="H1" s="63"/>
      <c r="I1" s="63"/>
      <c r="J1" s="63"/>
      <c r="K1" s="63"/>
      <c r="L1" s="63"/>
      <c r="M1" s="35"/>
    </row>
    <row r="2" spans="2:14" ht="15" customHeight="1" x14ac:dyDescent="0.25">
      <c r="B2" s="63"/>
      <c r="C2" s="63"/>
      <c r="D2" s="63"/>
      <c r="E2" s="63"/>
      <c r="F2" s="63"/>
      <c r="G2" s="63"/>
      <c r="H2" s="63"/>
      <c r="I2" s="63"/>
      <c r="J2" s="63"/>
      <c r="K2" s="63"/>
      <c r="L2" s="63"/>
      <c r="M2" s="35"/>
    </row>
    <row r="3" spans="2:14" ht="15" customHeight="1" x14ac:dyDescent="0.25">
      <c r="B3" s="63"/>
      <c r="C3" s="63"/>
      <c r="D3" s="63"/>
      <c r="E3" s="63"/>
      <c r="F3" s="63"/>
      <c r="G3" s="63"/>
      <c r="H3" s="63"/>
      <c r="I3" s="63"/>
      <c r="J3" s="63"/>
      <c r="K3" s="63"/>
      <c r="L3" s="63"/>
      <c r="M3" s="35"/>
    </row>
    <row r="4" spans="2:14" ht="15" customHeight="1" x14ac:dyDescent="0.25">
      <c r="B4" s="36"/>
      <c r="C4" s="36"/>
      <c r="D4" s="36"/>
      <c r="E4" s="36"/>
      <c r="F4" s="36"/>
      <c r="G4" s="36"/>
      <c r="H4" s="36"/>
      <c r="I4" s="36"/>
      <c r="J4" s="36"/>
      <c r="K4" s="36"/>
      <c r="L4" s="36"/>
      <c r="M4" s="35"/>
    </row>
    <row r="5" spans="2:14" ht="15" customHeight="1" x14ac:dyDescent="0.25">
      <c r="B5" s="64" t="s">
        <v>368</v>
      </c>
      <c r="C5" s="64"/>
      <c r="D5" s="36"/>
      <c r="E5" s="36"/>
      <c r="F5" s="36"/>
      <c r="G5" s="36"/>
      <c r="H5" s="36"/>
      <c r="I5" s="36"/>
      <c r="J5" s="36"/>
      <c r="K5" s="36"/>
      <c r="L5" s="36"/>
      <c r="M5" s="35"/>
    </row>
    <row r="6" spans="2:14" ht="15" customHeight="1" x14ac:dyDescent="0.25">
      <c r="B6" s="64"/>
      <c r="C6" s="64"/>
      <c r="D6" s="36"/>
      <c r="E6" s="36"/>
      <c r="F6" s="36"/>
      <c r="G6" s="36"/>
      <c r="H6" s="36"/>
      <c r="I6" s="36"/>
      <c r="J6" s="36"/>
      <c r="K6" s="36"/>
      <c r="L6" s="36"/>
      <c r="M6" s="35"/>
    </row>
    <row r="8" spans="2:14" ht="15" customHeight="1" x14ac:dyDescent="0.25">
      <c r="B8" s="95" t="s">
        <v>372</v>
      </c>
      <c r="C8" s="96"/>
      <c r="E8" s="97" t="s">
        <v>370</v>
      </c>
      <c r="F8" s="98"/>
      <c r="H8" s="99" t="s">
        <v>373</v>
      </c>
      <c r="I8" s="100"/>
      <c r="K8" s="69" t="s">
        <v>390</v>
      </c>
      <c r="L8" s="70"/>
    </row>
    <row r="9" spans="2:14" ht="15" customHeight="1" x14ac:dyDescent="0.25">
      <c r="B9" s="101">
        <f>COUNTA(Items[Item ID])</f>
        <v>20</v>
      </c>
      <c r="C9" s="102"/>
      <c r="E9" s="55">
        <f>SUM(StockReport[Stock Value])</f>
        <v>3144693000</v>
      </c>
      <c r="F9" s="56"/>
      <c r="H9" s="59">
        <f>COUNTIF(StockReport[Status],"Low Stock")</f>
        <v>2</v>
      </c>
      <c r="I9" s="60"/>
      <c r="K9" s="65">
        <f>AVERAGE(SUMIFS(InvoicesDetail[Line Total],InvoicesDetail[MonthYear (kolom helper)],"Jul-2025",InvoicesDetail[Payment Status],"Paid",InvoicesDetail[Type (kolom helper)],"OUT"),SUMIFS(InvoicesDetail[Line Total],InvoicesDetail[MonthYear (kolom helper)],"Aug-2025",InvoicesDetail[Payment Status],"Paid",InvoicesDetail[Type (kolom helper)],"OUT"),SUMIFS(InvoicesDetail[Line Total],InvoicesDetail[MonthYear (kolom helper)],"Sep-2025",InvoicesDetail[Payment Status],"Paid",InvoicesDetail[Type (kolom helper)],"OUT"))</f>
        <v>218454000</v>
      </c>
      <c r="L9" s="66"/>
    </row>
    <row r="10" spans="2:14" ht="15" customHeight="1" x14ac:dyDescent="0.25">
      <c r="B10" s="101"/>
      <c r="C10" s="102"/>
      <c r="E10" s="55"/>
      <c r="F10" s="56"/>
      <c r="H10" s="59"/>
      <c r="I10" s="60"/>
      <c r="K10" s="65"/>
      <c r="L10" s="66"/>
    </row>
    <row r="11" spans="2:14" ht="15" customHeight="1" x14ac:dyDescent="0.25">
      <c r="B11" s="103"/>
      <c r="C11" s="104"/>
      <c r="E11" s="57"/>
      <c r="F11" s="58"/>
      <c r="H11" s="61"/>
      <c r="I11" s="62"/>
      <c r="K11" s="67"/>
      <c r="L11" s="68"/>
    </row>
    <row r="12" spans="2:14" ht="15" customHeight="1" x14ac:dyDescent="0.25"/>
    <row r="13" spans="2:14" ht="17.25" x14ac:dyDescent="0.25">
      <c r="B13" s="83" t="s">
        <v>369</v>
      </c>
      <c r="C13" s="84"/>
    </row>
    <row r="14" spans="2:14" ht="15" customHeight="1" x14ac:dyDescent="0.25">
      <c r="B14" s="85">
        <f>SUMIFS(InvoicesDetail[Line Total],InvoicesDetail[Payment Status],"Paid",InvoicesDetail[Type (kolom helper)],"OUT")</f>
        <v>655362000</v>
      </c>
      <c r="C14" s="86"/>
      <c r="E14" s="89" t="s">
        <v>391</v>
      </c>
      <c r="F14" s="90"/>
      <c r="H14" s="91" t="s">
        <v>392</v>
      </c>
      <c r="I14" s="92"/>
      <c r="K14" s="93" t="s">
        <v>393</v>
      </c>
      <c r="L14" s="94"/>
    </row>
    <row r="15" spans="2:14" ht="15" customHeight="1" x14ac:dyDescent="0.25">
      <c r="B15" s="85"/>
      <c r="C15" s="86"/>
      <c r="E15" s="79">
        <f>SUMIFS(InvoicesDetail[Line Total],InvoicesDetail[MonthYear (kolom helper)],"Jul-2025",InvoicesDetail[Payment Status],"Paid",InvoicesDetail[Type (kolom helper)],"OUT")</f>
        <v>223424500</v>
      </c>
      <c r="F15" s="80"/>
      <c r="H15" s="71">
        <f>SUMIFS(InvoicesDetail[Line Total],InvoicesDetail[MonthYear (kolom helper)],"Aug-2025",InvoicesDetail[Payment Status],"Paid",InvoicesDetail[Type (kolom helper)],"OUT")</f>
        <v>174435500</v>
      </c>
      <c r="I15" s="72"/>
      <c r="K15" s="75">
        <f>SUMIFS(InvoicesDetail[Line Total],InvoicesDetail[MonthYear (kolom helper)],"Sep-2025",InvoicesDetail[Payment Status],"Paid",InvoicesDetail[Type (kolom helper)],"OUT")</f>
        <v>257502000</v>
      </c>
      <c r="L15" s="76"/>
      <c r="N15" s="30"/>
    </row>
    <row r="16" spans="2:14" ht="15" customHeight="1" x14ac:dyDescent="0.25">
      <c r="B16" s="87"/>
      <c r="C16" s="88"/>
      <c r="E16" s="81"/>
      <c r="F16" s="82"/>
      <c r="H16" s="73"/>
      <c r="I16" s="74"/>
      <c r="K16" s="77"/>
      <c r="L16" s="78"/>
    </row>
    <row r="17" spans="2:12" ht="15" customHeight="1" x14ac:dyDescent="0.25">
      <c r="E17" s="34"/>
      <c r="F17" s="34"/>
      <c r="H17" s="33"/>
      <c r="I17" s="33"/>
      <c r="K17" s="34"/>
      <c r="L17" s="34"/>
    </row>
    <row r="18" spans="2:12" ht="15" customHeight="1" x14ac:dyDescent="0.25">
      <c r="E18" s="34"/>
      <c r="F18" s="34"/>
      <c r="H18" s="33"/>
      <c r="I18" s="33"/>
      <c r="K18" s="34"/>
      <c r="L18" s="34"/>
    </row>
    <row r="19" spans="2:12" ht="15" customHeight="1" x14ac:dyDescent="0.25"/>
    <row r="20" spans="2:12" ht="15" customHeight="1" x14ac:dyDescent="0.25">
      <c r="B20" s="53" t="s">
        <v>395</v>
      </c>
      <c r="C20" s="53"/>
      <c r="D20" s="53"/>
      <c r="E20" s="53"/>
      <c r="F20" s="53"/>
      <c r="G20" s="53"/>
      <c r="H20" s="53"/>
    </row>
    <row r="21" spans="2:12" ht="15" customHeight="1" x14ac:dyDescent="0.25">
      <c r="B21" s="53"/>
      <c r="C21" s="53"/>
      <c r="D21" s="53"/>
      <c r="E21" s="53"/>
      <c r="F21" s="53"/>
      <c r="G21" s="53"/>
      <c r="H21" s="53"/>
    </row>
    <row r="24" spans="2:12" ht="15" customHeight="1" x14ac:dyDescent="0.25"/>
    <row r="25" spans="2:12" ht="15" customHeight="1" x14ac:dyDescent="0.25"/>
    <row r="26" spans="2:12" ht="15" customHeight="1" x14ac:dyDescent="0.25">
      <c r="I26" s="31"/>
      <c r="J26" s="30"/>
    </row>
    <row r="27" spans="2:12" ht="15" customHeight="1" x14ac:dyDescent="0.25">
      <c r="I27" s="30"/>
      <c r="J27" s="30"/>
    </row>
    <row r="28" spans="2:12" ht="15" customHeight="1" x14ac:dyDescent="0.25">
      <c r="I28" s="30"/>
      <c r="J28" s="30"/>
    </row>
    <row r="29" spans="2:12" ht="15" customHeight="1" x14ac:dyDescent="0.25"/>
    <row r="30" spans="2:12" ht="15" customHeight="1" x14ac:dyDescent="0.25"/>
    <row r="31" spans="2:12" ht="15" customHeight="1" x14ac:dyDescent="0.25"/>
    <row r="32" spans="2:12" ht="15" customHeight="1" x14ac:dyDescent="0.25">
      <c r="I32" s="32"/>
      <c r="J32" s="32"/>
    </row>
    <row r="33" spans="9:10" ht="15" customHeight="1" x14ac:dyDescent="0.25">
      <c r="I33" s="32"/>
      <c r="J33" s="32"/>
    </row>
    <row r="34" spans="9:10" ht="15" customHeight="1" x14ac:dyDescent="0.25">
      <c r="I34" s="32"/>
      <c r="J34" s="32"/>
    </row>
    <row r="60" spans="2:7" x14ac:dyDescent="0.25">
      <c r="B60" s="53" t="s">
        <v>396</v>
      </c>
      <c r="C60" s="54"/>
      <c r="D60" s="54"/>
      <c r="E60" s="54"/>
      <c r="F60" s="54"/>
      <c r="G60" s="54"/>
    </row>
    <row r="61" spans="2:7" x14ac:dyDescent="0.25">
      <c r="B61" s="54"/>
      <c r="C61" s="54"/>
      <c r="D61" s="54"/>
      <c r="E61" s="54"/>
      <c r="F61" s="54"/>
      <c r="G61" s="54"/>
    </row>
  </sheetData>
  <mergeCells count="20">
    <mergeCell ref="B8:C8"/>
    <mergeCell ref="E8:F8"/>
    <mergeCell ref="H8:I8"/>
    <mergeCell ref="B9:C11"/>
    <mergeCell ref="B60:G61"/>
    <mergeCell ref="E9:F11"/>
    <mergeCell ref="H9:I11"/>
    <mergeCell ref="B20:H21"/>
    <mergeCell ref="B1:L3"/>
    <mergeCell ref="B5:C6"/>
    <mergeCell ref="K9:L11"/>
    <mergeCell ref="K8:L8"/>
    <mergeCell ref="H15:I16"/>
    <mergeCell ref="K15:L16"/>
    <mergeCell ref="E15:F16"/>
    <mergeCell ref="B13:C13"/>
    <mergeCell ref="B14:C16"/>
    <mergeCell ref="E14:F14"/>
    <mergeCell ref="H14:I14"/>
    <mergeCell ref="K14:L14"/>
  </mergeCells>
  <pageMargins left="0.7" right="0.7" top="0.75" bottom="0.75" header="0.3" footer="0.3"/>
  <pageSetup scale="36" orientation="landscape" r:id="rId1"/>
  <rowBreaks count="1" manualBreakCount="1">
    <brk id="46" max="16383" man="1"/>
  </rowBreaks>
  <colBreaks count="1" manualBreakCount="1">
    <brk id="8" max="1048575" man="1"/>
  </colBreaks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A6DDE2-39A4-499E-A82A-7403B770AE12}">
  <dimension ref="A1:G21"/>
  <sheetViews>
    <sheetView workbookViewId="0">
      <selection activeCell="K15" sqref="K15"/>
    </sheetView>
  </sheetViews>
  <sheetFormatPr defaultRowHeight="15" x14ac:dyDescent="0.25"/>
  <cols>
    <col min="1" max="1" width="9.5703125" customWidth="1"/>
    <col min="2" max="2" width="26.28515625" bestFit="1" customWidth="1"/>
    <col min="3" max="3" width="23.140625" bestFit="1" customWidth="1"/>
    <col min="4" max="4" width="13.28515625" bestFit="1" customWidth="1"/>
    <col min="5" max="5" width="15.85546875" customWidth="1"/>
    <col min="6" max="6" width="13.28515625" customWidth="1"/>
    <col min="7" max="7" width="15.42578125" customWidth="1"/>
  </cols>
  <sheetData>
    <row r="1" spans="1:7" x14ac:dyDescent="0.25">
      <c r="A1" s="4" t="s">
        <v>36</v>
      </c>
      <c r="B1" s="4" t="s">
        <v>350</v>
      </c>
      <c r="C1" s="4" t="s">
        <v>351</v>
      </c>
      <c r="D1" s="4" t="s">
        <v>7</v>
      </c>
      <c r="E1" s="4" t="s">
        <v>352</v>
      </c>
      <c r="F1" s="4" t="s">
        <v>349</v>
      </c>
      <c r="G1" s="4" t="s">
        <v>343</v>
      </c>
    </row>
    <row r="2" spans="1:7" x14ac:dyDescent="0.25">
      <c r="A2" s="2" t="s">
        <v>52</v>
      </c>
      <c r="B2" s="2" t="s">
        <v>0</v>
      </c>
      <c r="C2" s="2" t="s">
        <v>6</v>
      </c>
      <c r="D2" s="2" t="s">
        <v>2</v>
      </c>
      <c r="E2" s="14">
        <v>13500</v>
      </c>
      <c r="F2" s="2">
        <v>267</v>
      </c>
      <c r="G2" s="2">
        <v>35</v>
      </c>
    </row>
    <row r="3" spans="1:7" x14ac:dyDescent="0.25">
      <c r="A3" s="3" t="s">
        <v>38</v>
      </c>
      <c r="B3" s="3" t="s">
        <v>3</v>
      </c>
      <c r="C3" s="3" t="s">
        <v>1</v>
      </c>
      <c r="D3" s="3" t="s">
        <v>12</v>
      </c>
      <c r="E3" s="15">
        <v>20000</v>
      </c>
      <c r="F3" s="3">
        <v>269</v>
      </c>
      <c r="G3" s="3">
        <v>15</v>
      </c>
    </row>
    <row r="4" spans="1:7" x14ac:dyDescent="0.25">
      <c r="A4" s="2" t="s">
        <v>46</v>
      </c>
      <c r="B4" s="2" t="s">
        <v>5</v>
      </c>
      <c r="C4" s="2" t="s">
        <v>1</v>
      </c>
      <c r="D4" s="2" t="s">
        <v>33</v>
      </c>
      <c r="E4" s="14">
        <v>11500</v>
      </c>
      <c r="F4" s="2">
        <v>56</v>
      </c>
      <c r="G4" s="2">
        <v>45</v>
      </c>
    </row>
    <row r="5" spans="1:7" x14ac:dyDescent="0.25">
      <c r="A5" s="3" t="s">
        <v>49</v>
      </c>
      <c r="B5" s="3" t="s">
        <v>8</v>
      </c>
      <c r="C5" s="3" t="s">
        <v>6</v>
      </c>
      <c r="D5" s="3" t="s">
        <v>9</v>
      </c>
      <c r="E5" s="15">
        <v>31000</v>
      </c>
      <c r="F5" s="3">
        <v>104</v>
      </c>
      <c r="G5" s="3">
        <v>23</v>
      </c>
    </row>
    <row r="6" spans="1:7" x14ac:dyDescent="0.25">
      <c r="A6" s="2" t="s">
        <v>45</v>
      </c>
      <c r="B6" s="2" t="s">
        <v>10</v>
      </c>
      <c r="C6" s="2" t="s">
        <v>1</v>
      </c>
      <c r="D6" s="2" t="s">
        <v>7</v>
      </c>
      <c r="E6" s="14">
        <v>50000</v>
      </c>
      <c r="F6" s="2">
        <v>121</v>
      </c>
      <c r="G6" s="2">
        <v>40</v>
      </c>
    </row>
    <row r="7" spans="1:7" x14ac:dyDescent="0.25">
      <c r="A7" s="3" t="s">
        <v>54</v>
      </c>
      <c r="B7" s="3" t="s">
        <v>13</v>
      </c>
      <c r="C7" s="3" t="s">
        <v>16</v>
      </c>
      <c r="D7" s="3" t="s">
        <v>21</v>
      </c>
      <c r="E7" s="15">
        <v>128000</v>
      </c>
      <c r="F7" s="3">
        <v>36</v>
      </c>
      <c r="G7" s="3">
        <v>40</v>
      </c>
    </row>
    <row r="8" spans="1:7" x14ac:dyDescent="0.25">
      <c r="A8" s="2" t="s">
        <v>40</v>
      </c>
      <c r="B8" s="2" t="s">
        <v>15</v>
      </c>
      <c r="C8" s="2" t="s">
        <v>16</v>
      </c>
      <c r="D8" s="2" t="s">
        <v>7</v>
      </c>
      <c r="E8" s="14">
        <v>335500</v>
      </c>
      <c r="F8" s="2">
        <v>244</v>
      </c>
      <c r="G8" s="2">
        <v>16</v>
      </c>
    </row>
    <row r="9" spans="1:7" x14ac:dyDescent="0.25">
      <c r="A9" s="3" t="s">
        <v>41</v>
      </c>
      <c r="B9" s="3" t="s">
        <v>18</v>
      </c>
      <c r="C9" s="3" t="s">
        <v>16</v>
      </c>
      <c r="D9" s="3" t="s">
        <v>7</v>
      </c>
      <c r="E9" s="15">
        <v>420000</v>
      </c>
      <c r="F9" s="3">
        <v>103</v>
      </c>
      <c r="G9" s="3">
        <v>41</v>
      </c>
    </row>
    <row r="10" spans="1:7" x14ac:dyDescent="0.25">
      <c r="A10" s="2" t="s">
        <v>42</v>
      </c>
      <c r="B10" s="2" t="s">
        <v>20</v>
      </c>
      <c r="C10" s="2" t="s">
        <v>6</v>
      </c>
      <c r="D10" s="2" t="s">
        <v>14</v>
      </c>
      <c r="E10" s="14">
        <v>260000</v>
      </c>
      <c r="F10" s="2">
        <v>82</v>
      </c>
      <c r="G10" s="2">
        <v>44</v>
      </c>
    </row>
    <row r="11" spans="1:7" x14ac:dyDescent="0.25">
      <c r="A11" s="3" t="s">
        <v>47</v>
      </c>
      <c r="B11" s="3" t="s">
        <v>22</v>
      </c>
      <c r="C11" s="3" t="s">
        <v>1</v>
      </c>
      <c r="D11" s="3" t="s">
        <v>7</v>
      </c>
      <c r="E11" s="15">
        <v>245000</v>
      </c>
      <c r="F11" s="3">
        <v>230</v>
      </c>
      <c r="G11" s="3">
        <v>42</v>
      </c>
    </row>
    <row r="12" spans="1:7" x14ac:dyDescent="0.25">
      <c r="A12" s="2" t="s">
        <v>51</v>
      </c>
      <c r="B12" s="2" t="s">
        <v>23</v>
      </c>
      <c r="C12" s="2" t="s">
        <v>4</v>
      </c>
      <c r="D12" s="2" t="s">
        <v>7</v>
      </c>
      <c r="E12" s="14">
        <v>237000</v>
      </c>
      <c r="F12" s="2">
        <v>181</v>
      </c>
      <c r="G12" s="2">
        <v>37</v>
      </c>
    </row>
    <row r="13" spans="1:7" x14ac:dyDescent="0.25">
      <c r="A13" s="3" t="s">
        <v>39</v>
      </c>
      <c r="B13" s="3" t="s">
        <v>25</v>
      </c>
      <c r="C13" s="3" t="s">
        <v>4</v>
      </c>
      <c r="D13" s="3" t="s">
        <v>17</v>
      </c>
      <c r="E13" s="15">
        <v>203500</v>
      </c>
      <c r="F13" s="3">
        <v>83</v>
      </c>
      <c r="G13" s="3">
        <v>19</v>
      </c>
    </row>
    <row r="14" spans="1:7" x14ac:dyDescent="0.25">
      <c r="A14" s="2" t="s">
        <v>56</v>
      </c>
      <c r="B14" s="2" t="s">
        <v>27</v>
      </c>
      <c r="C14" s="2" t="s">
        <v>6</v>
      </c>
      <c r="D14" s="2" t="s">
        <v>19</v>
      </c>
      <c r="E14" s="14">
        <v>135500</v>
      </c>
      <c r="F14" s="2">
        <v>143</v>
      </c>
      <c r="G14" s="2">
        <v>31</v>
      </c>
    </row>
    <row r="15" spans="1:7" x14ac:dyDescent="0.25">
      <c r="A15" s="3" t="s">
        <v>50</v>
      </c>
      <c r="B15" s="3" t="s">
        <v>28</v>
      </c>
      <c r="C15" s="3" t="s">
        <v>6</v>
      </c>
      <c r="D15" s="3" t="s">
        <v>24</v>
      </c>
      <c r="E15" s="15">
        <v>431000</v>
      </c>
      <c r="F15" s="3">
        <v>100</v>
      </c>
      <c r="G15" s="3">
        <v>10</v>
      </c>
    </row>
    <row r="16" spans="1:7" x14ac:dyDescent="0.25">
      <c r="A16" s="2" t="s">
        <v>48</v>
      </c>
      <c r="B16" s="2" t="s">
        <v>29</v>
      </c>
      <c r="C16" s="2" t="s">
        <v>16</v>
      </c>
      <c r="D16" s="2" t="s">
        <v>7</v>
      </c>
      <c r="E16" s="14">
        <v>465000</v>
      </c>
      <c r="F16" s="2">
        <v>166</v>
      </c>
      <c r="G16" s="2">
        <v>24</v>
      </c>
    </row>
    <row r="17" spans="1:7" x14ac:dyDescent="0.25">
      <c r="A17" s="3" t="s">
        <v>55</v>
      </c>
      <c r="B17" s="3" t="s">
        <v>30</v>
      </c>
      <c r="C17" s="3" t="s">
        <v>16</v>
      </c>
      <c r="D17" s="3" t="s">
        <v>7</v>
      </c>
      <c r="E17" s="15">
        <v>3134000</v>
      </c>
      <c r="F17" s="3">
        <v>200</v>
      </c>
      <c r="G17" s="3">
        <v>14</v>
      </c>
    </row>
    <row r="18" spans="1:7" x14ac:dyDescent="0.25">
      <c r="A18" s="2" t="s">
        <v>37</v>
      </c>
      <c r="B18" s="2" t="s">
        <v>31</v>
      </c>
      <c r="C18" s="2" t="s">
        <v>16</v>
      </c>
      <c r="D18" s="2" t="s">
        <v>7</v>
      </c>
      <c r="E18" s="14">
        <v>3200000</v>
      </c>
      <c r="F18" s="2">
        <v>120</v>
      </c>
      <c r="G18" s="2">
        <v>20</v>
      </c>
    </row>
    <row r="19" spans="1:7" x14ac:dyDescent="0.25">
      <c r="A19" s="3" t="s">
        <v>44</v>
      </c>
      <c r="B19" s="3" t="s">
        <v>32</v>
      </c>
      <c r="C19" s="3" t="s">
        <v>16</v>
      </c>
      <c r="D19" s="3" t="s">
        <v>7</v>
      </c>
      <c r="E19" s="15">
        <v>4490000</v>
      </c>
      <c r="F19" s="3">
        <v>294</v>
      </c>
      <c r="G19" s="3">
        <v>36</v>
      </c>
    </row>
    <row r="20" spans="1:7" x14ac:dyDescent="0.25">
      <c r="A20" s="2" t="s">
        <v>43</v>
      </c>
      <c r="B20" s="2" t="s">
        <v>34</v>
      </c>
      <c r="C20" s="2" t="s">
        <v>11</v>
      </c>
      <c r="D20" s="2" t="s">
        <v>26</v>
      </c>
      <c r="E20" s="14">
        <v>1060000</v>
      </c>
      <c r="F20" s="2">
        <v>146</v>
      </c>
      <c r="G20" s="2">
        <v>37</v>
      </c>
    </row>
    <row r="21" spans="1:7" x14ac:dyDescent="0.25">
      <c r="A21" s="3" t="s">
        <v>53</v>
      </c>
      <c r="B21" s="3" t="s">
        <v>35</v>
      </c>
      <c r="C21" s="3" t="s">
        <v>16</v>
      </c>
      <c r="D21" s="3" t="s">
        <v>7</v>
      </c>
      <c r="E21" s="15">
        <v>2296000</v>
      </c>
      <c r="F21" s="3">
        <v>216</v>
      </c>
      <c r="G21" s="3">
        <v>13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CD15F9-837C-406C-B379-6D4BEF357803}">
  <dimension ref="A1:K201"/>
  <sheetViews>
    <sheetView workbookViewId="0">
      <selection activeCell="G2" sqref="G2"/>
    </sheetView>
  </sheetViews>
  <sheetFormatPr defaultRowHeight="15" x14ac:dyDescent="0.25"/>
  <cols>
    <col min="1" max="1" width="15.5703125" customWidth="1"/>
    <col min="2" max="2" width="10.7109375" customWidth="1"/>
    <col min="3" max="3" width="9.5703125" customWidth="1"/>
    <col min="4" max="4" width="26.28515625" bestFit="1" customWidth="1"/>
    <col min="5" max="5" width="9.42578125" customWidth="1"/>
    <col min="6" max="6" width="14.5703125" customWidth="1"/>
    <col min="7" max="7" width="14.28515625" bestFit="1" customWidth="1"/>
    <col min="8" max="8" width="16.140625" customWidth="1"/>
    <col min="9" max="9" width="19.42578125" bestFit="1" customWidth="1"/>
    <col min="10" max="10" width="14.140625" customWidth="1"/>
    <col min="11" max="11" width="12.5703125" customWidth="1"/>
  </cols>
  <sheetData>
    <row r="1" spans="1:11" x14ac:dyDescent="0.25">
      <c r="A1" s="4" t="s">
        <v>57</v>
      </c>
      <c r="B1" s="17" t="s">
        <v>353</v>
      </c>
      <c r="C1" s="4" t="s">
        <v>36</v>
      </c>
      <c r="D1" s="4" t="s">
        <v>350</v>
      </c>
      <c r="E1" s="4" t="s">
        <v>345</v>
      </c>
      <c r="F1" s="4" t="s">
        <v>352</v>
      </c>
      <c r="G1" s="4" t="s">
        <v>354</v>
      </c>
      <c r="H1" s="4" t="s">
        <v>346</v>
      </c>
      <c r="I1" s="4" t="s">
        <v>355</v>
      </c>
      <c r="J1" s="4" t="s">
        <v>385</v>
      </c>
      <c r="K1" s="4" t="s">
        <v>377</v>
      </c>
    </row>
    <row r="2" spans="1:11" x14ac:dyDescent="0.25">
      <c r="A2" s="2" t="s">
        <v>73</v>
      </c>
      <c r="B2" s="18">
        <v>45876</v>
      </c>
      <c r="C2" s="2" t="s">
        <v>48</v>
      </c>
      <c r="D2" s="2" t="str">
        <f>VLOOKUP(C2,Items[],2,0)</f>
        <v>Gerinda Tangan</v>
      </c>
      <c r="E2" s="2">
        <v>20</v>
      </c>
      <c r="F2" s="14">
        <f>VLOOKUP(C2,Items[],5,0)</f>
        <v>465000</v>
      </c>
      <c r="G2" s="14">
        <f t="shared" ref="G2:G33" si="0">E2*F2</f>
        <v>9300000</v>
      </c>
      <c r="H2" s="2" t="s">
        <v>348</v>
      </c>
      <c r="I2" s="2" t="s">
        <v>58</v>
      </c>
      <c r="J2" t="str">
        <f>TEXT(Transactions[[#This Row],[Date]],"MMM-YYYY")</f>
        <v>Aug-2025</v>
      </c>
      <c r="K2" s="1">
        <f>DATE(YEAR(Transactions[[#This Row],[Date]]), MONTH(Transactions[[#This Row],[Date]]), 1)</f>
        <v>45870</v>
      </c>
    </row>
    <row r="3" spans="1:11" x14ac:dyDescent="0.25">
      <c r="A3" s="3" t="s">
        <v>122</v>
      </c>
      <c r="B3" s="19">
        <v>45878</v>
      </c>
      <c r="C3" s="3" t="s">
        <v>40</v>
      </c>
      <c r="D3" s="3" t="str">
        <f>VLOOKUP(C3,Items[],2,0)</f>
        <v>Bor Tangan Listrik</v>
      </c>
      <c r="E3" s="3">
        <v>7</v>
      </c>
      <c r="F3" s="21">
        <f>VLOOKUP(C3,Items[],5,0)</f>
        <v>335500</v>
      </c>
      <c r="G3" s="21">
        <f t="shared" si="0"/>
        <v>2348500</v>
      </c>
      <c r="H3" s="3" t="s">
        <v>348</v>
      </c>
      <c r="I3" s="3" t="s">
        <v>65</v>
      </c>
      <c r="J3" t="str">
        <f>TEXT(Transactions[[#This Row],[Date]],"MMM-YYYY")</f>
        <v>Aug-2025</v>
      </c>
      <c r="K3" s="1">
        <f>DATE(YEAR(Transactions[[#This Row],[Date]]), MONTH(Transactions[[#This Row],[Date]]), 1)</f>
        <v>45870</v>
      </c>
    </row>
    <row r="4" spans="1:11" x14ac:dyDescent="0.25">
      <c r="A4" s="2" t="s">
        <v>85</v>
      </c>
      <c r="B4" s="18">
        <v>45902</v>
      </c>
      <c r="C4" s="2" t="s">
        <v>54</v>
      </c>
      <c r="D4" s="2" t="str">
        <f>VLOOKUP(C4,Items[],2,0)</f>
        <v>Obeng Set</v>
      </c>
      <c r="E4" s="2">
        <v>8</v>
      </c>
      <c r="F4" s="14">
        <f>VLOOKUP(C4,Items[],5,0)</f>
        <v>128000</v>
      </c>
      <c r="G4" s="14">
        <f t="shared" si="0"/>
        <v>1024000</v>
      </c>
      <c r="H4" s="2" t="s">
        <v>347</v>
      </c>
      <c r="I4" s="2" t="s">
        <v>64</v>
      </c>
      <c r="J4" t="str">
        <f>TEXT(Transactions[[#This Row],[Date]],"MMM-YYYY")</f>
        <v>Sep-2025</v>
      </c>
      <c r="K4" s="1">
        <f>DATE(YEAR(Transactions[[#This Row],[Date]]), MONTH(Transactions[[#This Row],[Date]]), 1)</f>
        <v>45901</v>
      </c>
    </row>
    <row r="5" spans="1:11" x14ac:dyDescent="0.25">
      <c r="A5" s="3" t="s">
        <v>123</v>
      </c>
      <c r="B5" s="19">
        <v>45917</v>
      </c>
      <c r="C5" s="3" t="s">
        <v>47</v>
      </c>
      <c r="D5" s="3" t="str">
        <f>VLOOKUP(C5,Items[],2,0)</f>
        <v>Jaket Safety</v>
      </c>
      <c r="E5" s="3">
        <v>12</v>
      </c>
      <c r="F5" s="21">
        <f>VLOOKUP(C5,Items[],5,0)</f>
        <v>245000</v>
      </c>
      <c r="G5" s="21">
        <f t="shared" si="0"/>
        <v>2940000</v>
      </c>
      <c r="H5" s="3" t="s">
        <v>347</v>
      </c>
      <c r="I5" s="3" t="s">
        <v>59</v>
      </c>
      <c r="J5" t="str">
        <f>TEXT(Transactions[[#This Row],[Date]],"MMM-YYYY")</f>
        <v>Sep-2025</v>
      </c>
      <c r="K5" s="1">
        <f>DATE(YEAR(Transactions[[#This Row],[Date]]), MONTH(Transactions[[#This Row],[Date]]), 1)</f>
        <v>45901</v>
      </c>
    </row>
    <row r="6" spans="1:11" x14ac:dyDescent="0.25">
      <c r="A6" s="2" t="s">
        <v>124</v>
      </c>
      <c r="B6" s="18">
        <v>45880</v>
      </c>
      <c r="C6" s="2" t="s">
        <v>44</v>
      </c>
      <c r="D6" s="2" t="str">
        <f>VLOOKUP(C6,Items[],2,0)</f>
        <v>Pompa Air Industri</v>
      </c>
      <c r="E6" s="2">
        <v>7</v>
      </c>
      <c r="F6" s="14">
        <f>VLOOKUP(C6,Items[],5,0)</f>
        <v>4490000</v>
      </c>
      <c r="G6" s="14">
        <f t="shared" si="0"/>
        <v>31430000</v>
      </c>
      <c r="H6" s="2" t="s">
        <v>347</v>
      </c>
      <c r="I6" s="2" t="s">
        <v>66</v>
      </c>
      <c r="J6" t="str">
        <f>TEXT(Transactions[[#This Row],[Date]],"MMM-YYYY")</f>
        <v>Aug-2025</v>
      </c>
      <c r="K6" s="1">
        <f>DATE(YEAR(Transactions[[#This Row],[Date]]), MONTH(Transactions[[#This Row],[Date]]), 1)</f>
        <v>45870</v>
      </c>
    </row>
    <row r="7" spans="1:11" x14ac:dyDescent="0.25">
      <c r="A7" s="3" t="s">
        <v>125</v>
      </c>
      <c r="B7" s="19">
        <v>45843</v>
      </c>
      <c r="C7" s="3" t="s">
        <v>50</v>
      </c>
      <c r="D7" s="2" t="str">
        <f>VLOOKUP(C7,Items[],2,0)</f>
        <v>Rantai Besi 10m</v>
      </c>
      <c r="E7" s="3">
        <v>14</v>
      </c>
      <c r="F7" s="14">
        <f>VLOOKUP(C7,Items[],5,0)</f>
        <v>431000</v>
      </c>
      <c r="G7" s="15">
        <f t="shared" si="0"/>
        <v>6034000</v>
      </c>
      <c r="H7" s="3" t="s">
        <v>347</v>
      </c>
      <c r="I7" s="3" t="s">
        <v>65</v>
      </c>
      <c r="J7" t="str">
        <f>TEXT(Transactions[[#This Row],[Date]],"MMM-YYYY")</f>
        <v>Jul-2025</v>
      </c>
      <c r="K7" s="1">
        <f>DATE(YEAR(Transactions[[#This Row],[Date]]), MONTH(Transactions[[#This Row],[Date]]), 1)</f>
        <v>45839</v>
      </c>
    </row>
    <row r="8" spans="1:11" x14ac:dyDescent="0.25">
      <c r="A8" s="2" t="s">
        <v>109</v>
      </c>
      <c r="B8" s="18">
        <v>45859</v>
      </c>
      <c r="C8" s="2" t="s">
        <v>55</v>
      </c>
      <c r="D8" s="2" t="str">
        <f>VLOOKUP(C8,Items[],2,0)</f>
        <v>Genset Portable 1000W</v>
      </c>
      <c r="E8" s="2">
        <v>5</v>
      </c>
      <c r="F8" s="14">
        <f>VLOOKUP(C8,Items[],5,0)</f>
        <v>3134000</v>
      </c>
      <c r="G8" s="14">
        <f t="shared" si="0"/>
        <v>15670000</v>
      </c>
      <c r="H8" s="2" t="s">
        <v>348</v>
      </c>
      <c r="I8" s="2" t="s">
        <v>64</v>
      </c>
      <c r="J8" t="str">
        <f>TEXT(Transactions[[#This Row],[Date]],"MMM-YYYY")</f>
        <v>Jul-2025</v>
      </c>
      <c r="K8" s="1">
        <f>DATE(YEAR(Transactions[[#This Row],[Date]]), MONTH(Transactions[[#This Row],[Date]]), 1)</f>
        <v>45839</v>
      </c>
    </row>
    <row r="9" spans="1:11" x14ac:dyDescent="0.25">
      <c r="A9" s="3" t="s">
        <v>126</v>
      </c>
      <c r="B9" s="19">
        <v>45907</v>
      </c>
      <c r="C9" s="3" t="s">
        <v>40</v>
      </c>
      <c r="D9" s="2" t="str">
        <f>VLOOKUP(C9,Items[],2,0)</f>
        <v>Bor Tangan Listrik</v>
      </c>
      <c r="E9" s="3">
        <v>3</v>
      </c>
      <c r="F9" s="14">
        <f>VLOOKUP(C9,Items[],5,0)</f>
        <v>335500</v>
      </c>
      <c r="G9" s="15">
        <f t="shared" si="0"/>
        <v>1006500</v>
      </c>
      <c r="H9" s="3" t="s">
        <v>347</v>
      </c>
      <c r="I9" s="3" t="s">
        <v>66</v>
      </c>
      <c r="J9" t="str">
        <f>TEXT(Transactions[[#This Row],[Date]],"MMM-YYYY")</f>
        <v>Sep-2025</v>
      </c>
      <c r="K9" s="1">
        <f>DATE(YEAR(Transactions[[#This Row],[Date]]), MONTH(Transactions[[#This Row],[Date]]), 1)</f>
        <v>45901</v>
      </c>
    </row>
    <row r="10" spans="1:11" x14ac:dyDescent="0.25">
      <c r="A10" s="2" t="s">
        <v>127</v>
      </c>
      <c r="B10" s="18">
        <v>45868</v>
      </c>
      <c r="C10" s="2" t="s">
        <v>38</v>
      </c>
      <c r="D10" s="2" t="str">
        <f>VLOOKUP(C10,Items[],2,0)</f>
        <v>Sarung Tangan Katun</v>
      </c>
      <c r="E10" s="2">
        <v>16</v>
      </c>
      <c r="F10" s="14">
        <f>VLOOKUP(C10,Items[],5,0)</f>
        <v>20000</v>
      </c>
      <c r="G10" s="14">
        <f t="shared" si="0"/>
        <v>320000</v>
      </c>
      <c r="H10" s="2" t="s">
        <v>348</v>
      </c>
      <c r="I10" s="2" t="s">
        <v>61</v>
      </c>
      <c r="J10" t="str">
        <f>TEXT(Transactions[[#This Row],[Date]],"MMM-YYYY")</f>
        <v>Jul-2025</v>
      </c>
      <c r="K10" s="1">
        <f>DATE(YEAR(Transactions[[#This Row],[Date]]), MONTH(Transactions[[#This Row],[Date]]), 1)</f>
        <v>45839</v>
      </c>
    </row>
    <row r="11" spans="1:11" x14ac:dyDescent="0.25">
      <c r="A11" s="3" t="s">
        <v>128</v>
      </c>
      <c r="B11" s="19">
        <v>45888</v>
      </c>
      <c r="C11" s="3" t="s">
        <v>37</v>
      </c>
      <c r="D11" s="2" t="str">
        <f>VLOOKUP(C11,Items[],2,0)</f>
        <v>Mesin Potong Besi</v>
      </c>
      <c r="E11" s="3">
        <v>6</v>
      </c>
      <c r="F11" s="14">
        <f>VLOOKUP(C11,Items[],5,0)</f>
        <v>3200000</v>
      </c>
      <c r="G11" s="15">
        <f t="shared" si="0"/>
        <v>19200000</v>
      </c>
      <c r="H11" s="3" t="s">
        <v>348</v>
      </c>
      <c r="I11" s="3" t="s">
        <v>63</v>
      </c>
      <c r="J11" t="str">
        <f>TEXT(Transactions[[#This Row],[Date]],"MMM-YYYY")</f>
        <v>Aug-2025</v>
      </c>
      <c r="K11" s="1">
        <f>DATE(YEAR(Transactions[[#This Row],[Date]]), MONTH(Transactions[[#This Row],[Date]]), 1)</f>
        <v>45870</v>
      </c>
    </row>
    <row r="12" spans="1:11" x14ac:dyDescent="0.25">
      <c r="A12" s="2" t="s">
        <v>86</v>
      </c>
      <c r="B12" s="18">
        <v>45843</v>
      </c>
      <c r="C12" s="2" t="s">
        <v>46</v>
      </c>
      <c r="D12" s="2" t="str">
        <f>VLOOKUP(C12,Items[],2,0)</f>
        <v>Masker Safety Box (isi 50)</v>
      </c>
      <c r="E12" s="2">
        <v>8</v>
      </c>
      <c r="F12" s="14">
        <f>VLOOKUP(C12,Items[],5,0)</f>
        <v>11500</v>
      </c>
      <c r="G12" s="14">
        <f t="shared" si="0"/>
        <v>92000</v>
      </c>
      <c r="H12" s="2" t="s">
        <v>347</v>
      </c>
      <c r="I12" s="2" t="s">
        <v>63</v>
      </c>
      <c r="J12" t="str">
        <f>TEXT(Transactions[[#This Row],[Date]],"MMM-YYYY")</f>
        <v>Jul-2025</v>
      </c>
      <c r="K12" s="1">
        <f>DATE(YEAR(Transactions[[#This Row],[Date]]), MONTH(Transactions[[#This Row],[Date]]), 1)</f>
        <v>45839</v>
      </c>
    </row>
    <row r="13" spans="1:11" x14ac:dyDescent="0.25">
      <c r="A13" s="3" t="s">
        <v>129</v>
      </c>
      <c r="B13" s="19">
        <v>45872</v>
      </c>
      <c r="C13" s="3" t="s">
        <v>45</v>
      </c>
      <c r="D13" s="2" t="str">
        <f>VLOOKUP(C13,Items[],2,0)</f>
        <v>Helm Proyek</v>
      </c>
      <c r="E13" s="3">
        <v>5</v>
      </c>
      <c r="F13" s="14">
        <f>VLOOKUP(C13,Items[],5,0)</f>
        <v>50000</v>
      </c>
      <c r="G13" s="15">
        <f t="shared" si="0"/>
        <v>250000</v>
      </c>
      <c r="H13" s="3" t="s">
        <v>347</v>
      </c>
      <c r="I13" s="3" t="s">
        <v>61</v>
      </c>
      <c r="J13" t="str">
        <f>TEXT(Transactions[[#This Row],[Date]],"MMM-YYYY")</f>
        <v>Aug-2025</v>
      </c>
      <c r="K13" s="1">
        <f>DATE(YEAR(Transactions[[#This Row],[Date]]), MONTH(Transactions[[#This Row],[Date]]), 1)</f>
        <v>45870</v>
      </c>
    </row>
    <row r="14" spans="1:11" x14ac:dyDescent="0.25">
      <c r="A14" s="2" t="s">
        <v>130</v>
      </c>
      <c r="B14" s="18">
        <v>45890</v>
      </c>
      <c r="C14" s="2" t="s">
        <v>52</v>
      </c>
      <c r="D14" s="2" t="str">
        <f>VLOOKUP(C14,Items[],2,0)</f>
        <v>Paku 5cm (1 kg)</v>
      </c>
      <c r="E14" s="2">
        <v>20</v>
      </c>
      <c r="F14" s="14">
        <f>VLOOKUP(C14,Items[],5,0)</f>
        <v>13500</v>
      </c>
      <c r="G14" s="14">
        <f t="shared" si="0"/>
        <v>270000</v>
      </c>
      <c r="H14" s="2" t="s">
        <v>348</v>
      </c>
      <c r="I14" s="2" t="s">
        <v>60</v>
      </c>
      <c r="J14" t="str">
        <f>TEXT(Transactions[[#This Row],[Date]],"MMM-YYYY")</f>
        <v>Aug-2025</v>
      </c>
      <c r="K14" s="1">
        <f>DATE(YEAR(Transactions[[#This Row],[Date]]), MONTH(Transactions[[#This Row],[Date]]), 1)</f>
        <v>45870</v>
      </c>
    </row>
    <row r="15" spans="1:11" x14ac:dyDescent="0.25">
      <c r="A15" s="3" t="s">
        <v>131</v>
      </c>
      <c r="B15" s="19">
        <v>45846</v>
      </c>
      <c r="C15" s="3" t="s">
        <v>42</v>
      </c>
      <c r="D15" s="2" t="str">
        <f>VLOOKUP(C15,Items[],2,0)</f>
        <v>Pipa PVC 4 inch (per batang)</v>
      </c>
      <c r="E15" s="3">
        <v>15</v>
      </c>
      <c r="F15" s="14">
        <f>VLOOKUP(C15,Items[],5,0)</f>
        <v>260000</v>
      </c>
      <c r="G15" s="15">
        <f t="shared" si="0"/>
        <v>3900000</v>
      </c>
      <c r="H15" s="3" t="s">
        <v>348</v>
      </c>
      <c r="I15" s="3" t="s">
        <v>64</v>
      </c>
      <c r="J15" t="str">
        <f>TEXT(Transactions[[#This Row],[Date]],"MMM-YYYY")</f>
        <v>Jul-2025</v>
      </c>
      <c r="K15" s="1">
        <f>DATE(YEAR(Transactions[[#This Row],[Date]]), MONTH(Transactions[[#This Row],[Date]]), 1)</f>
        <v>45839</v>
      </c>
    </row>
    <row r="16" spans="1:11" x14ac:dyDescent="0.25">
      <c r="A16" s="2" t="s">
        <v>132</v>
      </c>
      <c r="B16" s="18">
        <v>45906</v>
      </c>
      <c r="C16" s="2" t="s">
        <v>48</v>
      </c>
      <c r="D16" s="2" t="str">
        <f>VLOOKUP(C16,Items[],2,0)</f>
        <v>Gerinda Tangan</v>
      </c>
      <c r="E16" s="2">
        <v>3</v>
      </c>
      <c r="F16" s="14">
        <f>VLOOKUP(C16,Items[],5,0)</f>
        <v>465000</v>
      </c>
      <c r="G16" s="14">
        <f t="shared" si="0"/>
        <v>1395000</v>
      </c>
      <c r="H16" s="2" t="s">
        <v>347</v>
      </c>
      <c r="I16" s="2" t="s">
        <v>61</v>
      </c>
      <c r="J16" t="str">
        <f>TEXT(Transactions[[#This Row],[Date]],"MMM-YYYY")</f>
        <v>Sep-2025</v>
      </c>
      <c r="K16" s="1">
        <f>DATE(YEAR(Transactions[[#This Row],[Date]]), MONTH(Transactions[[#This Row],[Date]]), 1)</f>
        <v>45901</v>
      </c>
    </row>
    <row r="17" spans="1:11" x14ac:dyDescent="0.25">
      <c r="A17" s="3" t="s">
        <v>133</v>
      </c>
      <c r="B17" s="19">
        <v>45903</v>
      </c>
      <c r="C17" s="3" t="s">
        <v>48</v>
      </c>
      <c r="D17" s="2" t="str">
        <f>VLOOKUP(C17,Items[],2,0)</f>
        <v>Gerinda Tangan</v>
      </c>
      <c r="E17" s="3">
        <v>3</v>
      </c>
      <c r="F17" s="14">
        <f>VLOOKUP(C17,Items[],5,0)</f>
        <v>465000</v>
      </c>
      <c r="G17" s="15">
        <f t="shared" si="0"/>
        <v>1395000</v>
      </c>
      <c r="H17" s="3" t="s">
        <v>347</v>
      </c>
      <c r="I17" s="3" t="s">
        <v>61</v>
      </c>
      <c r="J17" t="str">
        <f>TEXT(Transactions[[#This Row],[Date]],"MMM-YYYY")</f>
        <v>Sep-2025</v>
      </c>
      <c r="K17" s="1">
        <f>DATE(YEAR(Transactions[[#This Row],[Date]]), MONTH(Transactions[[#This Row],[Date]]), 1)</f>
        <v>45901</v>
      </c>
    </row>
    <row r="18" spans="1:11" x14ac:dyDescent="0.25">
      <c r="A18" s="2" t="s">
        <v>101</v>
      </c>
      <c r="B18" s="18">
        <v>45849</v>
      </c>
      <c r="C18" s="2" t="s">
        <v>56</v>
      </c>
      <c r="D18" s="2" t="str">
        <f>VLOOKUP(C18,Items[],2,0)</f>
        <v>Cat Minyak 5L</v>
      </c>
      <c r="E18" s="2">
        <v>16</v>
      </c>
      <c r="F18" s="14">
        <f>VLOOKUP(C18,Items[],5,0)</f>
        <v>135500</v>
      </c>
      <c r="G18" s="14">
        <f t="shared" si="0"/>
        <v>2168000</v>
      </c>
      <c r="H18" s="2" t="s">
        <v>347</v>
      </c>
      <c r="I18" s="2" t="s">
        <v>62</v>
      </c>
      <c r="J18" t="str">
        <f>TEXT(Transactions[[#This Row],[Date]],"MMM-YYYY")</f>
        <v>Jul-2025</v>
      </c>
      <c r="K18" s="1">
        <f>DATE(YEAR(Transactions[[#This Row],[Date]]), MONTH(Transactions[[#This Row],[Date]]), 1)</f>
        <v>45839</v>
      </c>
    </row>
    <row r="19" spans="1:11" x14ac:dyDescent="0.25">
      <c r="A19" s="3" t="s">
        <v>134</v>
      </c>
      <c r="B19" s="19">
        <v>45913</v>
      </c>
      <c r="C19" s="3" t="s">
        <v>54</v>
      </c>
      <c r="D19" s="2" t="str">
        <f>VLOOKUP(C19,Items[],2,0)</f>
        <v>Obeng Set</v>
      </c>
      <c r="E19" s="3">
        <v>15</v>
      </c>
      <c r="F19" s="14">
        <f>VLOOKUP(C19,Items[],5,0)</f>
        <v>128000</v>
      </c>
      <c r="G19" s="15">
        <f t="shared" si="0"/>
        <v>1920000</v>
      </c>
      <c r="H19" s="3" t="s">
        <v>348</v>
      </c>
      <c r="I19" s="3" t="s">
        <v>60</v>
      </c>
      <c r="J19" t="str">
        <f>TEXT(Transactions[[#This Row],[Date]],"MMM-YYYY")</f>
        <v>Sep-2025</v>
      </c>
      <c r="K19" s="1">
        <f>DATE(YEAR(Transactions[[#This Row],[Date]]), MONTH(Transactions[[#This Row],[Date]]), 1)</f>
        <v>45901</v>
      </c>
    </row>
    <row r="20" spans="1:11" x14ac:dyDescent="0.25">
      <c r="A20" s="2" t="s">
        <v>96</v>
      </c>
      <c r="B20" s="18">
        <v>45908</v>
      </c>
      <c r="C20" s="2" t="s">
        <v>45</v>
      </c>
      <c r="D20" s="2" t="str">
        <f>VLOOKUP(C20,Items[],2,0)</f>
        <v>Helm Proyek</v>
      </c>
      <c r="E20" s="2">
        <v>20</v>
      </c>
      <c r="F20" s="14">
        <f>VLOOKUP(C20,Items[],5,0)</f>
        <v>50000</v>
      </c>
      <c r="G20" s="14">
        <f t="shared" si="0"/>
        <v>1000000</v>
      </c>
      <c r="H20" s="2" t="s">
        <v>348</v>
      </c>
      <c r="I20" s="2" t="s">
        <v>58</v>
      </c>
      <c r="J20" t="str">
        <f>TEXT(Transactions[[#This Row],[Date]],"MMM-YYYY")</f>
        <v>Sep-2025</v>
      </c>
      <c r="K20" s="1">
        <f>DATE(YEAR(Transactions[[#This Row],[Date]]), MONTH(Transactions[[#This Row],[Date]]), 1)</f>
        <v>45901</v>
      </c>
    </row>
    <row r="21" spans="1:11" x14ac:dyDescent="0.25">
      <c r="A21" s="3" t="s">
        <v>135</v>
      </c>
      <c r="B21" s="19">
        <v>45879</v>
      </c>
      <c r="C21" s="3" t="s">
        <v>48</v>
      </c>
      <c r="D21" s="2" t="str">
        <f>VLOOKUP(C21,Items[],2,0)</f>
        <v>Gerinda Tangan</v>
      </c>
      <c r="E21" s="3">
        <v>18</v>
      </c>
      <c r="F21" s="14">
        <f>VLOOKUP(C21,Items[],5,0)</f>
        <v>465000</v>
      </c>
      <c r="G21" s="15">
        <f t="shared" si="0"/>
        <v>8370000</v>
      </c>
      <c r="H21" s="3" t="s">
        <v>347</v>
      </c>
      <c r="I21" s="3" t="s">
        <v>60</v>
      </c>
      <c r="J21" t="str">
        <f>TEXT(Transactions[[#This Row],[Date]],"MMM-YYYY")</f>
        <v>Aug-2025</v>
      </c>
      <c r="K21" s="1">
        <f>DATE(YEAR(Transactions[[#This Row],[Date]]), MONTH(Transactions[[#This Row],[Date]]), 1)</f>
        <v>45870</v>
      </c>
    </row>
    <row r="22" spans="1:11" x14ac:dyDescent="0.25">
      <c r="A22" s="2" t="s">
        <v>99</v>
      </c>
      <c r="B22" s="18">
        <v>45842</v>
      </c>
      <c r="C22" s="2" t="s">
        <v>45</v>
      </c>
      <c r="D22" s="2" t="str">
        <f>VLOOKUP(C22,Items[],2,0)</f>
        <v>Helm Proyek</v>
      </c>
      <c r="E22" s="2">
        <v>11</v>
      </c>
      <c r="F22" s="14">
        <f>VLOOKUP(C22,Items[],5,0)</f>
        <v>50000</v>
      </c>
      <c r="G22" s="14">
        <f t="shared" si="0"/>
        <v>550000</v>
      </c>
      <c r="H22" s="2" t="s">
        <v>347</v>
      </c>
      <c r="I22" s="2" t="s">
        <v>67</v>
      </c>
      <c r="J22" t="str">
        <f>TEXT(Transactions[[#This Row],[Date]],"MMM-YYYY")</f>
        <v>Jul-2025</v>
      </c>
      <c r="K22" s="1">
        <f>DATE(YEAR(Transactions[[#This Row],[Date]]), MONTH(Transactions[[#This Row],[Date]]), 1)</f>
        <v>45839</v>
      </c>
    </row>
    <row r="23" spans="1:11" x14ac:dyDescent="0.25">
      <c r="A23" s="3" t="s">
        <v>136</v>
      </c>
      <c r="B23" s="19">
        <v>45867</v>
      </c>
      <c r="C23" s="3" t="s">
        <v>42</v>
      </c>
      <c r="D23" s="2" t="str">
        <f>VLOOKUP(C23,Items[],2,0)</f>
        <v>Pipa PVC 4 inch (per batang)</v>
      </c>
      <c r="E23" s="3">
        <v>13</v>
      </c>
      <c r="F23" s="14">
        <f>VLOOKUP(C23,Items[],5,0)</f>
        <v>260000</v>
      </c>
      <c r="G23" s="15">
        <f t="shared" si="0"/>
        <v>3380000</v>
      </c>
      <c r="H23" s="3" t="s">
        <v>347</v>
      </c>
      <c r="I23" s="3" t="s">
        <v>66</v>
      </c>
      <c r="J23" t="str">
        <f>TEXT(Transactions[[#This Row],[Date]],"MMM-YYYY")</f>
        <v>Jul-2025</v>
      </c>
      <c r="K23" s="1">
        <f>DATE(YEAR(Transactions[[#This Row],[Date]]), MONTH(Transactions[[#This Row],[Date]]), 1)</f>
        <v>45839</v>
      </c>
    </row>
    <row r="24" spans="1:11" x14ac:dyDescent="0.25">
      <c r="A24" s="2" t="s">
        <v>137</v>
      </c>
      <c r="B24" s="18">
        <v>45920</v>
      </c>
      <c r="C24" s="2" t="s">
        <v>52</v>
      </c>
      <c r="D24" s="2" t="str">
        <f>VLOOKUP(C24,Items[],2,0)</f>
        <v>Paku 5cm (1 kg)</v>
      </c>
      <c r="E24" s="2">
        <v>7</v>
      </c>
      <c r="F24" s="14">
        <f>VLOOKUP(C24,Items[],5,0)</f>
        <v>13500</v>
      </c>
      <c r="G24" s="14">
        <f t="shared" si="0"/>
        <v>94500</v>
      </c>
      <c r="H24" s="2" t="s">
        <v>348</v>
      </c>
      <c r="I24" s="2" t="s">
        <v>58</v>
      </c>
      <c r="J24" t="str">
        <f>TEXT(Transactions[[#This Row],[Date]],"MMM-YYYY")</f>
        <v>Sep-2025</v>
      </c>
      <c r="K24" s="1">
        <f>DATE(YEAR(Transactions[[#This Row],[Date]]), MONTH(Transactions[[#This Row],[Date]]), 1)</f>
        <v>45901</v>
      </c>
    </row>
    <row r="25" spans="1:11" x14ac:dyDescent="0.25">
      <c r="A25" s="3" t="s">
        <v>138</v>
      </c>
      <c r="B25" s="19">
        <v>45917</v>
      </c>
      <c r="C25" s="3" t="s">
        <v>44</v>
      </c>
      <c r="D25" s="2" t="str">
        <f>VLOOKUP(C25,Items[],2,0)</f>
        <v>Pompa Air Industri</v>
      </c>
      <c r="E25" s="3">
        <v>10</v>
      </c>
      <c r="F25" s="14">
        <f>VLOOKUP(C25,Items[],5,0)</f>
        <v>4490000</v>
      </c>
      <c r="G25" s="15">
        <f t="shared" si="0"/>
        <v>44900000</v>
      </c>
      <c r="H25" s="3" t="s">
        <v>348</v>
      </c>
      <c r="I25" s="3" t="s">
        <v>63</v>
      </c>
      <c r="J25" t="str">
        <f>TEXT(Transactions[[#This Row],[Date]],"MMM-YYYY")</f>
        <v>Sep-2025</v>
      </c>
      <c r="K25" s="1">
        <f>DATE(YEAR(Transactions[[#This Row],[Date]]), MONTH(Transactions[[#This Row],[Date]]), 1)</f>
        <v>45901</v>
      </c>
    </row>
    <row r="26" spans="1:11" x14ac:dyDescent="0.25">
      <c r="A26" s="2" t="s">
        <v>139</v>
      </c>
      <c r="B26" s="18">
        <v>45852</v>
      </c>
      <c r="C26" s="2" t="s">
        <v>50</v>
      </c>
      <c r="D26" s="2" t="str">
        <f>VLOOKUP(C26,Items[],2,0)</f>
        <v>Rantai Besi 10m</v>
      </c>
      <c r="E26" s="2">
        <v>6</v>
      </c>
      <c r="F26" s="14">
        <f>VLOOKUP(C26,Items[],5,0)</f>
        <v>431000</v>
      </c>
      <c r="G26" s="14">
        <f t="shared" si="0"/>
        <v>2586000</v>
      </c>
      <c r="H26" s="2" t="s">
        <v>348</v>
      </c>
      <c r="I26" s="2" t="s">
        <v>59</v>
      </c>
      <c r="J26" t="str">
        <f>TEXT(Transactions[[#This Row],[Date]],"MMM-YYYY")</f>
        <v>Jul-2025</v>
      </c>
      <c r="K26" s="1">
        <f>DATE(YEAR(Transactions[[#This Row],[Date]]), MONTH(Transactions[[#This Row],[Date]]), 1)</f>
        <v>45839</v>
      </c>
    </row>
    <row r="27" spans="1:11" x14ac:dyDescent="0.25">
      <c r="A27" s="3" t="s">
        <v>94</v>
      </c>
      <c r="B27" s="19">
        <v>45893</v>
      </c>
      <c r="C27" s="3" t="s">
        <v>55</v>
      </c>
      <c r="D27" s="2" t="str">
        <f>VLOOKUP(C27,Items[],2,0)</f>
        <v>Genset Portable 1000W</v>
      </c>
      <c r="E27" s="3">
        <v>3</v>
      </c>
      <c r="F27" s="14">
        <f>VLOOKUP(C27,Items[],5,0)</f>
        <v>3134000</v>
      </c>
      <c r="G27" s="15">
        <f t="shared" si="0"/>
        <v>9402000</v>
      </c>
      <c r="H27" s="3" t="s">
        <v>347</v>
      </c>
      <c r="I27" s="3" t="s">
        <v>67</v>
      </c>
      <c r="J27" t="str">
        <f>TEXT(Transactions[[#This Row],[Date]],"MMM-YYYY")</f>
        <v>Aug-2025</v>
      </c>
      <c r="K27" s="1">
        <f>DATE(YEAR(Transactions[[#This Row],[Date]]), MONTH(Transactions[[#This Row],[Date]]), 1)</f>
        <v>45870</v>
      </c>
    </row>
    <row r="28" spans="1:11" x14ac:dyDescent="0.25">
      <c r="A28" s="2" t="s">
        <v>97</v>
      </c>
      <c r="B28" s="18">
        <v>45856</v>
      </c>
      <c r="C28" s="2" t="s">
        <v>40</v>
      </c>
      <c r="D28" s="2" t="str">
        <f>VLOOKUP(C28,Items[],2,0)</f>
        <v>Bor Tangan Listrik</v>
      </c>
      <c r="E28" s="2">
        <v>10</v>
      </c>
      <c r="F28" s="14">
        <f>VLOOKUP(C28,Items[],5,0)</f>
        <v>335500</v>
      </c>
      <c r="G28" s="14">
        <f t="shared" si="0"/>
        <v>3355000</v>
      </c>
      <c r="H28" s="2" t="s">
        <v>348</v>
      </c>
      <c r="I28" s="2" t="s">
        <v>67</v>
      </c>
      <c r="J28" t="str">
        <f>TEXT(Transactions[[#This Row],[Date]],"MMM-YYYY")</f>
        <v>Jul-2025</v>
      </c>
      <c r="K28" s="1">
        <f>DATE(YEAR(Transactions[[#This Row],[Date]]), MONTH(Transactions[[#This Row],[Date]]), 1)</f>
        <v>45839</v>
      </c>
    </row>
    <row r="29" spans="1:11" x14ac:dyDescent="0.25">
      <c r="A29" s="3" t="s">
        <v>93</v>
      </c>
      <c r="B29" s="19">
        <v>45900</v>
      </c>
      <c r="C29" s="3" t="s">
        <v>55</v>
      </c>
      <c r="D29" s="2" t="str">
        <f>VLOOKUP(C29,Items[],2,0)</f>
        <v>Genset Portable 1000W</v>
      </c>
      <c r="E29" s="3">
        <v>12</v>
      </c>
      <c r="F29" s="14">
        <f>VLOOKUP(C29,Items[],5,0)</f>
        <v>3134000</v>
      </c>
      <c r="G29" s="15">
        <f t="shared" si="0"/>
        <v>37608000</v>
      </c>
      <c r="H29" s="3" t="s">
        <v>347</v>
      </c>
      <c r="I29" s="3" t="s">
        <v>62</v>
      </c>
      <c r="J29" t="str">
        <f>TEXT(Transactions[[#This Row],[Date]],"MMM-YYYY")</f>
        <v>Aug-2025</v>
      </c>
      <c r="K29" s="1">
        <f>DATE(YEAR(Transactions[[#This Row],[Date]]), MONTH(Transactions[[#This Row],[Date]]), 1)</f>
        <v>45870</v>
      </c>
    </row>
    <row r="30" spans="1:11" x14ac:dyDescent="0.25">
      <c r="A30" s="2" t="s">
        <v>140</v>
      </c>
      <c r="B30" s="18">
        <v>45895</v>
      </c>
      <c r="C30" s="2" t="s">
        <v>51</v>
      </c>
      <c r="D30" s="2" t="str">
        <f>VLOOKUP(C30,Items[],2,0)</f>
        <v>Lampu Sorot LED 100W</v>
      </c>
      <c r="E30" s="2">
        <v>7</v>
      </c>
      <c r="F30" s="14">
        <f>VLOOKUP(C30,Items[],5,0)</f>
        <v>237000</v>
      </c>
      <c r="G30" s="14">
        <f t="shared" si="0"/>
        <v>1659000</v>
      </c>
      <c r="H30" s="2" t="s">
        <v>347</v>
      </c>
      <c r="I30" s="2" t="s">
        <v>63</v>
      </c>
      <c r="J30" t="str">
        <f>TEXT(Transactions[[#This Row],[Date]],"MMM-YYYY")</f>
        <v>Aug-2025</v>
      </c>
      <c r="K30" s="1">
        <f>DATE(YEAR(Transactions[[#This Row],[Date]]), MONTH(Transactions[[#This Row],[Date]]), 1)</f>
        <v>45870</v>
      </c>
    </row>
    <row r="31" spans="1:11" x14ac:dyDescent="0.25">
      <c r="A31" s="3" t="s">
        <v>141</v>
      </c>
      <c r="B31" s="19">
        <v>45916</v>
      </c>
      <c r="C31" s="3" t="s">
        <v>45</v>
      </c>
      <c r="D31" s="2" t="str">
        <f>VLOOKUP(C31,Items[],2,0)</f>
        <v>Helm Proyek</v>
      </c>
      <c r="E31" s="3">
        <v>18</v>
      </c>
      <c r="F31" s="14">
        <f>VLOOKUP(C31,Items[],5,0)</f>
        <v>50000</v>
      </c>
      <c r="G31" s="15">
        <f t="shared" si="0"/>
        <v>900000</v>
      </c>
      <c r="H31" s="3" t="s">
        <v>348</v>
      </c>
      <c r="I31" s="3" t="s">
        <v>64</v>
      </c>
      <c r="J31" t="str">
        <f>TEXT(Transactions[[#This Row],[Date]],"MMM-YYYY")</f>
        <v>Sep-2025</v>
      </c>
      <c r="K31" s="1">
        <f>DATE(YEAR(Transactions[[#This Row],[Date]]), MONTH(Transactions[[#This Row],[Date]]), 1)</f>
        <v>45901</v>
      </c>
    </row>
    <row r="32" spans="1:11" x14ac:dyDescent="0.25">
      <c r="A32" s="2" t="s">
        <v>142</v>
      </c>
      <c r="B32" s="18">
        <v>45866</v>
      </c>
      <c r="C32" s="2" t="s">
        <v>43</v>
      </c>
      <c r="D32" s="2" t="str">
        <f>VLOOKUP(C32,Items[],2,0)</f>
        <v>Drum Solar 200L</v>
      </c>
      <c r="E32" s="2">
        <v>10</v>
      </c>
      <c r="F32" s="14">
        <f>VLOOKUP(C32,Items[],5,0)</f>
        <v>1060000</v>
      </c>
      <c r="G32" s="14">
        <f t="shared" si="0"/>
        <v>10600000</v>
      </c>
      <c r="H32" s="2" t="s">
        <v>347</v>
      </c>
      <c r="I32" s="2" t="s">
        <v>60</v>
      </c>
      <c r="J32" t="str">
        <f>TEXT(Transactions[[#This Row],[Date]],"MMM-YYYY")</f>
        <v>Jul-2025</v>
      </c>
      <c r="K32" s="1">
        <f>DATE(YEAR(Transactions[[#This Row],[Date]]), MONTH(Transactions[[#This Row],[Date]]), 1)</f>
        <v>45839</v>
      </c>
    </row>
    <row r="33" spans="1:11" x14ac:dyDescent="0.25">
      <c r="A33" s="3" t="s">
        <v>111</v>
      </c>
      <c r="B33" s="19">
        <v>45858</v>
      </c>
      <c r="C33" s="3" t="s">
        <v>44</v>
      </c>
      <c r="D33" s="2" t="str">
        <f>VLOOKUP(C33,Items[],2,0)</f>
        <v>Pompa Air Industri</v>
      </c>
      <c r="E33" s="3">
        <v>10</v>
      </c>
      <c r="F33" s="14">
        <f>VLOOKUP(C33,Items[],5,0)</f>
        <v>4490000</v>
      </c>
      <c r="G33" s="15">
        <f t="shared" si="0"/>
        <v>44900000</v>
      </c>
      <c r="H33" s="3" t="s">
        <v>348</v>
      </c>
      <c r="I33" s="3" t="s">
        <v>60</v>
      </c>
      <c r="J33" t="str">
        <f>TEXT(Transactions[[#This Row],[Date]],"MMM-YYYY")</f>
        <v>Jul-2025</v>
      </c>
      <c r="K33" s="1">
        <f>DATE(YEAR(Transactions[[#This Row],[Date]]), MONTH(Transactions[[#This Row],[Date]]), 1)</f>
        <v>45839</v>
      </c>
    </row>
    <row r="34" spans="1:11" x14ac:dyDescent="0.25">
      <c r="A34" s="2" t="s">
        <v>143</v>
      </c>
      <c r="B34" s="18">
        <v>45850</v>
      </c>
      <c r="C34" s="2" t="s">
        <v>40</v>
      </c>
      <c r="D34" s="2" t="str">
        <f>VLOOKUP(C34,Items[],2,0)</f>
        <v>Bor Tangan Listrik</v>
      </c>
      <c r="E34" s="2">
        <v>4</v>
      </c>
      <c r="F34" s="14">
        <f>VLOOKUP(C34,Items[],5,0)</f>
        <v>335500</v>
      </c>
      <c r="G34" s="14">
        <f t="shared" ref="G34:G65" si="1">E34*F34</f>
        <v>1342000</v>
      </c>
      <c r="H34" s="2" t="s">
        <v>347</v>
      </c>
      <c r="I34" s="2" t="s">
        <v>67</v>
      </c>
      <c r="J34" t="str">
        <f>TEXT(Transactions[[#This Row],[Date]],"MMM-YYYY")</f>
        <v>Jul-2025</v>
      </c>
      <c r="K34" s="1">
        <f>DATE(YEAR(Transactions[[#This Row],[Date]]), MONTH(Transactions[[#This Row],[Date]]), 1)</f>
        <v>45839</v>
      </c>
    </row>
    <row r="35" spans="1:11" x14ac:dyDescent="0.25">
      <c r="A35" s="3" t="s">
        <v>77</v>
      </c>
      <c r="B35" s="19">
        <v>45904</v>
      </c>
      <c r="C35" s="3" t="s">
        <v>54</v>
      </c>
      <c r="D35" s="2" t="str">
        <f>VLOOKUP(C35,Items[],2,0)</f>
        <v>Obeng Set</v>
      </c>
      <c r="E35" s="3">
        <v>11</v>
      </c>
      <c r="F35" s="14">
        <f>VLOOKUP(C35,Items[],5,0)</f>
        <v>128000</v>
      </c>
      <c r="G35" s="15">
        <f t="shared" si="1"/>
        <v>1408000</v>
      </c>
      <c r="H35" s="3" t="s">
        <v>347</v>
      </c>
      <c r="I35" s="3" t="s">
        <v>66</v>
      </c>
      <c r="J35" t="str">
        <f>TEXT(Transactions[[#This Row],[Date]],"MMM-YYYY")</f>
        <v>Sep-2025</v>
      </c>
      <c r="K35" s="1">
        <f>DATE(YEAR(Transactions[[#This Row],[Date]]), MONTH(Transactions[[#This Row],[Date]]), 1)</f>
        <v>45901</v>
      </c>
    </row>
    <row r="36" spans="1:11" x14ac:dyDescent="0.25">
      <c r="A36" s="2" t="s">
        <v>144</v>
      </c>
      <c r="B36" s="18">
        <v>45891</v>
      </c>
      <c r="C36" s="2" t="s">
        <v>50</v>
      </c>
      <c r="D36" s="2" t="str">
        <f>VLOOKUP(C36,Items[],2,0)</f>
        <v>Rantai Besi 10m</v>
      </c>
      <c r="E36" s="2">
        <v>10</v>
      </c>
      <c r="F36" s="14">
        <f>VLOOKUP(C36,Items[],5,0)</f>
        <v>431000</v>
      </c>
      <c r="G36" s="14">
        <f t="shared" si="1"/>
        <v>4310000</v>
      </c>
      <c r="H36" s="2" t="s">
        <v>347</v>
      </c>
      <c r="I36" s="2" t="s">
        <v>64</v>
      </c>
      <c r="J36" t="str">
        <f>TEXT(Transactions[[#This Row],[Date]],"MMM-YYYY")</f>
        <v>Aug-2025</v>
      </c>
      <c r="K36" s="1">
        <f>DATE(YEAR(Transactions[[#This Row],[Date]]), MONTH(Transactions[[#This Row],[Date]]), 1)</f>
        <v>45870</v>
      </c>
    </row>
    <row r="37" spans="1:11" x14ac:dyDescent="0.25">
      <c r="A37" s="3" t="s">
        <v>145</v>
      </c>
      <c r="B37" s="19">
        <v>45894</v>
      </c>
      <c r="C37" s="3" t="s">
        <v>40</v>
      </c>
      <c r="D37" s="2" t="str">
        <f>VLOOKUP(C37,Items[],2,0)</f>
        <v>Bor Tangan Listrik</v>
      </c>
      <c r="E37" s="3">
        <v>10</v>
      </c>
      <c r="F37" s="14">
        <f>VLOOKUP(C37,Items[],5,0)</f>
        <v>335500</v>
      </c>
      <c r="G37" s="15">
        <f t="shared" si="1"/>
        <v>3355000</v>
      </c>
      <c r="H37" s="3" t="s">
        <v>347</v>
      </c>
      <c r="I37" s="3" t="s">
        <v>60</v>
      </c>
      <c r="J37" t="str">
        <f>TEXT(Transactions[[#This Row],[Date]],"MMM-YYYY")</f>
        <v>Aug-2025</v>
      </c>
      <c r="K37" s="1">
        <f>DATE(YEAR(Transactions[[#This Row],[Date]]), MONTH(Transactions[[#This Row],[Date]]), 1)</f>
        <v>45870</v>
      </c>
    </row>
    <row r="38" spans="1:11" x14ac:dyDescent="0.25">
      <c r="A38" s="2" t="s">
        <v>146</v>
      </c>
      <c r="B38" s="18">
        <v>45863</v>
      </c>
      <c r="C38" s="2" t="s">
        <v>48</v>
      </c>
      <c r="D38" s="2" t="str">
        <f>VLOOKUP(C38,Items[],2,0)</f>
        <v>Gerinda Tangan</v>
      </c>
      <c r="E38" s="2">
        <v>20</v>
      </c>
      <c r="F38" s="14">
        <f>VLOOKUP(C38,Items[],5,0)</f>
        <v>465000</v>
      </c>
      <c r="G38" s="14">
        <f t="shared" si="1"/>
        <v>9300000</v>
      </c>
      <c r="H38" s="2" t="s">
        <v>347</v>
      </c>
      <c r="I38" s="2" t="s">
        <v>63</v>
      </c>
      <c r="J38" t="str">
        <f>TEXT(Transactions[[#This Row],[Date]],"MMM-YYYY")</f>
        <v>Jul-2025</v>
      </c>
      <c r="K38" s="1">
        <f>DATE(YEAR(Transactions[[#This Row],[Date]]), MONTH(Transactions[[#This Row],[Date]]), 1)</f>
        <v>45839</v>
      </c>
    </row>
    <row r="39" spans="1:11" x14ac:dyDescent="0.25">
      <c r="A39" s="3" t="s">
        <v>147</v>
      </c>
      <c r="B39" s="19">
        <v>45860</v>
      </c>
      <c r="C39" s="3" t="s">
        <v>38</v>
      </c>
      <c r="D39" s="2" t="str">
        <f>VLOOKUP(C39,Items[],2,0)</f>
        <v>Sarung Tangan Katun</v>
      </c>
      <c r="E39" s="3">
        <v>14</v>
      </c>
      <c r="F39" s="14">
        <f>VLOOKUP(C39,Items[],5,0)</f>
        <v>20000</v>
      </c>
      <c r="G39" s="15">
        <f t="shared" si="1"/>
        <v>280000</v>
      </c>
      <c r="H39" s="3" t="s">
        <v>347</v>
      </c>
      <c r="I39" s="3" t="s">
        <v>60</v>
      </c>
      <c r="J39" t="str">
        <f>TEXT(Transactions[[#This Row],[Date]],"MMM-YYYY")</f>
        <v>Jul-2025</v>
      </c>
      <c r="K39" s="1">
        <f>DATE(YEAR(Transactions[[#This Row],[Date]]), MONTH(Transactions[[#This Row],[Date]]), 1)</f>
        <v>45839</v>
      </c>
    </row>
    <row r="40" spans="1:11" x14ac:dyDescent="0.25">
      <c r="A40" s="2" t="s">
        <v>148</v>
      </c>
      <c r="B40" s="18">
        <v>45920</v>
      </c>
      <c r="C40" s="2" t="s">
        <v>37</v>
      </c>
      <c r="D40" s="2" t="str">
        <f>VLOOKUP(C40,Items[],2,0)</f>
        <v>Mesin Potong Besi</v>
      </c>
      <c r="E40" s="2">
        <v>6</v>
      </c>
      <c r="F40" s="14">
        <f>VLOOKUP(C40,Items[],5,0)</f>
        <v>3200000</v>
      </c>
      <c r="G40" s="14">
        <f t="shared" si="1"/>
        <v>19200000</v>
      </c>
      <c r="H40" s="2" t="s">
        <v>348</v>
      </c>
      <c r="I40" s="2" t="s">
        <v>58</v>
      </c>
      <c r="J40" t="str">
        <f>TEXT(Transactions[[#This Row],[Date]],"MMM-YYYY")</f>
        <v>Sep-2025</v>
      </c>
      <c r="K40" s="1">
        <f>DATE(YEAR(Transactions[[#This Row],[Date]]), MONTH(Transactions[[#This Row],[Date]]), 1)</f>
        <v>45901</v>
      </c>
    </row>
    <row r="41" spans="1:11" x14ac:dyDescent="0.25">
      <c r="A41" s="3" t="s">
        <v>149</v>
      </c>
      <c r="B41" s="19">
        <v>45911</v>
      </c>
      <c r="C41" s="3" t="s">
        <v>53</v>
      </c>
      <c r="D41" s="2" t="str">
        <f>VLOOKUP(C41,Items[],2,0)</f>
        <v>Mesin Las Listrik</v>
      </c>
      <c r="E41" s="3">
        <v>4</v>
      </c>
      <c r="F41" s="14">
        <f>VLOOKUP(C41,Items[],5,0)</f>
        <v>2296000</v>
      </c>
      <c r="G41" s="15">
        <f t="shared" si="1"/>
        <v>9184000</v>
      </c>
      <c r="H41" s="3" t="s">
        <v>348</v>
      </c>
      <c r="I41" s="3" t="s">
        <v>59</v>
      </c>
      <c r="J41" t="str">
        <f>TEXT(Transactions[[#This Row],[Date]],"MMM-YYYY")</f>
        <v>Sep-2025</v>
      </c>
      <c r="K41" s="1">
        <f>DATE(YEAR(Transactions[[#This Row],[Date]]), MONTH(Transactions[[#This Row],[Date]]), 1)</f>
        <v>45901</v>
      </c>
    </row>
    <row r="42" spans="1:11" x14ac:dyDescent="0.25">
      <c r="A42" s="2" t="s">
        <v>150</v>
      </c>
      <c r="B42" s="18">
        <v>45859</v>
      </c>
      <c r="C42" s="2" t="s">
        <v>56</v>
      </c>
      <c r="D42" s="2" t="str">
        <f>VLOOKUP(C42,Items[],2,0)</f>
        <v>Cat Minyak 5L</v>
      </c>
      <c r="E42" s="2">
        <v>6</v>
      </c>
      <c r="F42" s="14">
        <f>VLOOKUP(C42,Items[],5,0)</f>
        <v>135500</v>
      </c>
      <c r="G42" s="14">
        <f t="shared" si="1"/>
        <v>813000</v>
      </c>
      <c r="H42" s="2" t="s">
        <v>347</v>
      </c>
      <c r="I42" s="2" t="s">
        <v>67</v>
      </c>
      <c r="J42" t="str">
        <f>TEXT(Transactions[[#This Row],[Date]],"MMM-YYYY")</f>
        <v>Jul-2025</v>
      </c>
      <c r="K42" s="1">
        <f>DATE(YEAR(Transactions[[#This Row],[Date]]), MONTH(Transactions[[#This Row],[Date]]), 1)</f>
        <v>45839</v>
      </c>
    </row>
    <row r="43" spans="1:11" x14ac:dyDescent="0.25">
      <c r="A43" s="3" t="s">
        <v>151</v>
      </c>
      <c r="B43" s="19">
        <v>45905</v>
      </c>
      <c r="C43" s="3" t="s">
        <v>39</v>
      </c>
      <c r="D43" s="2" t="str">
        <f>VLOOKUP(C43,Items[],2,0)</f>
        <v>Kabel Listrik Roll 50m</v>
      </c>
      <c r="E43" s="3">
        <v>3</v>
      </c>
      <c r="F43" s="14">
        <f>VLOOKUP(C43,Items[],5,0)</f>
        <v>203500</v>
      </c>
      <c r="G43" s="15">
        <f t="shared" si="1"/>
        <v>610500</v>
      </c>
      <c r="H43" s="3" t="s">
        <v>347</v>
      </c>
      <c r="I43" s="3" t="s">
        <v>63</v>
      </c>
      <c r="J43" t="str">
        <f>TEXT(Transactions[[#This Row],[Date]],"MMM-YYYY")</f>
        <v>Sep-2025</v>
      </c>
      <c r="K43" s="1">
        <f>DATE(YEAR(Transactions[[#This Row],[Date]]), MONTH(Transactions[[#This Row],[Date]]), 1)</f>
        <v>45901</v>
      </c>
    </row>
    <row r="44" spans="1:11" x14ac:dyDescent="0.25">
      <c r="A44" s="2" t="s">
        <v>152</v>
      </c>
      <c r="B44" s="18">
        <v>45907</v>
      </c>
      <c r="C44" s="2" t="s">
        <v>49</v>
      </c>
      <c r="D44" s="2" t="str">
        <f>VLOOKUP(C44,Items[],2,0)</f>
        <v>Cat Tembok 1 kg</v>
      </c>
      <c r="E44" s="2">
        <v>5</v>
      </c>
      <c r="F44" s="14">
        <f>VLOOKUP(C44,Items[],5,0)</f>
        <v>31000</v>
      </c>
      <c r="G44" s="14">
        <f t="shared" si="1"/>
        <v>155000</v>
      </c>
      <c r="H44" s="2" t="s">
        <v>348</v>
      </c>
      <c r="I44" s="2" t="s">
        <v>60</v>
      </c>
      <c r="J44" t="str">
        <f>TEXT(Transactions[[#This Row],[Date]],"MMM-YYYY")</f>
        <v>Sep-2025</v>
      </c>
      <c r="K44" s="1">
        <f>DATE(YEAR(Transactions[[#This Row],[Date]]), MONTH(Transactions[[#This Row],[Date]]), 1)</f>
        <v>45901</v>
      </c>
    </row>
    <row r="45" spans="1:11" x14ac:dyDescent="0.25">
      <c r="A45" s="3" t="s">
        <v>153</v>
      </c>
      <c r="B45" s="19">
        <v>45851</v>
      </c>
      <c r="C45" s="3" t="s">
        <v>41</v>
      </c>
      <c r="D45" s="2" t="str">
        <f>VLOOKUP(C45,Items[],2,0)</f>
        <v>Tangga Lipat Alumunium</v>
      </c>
      <c r="E45" s="3">
        <v>9</v>
      </c>
      <c r="F45" s="14">
        <f>VLOOKUP(C45,Items[],5,0)</f>
        <v>420000</v>
      </c>
      <c r="G45" s="15">
        <f t="shared" si="1"/>
        <v>3780000</v>
      </c>
      <c r="H45" s="3" t="s">
        <v>348</v>
      </c>
      <c r="I45" s="3" t="s">
        <v>59</v>
      </c>
      <c r="J45" t="str">
        <f>TEXT(Transactions[[#This Row],[Date]],"MMM-YYYY")</f>
        <v>Jul-2025</v>
      </c>
      <c r="K45" s="1">
        <f>DATE(YEAR(Transactions[[#This Row],[Date]]), MONTH(Transactions[[#This Row],[Date]]), 1)</f>
        <v>45839</v>
      </c>
    </row>
    <row r="46" spans="1:11" x14ac:dyDescent="0.25">
      <c r="A46" s="2" t="s">
        <v>154</v>
      </c>
      <c r="B46" s="18">
        <v>45897</v>
      </c>
      <c r="C46" s="2" t="s">
        <v>56</v>
      </c>
      <c r="D46" s="2" t="str">
        <f>VLOOKUP(C46,Items[],2,0)</f>
        <v>Cat Minyak 5L</v>
      </c>
      <c r="E46" s="2">
        <v>15</v>
      </c>
      <c r="F46" s="14">
        <f>VLOOKUP(C46,Items[],5,0)</f>
        <v>135500</v>
      </c>
      <c r="G46" s="14">
        <f t="shared" si="1"/>
        <v>2032500</v>
      </c>
      <c r="H46" s="2" t="s">
        <v>348</v>
      </c>
      <c r="I46" s="2" t="s">
        <v>62</v>
      </c>
      <c r="J46" t="str">
        <f>TEXT(Transactions[[#This Row],[Date]],"MMM-YYYY")</f>
        <v>Aug-2025</v>
      </c>
      <c r="K46" s="1">
        <f>DATE(YEAR(Transactions[[#This Row],[Date]]), MONTH(Transactions[[#This Row],[Date]]), 1)</f>
        <v>45870</v>
      </c>
    </row>
    <row r="47" spans="1:11" x14ac:dyDescent="0.25">
      <c r="A47" s="3" t="s">
        <v>155</v>
      </c>
      <c r="B47" s="19">
        <v>45855</v>
      </c>
      <c r="C47" s="3" t="s">
        <v>51</v>
      </c>
      <c r="D47" s="2" t="str">
        <f>VLOOKUP(C47,Items[],2,0)</f>
        <v>Lampu Sorot LED 100W</v>
      </c>
      <c r="E47" s="3">
        <v>5</v>
      </c>
      <c r="F47" s="14">
        <f>VLOOKUP(C47,Items[],5,0)</f>
        <v>237000</v>
      </c>
      <c r="G47" s="15">
        <f t="shared" si="1"/>
        <v>1185000</v>
      </c>
      <c r="H47" s="3" t="s">
        <v>348</v>
      </c>
      <c r="I47" s="3" t="s">
        <v>58</v>
      </c>
      <c r="J47" t="str">
        <f>TEXT(Transactions[[#This Row],[Date]],"MMM-YYYY")</f>
        <v>Jul-2025</v>
      </c>
      <c r="K47" s="1">
        <f>DATE(YEAR(Transactions[[#This Row],[Date]]), MONTH(Transactions[[#This Row],[Date]]), 1)</f>
        <v>45839</v>
      </c>
    </row>
    <row r="48" spans="1:11" x14ac:dyDescent="0.25">
      <c r="A48" s="2" t="s">
        <v>156</v>
      </c>
      <c r="B48" s="18">
        <v>45927</v>
      </c>
      <c r="C48" s="2" t="s">
        <v>38</v>
      </c>
      <c r="D48" s="2" t="str">
        <f>VLOOKUP(C48,Items[],2,0)</f>
        <v>Sarung Tangan Katun</v>
      </c>
      <c r="E48" s="2">
        <v>10</v>
      </c>
      <c r="F48" s="14">
        <f>VLOOKUP(C48,Items[],5,0)</f>
        <v>20000</v>
      </c>
      <c r="G48" s="14">
        <f t="shared" si="1"/>
        <v>200000</v>
      </c>
      <c r="H48" s="2" t="s">
        <v>348</v>
      </c>
      <c r="I48" s="2" t="s">
        <v>62</v>
      </c>
      <c r="J48" t="str">
        <f>TEXT(Transactions[[#This Row],[Date]],"MMM-YYYY")</f>
        <v>Sep-2025</v>
      </c>
      <c r="K48" s="1">
        <f>DATE(YEAR(Transactions[[#This Row],[Date]]), MONTH(Transactions[[#This Row],[Date]]), 1)</f>
        <v>45901</v>
      </c>
    </row>
    <row r="49" spans="1:11" x14ac:dyDescent="0.25">
      <c r="A49" s="3" t="s">
        <v>157</v>
      </c>
      <c r="B49" s="19">
        <v>45867</v>
      </c>
      <c r="C49" s="3" t="s">
        <v>56</v>
      </c>
      <c r="D49" s="2" t="str">
        <f>VLOOKUP(C49,Items[],2,0)</f>
        <v>Cat Minyak 5L</v>
      </c>
      <c r="E49" s="3">
        <v>8</v>
      </c>
      <c r="F49" s="14">
        <f>VLOOKUP(C49,Items[],5,0)</f>
        <v>135500</v>
      </c>
      <c r="G49" s="15">
        <f t="shared" si="1"/>
        <v>1084000</v>
      </c>
      <c r="H49" s="3" t="s">
        <v>348</v>
      </c>
      <c r="I49" s="3" t="s">
        <v>58</v>
      </c>
      <c r="J49" t="str">
        <f>TEXT(Transactions[[#This Row],[Date]],"MMM-YYYY")</f>
        <v>Jul-2025</v>
      </c>
      <c r="K49" s="1">
        <f>DATE(YEAR(Transactions[[#This Row],[Date]]), MONTH(Transactions[[#This Row],[Date]]), 1)</f>
        <v>45839</v>
      </c>
    </row>
    <row r="50" spans="1:11" x14ac:dyDescent="0.25">
      <c r="A50" s="2" t="s">
        <v>88</v>
      </c>
      <c r="B50" s="18">
        <v>45884</v>
      </c>
      <c r="C50" s="2" t="s">
        <v>38</v>
      </c>
      <c r="D50" s="2" t="str">
        <f>VLOOKUP(C50,Items[],2,0)</f>
        <v>Sarung Tangan Katun</v>
      </c>
      <c r="E50" s="2">
        <v>3</v>
      </c>
      <c r="F50" s="14">
        <f>VLOOKUP(C50,Items[],5,0)</f>
        <v>20000</v>
      </c>
      <c r="G50" s="14">
        <f t="shared" si="1"/>
        <v>60000</v>
      </c>
      <c r="H50" s="2" t="s">
        <v>347</v>
      </c>
      <c r="I50" s="2" t="s">
        <v>66</v>
      </c>
      <c r="J50" t="str">
        <f>TEXT(Transactions[[#This Row],[Date]],"MMM-YYYY")</f>
        <v>Aug-2025</v>
      </c>
      <c r="K50" s="1">
        <f>DATE(YEAR(Transactions[[#This Row],[Date]]), MONTH(Transactions[[#This Row],[Date]]), 1)</f>
        <v>45870</v>
      </c>
    </row>
    <row r="51" spans="1:11" x14ac:dyDescent="0.25">
      <c r="A51" s="3" t="s">
        <v>158</v>
      </c>
      <c r="B51" s="19">
        <v>45915</v>
      </c>
      <c r="C51" s="3" t="s">
        <v>39</v>
      </c>
      <c r="D51" s="2" t="str">
        <f>VLOOKUP(C51,Items[],2,0)</f>
        <v>Kabel Listrik Roll 50m</v>
      </c>
      <c r="E51" s="3">
        <v>4</v>
      </c>
      <c r="F51" s="14">
        <f>VLOOKUP(C51,Items[],5,0)</f>
        <v>203500</v>
      </c>
      <c r="G51" s="15">
        <f t="shared" si="1"/>
        <v>814000</v>
      </c>
      <c r="H51" s="3" t="s">
        <v>347</v>
      </c>
      <c r="I51" s="3" t="s">
        <v>61</v>
      </c>
      <c r="J51" t="str">
        <f>TEXT(Transactions[[#This Row],[Date]],"MMM-YYYY")</f>
        <v>Sep-2025</v>
      </c>
      <c r="K51" s="1">
        <f>DATE(YEAR(Transactions[[#This Row],[Date]]), MONTH(Transactions[[#This Row],[Date]]), 1)</f>
        <v>45901</v>
      </c>
    </row>
    <row r="52" spans="1:11" x14ac:dyDescent="0.25">
      <c r="A52" s="2" t="s">
        <v>84</v>
      </c>
      <c r="B52" s="18">
        <v>45844</v>
      </c>
      <c r="C52" s="2" t="s">
        <v>48</v>
      </c>
      <c r="D52" s="2" t="str">
        <f>VLOOKUP(C52,Items[],2,0)</f>
        <v>Gerinda Tangan</v>
      </c>
      <c r="E52" s="2">
        <v>18</v>
      </c>
      <c r="F52" s="14">
        <f>VLOOKUP(C52,Items[],5,0)</f>
        <v>465000</v>
      </c>
      <c r="G52" s="14">
        <f t="shared" si="1"/>
        <v>8370000</v>
      </c>
      <c r="H52" s="2" t="s">
        <v>347</v>
      </c>
      <c r="I52" s="2" t="s">
        <v>64</v>
      </c>
      <c r="J52" t="str">
        <f>TEXT(Transactions[[#This Row],[Date]],"MMM-YYYY")</f>
        <v>Jul-2025</v>
      </c>
      <c r="K52" s="1">
        <f>DATE(YEAR(Transactions[[#This Row],[Date]]), MONTH(Transactions[[#This Row],[Date]]), 1)</f>
        <v>45839</v>
      </c>
    </row>
    <row r="53" spans="1:11" x14ac:dyDescent="0.25">
      <c r="A53" s="3" t="s">
        <v>159</v>
      </c>
      <c r="B53" s="19">
        <v>45894</v>
      </c>
      <c r="C53" s="3" t="s">
        <v>40</v>
      </c>
      <c r="D53" s="2" t="str">
        <f>VLOOKUP(C53,Items[],2,0)</f>
        <v>Bor Tangan Listrik</v>
      </c>
      <c r="E53" s="3">
        <v>7</v>
      </c>
      <c r="F53" s="14">
        <f>VLOOKUP(C53,Items[],5,0)</f>
        <v>335500</v>
      </c>
      <c r="G53" s="15">
        <f t="shared" si="1"/>
        <v>2348500</v>
      </c>
      <c r="H53" s="3" t="s">
        <v>347</v>
      </c>
      <c r="I53" s="3" t="s">
        <v>59</v>
      </c>
      <c r="J53" t="str">
        <f>TEXT(Transactions[[#This Row],[Date]],"MMM-YYYY")</f>
        <v>Aug-2025</v>
      </c>
      <c r="K53" s="1">
        <f>DATE(YEAR(Transactions[[#This Row],[Date]]), MONTH(Transactions[[#This Row],[Date]]), 1)</f>
        <v>45870</v>
      </c>
    </row>
    <row r="54" spans="1:11" x14ac:dyDescent="0.25">
      <c r="A54" s="2" t="s">
        <v>160</v>
      </c>
      <c r="B54" s="18">
        <v>45867</v>
      </c>
      <c r="C54" s="2" t="s">
        <v>53</v>
      </c>
      <c r="D54" s="2" t="str">
        <f>VLOOKUP(C54,Items[],2,0)</f>
        <v>Mesin Las Listrik</v>
      </c>
      <c r="E54" s="2">
        <v>9</v>
      </c>
      <c r="F54" s="14">
        <f>VLOOKUP(C54,Items[],5,0)</f>
        <v>2296000</v>
      </c>
      <c r="G54" s="14">
        <f t="shared" si="1"/>
        <v>20664000</v>
      </c>
      <c r="H54" s="2" t="s">
        <v>348</v>
      </c>
      <c r="I54" s="2" t="s">
        <v>60</v>
      </c>
      <c r="J54" t="str">
        <f>TEXT(Transactions[[#This Row],[Date]],"MMM-YYYY")</f>
        <v>Jul-2025</v>
      </c>
      <c r="K54" s="1">
        <f>DATE(YEAR(Transactions[[#This Row],[Date]]), MONTH(Transactions[[#This Row],[Date]]), 1)</f>
        <v>45839</v>
      </c>
    </row>
    <row r="55" spans="1:11" x14ac:dyDescent="0.25">
      <c r="A55" s="3" t="s">
        <v>161</v>
      </c>
      <c r="B55" s="19">
        <v>45921</v>
      </c>
      <c r="C55" s="3" t="s">
        <v>50</v>
      </c>
      <c r="D55" s="2" t="str">
        <f>VLOOKUP(C55,Items[],2,0)</f>
        <v>Rantai Besi 10m</v>
      </c>
      <c r="E55" s="3">
        <v>11</v>
      </c>
      <c r="F55" s="14">
        <f>VLOOKUP(C55,Items[],5,0)</f>
        <v>431000</v>
      </c>
      <c r="G55" s="15">
        <f t="shared" si="1"/>
        <v>4741000</v>
      </c>
      <c r="H55" s="3" t="s">
        <v>347</v>
      </c>
      <c r="I55" s="3" t="s">
        <v>67</v>
      </c>
      <c r="J55" t="str">
        <f>TEXT(Transactions[[#This Row],[Date]],"MMM-YYYY")</f>
        <v>Sep-2025</v>
      </c>
      <c r="K55" s="1">
        <f>DATE(YEAR(Transactions[[#This Row],[Date]]), MONTH(Transactions[[#This Row],[Date]]), 1)</f>
        <v>45901</v>
      </c>
    </row>
    <row r="56" spans="1:11" x14ac:dyDescent="0.25">
      <c r="A56" s="2" t="s">
        <v>162</v>
      </c>
      <c r="B56" s="18">
        <v>45897</v>
      </c>
      <c r="C56" s="2" t="s">
        <v>49</v>
      </c>
      <c r="D56" s="2" t="str">
        <f>VLOOKUP(C56,Items[],2,0)</f>
        <v>Cat Tembok 1 kg</v>
      </c>
      <c r="E56" s="2">
        <v>16</v>
      </c>
      <c r="F56" s="14">
        <f>VLOOKUP(C56,Items[],5,0)</f>
        <v>31000</v>
      </c>
      <c r="G56" s="14">
        <f t="shared" si="1"/>
        <v>496000</v>
      </c>
      <c r="H56" s="2" t="s">
        <v>348</v>
      </c>
      <c r="I56" s="2" t="s">
        <v>66</v>
      </c>
      <c r="J56" t="str">
        <f>TEXT(Transactions[[#This Row],[Date]],"MMM-YYYY")</f>
        <v>Aug-2025</v>
      </c>
      <c r="K56" s="1">
        <f>DATE(YEAR(Transactions[[#This Row],[Date]]), MONTH(Transactions[[#This Row],[Date]]), 1)</f>
        <v>45870</v>
      </c>
    </row>
    <row r="57" spans="1:11" x14ac:dyDescent="0.25">
      <c r="A57" s="3" t="s">
        <v>163</v>
      </c>
      <c r="B57" s="19">
        <v>45905</v>
      </c>
      <c r="C57" s="3" t="s">
        <v>42</v>
      </c>
      <c r="D57" s="2" t="str">
        <f>VLOOKUP(C57,Items[],2,0)</f>
        <v>Pipa PVC 4 inch (per batang)</v>
      </c>
      <c r="E57" s="3">
        <v>20</v>
      </c>
      <c r="F57" s="14">
        <f>VLOOKUP(C57,Items[],5,0)</f>
        <v>260000</v>
      </c>
      <c r="G57" s="15">
        <f t="shared" si="1"/>
        <v>5200000</v>
      </c>
      <c r="H57" s="3" t="s">
        <v>347</v>
      </c>
      <c r="I57" s="3" t="s">
        <v>65</v>
      </c>
      <c r="J57" t="str">
        <f>TEXT(Transactions[[#This Row],[Date]],"MMM-YYYY")</f>
        <v>Sep-2025</v>
      </c>
      <c r="K57" s="1">
        <f>DATE(YEAR(Transactions[[#This Row],[Date]]), MONTH(Transactions[[#This Row],[Date]]), 1)</f>
        <v>45901</v>
      </c>
    </row>
    <row r="58" spans="1:11" x14ac:dyDescent="0.25">
      <c r="A58" s="2" t="s">
        <v>164</v>
      </c>
      <c r="B58" s="18">
        <v>45879</v>
      </c>
      <c r="C58" s="2" t="s">
        <v>42</v>
      </c>
      <c r="D58" s="2" t="str">
        <f>VLOOKUP(C58,Items[],2,0)</f>
        <v>Pipa PVC 4 inch (per batang)</v>
      </c>
      <c r="E58" s="2">
        <v>7</v>
      </c>
      <c r="F58" s="14">
        <f>VLOOKUP(C58,Items[],5,0)</f>
        <v>260000</v>
      </c>
      <c r="G58" s="14">
        <f t="shared" si="1"/>
        <v>1820000</v>
      </c>
      <c r="H58" s="2" t="s">
        <v>348</v>
      </c>
      <c r="I58" s="2" t="s">
        <v>60</v>
      </c>
      <c r="J58" t="str">
        <f>TEXT(Transactions[[#This Row],[Date]],"MMM-YYYY")</f>
        <v>Aug-2025</v>
      </c>
      <c r="K58" s="1">
        <f>DATE(YEAR(Transactions[[#This Row],[Date]]), MONTH(Transactions[[#This Row],[Date]]), 1)</f>
        <v>45870</v>
      </c>
    </row>
    <row r="59" spans="1:11" x14ac:dyDescent="0.25">
      <c r="A59" s="3" t="s">
        <v>83</v>
      </c>
      <c r="B59" s="19">
        <v>45921</v>
      </c>
      <c r="C59" s="3" t="s">
        <v>54</v>
      </c>
      <c r="D59" s="2" t="str">
        <f>VLOOKUP(C59,Items[],2,0)</f>
        <v>Obeng Set</v>
      </c>
      <c r="E59" s="3">
        <v>16</v>
      </c>
      <c r="F59" s="14">
        <f>VLOOKUP(C59,Items[],5,0)</f>
        <v>128000</v>
      </c>
      <c r="G59" s="15">
        <f t="shared" si="1"/>
        <v>2048000</v>
      </c>
      <c r="H59" s="3" t="s">
        <v>348</v>
      </c>
      <c r="I59" s="3" t="s">
        <v>67</v>
      </c>
      <c r="J59" t="str">
        <f>TEXT(Transactions[[#This Row],[Date]],"MMM-YYYY")</f>
        <v>Sep-2025</v>
      </c>
      <c r="K59" s="1">
        <f>DATE(YEAR(Transactions[[#This Row],[Date]]), MONTH(Transactions[[#This Row],[Date]]), 1)</f>
        <v>45901</v>
      </c>
    </row>
    <row r="60" spans="1:11" x14ac:dyDescent="0.25">
      <c r="A60" s="2" t="s">
        <v>78</v>
      </c>
      <c r="B60" s="18">
        <v>45857</v>
      </c>
      <c r="C60" s="2" t="s">
        <v>45</v>
      </c>
      <c r="D60" s="2" t="str">
        <f>VLOOKUP(C60,Items[],2,0)</f>
        <v>Helm Proyek</v>
      </c>
      <c r="E60" s="2">
        <v>7</v>
      </c>
      <c r="F60" s="14">
        <f>VLOOKUP(C60,Items[],5,0)</f>
        <v>50000</v>
      </c>
      <c r="G60" s="14">
        <f t="shared" si="1"/>
        <v>350000</v>
      </c>
      <c r="H60" s="2" t="s">
        <v>347</v>
      </c>
      <c r="I60" s="2" t="s">
        <v>59</v>
      </c>
      <c r="J60" t="str">
        <f>TEXT(Transactions[[#This Row],[Date]],"MMM-YYYY")</f>
        <v>Jul-2025</v>
      </c>
      <c r="K60" s="1">
        <f>DATE(YEAR(Transactions[[#This Row],[Date]]), MONTH(Transactions[[#This Row],[Date]]), 1)</f>
        <v>45839</v>
      </c>
    </row>
    <row r="61" spans="1:11" x14ac:dyDescent="0.25">
      <c r="A61" s="3" t="s">
        <v>165</v>
      </c>
      <c r="B61" s="19">
        <v>45919</v>
      </c>
      <c r="C61" s="3" t="s">
        <v>39</v>
      </c>
      <c r="D61" s="2" t="str">
        <f>VLOOKUP(C61,Items[],2,0)</f>
        <v>Kabel Listrik Roll 50m</v>
      </c>
      <c r="E61" s="3">
        <v>16</v>
      </c>
      <c r="F61" s="14">
        <f>VLOOKUP(C61,Items[],5,0)</f>
        <v>203500</v>
      </c>
      <c r="G61" s="15">
        <f t="shared" si="1"/>
        <v>3256000</v>
      </c>
      <c r="H61" s="3" t="s">
        <v>348</v>
      </c>
      <c r="I61" s="3" t="s">
        <v>62</v>
      </c>
      <c r="J61" t="str">
        <f>TEXT(Transactions[[#This Row],[Date]],"MMM-YYYY")</f>
        <v>Sep-2025</v>
      </c>
      <c r="K61" s="1">
        <f>DATE(YEAR(Transactions[[#This Row],[Date]]), MONTH(Transactions[[#This Row],[Date]]), 1)</f>
        <v>45901</v>
      </c>
    </row>
    <row r="62" spans="1:11" x14ac:dyDescent="0.25">
      <c r="A62" s="2" t="s">
        <v>166</v>
      </c>
      <c r="B62" s="18">
        <v>45865</v>
      </c>
      <c r="C62" s="2" t="s">
        <v>42</v>
      </c>
      <c r="D62" s="2" t="str">
        <f>VLOOKUP(C62,Items[],2,0)</f>
        <v>Pipa PVC 4 inch (per batang)</v>
      </c>
      <c r="E62" s="2">
        <v>10</v>
      </c>
      <c r="F62" s="14">
        <f>VLOOKUP(C62,Items[],5,0)</f>
        <v>260000</v>
      </c>
      <c r="G62" s="14">
        <f t="shared" si="1"/>
        <v>2600000</v>
      </c>
      <c r="H62" s="2" t="s">
        <v>348</v>
      </c>
      <c r="I62" s="2" t="s">
        <v>59</v>
      </c>
      <c r="J62" t="str">
        <f>TEXT(Transactions[[#This Row],[Date]],"MMM-YYYY")</f>
        <v>Jul-2025</v>
      </c>
      <c r="K62" s="1">
        <f>DATE(YEAR(Transactions[[#This Row],[Date]]), MONTH(Transactions[[#This Row],[Date]]), 1)</f>
        <v>45839</v>
      </c>
    </row>
    <row r="63" spans="1:11" x14ac:dyDescent="0.25">
      <c r="A63" s="3" t="s">
        <v>167</v>
      </c>
      <c r="B63" s="19">
        <v>45919</v>
      </c>
      <c r="C63" s="3" t="s">
        <v>44</v>
      </c>
      <c r="D63" s="2" t="str">
        <f>VLOOKUP(C63,Items[],2,0)</f>
        <v>Pompa Air Industri</v>
      </c>
      <c r="E63" s="3">
        <v>1</v>
      </c>
      <c r="F63" s="14">
        <f>VLOOKUP(C63,Items[],5,0)</f>
        <v>4490000</v>
      </c>
      <c r="G63" s="15">
        <f t="shared" si="1"/>
        <v>4490000</v>
      </c>
      <c r="H63" s="3" t="s">
        <v>348</v>
      </c>
      <c r="I63" s="3" t="s">
        <v>63</v>
      </c>
      <c r="J63" t="str">
        <f>TEXT(Transactions[[#This Row],[Date]],"MMM-YYYY")</f>
        <v>Sep-2025</v>
      </c>
      <c r="K63" s="1">
        <f>DATE(YEAR(Transactions[[#This Row],[Date]]), MONTH(Transactions[[#This Row],[Date]]), 1)</f>
        <v>45901</v>
      </c>
    </row>
    <row r="64" spans="1:11" x14ac:dyDescent="0.25">
      <c r="A64" s="2" t="s">
        <v>72</v>
      </c>
      <c r="B64" s="18">
        <v>45891</v>
      </c>
      <c r="C64" s="2" t="s">
        <v>42</v>
      </c>
      <c r="D64" s="2" t="str">
        <f>VLOOKUP(C64,Items[],2,0)</f>
        <v>Pipa PVC 4 inch (per batang)</v>
      </c>
      <c r="E64" s="2">
        <v>19</v>
      </c>
      <c r="F64" s="14">
        <f>VLOOKUP(C64,Items[],5,0)</f>
        <v>260000</v>
      </c>
      <c r="G64" s="14">
        <f t="shared" si="1"/>
        <v>4940000</v>
      </c>
      <c r="H64" s="2" t="s">
        <v>348</v>
      </c>
      <c r="I64" s="2" t="s">
        <v>66</v>
      </c>
      <c r="J64" t="str">
        <f>TEXT(Transactions[[#This Row],[Date]],"MMM-YYYY")</f>
        <v>Aug-2025</v>
      </c>
      <c r="K64" s="1">
        <f>DATE(YEAR(Transactions[[#This Row],[Date]]), MONTH(Transactions[[#This Row],[Date]]), 1)</f>
        <v>45870</v>
      </c>
    </row>
    <row r="65" spans="1:11" x14ac:dyDescent="0.25">
      <c r="A65" s="3" t="s">
        <v>168</v>
      </c>
      <c r="B65" s="19">
        <v>45844</v>
      </c>
      <c r="C65" s="3" t="s">
        <v>41</v>
      </c>
      <c r="D65" s="2" t="str">
        <f>VLOOKUP(C65,Items[],2,0)</f>
        <v>Tangga Lipat Alumunium</v>
      </c>
      <c r="E65" s="3">
        <v>11</v>
      </c>
      <c r="F65" s="14">
        <f>VLOOKUP(C65,Items[],5,0)</f>
        <v>420000</v>
      </c>
      <c r="G65" s="15">
        <f t="shared" si="1"/>
        <v>4620000</v>
      </c>
      <c r="H65" s="3" t="s">
        <v>347</v>
      </c>
      <c r="I65" s="3" t="s">
        <v>64</v>
      </c>
      <c r="J65" t="str">
        <f>TEXT(Transactions[[#This Row],[Date]],"MMM-YYYY")</f>
        <v>Jul-2025</v>
      </c>
      <c r="K65" s="1">
        <f>DATE(YEAR(Transactions[[#This Row],[Date]]), MONTH(Transactions[[#This Row],[Date]]), 1)</f>
        <v>45839</v>
      </c>
    </row>
    <row r="66" spans="1:11" x14ac:dyDescent="0.25">
      <c r="A66" s="2" t="s">
        <v>169</v>
      </c>
      <c r="B66" s="18">
        <v>45878</v>
      </c>
      <c r="C66" s="2" t="s">
        <v>45</v>
      </c>
      <c r="D66" s="2" t="str">
        <f>VLOOKUP(C66,Items[],2,0)</f>
        <v>Helm Proyek</v>
      </c>
      <c r="E66" s="2">
        <v>12</v>
      </c>
      <c r="F66" s="14">
        <f>VLOOKUP(C66,Items[],5,0)</f>
        <v>50000</v>
      </c>
      <c r="G66" s="14">
        <f t="shared" ref="G66:G97" si="2">E66*F66</f>
        <v>600000</v>
      </c>
      <c r="H66" s="2" t="s">
        <v>348</v>
      </c>
      <c r="I66" s="2" t="s">
        <v>64</v>
      </c>
      <c r="J66" t="str">
        <f>TEXT(Transactions[[#This Row],[Date]],"MMM-YYYY")</f>
        <v>Aug-2025</v>
      </c>
      <c r="K66" s="1">
        <f>DATE(YEAR(Transactions[[#This Row],[Date]]), MONTH(Transactions[[#This Row],[Date]]), 1)</f>
        <v>45870</v>
      </c>
    </row>
    <row r="67" spans="1:11" x14ac:dyDescent="0.25">
      <c r="A67" s="3" t="s">
        <v>170</v>
      </c>
      <c r="B67" s="19">
        <v>45889</v>
      </c>
      <c r="C67" s="3" t="s">
        <v>56</v>
      </c>
      <c r="D67" s="2" t="str">
        <f>VLOOKUP(C67,Items[],2,0)</f>
        <v>Cat Minyak 5L</v>
      </c>
      <c r="E67" s="3">
        <v>8</v>
      </c>
      <c r="F67" s="14">
        <f>VLOOKUP(C67,Items[],5,0)</f>
        <v>135500</v>
      </c>
      <c r="G67" s="15">
        <f t="shared" si="2"/>
        <v>1084000</v>
      </c>
      <c r="H67" s="3" t="s">
        <v>348</v>
      </c>
      <c r="I67" s="3" t="s">
        <v>65</v>
      </c>
      <c r="J67" t="str">
        <f>TEXT(Transactions[[#This Row],[Date]],"MMM-YYYY")</f>
        <v>Aug-2025</v>
      </c>
      <c r="K67" s="1">
        <f>DATE(YEAR(Transactions[[#This Row],[Date]]), MONTH(Transactions[[#This Row],[Date]]), 1)</f>
        <v>45870</v>
      </c>
    </row>
    <row r="68" spans="1:11" x14ac:dyDescent="0.25">
      <c r="A68" s="2" t="s">
        <v>171</v>
      </c>
      <c r="B68" s="18">
        <v>45897</v>
      </c>
      <c r="C68" s="2" t="s">
        <v>37</v>
      </c>
      <c r="D68" s="2" t="str">
        <f>VLOOKUP(C68,Items[],2,0)</f>
        <v>Mesin Potong Besi</v>
      </c>
      <c r="E68" s="2">
        <v>1</v>
      </c>
      <c r="F68" s="14">
        <f>VLOOKUP(C68,Items[],5,0)</f>
        <v>3200000</v>
      </c>
      <c r="G68" s="14">
        <f t="shared" si="2"/>
        <v>3200000</v>
      </c>
      <c r="H68" s="2" t="s">
        <v>348</v>
      </c>
      <c r="I68" s="2" t="s">
        <v>63</v>
      </c>
      <c r="J68" t="str">
        <f>TEXT(Transactions[[#This Row],[Date]],"MMM-YYYY")</f>
        <v>Aug-2025</v>
      </c>
      <c r="K68" s="1">
        <f>DATE(YEAR(Transactions[[#This Row],[Date]]), MONTH(Transactions[[#This Row],[Date]]), 1)</f>
        <v>45870</v>
      </c>
    </row>
    <row r="69" spans="1:11" x14ac:dyDescent="0.25">
      <c r="A69" s="3" t="s">
        <v>172</v>
      </c>
      <c r="B69" s="19">
        <v>45874</v>
      </c>
      <c r="C69" s="3" t="s">
        <v>46</v>
      </c>
      <c r="D69" s="2" t="str">
        <f>VLOOKUP(C69,Items[],2,0)</f>
        <v>Masker Safety Box (isi 50)</v>
      </c>
      <c r="E69" s="3">
        <v>16</v>
      </c>
      <c r="F69" s="14">
        <f>VLOOKUP(C69,Items[],5,0)</f>
        <v>11500</v>
      </c>
      <c r="G69" s="15">
        <f t="shared" si="2"/>
        <v>184000</v>
      </c>
      <c r="H69" s="3" t="s">
        <v>347</v>
      </c>
      <c r="I69" s="3" t="s">
        <v>59</v>
      </c>
      <c r="J69" t="str">
        <f>TEXT(Transactions[[#This Row],[Date]],"MMM-YYYY")</f>
        <v>Aug-2025</v>
      </c>
      <c r="K69" s="1">
        <f>DATE(YEAR(Transactions[[#This Row],[Date]]), MONTH(Transactions[[#This Row],[Date]]), 1)</f>
        <v>45870</v>
      </c>
    </row>
    <row r="70" spans="1:11" x14ac:dyDescent="0.25">
      <c r="A70" s="2" t="s">
        <v>173</v>
      </c>
      <c r="B70" s="18">
        <v>45916</v>
      </c>
      <c r="C70" s="2" t="s">
        <v>52</v>
      </c>
      <c r="D70" s="2" t="str">
        <f>VLOOKUP(C70,Items[],2,0)</f>
        <v>Paku 5cm (1 kg)</v>
      </c>
      <c r="E70" s="2">
        <v>6</v>
      </c>
      <c r="F70" s="14">
        <f>VLOOKUP(C70,Items[],5,0)</f>
        <v>13500</v>
      </c>
      <c r="G70" s="14">
        <f t="shared" si="2"/>
        <v>81000</v>
      </c>
      <c r="H70" s="2" t="s">
        <v>348</v>
      </c>
      <c r="I70" s="2" t="s">
        <v>66</v>
      </c>
      <c r="J70" t="str">
        <f>TEXT(Transactions[[#This Row],[Date]],"MMM-YYYY")</f>
        <v>Sep-2025</v>
      </c>
      <c r="K70" s="1">
        <f>DATE(YEAR(Transactions[[#This Row],[Date]]), MONTH(Transactions[[#This Row],[Date]]), 1)</f>
        <v>45901</v>
      </c>
    </row>
    <row r="71" spans="1:11" x14ac:dyDescent="0.25">
      <c r="A71" s="3" t="s">
        <v>108</v>
      </c>
      <c r="B71" s="19">
        <v>45880</v>
      </c>
      <c r="C71" s="3" t="s">
        <v>54</v>
      </c>
      <c r="D71" s="2" t="str">
        <f>VLOOKUP(C71,Items[],2,0)</f>
        <v>Obeng Set</v>
      </c>
      <c r="E71" s="3">
        <v>10</v>
      </c>
      <c r="F71" s="14">
        <f>VLOOKUP(C71,Items[],5,0)</f>
        <v>128000</v>
      </c>
      <c r="G71" s="15">
        <f t="shared" si="2"/>
        <v>1280000</v>
      </c>
      <c r="H71" s="3" t="s">
        <v>347</v>
      </c>
      <c r="I71" s="3" t="s">
        <v>61</v>
      </c>
      <c r="J71" t="str">
        <f>TEXT(Transactions[[#This Row],[Date]],"MMM-YYYY")</f>
        <v>Aug-2025</v>
      </c>
      <c r="K71" s="1">
        <f>DATE(YEAR(Transactions[[#This Row],[Date]]), MONTH(Transactions[[#This Row],[Date]]), 1)</f>
        <v>45870</v>
      </c>
    </row>
    <row r="72" spans="1:11" x14ac:dyDescent="0.25">
      <c r="A72" s="2" t="s">
        <v>174</v>
      </c>
      <c r="B72" s="18">
        <v>45918</v>
      </c>
      <c r="C72" s="2" t="s">
        <v>44</v>
      </c>
      <c r="D72" s="2" t="str">
        <f>VLOOKUP(C72,Items[],2,0)</f>
        <v>Pompa Air Industri</v>
      </c>
      <c r="E72" s="2">
        <v>10</v>
      </c>
      <c r="F72" s="14">
        <f>VLOOKUP(C72,Items[],5,0)</f>
        <v>4490000</v>
      </c>
      <c r="G72" s="14">
        <f t="shared" si="2"/>
        <v>44900000</v>
      </c>
      <c r="H72" s="2" t="s">
        <v>347</v>
      </c>
      <c r="I72" s="2" t="s">
        <v>60</v>
      </c>
      <c r="J72" t="str">
        <f>TEXT(Transactions[[#This Row],[Date]],"MMM-YYYY")</f>
        <v>Sep-2025</v>
      </c>
      <c r="K72" s="1">
        <f>DATE(YEAR(Transactions[[#This Row],[Date]]), MONTH(Transactions[[#This Row],[Date]]), 1)</f>
        <v>45901</v>
      </c>
    </row>
    <row r="73" spans="1:11" x14ac:dyDescent="0.25">
      <c r="A73" s="3" t="s">
        <v>175</v>
      </c>
      <c r="B73" s="19">
        <v>45861</v>
      </c>
      <c r="C73" s="3" t="s">
        <v>41</v>
      </c>
      <c r="D73" s="2" t="str">
        <f>VLOOKUP(C73,Items[],2,0)</f>
        <v>Tangga Lipat Alumunium</v>
      </c>
      <c r="E73" s="3">
        <v>12</v>
      </c>
      <c r="F73" s="14">
        <f>VLOOKUP(C73,Items[],5,0)</f>
        <v>420000</v>
      </c>
      <c r="G73" s="15">
        <f t="shared" si="2"/>
        <v>5040000</v>
      </c>
      <c r="H73" s="3" t="s">
        <v>348</v>
      </c>
      <c r="I73" s="3" t="s">
        <v>65</v>
      </c>
      <c r="J73" t="str">
        <f>TEXT(Transactions[[#This Row],[Date]],"MMM-YYYY")</f>
        <v>Jul-2025</v>
      </c>
      <c r="K73" s="1">
        <f>DATE(YEAR(Transactions[[#This Row],[Date]]), MONTH(Transactions[[#This Row],[Date]]), 1)</f>
        <v>45839</v>
      </c>
    </row>
    <row r="74" spans="1:11" x14ac:dyDescent="0.25">
      <c r="A74" s="2" t="s">
        <v>176</v>
      </c>
      <c r="B74" s="18">
        <v>45897</v>
      </c>
      <c r="C74" s="2" t="s">
        <v>38</v>
      </c>
      <c r="D74" s="2" t="str">
        <f>VLOOKUP(C74,Items[],2,0)</f>
        <v>Sarung Tangan Katun</v>
      </c>
      <c r="E74" s="2">
        <v>15</v>
      </c>
      <c r="F74" s="14">
        <f>VLOOKUP(C74,Items[],5,0)</f>
        <v>20000</v>
      </c>
      <c r="G74" s="14">
        <f t="shared" si="2"/>
        <v>300000</v>
      </c>
      <c r="H74" s="2" t="s">
        <v>347</v>
      </c>
      <c r="I74" s="2" t="s">
        <v>67</v>
      </c>
      <c r="J74" t="str">
        <f>TEXT(Transactions[[#This Row],[Date]],"MMM-YYYY")</f>
        <v>Aug-2025</v>
      </c>
      <c r="K74" s="1">
        <f>DATE(YEAR(Transactions[[#This Row],[Date]]), MONTH(Transactions[[#This Row],[Date]]), 1)</f>
        <v>45870</v>
      </c>
    </row>
    <row r="75" spans="1:11" x14ac:dyDescent="0.25">
      <c r="A75" s="3" t="s">
        <v>177</v>
      </c>
      <c r="B75" s="19">
        <v>45880</v>
      </c>
      <c r="C75" s="3" t="s">
        <v>50</v>
      </c>
      <c r="D75" s="2" t="str">
        <f>VLOOKUP(C75,Items[],2,0)</f>
        <v>Rantai Besi 10m</v>
      </c>
      <c r="E75" s="3">
        <v>17</v>
      </c>
      <c r="F75" s="14">
        <f>VLOOKUP(C75,Items[],5,0)</f>
        <v>431000</v>
      </c>
      <c r="G75" s="15">
        <f t="shared" si="2"/>
        <v>7327000</v>
      </c>
      <c r="H75" s="3" t="s">
        <v>347</v>
      </c>
      <c r="I75" s="3" t="s">
        <v>62</v>
      </c>
      <c r="J75" t="str">
        <f>TEXT(Transactions[[#This Row],[Date]],"MMM-YYYY")</f>
        <v>Aug-2025</v>
      </c>
      <c r="K75" s="1">
        <f>DATE(YEAR(Transactions[[#This Row],[Date]]), MONTH(Transactions[[#This Row],[Date]]), 1)</f>
        <v>45870</v>
      </c>
    </row>
    <row r="76" spans="1:11" x14ac:dyDescent="0.25">
      <c r="A76" s="2" t="s">
        <v>114</v>
      </c>
      <c r="B76" s="18">
        <v>45883</v>
      </c>
      <c r="C76" s="2" t="s">
        <v>39</v>
      </c>
      <c r="D76" s="2" t="str">
        <f>VLOOKUP(C76,Items[],2,0)</f>
        <v>Kabel Listrik Roll 50m</v>
      </c>
      <c r="E76" s="2">
        <v>17</v>
      </c>
      <c r="F76" s="14">
        <f>VLOOKUP(C76,Items[],5,0)</f>
        <v>203500</v>
      </c>
      <c r="G76" s="14">
        <f t="shared" si="2"/>
        <v>3459500</v>
      </c>
      <c r="H76" s="2" t="s">
        <v>347</v>
      </c>
      <c r="I76" s="2" t="s">
        <v>62</v>
      </c>
      <c r="J76" t="str">
        <f>TEXT(Transactions[[#This Row],[Date]],"MMM-YYYY")</f>
        <v>Aug-2025</v>
      </c>
      <c r="K76" s="1">
        <f>DATE(YEAR(Transactions[[#This Row],[Date]]), MONTH(Transactions[[#This Row],[Date]]), 1)</f>
        <v>45870</v>
      </c>
    </row>
    <row r="77" spans="1:11" x14ac:dyDescent="0.25">
      <c r="A77" s="3" t="s">
        <v>178</v>
      </c>
      <c r="B77" s="19">
        <v>45926</v>
      </c>
      <c r="C77" s="3" t="s">
        <v>42</v>
      </c>
      <c r="D77" s="2" t="str">
        <f>VLOOKUP(C77,Items[],2,0)</f>
        <v>Pipa PVC 4 inch (per batang)</v>
      </c>
      <c r="E77" s="3">
        <v>10</v>
      </c>
      <c r="F77" s="14">
        <f>VLOOKUP(C77,Items[],5,0)</f>
        <v>260000</v>
      </c>
      <c r="G77" s="15">
        <f t="shared" si="2"/>
        <v>2600000</v>
      </c>
      <c r="H77" s="3" t="s">
        <v>347</v>
      </c>
      <c r="I77" s="3" t="s">
        <v>65</v>
      </c>
      <c r="J77" t="str">
        <f>TEXT(Transactions[[#This Row],[Date]],"MMM-YYYY")</f>
        <v>Sep-2025</v>
      </c>
      <c r="K77" s="1">
        <f>DATE(YEAR(Transactions[[#This Row],[Date]]), MONTH(Transactions[[#This Row],[Date]]), 1)</f>
        <v>45901</v>
      </c>
    </row>
    <row r="78" spans="1:11" x14ac:dyDescent="0.25">
      <c r="A78" s="2" t="s">
        <v>179</v>
      </c>
      <c r="B78" s="18">
        <v>45876</v>
      </c>
      <c r="C78" s="2" t="s">
        <v>42</v>
      </c>
      <c r="D78" s="2" t="str">
        <f>VLOOKUP(C78,Items[],2,0)</f>
        <v>Pipa PVC 4 inch (per batang)</v>
      </c>
      <c r="E78" s="2">
        <v>4</v>
      </c>
      <c r="F78" s="14">
        <f>VLOOKUP(C78,Items[],5,0)</f>
        <v>260000</v>
      </c>
      <c r="G78" s="14">
        <f t="shared" si="2"/>
        <v>1040000</v>
      </c>
      <c r="H78" s="2" t="s">
        <v>348</v>
      </c>
      <c r="I78" s="2" t="s">
        <v>65</v>
      </c>
      <c r="J78" t="str">
        <f>TEXT(Transactions[[#This Row],[Date]],"MMM-YYYY")</f>
        <v>Aug-2025</v>
      </c>
      <c r="K78" s="1">
        <f>DATE(YEAR(Transactions[[#This Row],[Date]]), MONTH(Transactions[[#This Row],[Date]]), 1)</f>
        <v>45870</v>
      </c>
    </row>
    <row r="79" spans="1:11" x14ac:dyDescent="0.25">
      <c r="A79" s="3" t="s">
        <v>180</v>
      </c>
      <c r="B79" s="19">
        <v>45884</v>
      </c>
      <c r="C79" s="3" t="s">
        <v>42</v>
      </c>
      <c r="D79" s="2" t="str">
        <f>VLOOKUP(C79,Items[],2,0)</f>
        <v>Pipa PVC 4 inch (per batang)</v>
      </c>
      <c r="E79" s="3">
        <v>6</v>
      </c>
      <c r="F79" s="14">
        <f>VLOOKUP(C79,Items[],5,0)</f>
        <v>260000</v>
      </c>
      <c r="G79" s="15">
        <f t="shared" si="2"/>
        <v>1560000</v>
      </c>
      <c r="H79" s="3" t="s">
        <v>348</v>
      </c>
      <c r="I79" s="3" t="s">
        <v>59</v>
      </c>
      <c r="J79" t="str">
        <f>TEXT(Transactions[[#This Row],[Date]],"MMM-YYYY")</f>
        <v>Aug-2025</v>
      </c>
      <c r="K79" s="1">
        <f>DATE(YEAR(Transactions[[#This Row],[Date]]), MONTH(Transactions[[#This Row],[Date]]), 1)</f>
        <v>45870</v>
      </c>
    </row>
    <row r="80" spans="1:11" x14ac:dyDescent="0.25">
      <c r="A80" s="2" t="s">
        <v>75</v>
      </c>
      <c r="B80" s="18">
        <v>45913</v>
      </c>
      <c r="C80" s="2" t="s">
        <v>47</v>
      </c>
      <c r="D80" s="2" t="str">
        <f>VLOOKUP(C80,Items[],2,0)</f>
        <v>Jaket Safety</v>
      </c>
      <c r="E80" s="2">
        <v>11</v>
      </c>
      <c r="F80" s="14">
        <f>VLOOKUP(C80,Items[],5,0)</f>
        <v>245000</v>
      </c>
      <c r="G80" s="14">
        <f t="shared" si="2"/>
        <v>2695000</v>
      </c>
      <c r="H80" s="2" t="s">
        <v>347</v>
      </c>
      <c r="I80" s="2" t="s">
        <v>66</v>
      </c>
      <c r="J80" t="str">
        <f>TEXT(Transactions[[#This Row],[Date]],"MMM-YYYY")</f>
        <v>Sep-2025</v>
      </c>
      <c r="K80" s="1">
        <f>DATE(YEAR(Transactions[[#This Row],[Date]]), MONTH(Transactions[[#This Row],[Date]]), 1)</f>
        <v>45901</v>
      </c>
    </row>
    <row r="81" spans="1:11" x14ac:dyDescent="0.25">
      <c r="A81" s="3" t="s">
        <v>181</v>
      </c>
      <c r="B81" s="19">
        <v>45855</v>
      </c>
      <c r="C81" s="3" t="s">
        <v>43</v>
      </c>
      <c r="D81" s="2" t="str">
        <f>VLOOKUP(C81,Items[],2,0)</f>
        <v>Drum Solar 200L</v>
      </c>
      <c r="E81" s="3">
        <v>3</v>
      </c>
      <c r="F81" s="14">
        <f>VLOOKUP(C81,Items[],5,0)</f>
        <v>1060000</v>
      </c>
      <c r="G81" s="15">
        <f t="shared" si="2"/>
        <v>3180000</v>
      </c>
      <c r="H81" s="3" t="s">
        <v>347</v>
      </c>
      <c r="I81" s="3" t="s">
        <v>63</v>
      </c>
      <c r="J81" t="str">
        <f>TEXT(Transactions[[#This Row],[Date]],"MMM-YYYY")</f>
        <v>Jul-2025</v>
      </c>
      <c r="K81" s="1">
        <f>DATE(YEAR(Transactions[[#This Row],[Date]]), MONTH(Transactions[[#This Row],[Date]]), 1)</f>
        <v>45839</v>
      </c>
    </row>
    <row r="82" spans="1:11" x14ac:dyDescent="0.25">
      <c r="A82" s="2" t="s">
        <v>182</v>
      </c>
      <c r="B82" s="18">
        <v>45879</v>
      </c>
      <c r="C82" s="2" t="s">
        <v>39</v>
      </c>
      <c r="D82" s="2" t="str">
        <f>VLOOKUP(C82,Items[],2,0)</f>
        <v>Kabel Listrik Roll 50m</v>
      </c>
      <c r="E82" s="2">
        <v>4</v>
      </c>
      <c r="F82" s="14">
        <f>VLOOKUP(C82,Items[],5,0)</f>
        <v>203500</v>
      </c>
      <c r="G82" s="14">
        <f t="shared" si="2"/>
        <v>814000</v>
      </c>
      <c r="H82" s="2" t="s">
        <v>348</v>
      </c>
      <c r="I82" s="2" t="s">
        <v>58</v>
      </c>
      <c r="J82" t="str">
        <f>TEXT(Transactions[[#This Row],[Date]],"MMM-YYYY")</f>
        <v>Aug-2025</v>
      </c>
      <c r="K82" s="1">
        <f>DATE(YEAR(Transactions[[#This Row],[Date]]), MONTH(Transactions[[#This Row],[Date]]), 1)</f>
        <v>45870</v>
      </c>
    </row>
    <row r="83" spans="1:11" x14ac:dyDescent="0.25">
      <c r="A83" s="3" t="s">
        <v>183</v>
      </c>
      <c r="B83" s="19">
        <v>45920</v>
      </c>
      <c r="C83" s="3" t="s">
        <v>38</v>
      </c>
      <c r="D83" s="2" t="str">
        <f>VLOOKUP(C83,Items[],2,0)</f>
        <v>Sarung Tangan Katun</v>
      </c>
      <c r="E83" s="3">
        <v>10</v>
      </c>
      <c r="F83" s="14">
        <f>VLOOKUP(C83,Items[],5,0)</f>
        <v>20000</v>
      </c>
      <c r="G83" s="15">
        <f t="shared" si="2"/>
        <v>200000</v>
      </c>
      <c r="H83" s="3" t="s">
        <v>348</v>
      </c>
      <c r="I83" s="3" t="s">
        <v>67</v>
      </c>
      <c r="J83" t="str">
        <f>TEXT(Transactions[[#This Row],[Date]],"MMM-YYYY")</f>
        <v>Sep-2025</v>
      </c>
      <c r="K83" s="1">
        <f>DATE(YEAR(Transactions[[#This Row],[Date]]), MONTH(Transactions[[#This Row],[Date]]), 1)</f>
        <v>45901</v>
      </c>
    </row>
    <row r="84" spans="1:11" x14ac:dyDescent="0.25">
      <c r="A84" s="2" t="s">
        <v>98</v>
      </c>
      <c r="B84" s="18">
        <v>45839</v>
      </c>
      <c r="C84" s="2" t="s">
        <v>51</v>
      </c>
      <c r="D84" s="2" t="str">
        <f>VLOOKUP(C84,Items[],2,0)</f>
        <v>Lampu Sorot LED 100W</v>
      </c>
      <c r="E84" s="2">
        <v>18</v>
      </c>
      <c r="F84" s="14">
        <f>VLOOKUP(C84,Items[],5,0)</f>
        <v>237000</v>
      </c>
      <c r="G84" s="14">
        <f t="shared" si="2"/>
        <v>4266000</v>
      </c>
      <c r="H84" s="2" t="s">
        <v>347</v>
      </c>
      <c r="I84" s="2" t="s">
        <v>58</v>
      </c>
      <c r="J84" t="str">
        <f>TEXT(Transactions[[#This Row],[Date]],"MMM-YYYY")</f>
        <v>Jul-2025</v>
      </c>
      <c r="K84" s="1">
        <f>DATE(YEAR(Transactions[[#This Row],[Date]]), MONTH(Transactions[[#This Row],[Date]]), 1)</f>
        <v>45839</v>
      </c>
    </row>
    <row r="85" spans="1:11" x14ac:dyDescent="0.25">
      <c r="A85" s="3" t="s">
        <v>184</v>
      </c>
      <c r="B85" s="19">
        <v>45888</v>
      </c>
      <c r="C85" s="3" t="s">
        <v>53</v>
      </c>
      <c r="D85" s="2" t="str">
        <f>VLOOKUP(C85,Items[],2,0)</f>
        <v>Mesin Las Listrik</v>
      </c>
      <c r="E85" s="3">
        <v>1</v>
      </c>
      <c r="F85" s="14">
        <f>VLOOKUP(C85,Items[],5,0)</f>
        <v>2296000</v>
      </c>
      <c r="G85" s="15">
        <f t="shared" si="2"/>
        <v>2296000</v>
      </c>
      <c r="H85" s="3" t="s">
        <v>347</v>
      </c>
      <c r="I85" s="3" t="s">
        <v>62</v>
      </c>
      <c r="J85" t="str">
        <f>TEXT(Transactions[[#This Row],[Date]],"MMM-YYYY")</f>
        <v>Aug-2025</v>
      </c>
      <c r="K85" s="1">
        <f>DATE(YEAR(Transactions[[#This Row],[Date]]), MONTH(Transactions[[#This Row],[Date]]), 1)</f>
        <v>45870</v>
      </c>
    </row>
    <row r="86" spans="1:11" x14ac:dyDescent="0.25">
      <c r="A86" s="2" t="s">
        <v>185</v>
      </c>
      <c r="B86" s="18">
        <v>45840</v>
      </c>
      <c r="C86" s="2" t="s">
        <v>53</v>
      </c>
      <c r="D86" s="2" t="str">
        <f>VLOOKUP(C86,Items[],2,0)</f>
        <v>Mesin Las Listrik</v>
      </c>
      <c r="E86" s="2">
        <v>4</v>
      </c>
      <c r="F86" s="14">
        <f>VLOOKUP(C86,Items[],5,0)</f>
        <v>2296000</v>
      </c>
      <c r="G86" s="14">
        <f t="shared" si="2"/>
        <v>9184000</v>
      </c>
      <c r="H86" s="2" t="s">
        <v>348</v>
      </c>
      <c r="I86" s="2" t="s">
        <v>64</v>
      </c>
      <c r="J86" t="str">
        <f>TEXT(Transactions[[#This Row],[Date]],"MMM-YYYY")</f>
        <v>Jul-2025</v>
      </c>
      <c r="K86" s="1">
        <f>DATE(YEAR(Transactions[[#This Row],[Date]]), MONTH(Transactions[[#This Row],[Date]]), 1)</f>
        <v>45839</v>
      </c>
    </row>
    <row r="87" spans="1:11" x14ac:dyDescent="0.25">
      <c r="A87" s="3" t="s">
        <v>186</v>
      </c>
      <c r="B87" s="19">
        <v>45851</v>
      </c>
      <c r="C87" s="3" t="s">
        <v>52</v>
      </c>
      <c r="D87" s="2" t="str">
        <f>VLOOKUP(C87,Items[],2,0)</f>
        <v>Paku 5cm (1 kg)</v>
      </c>
      <c r="E87" s="3">
        <v>18</v>
      </c>
      <c r="F87" s="14">
        <f>VLOOKUP(C87,Items[],5,0)</f>
        <v>13500</v>
      </c>
      <c r="G87" s="15">
        <f t="shared" si="2"/>
        <v>243000</v>
      </c>
      <c r="H87" s="3" t="s">
        <v>348</v>
      </c>
      <c r="I87" s="3" t="s">
        <v>66</v>
      </c>
      <c r="J87" t="str">
        <f>TEXT(Transactions[[#This Row],[Date]],"MMM-YYYY")</f>
        <v>Jul-2025</v>
      </c>
      <c r="K87" s="1">
        <f>DATE(YEAR(Transactions[[#This Row],[Date]]), MONTH(Transactions[[#This Row],[Date]]), 1)</f>
        <v>45839</v>
      </c>
    </row>
    <row r="88" spans="1:11" x14ac:dyDescent="0.25">
      <c r="A88" s="2" t="s">
        <v>187</v>
      </c>
      <c r="B88" s="18">
        <v>45856</v>
      </c>
      <c r="C88" s="2" t="s">
        <v>56</v>
      </c>
      <c r="D88" s="2" t="str">
        <f>VLOOKUP(C88,Items[],2,0)</f>
        <v>Cat Minyak 5L</v>
      </c>
      <c r="E88" s="2">
        <v>10</v>
      </c>
      <c r="F88" s="14">
        <f>VLOOKUP(C88,Items[],5,0)</f>
        <v>135500</v>
      </c>
      <c r="G88" s="14">
        <f t="shared" si="2"/>
        <v>1355000</v>
      </c>
      <c r="H88" s="2" t="s">
        <v>347</v>
      </c>
      <c r="I88" s="2" t="s">
        <v>62</v>
      </c>
      <c r="J88" t="str">
        <f>TEXT(Transactions[[#This Row],[Date]],"MMM-YYYY")</f>
        <v>Jul-2025</v>
      </c>
      <c r="K88" s="1">
        <f>DATE(YEAR(Transactions[[#This Row],[Date]]), MONTH(Transactions[[#This Row],[Date]]), 1)</f>
        <v>45839</v>
      </c>
    </row>
    <row r="89" spans="1:11" x14ac:dyDescent="0.25">
      <c r="A89" s="3" t="s">
        <v>188</v>
      </c>
      <c r="B89" s="19">
        <v>45845</v>
      </c>
      <c r="C89" s="3" t="s">
        <v>51</v>
      </c>
      <c r="D89" s="2" t="str">
        <f>VLOOKUP(C89,Items[],2,0)</f>
        <v>Lampu Sorot LED 100W</v>
      </c>
      <c r="E89" s="3">
        <v>5</v>
      </c>
      <c r="F89" s="14">
        <f>VLOOKUP(C89,Items[],5,0)</f>
        <v>237000</v>
      </c>
      <c r="G89" s="15">
        <f t="shared" si="2"/>
        <v>1185000</v>
      </c>
      <c r="H89" s="3" t="s">
        <v>347</v>
      </c>
      <c r="I89" s="3" t="s">
        <v>60</v>
      </c>
      <c r="J89" t="str">
        <f>TEXT(Transactions[[#This Row],[Date]],"MMM-YYYY")</f>
        <v>Jul-2025</v>
      </c>
      <c r="K89" s="1">
        <f>DATE(YEAR(Transactions[[#This Row],[Date]]), MONTH(Transactions[[#This Row],[Date]]), 1)</f>
        <v>45839</v>
      </c>
    </row>
    <row r="90" spans="1:11" x14ac:dyDescent="0.25">
      <c r="A90" s="2" t="s">
        <v>89</v>
      </c>
      <c r="B90" s="18">
        <v>45889</v>
      </c>
      <c r="C90" s="2" t="s">
        <v>54</v>
      </c>
      <c r="D90" s="2" t="str">
        <f>VLOOKUP(C90,Items[],2,0)</f>
        <v>Obeng Set</v>
      </c>
      <c r="E90" s="2">
        <v>1</v>
      </c>
      <c r="F90" s="14">
        <f>VLOOKUP(C90,Items[],5,0)</f>
        <v>128000</v>
      </c>
      <c r="G90" s="14">
        <f t="shared" si="2"/>
        <v>128000</v>
      </c>
      <c r="H90" s="2" t="s">
        <v>348</v>
      </c>
      <c r="I90" s="2" t="s">
        <v>65</v>
      </c>
      <c r="J90" t="str">
        <f>TEXT(Transactions[[#This Row],[Date]],"MMM-YYYY")</f>
        <v>Aug-2025</v>
      </c>
      <c r="K90" s="1">
        <f>DATE(YEAR(Transactions[[#This Row],[Date]]), MONTH(Transactions[[#This Row],[Date]]), 1)</f>
        <v>45870</v>
      </c>
    </row>
    <row r="91" spans="1:11" x14ac:dyDescent="0.25">
      <c r="A91" s="3" t="s">
        <v>189</v>
      </c>
      <c r="B91" s="19">
        <v>45902</v>
      </c>
      <c r="C91" s="3" t="s">
        <v>39</v>
      </c>
      <c r="D91" s="2" t="str">
        <f>VLOOKUP(C91,Items[],2,0)</f>
        <v>Kabel Listrik Roll 50m</v>
      </c>
      <c r="E91" s="3">
        <v>1</v>
      </c>
      <c r="F91" s="14">
        <f>VLOOKUP(C91,Items[],5,0)</f>
        <v>203500</v>
      </c>
      <c r="G91" s="15">
        <f t="shared" si="2"/>
        <v>203500</v>
      </c>
      <c r="H91" s="3" t="s">
        <v>347</v>
      </c>
      <c r="I91" s="3" t="s">
        <v>66</v>
      </c>
      <c r="J91" t="str">
        <f>TEXT(Transactions[[#This Row],[Date]],"MMM-YYYY")</f>
        <v>Sep-2025</v>
      </c>
      <c r="K91" s="1">
        <f>DATE(YEAR(Transactions[[#This Row],[Date]]), MONTH(Transactions[[#This Row],[Date]]), 1)</f>
        <v>45901</v>
      </c>
    </row>
    <row r="92" spans="1:11" x14ac:dyDescent="0.25">
      <c r="A92" s="2" t="s">
        <v>190</v>
      </c>
      <c r="B92" s="18">
        <v>45842</v>
      </c>
      <c r="C92" s="2" t="s">
        <v>55</v>
      </c>
      <c r="D92" s="2" t="str">
        <f>VLOOKUP(C92,Items[],2,0)</f>
        <v>Genset Portable 1000W</v>
      </c>
      <c r="E92" s="2">
        <v>15</v>
      </c>
      <c r="F92" s="14">
        <f>VLOOKUP(C92,Items[],5,0)</f>
        <v>3134000</v>
      </c>
      <c r="G92" s="14">
        <f t="shared" si="2"/>
        <v>47010000</v>
      </c>
      <c r="H92" s="2" t="s">
        <v>347</v>
      </c>
      <c r="I92" s="2" t="s">
        <v>65</v>
      </c>
      <c r="J92" t="str">
        <f>TEXT(Transactions[[#This Row],[Date]],"MMM-YYYY")</f>
        <v>Jul-2025</v>
      </c>
      <c r="K92" s="1">
        <f>DATE(YEAR(Transactions[[#This Row],[Date]]), MONTH(Transactions[[#This Row],[Date]]), 1)</f>
        <v>45839</v>
      </c>
    </row>
    <row r="93" spans="1:11" x14ac:dyDescent="0.25">
      <c r="A93" s="3" t="s">
        <v>191</v>
      </c>
      <c r="B93" s="19">
        <v>45907</v>
      </c>
      <c r="C93" s="3" t="s">
        <v>44</v>
      </c>
      <c r="D93" s="2" t="str">
        <f>VLOOKUP(C93,Items[],2,0)</f>
        <v>Pompa Air Industri</v>
      </c>
      <c r="E93" s="3">
        <v>13</v>
      </c>
      <c r="F93" s="14">
        <f>VLOOKUP(C93,Items[],5,0)</f>
        <v>4490000</v>
      </c>
      <c r="G93" s="15">
        <f t="shared" si="2"/>
        <v>58370000</v>
      </c>
      <c r="H93" s="3" t="s">
        <v>347</v>
      </c>
      <c r="I93" s="3" t="s">
        <v>63</v>
      </c>
      <c r="J93" t="str">
        <f>TEXT(Transactions[[#This Row],[Date]],"MMM-YYYY")</f>
        <v>Sep-2025</v>
      </c>
      <c r="K93" s="1">
        <f>DATE(YEAR(Transactions[[#This Row],[Date]]), MONTH(Transactions[[#This Row],[Date]]), 1)</f>
        <v>45901</v>
      </c>
    </row>
    <row r="94" spans="1:11" x14ac:dyDescent="0.25">
      <c r="A94" s="2" t="s">
        <v>192</v>
      </c>
      <c r="B94" s="18">
        <v>45898</v>
      </c>
      <c r="C94" s="2" t="s">
        <v>52</v>
      </c>
      <c r="D94" s="2" t="str">
        <f>VLOOKUP(C94,Items[],2,0)</f>
        <v>Paku 5cm (1 kg)</v>
      </c>
      <c r="E94" s="2">
        <v>10</v>
      </c>
      <c r="F94" s="14">
        <f>VLOOKUP(C94,Items[],5,0)</f>
        <v>13500</v>
      </c>
      <c r="G94" s="14">
        <f t="shared" si="2"/>
        <v>135000</v>
      </c>
      <c r="H94" s="2" t="s">
        <v>348</v>
      </c>
      <c r="I94" s="2" t="s">
        <v>65</v>
      </c>
      <c r="J94" t="str">
        <f>TEXT(Transactions[[#This Row],[Date]],"MMM-YYYY")</f>
        <v>Aug-2025</v>
      </c>
      <c r="K94" s="1">
        <f>DATE(YEAR(Transactions[[#This Row],[Date]]), MONTH(Transactions[[#This Row],[Date]]), 1)</f>
        <v>45870</v>
      </c>
    </row>
    <row r="95" spans="1:11" x14ac:dyDescent="0.25">
      <c r="A95" s="3" t="s">
        <v>193</v>
      </c>
      <c r="B95" s="19">
        <v>45841</v>
      </c>
      <c r="C95" s="3" t="s">
        <v>43</v>
      </c>
      <c r="D95" s="2" t="str">
        <f>VLOOKUP(C95,Items[],2,0)</f>
        <v>Drum Solar 200L</v>
      </c>
      <c r="E95" s="3">
        <v>15</v>
      </c>
      <c r="F95" s="14">
        <f>VLOOKUP(C95,Items[],5,0)</f>
        <v>1060000</v>
      </c>
      <c r="G95" s="15">
        <f t="shared" si="2"/>
        <v>15900000</v>
      </c>
      <c r="H95" s="3" t="s">
        <v>348</v>
      </c>
      <c r="I95" s="3" t="s">
        <v>59</v>
      </c>
      <c r="J95" t="str">
        <f>TEXT(Transactions[[#This Row],[Date]],"MMM-YYYY")</f>
        <v>Jul-2025</v>
      </c>
      <c r="K95" s="1">
        <f>DATE(YEAR(Transactions[[#This Row],[Date]]), MONTH(Transactions[[#This Row],[Date]]), 1)</f>
        <v>45839</v>
      </c>
    </row>
    <row r="96" spans="1:11" x14ac:dyDescent="0.25">
      <c r="A96" s="2" t="s">
        <v>90</v>
      </c>
      <c r="B96" s="18">
        <v>45861</v>
      </c>
      <c r="C96" s="2" t="s">
        <v>38</v>
      </c>
      <c r="D96" s="2" t="str">
        <f>VLOOKUP(C96,Items[],2,0)</f>
        <v>Sarung Tangan Katun</v>
      </c>
      <c r="E96" s="2">
        <v>11</v>
      </c>
      <c r="F96" s="14">
        <f>VLOOKUP(C96,Items[],5,0)</f>
        <v>20000</v>
      </c>
      <c r="G96" s="14">
        <f t="shared" si="2"/>
        <v>220000</v>
      </c>
      <c r="H96" s="2" t="s">
        <v>348</v>
      </c>
      <c r="I96" s="2" t="s">
        <v>61</v>
      </c>
      <c r="J96" t="str">
        <f>TEXT(Transactions[[#This Row],[Date]],"MMM-YYYY")</f>
        <v>Jul-2025</v>
      </c>
      <c r="K96" s="1">
        <f>DATE(YEAR(Transactions[[#This Row],[Date]]), MONTH(Transactions[[#This Row],[Date]]), 1)</f>
        <v>45839</v>
      </c>
    </row>
    <row r="97" spans="1:11" x14ac:dyDescent="0.25">
      <c r="A97" s="3" t="s">
        <v>194</v>
      </c>
      <c r="B97" s="19">
        <v>45881</v>
      </c>
      <c r="C97" s="3" t="s">
        <v>41</v>
      </c>
      <c r="D97" s="2" t="str">
        <f>VLOOKUP(C97,Items[],2,0)</f>
        <v>Tangga Lipat Alumunium</v>
      </c>
      <c r="E97" s="3">
        <v>16</v>
      </c>
      <c r="F97" s="14">
        <f>VLOOKUP(C97,Items[],5,0)</f>
        <v>420000</v>
      </c>
      <c r="G97" s="15">
        <f t="shared" si="2"/>
        <v>6720000</v>
      </c>
      <c r="H97" s="3" t="s">
        <v>347</v>
      </c>
      <c r="I97" s="3" t="s">
        <v>58</v>
      </c>
      <c r="J97" t="str">
        <f>TEXT(Transactions[[#This Row],[Date]],"MMM-YYYY")</f>
        <v>Aug-2025</v>
      </c>
      <c r="K97" s="1">
        <f>DATE(YEAR(Transactions[[#This Row],[Date]]), MONTH(Transactions[[#This Row],[Date]]), 1)</f>
        <v>45870</v>
      </c>
    </row>
    <row r="98" spans="1:11" x14ac:dyDescent="0.25">
      <c r="A98" s="2" t="s">
        <v>195</v>
      </c>
      <c r="B98" s="18">
        <v>45913</v>
      </c>
      <c r="C98" s="2" t="s">
        <v>39</v>
      </c>
      <c r="D98" s="2" t="str">
        <f>VLOOKUP(C98,Items[],2,0)</f>
        <v>Kabel Listrik Roll 50m</v>
      </c>
      <c r="E98" s="2">
        <v>4</v>
      </c>
      <c r="F98" s="14">
        <f>VLOOKUP(C98,Items[],5,0)</f>
        <v>203500</v>
      </c>
      <c r="G98" s="14">
        <f t="shared" ref="G98:G129" si="3">E98*F98</f>
        <v>814000</v>
      </c>
      <c r="H98" s="2" t="s">
        <v>347</v>
      </c>
      <c r="I98" s="2" t="s">
        <v>60</v>
      </c>
      <c r="J98" t="str">
        <f>TEXT(Transactions[[#This Row],[Date]],"MMM-YYYY")</f>
        <v>Sep-2025</v>
      </c>
      <c r="K98" s="1">
        <f>DATE(YEAR(Transactions[[#This Row],[Date]]), MONTH(Transactions[[#This Row],[Date]]), 1)</f>
        <v>45901</v>
      </c>
    </row>
    <row r="99" spans="1:11" x14ac:dyDescent="0.25">
      <c r="A99" s="3" t="s">
        <v>102</v>
      </c>
      <c r="B99" s="19">
        <v>45930</v>
      </c>
      <c r="C99" s="3" t="s">
        <v>43</v>
      </c>
      <c r="D99" s="2" t="str">
        <f>VLOOKUP(C99,Items[],2,0)</f>
        <v>Drum Solar 200L</v>
      </c>
      <c r="E99" s="3">
        <v>10</v>
      </c>
      <c r="F99" s="14">
        <f>VLOOKUP(C99,Items[],5,0)</f>
        <v>1060000</v>
      </c>
      <c r="G99" s="15">
        <f t="shared" si="3"/>
        <v>10600000</v>
      </c>
      <c r="H99" s="3" t="s">
        <v>347</v>
      </c>
      <c r="I99" s="3" t="s">
        <v>59</v>
      </c>
      <c r="J99" t="str">
        <f>TEXT(Transactions[[#This Row],[Date]],"MMM-YYYY")</f>
        <v>Sep-2025</v>
      </c>
      <c r="K99" s="1">
        <f>DATE(YEAR(Transactions[[#This Row],[Date]]), MONTH(Transactions[[#This Row],[Date]]), 1)</f>
        <v>45901</v>
      </c>
    </row>
    <row r="100" spans="1:11" x14ac:dyDescent="0.25">
      <c r="A100" s="2" t="s">
        <v>196</v>
      </c>
      <c r="B100" s="18">
        <v>45930</v>
      </c>
      <c r="C100" s="2" t="s">
        <v>48</v>
      </c>
      <c r="D100" s="2" t="str">
        <f>VLOOKUP(C100,Items[],2,0)</f>
        <v>Gerinda Tangan</v>
      </c>
      <c r="E100" s="2">
        <v>12</v>
      </c>
      <c r="F100" s="14">
        <f>VLOOKUP(C100,Items[],5,0)</f>
        <v>465000</v>
      </c>
      <c r="G100" s="14">
        <f t="shared" si="3"/>
        <v>5580000</v>
      </c>
      <c r="H100" s="2" t="s">
        <v>347</v>
      </c>
      <c r="I100" s="2" t="s">
        <v>59</v>
      </c>
      <c r="J100" t="str">
        <f>TEXT(Transactions[[#This Row],[Date]],"MMM-YYYY")</f>
        <v>Sep-2025</v>
      </c>
      <c r="K100" s="1">
        <f>DATE(YEAR(Transactions[[#This Row],[Date]]), MONTH(Transactions[[#This Row],[Date]]), 1)</f>
        <v>45901</v>
      </c>
    </row>
    <row r="101" spans="1:11" x14ac:dyDescent="0.25">
      <c r="A101" s="3" t="s">
        <v>197</v>
      </c>
      <c r="B101" s="19">
        <v>45844</v>
      </c>
      <c r="C101" s="3" t="s">
        <v>54</v>
      </c>
      <c r="D101" s="2" t="str">
        <f>VLOOKUP(C101,Items[],2,0)</f>
        <v>Obeng Set</v>
      </c>
      <c r="E101" s="3">
        <v>1</v>
      </c>
      <c r="F101" s="14">
        <f>VLOOKUP(C101,Items[],5,0)</f>
        <v>128000</v>
      </c>
      <c r="G101" s="15">
        <f t="shared" si="3"/>
        <v>128000</v>
      </c>
      <c r="H101" s="3" t="s">
        <v>347</v>
      </c>
      <c r="I101" s="3" t="s">
        <v>62</v>
      </c>
      <c r="J101" t="str">
        <f>TEXT(Transactions[[#This Row],[Date]],"MMM-YYYY")</f>
        <v>Jul-2025</v>
      </c>
      <c r="K101" s="1">
        <f>DATE(YEAR(Transactions[[#This Row],[Date]]), MONTH(Transactions[[#This Row],[Date]]), 1)</f>
        <v>45839</v>
      </c>
    </row>
    <row r="102" spans="1:11" x14ac:dyDescent="0.25">
      <c r="A102" s="2" t="s">
        <v>81</v>
      </c>
      <c r="B102" s="18">
        <v>45904</v>
      </c>
      <c r="C102" s="2" t="s">
        <v>40</v>
      </c>
      <c r="D102" s="2" t="str">
        <f>VLOOKUP(C102,Items[],2,0)</f>
        <v>Bor Tangan Listrik</v>
      </c>
      <c r="E102" s="2">
        <v>7</v>
      </c>
      <c r="F102" s="14">
        <f>VLOOKUP(C102,Items[],5,0)</f>
        <v>335500</v>
      </c>
      <c r="G102" s="14">
        <f t="shared" si="3"/>
        <v>2348500</v>
      </c>
      <c r="H102" s="2" t="s">
        <v>347</v>
      </c>
      <c r="I102" s="2" t="s">
        <v>62</v>
      </c>
      <c r="J102" t="str">
        <f>TEXT(Transactions[[#This Row],[Date]],"MMM-YYYY")</f>
        <v>Sep-2025</v>
      </c>
      <c r="K102" s="1">
        <f>DATE(YEAR(Transactions[[#This Row],[Date]]), MONTH(Transactions[[#This Row],[Date]]), 1)</f>
        <v>45901</v>
      </c>
    </row>
    <row r="103" spans="1:11" x14ac:dyDescent="0.25">
      <c r="A103" s="3" t="s">
        <v>198</v>
      </c>
      <c r="B103" s="19">
        <v>45899</v>
      </c>
      <c r="C103" s="3" t="s">
        <v>56</v>
      </c>
      <c r="D103" s="2" t="str">
        <f>VLOOKUP(C103,Items[],2,0)</f>
        <v>Cat Minyak 5L</v>
      </c>
      <c r="E103" s="3">
        <v>10</v>
      </c>
      <c r="F103" s="14">
        <f>VLOOKUP(C103,Items[],5,0)</f>
        <v>135500</v>
      </c>
      <c r="G103" s="15">
        <f t="shared" si="3"/>
        <v>1355000</v>
      </c>
      <c r="H103" s="3" t="s">
        <v>347</v>
      </c>
      <c r="I103" s="3" t="s">
        <v>60</v>
      </c>
      <c r="J103" t="str">
        <f>TEXT(Transactions[[#This Row],[Date]],"MMM-YYYY")</f>
        <v>Aug-2025</v>
      </c>
      <c r="K103" s="1">
        <f>DATE(YEAR(Transactions[[#This Row],[Date]]), MONTH(Transactions[[#This Row],[Date]]), 1)</f>
        <v>45870</v>
      </c>
    </row>
    <row r="104" spans="1:11" x14ac:dyDescent="0.25">
      <c r="A104" s="2" t="s">
        <v>199</v>
      </c>
      <c r="B104" s="18">
        <v>45890</v>
      </c>
      <c r="C104" s="2" t="s">
        <v>53</v>
      </c>
      <c r="D104" s="2" t="str">
        <f>VLOOKUP(C104,Items[],2,0)</f>
        <v>Mesin Las Listrik</v>
      </c>
      <c r="E104" s="2">
        <v>10</v>
      </c>
      <c r="F104" s="14">
        <f>VLOOKUP(C104,Items[],5,0)</f>
        <v>2296000</v>
      </c>
      <c r="G104" s="14">
        <f t="shared" si="3"/>
        <v>22960000</v>
      </c>
      <c r="H104" s="2" t="s">
        <v>347</v>
      </c>
      <c r="I104" s="2" t="s">
        <v>59</v>
      </c>
      <c r="J104" t="str">
        <f>TEXT(Transactions[[#This Row],[Date]],"MMM-YYYY")</f>
        <v>Aug-2025</v>
      </c>
      <c r="K104" s="1">
        <f>DATE(YEAR(Transactions[[#This Row],[Date]]), MONTH(Transactions[[#This Row],[Date]]), 1)</f>
        <v>45870</v>
      </c>
    </row>
    <row r="105" spans="1:11" x14ac:dyDescent="0.25">
      <c r="A105" s="3" t="s">
        <v>200</v>
      </c>
      <c r="B105" s="19">
        <v>45846</v>
      </c>
      <c r="C105" s="3" t="s">
        <v>38</v>
      </c>
      <c r="D105" s="2" t="str">
        <f>VLOOKUP(C105,Items[],2,0)</f>
        <v>Sarung Tangan Katun</v>
      </c>
      <c r="E105" s="3">
        <v>17</v>
      </c>
      <c r="F105" s="14">
        <f>VLOOKUP(C105,Items[],5,0)</f>
        <v>20000</v>
      </c>
      <c r="G105" s="15">
        <f t="shared" si="3"/>
        <v>340000</v>
      </c>
      <c r="H105" s="3" t="s">
        <v>347</v>
      </c>
      <c r="I105" s="3" t="s">
        <v>59</v>
      </c>
      <c r="J105" t="str">
        <f>TEXT(Transactions[[#This Row],[Date]],"MMM-YYYY")</f>
        <v>Jul-2025</v>
      </c>
      <c r="K105" s="1">
        <f>DATE(YEAR(Transactions[[#This Row],[Date]]), MONTH(Transactions[[#This Row],[Date]]), 1)</f>
        <v>45839</v>
      </c>
    </row>
    <row r="106" spans="1:11" x14ac:dyDescent="0.25">
      <c r="A106" s="2" t="s">
        <v>201</v>
      </c>
      <c r="B106" s="18">
        <v>45900</v>
      </c>
      <c r="C106" s="2" t="s">
        <v>42</v>
      </c>
      <c r="D106" s="2" t="str">
        <f>VLOOKUP(C106,Items[],2,0)</f>
        <v>Pipa PVC 4 inch (per batang)</v>
      </c>
      <c r="E106" s="2">
        <v>20</v>
      </c>
      <c r="F106" s="14">
        <f>VLOOKUP(C106,Items[],5,0)</f>
        <v>260000</v>
      </c>
      <c r="G106" s="14">
        <f t="shared" si="3"/>
        <v>5200000</v>
      </c>
      <c r="H106" s="2" t="s">
        <v>347</v>
      </c>
      <c r="I106" s="2" t="s">
        <v>60</v>
      </c>
      <c r="J106" t="str">
        <f>TEXT(Transactions[[#This Row],[Date]],"MMM-YYYY")</f>
        <v>Aug-2025</v>
      </c>
      <c r="K106" s="1">
        <f>DATE(YEAR(Transactions[[#This Row],[Date]]), MONTH(Transactions[[#This Row],[Date]]), 1)</f>
        <v>45870</v>
      </c>
    </row>
    <row r="107" spans="1:11" x14ac:dyDescent="0.25">
      <c r="A107" s="3" t="s">
        <v>202</v>
      </c>
      <c r="B107" s="19">
        <v>45925</v>
      </c>
      <c r="C107" s="3" t="s">
        <v>45</v>
      </c>
      <c r="D107" s="2" t="str">
        <f>VLOOKUP(C107,Items[],2,0)</f>
        <v>Helm Proyek</v>
      </c>
      <c r="E107" s="3">
        <v>16</v>
      </c>
      <c r="F107" s="14">
        <f>VLOOKUP(C107,Items[],5,0)</f>
        <v>50000</v>
      </c>
      <c r="G107" s="15">
        <f t="shared" si="3"/>
        <v>800000</v>
      </c>
      <c r="H107" s="3" t="s">
        <v>348</v>
      </c>
      <c r="I107" s="3" t="s">
        <v>65</v>
      </c>
      <c r="J107" t="str">
        <f>TEXT(Transactions[[#This Row],[Date]],"MMM-YYYY")</f>
        <v>Sep-2025</v>
      </c>
      <c r="K107" s="1">
        <f>DATE(YEAR(Transactions[[#This Row],[Date]]), MONTH(Transactions[[#This Row],[Date]]), 1)</f>
        <v>45901</v>
      </c>
    </row>
    <row r="108" spans="1:11" x14ac:dyDescent="0.25">
      <c r="A108" s="2" t="s">
        <v>203</v>
      </c>
      <c r="B108" s="18">
        <v>45879</v>
      </c>
      <c r="C108" s="2" t="s">
        <v>50</v>
      </c>
      <c r="D108" s="2" t="str">
        <f>VLOOKUP(C108,Items[],2,0)</f>
        <v>Rantai Besi 10m</v>
      </c>
      <c r="E108" s="2">
        <v>1</v>
      </c>
      <c r="F108" s="14">
        <f>VLOOKUP(C108,Items[],5,0)</f>
        <v>431000</v>
      </c>
      <c r="G108" s="14">
        <f t="shared" si="3"/>
        <v>431000</v>
      </c>
      <c r="H108" s="2" t="s">
        <v>347</v>
      </c>
      <c r="I108" s="2" t="s">
        <v>58</v>
      </c>
      <c r="J108" t="str">
        <f>TEXT(Transactions[[#This Row],[Date]],"MMM-YYYY")</f>
        <v>Aug-2025</v>
      </c>
      <c r="K108" s="1">
        <f>DATE(YEAR(Transactions[[#This Row],[Date]]), MONTH(Transactions[[#This Row],[Date]]), 1)</f>
        <v>45870</v>
      </c>
    </row>
    <row r="109" spans="1:11" x14ac:dyDescent="0.25">
      <c r="A109" s="3" t="s">
        <v>105</v>
      </c>
      <c r="B109" s="19">
        <v>45922</v>
      </c>
      <c r="C109" s="3" t="s">
        <v>56</v>
      </c>
      <c r="D109" s="2" t="str">
        <f>VLOOKUP(C109,Items[],2,0)</f>
        <v>Cat Minyak 5L</v>
      </c>
      <c r="E109" s="3">
        <v>7</v>
      </c>
      <c r="F109" s="14">
        <f>VLOOKUP(C109,Items[],5,0)</f>
        <v>135500</v>
      </c>
      <c r="G109" s="15">
        <f t="shared" si="3"/>
        <v>948500</v>
      </c>
      <c r="H109" s="3" t="s">
        <v>347</v>
      </c>
      <c r="I109" s="3" t="s">
        <v>59</v>
      </c>
      <c r="J109" t="str">
        <f>TEXT(Transactions[[#This Row],[Date]],"MMM-YYYY")</f>
        <v>Sep-2025</v>
      </c>
      <c r="K109" s="1">
        <f>DATE(YEAR(Transactions[[#This Row],[Date]]), MONTH(Transactions[[#This Row],[Date]]), 1)</f>
        <v>45901</v>
      </c>
    </row>
    <row r="110" spans="1:11" x14ac:dyDescent="0.25">
      <c r="A110" s="2" t="s">
        <v>69</v>
      </c>
      <c r="B110" s="18">
        <v>45884</v>
      </c>
      <c r="C110" s="2" t="s">
        <v>51</v>
      </c>
      <c r="D110" s="2" t="str">
        <f>VLOOKUP(C110,Items[],2,0)</f>
        <v>Lampu Sorot LED 100W</v>
      </c>
      <c r="E110" s="2">
        <v>8</v>
      </c>
      <c r="F110" s="14">
        <f>VLOOKUP(C110,Items[],5,0)</f>
        <v>237000</v>
      </c>
      <c r="G110" s="14">
        <f t="shared" si="3"/>
        <v>1896000</v>
      </c>
      <c r="H110" s="2" t="s">
        <v>347</v>
      </c>
      <c r="I110" s="2" t="s">
        <v>61</v>
      </c>
      <c r="J110" t="str">
        <f>TEXT(Transactions[[#This Row],[Date]],"MMM-YYYY")</f>
        <v>Aug-2025</v>
      </c>
      <c r="K110" s="1">
        <f>DATE(YEAR(Transactions[[#This Row],[Date]]), MONTH(Transactions[[#This Row],[Date]]), 1)</f>
        <v>45870</v>
      </c>
    </row>
    <row r="111" spans="1:11" x14ac:dyDescent="0.25">
      <c r="A111" s="3" t="s">
        <v>92</v>
      </c>
      <c r="B111" s="19">
        <v>45891</v>
      </c>
      <c r="C111" s="3" t="s">
        <v>39</v>
      </c>
      <c r="D111" s="2" t="str">
        <f>VLOOKUP(C111,Items[],2,0)</f>
        <v>Kabel Listrik Roll 50m</v>
      </c>
      <c r="E111" s="3">
        <v>19</v>
      </c>
      <c r="F111" s="14">
        <f>VLOOKUP(C111,Items[],5,0)</f>
        <v>203500</v>
      </c>
      <c r="G111" s="15">
        <f t="shared" si="3"/>
        <v>3866500</v>
      </c>
      <c r="H111" s="3" t="s">
        <v>347</v>
      </c>
      <c r="I111" s="3" t="s">
        <v>62</v>
      </c>
      <c r="J111" t="str">
        <f>TEXT(Transactions[[#This Row],[Date]],"MMM-YYYY")</f>
        <v>Aug-2025</v>
      </c>
      <c r="K111" s="1">
        <f>DATE(YEAR(Transactions[[#This Row],[Date]]), MONTH(Transactions[[#This Row],[Date]]), 1)</f>
        <v>45870</v>
      </c>
    </row>
    <row r="112" spans="1:11" x14ac:dyDescent="0.25">
      <c r="A112" s="2" t="s">
        <v>204</v>
      </c>
      <c r="B112" s="18">
        <v>45847</v>
      </c>
      <c r="C112" s="2" t="s">
        <v>40</v>
      </c>
      <c r="D112" s="2" t="str">
        <f>VLOOKUP(C112,Items[],2,0)</f>
        <v>Bor Tangan Listrik</v>
      </c>
      <c r="E112" s="2">
        <v>20</v>
      </c>
      <c r="F112" s="14">
        <f>VLOOKUP(C112,Items[],5,0)</f>
        <v>335500</v>
      </c>
      <c r="G112" s="14">
        <f t="shared" si="3"/>
        <v>6710000</v>
      </c>
      <c r="H112" s="2" t="s">
        <v>348</v>
      </c>
      <c r="I112" s="2" t="s">
        <v>61</v>
      </c>
      <c r="J112" t="str">
        <f>TEXT(Transactions[[#This Row],[Date]],"MMM-YYYY")</f>
        <v>Jul-2025</v>
      </c>
      <c r="K112" s="1">
        <f>DATE(YEAR(Transactions[[#This Row],[Date]]), MONTH(Transactions[[#This Row],[Date]]), 1)</f>
        <v>45839</v>
      </c>
    </row>
    <row r="113" spans="1:11" x14ac:dyDescent="0.25">
      <c r="A113" s="3" t="s">
        <v>205</v>
      </c>
      <c r="B113" s="19">
        <v>45861</v>
      </c>
      <c r="C113" s="3" t="s">
        <v>47</v>
      </c>
      <c r="D113" s="2" t="str">
        <f>VLOOKUP(C113,Items[],2,0)</f>
        <v>Jaket Safety</v>
      </c>
      <c r="E113" s="3">
        <v>5</v>
      </c>
      <c r="F113" s="14">
        <f>VLOOKUP(C113,Items[],5,0)</f>
        <v>245000</v>
      </c>
      <c r="G113" s="15">
        <f t="shared" si="3"/>
        <v>1225000</v>
      </c>
      <c r="H113" s="3" t="s">
        <v>347</v>
      </c>
      <c r="I113" s="3" t="s">
        <v>64</v>
      </c>
      <c r="J113" t="str">
        <f>TEXT(Transactions[[#This Row],[Date]],"MMM-YYYY")</f>
        <v>Jul-2025</v>
      </c>
      <c r="K113" s="1">
        <f>DATE(YEAR(Transactions[[#This Row],[Date]]), MONTH(Transactions[[#This Row],[Date]]), 1)</f>
        <v>45839</v>
      </c>
    </row>
    <row r="114" spans="1:11" x14ac:dyDescent="0.25">
      <c r="A114" s="2" t="s">
        <v>95</v>
      </c>
      <c r="B114" s="18">
        <v>45874</v>
      </c>
      <c r="C114" s="2" t="s">
        <v>49</v>
      </c>
      <c r="D114" s="2" t="str">
        <f>VLOOKUP(C114,Items[],2,0)</f>
        <v>Cat Tembok 1 kg</v>
      </c>
      <c r="E114" s="2">
        <v>9</v>
      </c>
      <c r="F114" s="14">
        <f>VLOOKUP(C114,Items[],5,0)</f>
        <v>31000</v>
      </c>
      <c r="G114" s="14">
        <f t="shared" si="3"/>
        <v>279000</v>
      </c>
      <c r="H114" s="2" t="s">
        <v>348</v>
      </c>
      <c r="I114" s="2" t="s">
        <v>65</v>
      </c>
      <c r="J114" t="str">
        <f>TEXT(Transactions[[#This Row],[Date]],"MMM-YYYY")</f>
        <v>Aug-2025</v>
      </c>
      <c r="K114" s="1">
        <f>DATE(YEAR(Transactions[[#This Row],[Date]]), MONTH(Transactions[[#This Row],[Date]]), 1)</f>
        <v>45870</v>
      </c>
    </row>
    <row r="115" spans="1:11" x14ac:dyDescent="0.25">
      <c r="A115" s="3" t="s">
        <v>206</v>
      </c>
      <c r="B115" s="19">
        <v>45930</v>
      </c>
      <c r="C115" s="3" t="s">
        <v>56</v>
      </c>
      <c r="D115" s="2" t="str">
        <f>VLOOKUP(C115,Items[],2,0)</f>
        <v>Cat Minyak 5L</v>
      </c>
      <c r="E115" s="3">
        <v>14</v>
      </c>
      <c r="F115" s="14">
        <f>VLOOKUP(C115,Items[],5,0)</f>
        <v>135500</v>
      </c>
      <c r="G115" s="15">
        <f t="shared" si="3"/>
        <v>1897000</v>
      </c>
      <c r="H115" s="3" t="s">
        <v>348</v>
      </c>
      <c r="I115" s="3" t="s">
        <v>62</v>
      </c>
      <c r="J115" t="str">
        <f>TEXT(Transactions[[#This Row],[Date]],"MMM-YYYY")</f>
        <v>Sep-2025</v>
      </c>
      <c r="K115" s="1">
        <f>DATE(YEAR(Transactions[[#This Row],[Date]]), MONTH(Transactions[[#This Row],[Date]]), 1)</f>
        <v>45901</v>
      </c>
    </row>
    <row r="116" spans="1:11" x14ac:dyDescent="0.25">
      <c r="A116" s="2" t="s">
        <v>207</v>
      </c>
      <c r="B116" s="18">
        <v>45925</v>
      </c>
      <c r="C116" s="2" t="s">
        <v>45</v>
      </c>
      <c r="D116" s="2" t="str">
        <f>VLOOKUP(C116,Items[],2,0)</f>
        <v>Helm Proyek</v>
      </c>
      <c r="E116" s="2">
        <v>1</v>
      </c>
      <c r="F116" s="14">
        <f>VLOOKUP(C116,Items[],5,0)</f>
        <v>50000</v>
      </c>
      <c r="G116" s="14">
        <f t="shared" si="3"/>
        <v>50000</v>
      </c>
      <c r="H116" s="2" t="s">
        <v>348</v>
      </c>
      <c r="I116" s="2" t="s">
        <v>58</v>
      </c>
      <c r="J116" t="str">
        <f>TEXT(Transactions[[#This Row],[Date]],"MMM-YYYY")</f>
        <v>Sep-2025</v>
      </c>
      <c r="K116" s="1">
        <f>DATE(YEAR(Transactions[[#This Row],[Date]]), MONTH(Transactions[[#This Row],[Date]]), 1)</f>
        <v>45901</v>
      </c>
    </row>
    <row r="117" spans="1:11" x14ac:dyDescent="0.25">
      <c r="A117" s="3" t="s">
        <v>208</v>
      </c>
      <c r="B117" s="19">
        <v>45904</v>
      </c>
      <c r="C117" s="3" t="s">
        <v>42</v>
      </c>
      <c r="D117" s="2" t="str">
        <f>VLOOKUP(C117,Items[],2,0)</f>
        <v>Pipa PVC 4 inch (per batang)</v>
      </c>
      <c r="E117" s="3">
        <v>6</v>
      </c>
      <c r="F117" s="14">
        <f>VLOOKUP(C117,Items[],5,0)</f>
        <v>260000</v>
      </c>
      <c r="G117" s="15">
        <f t="shared" si="3"/>
        <v>1560000</v>
      </c>
      <c r="H117" s="3" t="s">
        <v>347</v>
      </c>
      <c r="I117" s="3" t="s">
        <v>62</v>
      </c>
      <c r="J117" t="str">
        <f>TEXT(Transactions[[#This Row],[Date]],"MMM-YYYY")</f>
        <v>Sep-2025</v>
      </c>
      <c r="K117" s="1">
        <f>DATE(YEAR(Transactions[[#This Row],[Date]]), MONTH(Transactions[[#This Row],[Date]]), 1)</f>
        <v>45901</v>
      </c>
    </row>
    <row r="118" spans="1:11" x14ac:dyDescent="0.25">
      <c r="A118" s="2" t="s">
        <v>209</v>
      </c>
      <c r="B118" s="18">
        <v>45922</v>
      </c>
      <c r="C118" s="2" t="s">
        <v>44</v>
      </c>
      <c r="D118" s="2" t="str">
        <f>VLOOKUP(C118,Items[],2,0)</f>
        <v>Pompa Air Industri</v>
      </c>
      <c r="E118" s="2">
        <v>12</v>
      </c>
      <c r="F118" s="14">
        <f>VLOOKUP(C118,Items[],5,0)</f>
        <v>4490000</v>
      </c>
      <c r="G118" s="14">
        <f t="shared" si="3"/>
        <v>53880000</v>
      </c>
      <c r="H118" s="2" t="s">
        <v>347</v>
      </c>
      <c r="I118" s="2" t="s">
        <v>63</v>
      </c>
      <c r="J118" t="str">
        <f>TEXT(Transactions[[#This Row],[Date]],"MMM-YYYY")</f>
        <v>Sep-2025</v>
      </c>
      <c r="K118" s="1">
        <f>DATE(YEAR(Transactions[[#This Row],[Date]]), MONTH(Transactions[[#This Row],[Date]]), 1)</f>
        <v>45901</v>
      </c>
    </row>
    <row r="119" spans="1:11" x14ac:dyDescent="0.25">
      <c r="A119" s="3" t="s">
        <v>210</v>
      </c>
      <c r="B119" s="19">
        <v>45849</v>
      </c>
      <c r="C119" s="3" t="s">
        <v>53</v>
      </c>
      <c r="D119" s="2" t="str">
        <f>VLOOKUP(C119,Items[],2,0)</f>
        <v>Mesin Las Listrik</v>
      </c>
      <c r="E119" s="3">
        <v>19</v>
      </c>
      <c r="F119" s="14">
        <f>VLOOKUP(C119,Items[],5,0)</f>
        <v>2296000</v>
      </c>
      <c r="G119" s="15">
        <f t="shared" si="3"/>
        <v>43624000</v>
      </c>
      <c r="H119" s="3" t="s">
        <v>347</v>
      </c>
      <c r="I119" s="3" t="s">
        <v>58</v>
      </c>
      <c r="J119" t="str">
        <f>TEXT(Transactions[[#This Row],[Date]],"MMM-YYYY")</f>
        <v>Jul-2025</v>
      </c>
      <c r="K119" s="1">
        <f>DATE(YEAR(Transactions[[#This Row],[Date]]), MONTH(Transactions[[#This Row],[Date]]), 1)</f>
        <v>45839</v>
      </c>
    </row>
    <row r="120" spans="1:11" x14ac:dyDescent="0.25">
      <c r="A120" s="2" t="s">
        <v>211</v>
      </c>
      <c r="B120" s="18">
        <v>45915</v>
      </c>
      <c r="C120" s="2" t="s">
        <v>46</v>
      </c>
      <c r="D120" s="2" t="str">
        <f>VLOOKUP(C120,Items[],2,0)</f>
        <v>Masker Safety Box (isi 50)</v>
      </c>
      <c r="E120" s="2">
        <v>4</v>
      </c>
      <c r="F120" s="14">
        <f>VLOOKUP(C120,Items[],5,0)</f>
        <v>11500</v>
      </c>
      <c r="G120" s="14">
        <f t="shared" si="3"/>
        <v>46000</v>
      </c>
      <c r="H120" s="2" t="s">
        <v>348</v>
      </c>
      <c r="I120" s="2" t="s">
        <v>64</v>
      </c>
      <c r="J120" t="str">
        <f>TEXT(Transactions[[#This Row],[Date]],"MMM-YYYY")</f>
        <v>Sep-2025</v>
      </c>
      <c r="K120" s="1">
        <f>DATE(YEAR(Transactions[[#This Row],[Date]]), MONTH(Transactions[[#This Row],[Date]]), 1)</f>
        <v>45901</v>
      </c>
    </row>
    <row r="121" spans="1:11" x14ac:dyDescent="0.25">
      <c r="A121" s="3" t="s">
        <v>212</v>
      </c>
      <c r="B121" s="19">
        <v>45884</v>
      </c>
      <c r="C121" s="3" t="s">
        <v>49</v>
      </c>
      <c r="D121" s="2" t="str">
        <f>VLOOKUP(C121,Items[],2,0)</f>
        <v>Cat Tembok 1 kg</v>
      </c>
      <c r="E121" s="3">
        <v>10</v>
      </c>
      <c r="F121" s="14">
        <f>VLOOKUP(C121,Items[],5,0)</f>
        <v>31000</v>
      </c>
      <c r="G121" s="15">
        <f t="shared" si="3"/>
        <v>310000</v>
      </c>
      <c r="H121" s="3" t="s">
        <v>347</v>
      </c>
      <c r="I121" s="3" t="s">
        <v>58</v>
      </c>
      <c r="J121" t="str">
        <f>TEXT(Transactions[[#This Row],[Date]],"MMM-YYYY")</f>
        <v>Aug-2025</v>
      </c>
      <c r="K121" s="1">
        <f>DATE(YEAR(Transactions[[#This Row],[Date]]), MONTH(Transactions[[#This Row],[Date]]), 1)</f>
        <v>45870</v>
      </c>
    </row>
    <row r="122" spans="1:11" x14ac:dyDescent="0.25">
      <c r="A122" s="2" t="s">
        <v>213</v>
      </c>
      <c r="B122" s="18">
        <v>45850</v>
      </c>
      <c r="C122" s="2" t="s">
        <v>45</v>
      </c>
      <c r="D122" s="2" t="str">
        <f>VLOOKUP(C122,Items[],2,0)</f>
        <v>Helm Proyek</v>
      </c>
      <c r="E122" s="2">
        <v>9</v>
      </c>
      <c r="F122" s="14">
        <f>VLOOKUP(C122,Items[],5,0)</f>
        <v>50000</v>
      </c>
      <c r="G122" s="14">
        <f t="shared" si="3"/>
        <v>450000</v>
      </c>
      <c r="H122" s="2" t="s">
        <v>347</v>
      </c>
      <c r="I122" s="2" t="s">
        <v>60</v>
      </c>
      <c r="J122" t="str">
        <f>TEXT(Transactions[[#This Row],[Date]],"MMM-YYYY")</f>
        <v>Jul-2025</v>
      </c>
      <c r="K122" s="1">
        <f>DATE(YEAR(Transactions[[#This Row],[Date]]), MONTH(Transactions[[#This Row],[Date]]), 1)</f>
        <v>45839</v>
      </c>
    </row>
    <row r="123" spans="1:11" x14ac:dyDescent="0.25">
      <c r="A123" s="3" t="s">
        <v>214</v>
      </c>
      <c r="B123" s="19">
        <v>45841</v>
      </c>
      <c r="C123" s="3" t="s">
        <v>44</v>
      </c>
      <c r="D123" s="2" t="str">
        <f>VLOOKUP(C123,Items[],2,0)</f>
        <v>Pompa Air Industri</v>
      </c>
      <c r="E123" s="3">
        <v>12</v>
      </c>
      <c r="F123" s="14">
        <f>VLOOKUP(C123,Items[],5,0)</f>
        <v>4490000</v>
      </c>
      <c r="G123" s="15">
        <f t="shared" si="3"/>
        <v>53880000</v>
      </c>
      <c r="H123" s="3" t="s">
        <v>348</v>
      </c>
      <c r="I123" s="3" t="s">
        <v>67</v>
      </c>
      <c r="J123" t="str">
        <f>TEXT(Transactions[[#This Row],[Date]],"MMM-YYYY")</f>
        <v>Jul-2025</v>
      </c>
      <c r="K123" s="1">
        <f>DATE(YEAR(Transactions[[#This Row],[Date]]), MONTH(Transactions[[#This Row],[Date]]), 1)</f>
        <v>45839</v>
      </c>
    </row>
    <row r="124" spans="1:11" x14ac:dyDescent="0.25">
      <c r="A124" s="2" t="s">
        <v>215</v>
      </c>
      <c r="B124" s="18">
        <v>45920</v>
      </c>
      <c r="C124" s="2" t="s">
        <v>49</v>
      </c>
      <c r="D124" s="2" t="str">
        <f>VLOOKUP(C124,Items[],2,0)</f>
        <v>Cat Tembok 1 kg</v>
      </c>
      <c r="E124" s="2">
        <v>15</v>
      </c>
      <c r="F124" s="14">
        <f>VLOOKUP(C124,Items[],5,0)</f>
        <v>31000</v>
      </c>
      <c r="G124" s="14">
        <f t="shared" si="3"/>
        <v>465000</v>
      </c>
      <c r="H124" s="2" t="s">
        <v>347</v>
      </c>
      <c r="I124" s="2" t="s">
        <v>61</v>
      </c>
      <c r="J124" t="str">
        <f>TEXT(Transactions[[#This Row],[Date]],"MMM-YYYY")</f>
        <v>Sep-2025</v>
      </c>
      <c r="K124" s="1">
        <f>DATE(YEAR(Transactions[[#This Row],[Date]]), MONTH(Transactions[[#This Row],[Date]]), 1)</f>
        <v>45901</v>
      </c>
    </row>
    <row r="125" spans="1:11" x14ac:dyDescent="0.25">
      <c r="A125" s="3" t="s">
        <v>216</v>
      </c>
      <c r="B125" s="19">
        <v>45913</v>
      </c>
      <c r="C125" s="3" t="s">
        <v>43</v>
      </c>
      <c r="D125" s="2" t="str">
        <f>VLOOKUP(C125,Items[],2,0)</f>
        <v>Drum Solar 200L</v>
      </c>
      <c r="E125" s="3">
        <v>17</v>
      </c>
      <c r="F125" s="14">
        <f>VLOOKUP(C125,Items[],5,0)</f>
        <v>1060000</v>
      </c>
      <c r="G125" s="15">
        <f t="shared" si="3"/>
        <v>18020000</v>
      </c>
      <c r="H125" s="3" t="s">
        <v>347</v>
      </c>
      <c r="I125" s="3" t="s">
        <v>67</v>
      </c>
      <c r="J125" t="str">
        <f>TEXT(Transactions[[#This Row],[Date]],"MMM-YYYY")</f>
        <v>Sep-2025</v>
      </c>
      <c r="K125" s="1">
        <f>DATE(YEAR(Transactions[[#This Row],[Date]]), MONTH(Transactions[[#This Row],[Date]]), 1)</f>
        <v>45901</v>
      </c>
    </row>
    <row r="126" spans="1:11" x14ac:dyDescent="0.25">
      <c r="A126" s="2" t="s">
        <v>217</v>
      </c>
      <c r="B126" s="18">
        <v>45924</v>
      </c>
      <c r="C126" s="2" t="s">
        <v>56</v>
      </c>
      <c r="D126" s="2" t="str">
        <f>VLOOKUP(C126,Items[],2,0)</f>
        <v>Cat Minyak 5L</v>
      </c>
      <c r="E126" s="2">
        <v>13</v>
      </c>
      <c r="F126" s="14">
        <f>VLOOKUP(C126,Items[],5,0)</f>
        <v>135500</v>
      </c>
      <c r="G126" s="14">
        <f t="shared" si="3"/>
        <v>1761500</v>
      </c>
      <c r="H126" s="2" t="s">
        <v>347</v>
      </c>
      <c r="I126" s="2" t="s">
        <v>61</v>
      </c>
      <c r="J126" t="str">
        <f>TEXT(Transactions[[#This Row],[Date]],"MMM-YYYY")</f>
        <v>Sep-2025</v>
      </c>
      <c r="K126" s="1">
        <f>DATE(YEAR(Transactions[[#This Row],[Date]]), MONTH(Transactions[[#This Row],[Date]]), 1)</f>
        <v>45901</v>
      </c>
    </row>
    <row r="127" spans="1:11" x14ac:dyDescent="0.25">
      <c r="A127" s="3" t="s">
        <v>218</v>
      </c>
      <c r="B127" s="19">
        <v>45844</v>
      </c>
      <c r="C127" s="3" t="s">
        <v>38</v>
      </c>
      <c r="D127" s="2" t="str">
        <f>VLOOKUP(C127,Items[],2,0)</f>
        <v>Sarung Tangan Katun</v>
      </c>
      <c r="E127" s="3">
        <v>14</v>
      </c>
      <c r="F127" s="14">
        <f>VLOOKUP(C127,Items[],5,0)</f>
        <v>20000</v>
      </c>
      <c r="G127" s="15">
        <f t="shared" si="3"/>
        <v>280000</v>
      </c>
      <c r="H127" s="3" t="s">
        <v>347</v>
      </c>
      <c r="I127" s="3" t="s">
        <v>66</v>
      </c>
      <c r="J127" t="str">
        <f>TEXT(Transactions[[#This Row],[Date]],"MMM-YYYY")</f>
        <v>Jul-2025</v>
      </c>
      <c r="K127" s="1">
        <f>DATE(YEAR(Transactions[[#This Row],[Date]]), MONTH(Transactions[[#This Row],[Date]]), 1)</f>
        <v>45839</v>
      </c>
    </row>
    <row r="128" spans="1:11" x14ac:dyDescent="0.25">
      <c r="A128" s="2" t="s">
        <v>219</v>
      </c>
      <c r="B128" s="18">
        <v>45856</v>
      </c>
      <c r="C128" s="2" t="s">
        <v>52</v>
      </c>
      <c r="D128" s="2" t="str">
        <f>VLOOKUP(C128,Items[],2,0)</f>
        <v>Paku 5cm (1 kg)</v>
      </c>
      <c r="E128" s="2">
        <v>8</v>
      </c>
      <c r="F128" s="14">
        <f>VLOOKUP(C128,Items[],5,0)</f>
        <v>13500</v>
      </c>
      <c r="G128" s="14">
        <f t="shared" si="3"/>
        <v>108000</v>
      </c>
      <c r="H128" s="2" t="s">
        <v>348</v>
      </c>
      <c r="I128" s="2" t="s">
        <v>64</v>
      </c>
      <c r="J128" t="str">
        <f>TEXT(Transactions[[#This Row],[Date]],"MMM-YYYY")</f>
        <v>Jul-2025</v>
      </c>
      <c r="K128" s="1">
        <f>DATE(YEAR(Transactions[[#This Row],[Date]]), MONTH(Transactions[[#This Row],[Date]]), 1)</f>
        <v>45839</v>
      </c>
    </row>
    <row r="129" spans="1:11" x14ac:dyDescent="0.25">
      <c r="A129" s="3" t="s">
        <v>220</v>
      </c>
      <c r="B129" s="19">
        <v>45859</v>
      </c>
      <c r="C129" s="3" t="s">
        <v>45</v>
      </c>
      <c r="D129" s="2" t="str">
        <f>VLOOKUP(C129,Items[],2,0)</f>
        <v>Helm Proyek</v>
      </c>
      <c r="E129" s="3">
        <v>8</v>
      </c>
      <c r="F129" s="14">
        <f>VLOOKUP(C129,Items[],5,0)</f>
        <v>50000</v>
      </c>
      <c r="G129" s="15">
        <f t="shared" si="3"/>
        <v>400000</v>
      </c>
      <c r="H129" s="3" t="s">
        <v>347</v>
      </c>
      <c r="I129" s="3" t="s">
        <v>65</v>
      </c>
      <c r="J129" t="str">
        <f>TEXT(Transactions[[#This Row],[Date]],"MMM-YYYY")</f>
        <v>Jul-2025</v>
      </c>
      <c r="K129" s="1">
        <f>DATE(YEAR(Transactions[[#This Row],[Date]]), MONTH(Transactions[[#This Row],[Date]]), 1)</f>
        <v>45839</v>
      </c>
    </row>
    <row r="130" spans="1:11" x14ac:dyDescent="0.25">
      <c r="A130" s="2" t="s">
        <v>118</v>
      </c>
      <c r="B130" s="18">
        <v>45871</v>
      </c>
      <c r="C130" s="2" t="s">
        <v>48</v>
      </c>
      <c r="D130" s="2" t="str">
        <f>VLOOKUP(C130,Items[],2,0)</f>
        <v>Gerinda Tangan</v>
      </c>
      <c r="E130" s="2">
        <v>20</v>
      </c>
      <c r="F130" s="14">
        <f>VLOOKUP(C130,Items[],5,0)</f>
        <v>465000</v>
      </c>
      <c r="G130" s="14">
        <f t="shared" ref="G130:G161" si="4">E130*F130</f>
        <v>9300000</v>
      </c>
      <c r="H130" s="2" t="s">
        <v>348</v>
      </c>
      <c r="I130" s="2" t="s">
        <v>66</v>
      </c>
      <c r="J130" t="str">
        <f>TEXT(Transactions[[#This Row],[Date]],"MMM-YYYY")</f>
        <v>Aug-2025</v>
      </c>
      <c r="K130" s="1">
        <f>DATE(YEAR(Transactions[[#This Row],[Date]]), MONTH(Transactions[[#This Row],[Date]]), 1)</f>
        <v>45870</v>
      </c>
    </row>
    <row r="131" spans="1:11" x14ac:dyDescent="0.25">
      <c r="A131" s="3" t="s">
        <v>221</v>
      </c>
      <c r="B131" s="19">
        <v>45839</v>
      </c>
      <c r="C131" s="3" t="s">
        <v>37</v>
      </c>
      <c r="D131" s="2" t="str">
        <f>VLOOKUP(C131,Items[],2,0)</f>
        <v>Mesin Potong Besi</v>
      </c>
      <c r="E131" s="3">
        <v>2</v>
      </c>
      <c r="F131" s="14">
        <f>VLOOKUP(C131,Items[],5,0)</f>
        <v>3200000</v>
      </c>
      <c r="G131" s="15">
        <f t="shared" si="4"/>
        <v>6400000</v>
      </c>
      <c r="H131" s="3" t="s">
        <v>348</v>
      </c>
      <c r="I131" s="3" t="s">
        <v>65</v>
      </c>
      <c r="J131" t="str">
        <f>TEXT(Transactions[[#This Row],[Date]],"MMM-YYYY")</f>
        <v>Jul-2025</v>
      </c>
      <c r="K131" s="1">
        <f>DATE(YEAR(Transactions[[#This Row],[Date]]), MONTH(Transactions[[#This Row],[Date]]), 1)</f>
        <v>45839</v>
      </c>
    </row>
    <row r="132" spans="1:11" x14ac:dyDescent="0.25">
      <c r="A132" s="2" t="s">
        <v>222</v>
      </c>
      <c r="B132" s="18">
        <v>45882</v>
      </c>
      <c r="C132" s="2" t="s">
        <v>40</v>
      </c>
      <c r="D132" s="2" t="str">
        <f>VLOOKUP(C132,Items[],2,0)</f>
        <v>Bor Tangan Listrik</v>
      </c>
      <c r="E132" s="2">
        <v>16</v>
      </c>
      <c r="F132" s="14">
        <f>VLOOKUP(C132,Items[],5,0)</f>
        <v>335500</v>
      </c>
      <c r="G132" s="14">
        <f t="shared" si="4"/>
        <v>5368000</v>
      </c>
      <c r="H132" s="2" t="s">
        <v>347</v>
      </c>
      <c r="I132" s="2" t="s">
        <v>62</v>
      </c>
      <c r="J132" t="str">
        <f>TEXT(Transactions[[#This Row],[Date]],"MMM-YYYY")</f>
        <v>Aug-2025</v>
      </c>
      <c r="K132" s="1">
        <f>DATE(YEAR(Transactions[[#This Row],[Date]]), MONTH(Transactions[[#This Row],[Date]]), 1)</f>
        <v>45870</v>
      </c>
    </row>
    <row r="133" spans="1:11" x14ac:dyDescent="0.25">
      <c r="A133" s="3" t="s">
        <v>223</v>
      </c>
      <c r="B133" s="19">
        <v>45876</v>
      </c>
      <c r="C133" s="3" t="s">
        <v>56</v>
      </c>
      <c r="D133" s="2" t="str">
        <f>VLOOKUP(C133,Items[],2,0)</f>
        <v>Cat Minyak 5L</v>
      </c>
      <c r="E133" s="3">
        <v>3</v>
      </c>
      <c r="F133" s="14">
        <f>VLOOKUP(C133,Items[],5,0)</f>
        <v>135500</v>
      </c>
      <c r="G133" s="15">
        <f t="shared" si="4"/>
        <v>406500</v>
      </c>
      <c r="H133" s="3" t="s">
        <v>348</v>
      </c>
      <c r="I133" s="3" t="s">
        <v>62</v>
      </c>
      <c r="J133" t="str">
        <f>TEXT(Transactions[[#This Row],[Date]],"MMM-YYYY")</f>
        <v>Aug-2025</v>
      </c>
      <c r="K133" s="1">
        <f>DATE(YEAR(Transactions[[#This Row],[Date]]), MONTH(Transactions[[#This Row],[Date]]), 1)</f>
        <v>45870</v>
      </c>
    </row>
    <row r="134" spans="1:11" x14ac:dyDescent="0.25">
      <c r="A134" s="2" t="s">
        <v>224</v>
      </c>
      <c r="B134" s="18">
        <v>45901</v>
      </c>
      <c r="C134" s="2" t="s">
        <v>51</v>
      </c>
      <c r="D134" s="2" t="str">
        <f>VLOOKUP(C134,Items[],2,0)</f>
        <v>Lampu Sorot LED 100W</v>
      </c>
      <c r="E134" s="2">
        <v>8</v>
      </c>
      <c r="F134" s="14">
        <f>VLOOKUP(C134,Items[],5,0)</f>
        <v>237000</v>
      </c>
      <c r="G134" s="14">
        <f t="shared" si="4"/>
        <v>1896000</v>
      </c>
      <c r="H134" s="2" t="s">
        <v>348</v>
      </c>
      <c r="I134" s="2" t="s">
        <v>63</v>
      </c>
      <c r="J134" t="str">
        <f>TEXT(Transactions[[#This Row],[Date]],"MMM-YYYY")</f>
        <v>Sep-2025</v>
      </c>
      <c r="K134" s="1">
        <f>DATE(YEAR(Transactions[[#This Row],[Date]]), MONTH(Transactions[[#This Row],[Date]]), 1)</f>
        <v>45901</v>
      </c>
    </row>
    <row r="135" spans="1:11" x14ac:dyDescent="0.25">
      <c r="A135" s="3" t="s">
        <v>103</v>
      </c>
      <c r="B135" s="19">
        <v>45873</v>
      </c>
      <c r="C135" s="3" t="s">
        <v>44</v>
      </c>
      <c r="D135" s="2" t="str">
        <f>VLOOKUP(C135,Items[],2,0)</f>
        <v>Pompa Air Industri</v>
      </c>
      <c r="E135" s="3">
        <v>8</v>
      </c>
      <c r="F135" s="14">
        <f>VLOOKUP(C135,Items[],5,0)</f>
        <v>4490000</v>
      </c>
      <c r="G135" s="15">
        <f t="shared" si="4"/>
        <v>35920000</v>
      </c>
      <c r="H135" s="3" t="s">
        <v>347</v>
      </c>
      <c r="I135" s="3" t="s">
        <v>64</v>
      </c>
      <c r="J135" t="str">
        <f>TEXT(Transactions[[#This Row],[Date]],"MMM-YYYY")</f>
        <v>Aug-2025</v>
      </c>
      <c r="K135" s="1">
        <f>DATE(YEAR(Transactions[[#This Row],[Date]]), MONTH(Transactions[[#This Row],[Date]]), 1)</f>
        <v>45870</v>
      </c>
    </row>
    <row r="136" spans="1:11" x14ac:dyDescent="0.25">
      <c r="A136" s="2" t="s">
        <v>225</v>
      </c>
      <c r="B136" s="18">
        <v>45880</v>
      </c>
      <c r="C136" s="2" t="s">
        <v>53</v>
      </c>
      <c r="D136" s="2" t="str">
        <f>VLOOKUP(C136,Items[],2,0)</f>
        <v>Mesin Las Listrik</v>
      </c>
      <c r="E136" s="2">
        <v>4</v>
      </c>
      <c r="F136" s="14">
        <f>VLOOKUP(C136,Items[],5,0)</f>
        <v>2296000</v>
      </c>
      <c r="G136" s="14">
        <f t="shared" si="4"/>
        <v>9184000</v>
      </c>
      <c r="H136" s="2" t="s">
        <v>348</v>
      </c>
      <c r="I136" s="2" t="s">
        <v>67</v>
      </c>
      <c r="J136" t="str">
        <f>TEXT(Transactions[[#This Row],[Date]],"MMM-YYYY")</f>
        <v>Aug-2025</v>
      </c>
      <c r="K136" s="1">
        <f>DATE(YEAR(Transactions[[#This Row],[Date]]), MONTH(Transactions[[#This Row],[Date]]), 1)</f>
        <v>45870</v>
      </c>
    </row>
    <row r="137" spans="1:11" x14ac:dyDescent="0.25">
      <c r="A137" s="3" t="s">
        <v>226</v>
      </c>
      <c r="B137" s="19">
        <v>45856</v>
      </c>
      <c r="C137" s="3" t="s">
        <v>49</v>
      </c>
      <c r="D137" s="2" t="str">
        <f>VLOOKUP(C137,Items[],2,0)</f>
        <v>Cat Tembok 1 kg</v>
      </c>
      <c r="E137" s="3">
        <v>10</v>
      </c>
      <c r="F137" s="14">
        <f>VLOOKUP(C137,Items[],5,0)</f>
        <v>31000</v>
      </c>
      <c r="G137" s="15">
        <f t="shared" si="4"/>
        <v>310000</v>
      </c>
      <c r="H137" s="3" t="s">
        <v>348</v>
      </c>
      <c r="I137" s="3" t="s">
        <v>63</v>
      </c>
      <c r="J137" t="str">
        <f>TEXT(Transactions[[#This Row],[Date]],"MMM-YYYY")</f>
        <v>Jul-2025</v>
      </c>
      <c r="K137" s="1">
        <f>DATE(YEAR(Transactions[[#This Row],[Date]]), MONTH(Transactions[[#This Row],[Date]]), 1)</f>
        <v>45839</v>
      </c>
    </row>
    <row r="138" spans="1:11" x14ac:dyDescent="0.25">
      <c r="A138" s="2" t="s">
        <v>80</v>
      </c>
      <c r="B138" s="18">
        <v>45850</v>
      </c>
      <c r="C138" s="2" t="s">
        <v>38</v>
      </c>
      <c r="D138" s="2" t="str">
        <f>VLOOKUP(C138,Items[],2,0)</f>
        <v>Sarung Tangan Katun</v>
      </c>
      <c r="E138" s="2">
        <v>5</v>
      </c>
      <c r="F138" s="14">
        <f>VLOOKUP(C138,Items[],5,0)</f>
        <v>20000</v>
      </c>
      <c r="G138" s="14">
        <f t="shared" si="4"/>
        <v>100000</v>
      </c>
      <c r="H138" s="2" t="s">
        <v>347</v>
      </c>
      <c r="I138" s="2" t="s">
        <v>65</v>
      </c>
      <c r="J138" t="str">
        <f>TEXT(Transactions[[#This Row],[Date]],"MMM-YYYY")</f>
        <v>Jul-2025</v>
      </c>
      <c r="K138" s="1">
        <f>DATE(YEAR(Transactions[[#This Row],[Date]]), MONTH(Transactions[[#This Row],[Date]]), 1)</f>
        <v>45839</v>
      </c>
    </row>
    <row r="139" spans="1:11" x14ac:dyDescent="0.25">
      <c r="A139" s="3" t="s">
        <v>227</v>
      </c>
      <c r="B139" s="19">
        <v>45913</v>
      </c>
      <c r="C139" s="3" t="s">
        <v>50</v>
      </c>
      <c r="D139" s="2" t="str">
        <f>VLOOKUP(C139,Items[],2,0)</f>
        <v>Rantai Besi 10m</v>
      </c>
      <c r="E139" s="3">
        <v>2</v>
      </c>
      <c r="F139" s="14">
        <f>VLOOKUP(C139,Items[],5,0)</f>
        <v>431000</v>
      </c>
      <c r="G139" s="15">
        <f t="shared" si="4"/>
        <v>862000</v>
      </c>
      <c r="H139" s="3" t="s">
        <v>347</v>
      </c>
      <c r="I139" s="3" t="s">
        <v>64</v>
      </c>
      <c r="J139" t="str">
        <f>TEXT(Transactions[[#This Row],[Date]],"MMM-YYYY")</f>
        <v>Sep-2025</v>
      </c>
      <c r="K139" s="1">
        <f>DATE(YEAR(Transactions[[#This Row],[Date]]), MONTH(Transactions[[#This Row],[Date]]), 1)</f>
        <v>45901</v>
      </c>
    </row>
    <row r="140" spans="1:11" x14ac:dyDescent="0.25">
      <c r="A140" s="2" t="s">
        <v>228</v>
      </c>
      <c r="B140" s="18">
        <v>45919</v>
      </c>
      <c r="C140" s="2" t="s">
        <v>55</v>
      </c>
      <c r="D140" s="2" t="str">
        <f>VLOOKUP(C140,Items[],2,0)</f>
        <v>Genset Portable 1000W</v>
      </c>
      <c r="E140" s="2">
        <v>7</v>
      </c>
      <c r="F140" s="14">
        <f>VLOOKUP(C140,Items[],5,0)</f>
        <v>3134000</v>
      </c>
      <c r="G140" s="14">
        <f t="shared" si="4"/>
        <v>21938000</v>
      </c>
      <c r="H140" s="2" t="s">
        <v>348</v>
      </c>
      <c r="I140" s="2" t="s">
        <v>65</v>
      </c>
      <c r="J140" t="str">
        <f>TEXT(Transactions[[#This Row],[Date]],"MMM-YYYY")</f>
        <v>Sep-2025</v>
      </c>
      <c r="K140" s="1">
        <f>DATE(YEAR(Transactions[[#This Row],[Date]]), MONTH(Transactions[[#This Row],[Date]]), 1)</f>
        <v>45901</v>
      </c>
    </row>
    <row r="141" spans="1:11" x14ac:dyDescent="0.25">
      <c r="A141" s="3" t="s">
        <v>229</v>
      </c>
      <c r="B141" s="19">
        <v>45919</v>
      </c>
      <c r="C141" s="3" t="s">
        <v>56</v>
      </c>
      <c r="D141" s="2" t="str">
        <f>VLOOKUP(C141,Items[],2,0)</f>
        <v>Cat Minyak 5L</v>
      </c>
      <c r="E141" s="3">
        <v>18</v>
      </c>
      <c r="F141" s="14">
        <f>VLOOKUP(C141,Items[],5,0)</f>
        <v>135500</v>
      </c>
      <c r="G141" s="15">
        <f t="shared" si="4"/>
        <v>2439000</v>
      </c>
      <c r="H141" s="3" t="s">
        <v>347</v>
      </c>
      <c r="I141" s="3" t="s">
        <v>67</v>
      </c>
      <c r="J141" t="str">
        <f>TEXT(Transactions[[#This Row],[Date]],"MMM-YYYY")</f>
        <v>Sep-2025</v>
      </c>
      <c r="K141" s="1">
        <f>DATE(YEAR(Transactions[[#This Row],[Date]]), MONTH(Transactions[[#This Row],[Date]]), 1)</f>
        <v>45901</v>
      </c>
    </row>
    <row r="142" spans="1:11" x14ac:dyDescent="0.25">
      <c r="A142" s="2" t="s">
        <v>91</v>
      </c>
      <c r="B142" s="18">
        <v>45919</v>
      </c>
      <c r="C142" s="2" t="s">
        <v>50</v>
      </c>
      <c r="D142" s="2" t="str">
        <f>VLOOKUP(C142,Items[],2,0)</f>
        <v>Rantai Besi 10m</v>
      </c>
      <c r="E142" s="2">
        <v>13</v>
      </c>
      <c r="F142" s="14">
        <f>VLOOKUP(C142,Items[],5,0)</f>
        <v>431000</v>
      </c>
      <c r="G142" s="14">
        <f t="shared" si="4"/>
        <v>5603000</v>
      </c>
      <c r="H142" s="2" t="s">
        <v>347</v>
      </c>
      <c r="I142" s="2" t="s">
        <v>63</v>
      </c>
      <c r="J142" t="str">
        <f>TEXT(Transactions[[#This Row],[Date]],"MMM-YYYY")</f>
        <v>Sep-2025</v>
      </c>
      <c r="K142" s="1">
        <f>DATE(YEAR(Transactions[[#This Row],[Date]]), MONTH(Transactions[[#This Row],[Date]]), 1)</f>
        <v>45901</v>
      </c>
    </row>
    <row r="143" spans="1:11" x14ac:dyDescent="0.25">
      <c r="A143" s="3" t="s">
        <v>230</v>
      </c>
      <c r="B143" s="19">
        <v>45877</v>
      </c>
      <c r="C143" s="3" t="s">
        <v>53</v>
      </c>
      <c r="D143" s="2" t="str">
        <f>VLOOKUP(C143,Items[],2,0)</f>
        <v>Mesin Las Listrik</v>
      </c>
      <c r="E143" s="3">
        <v>7</v>
      </c>
      <c r="F143" s="14">
        <f>VLOOKUP(C143,Items[],5,0)</f>
        <v>2296000</v>
      </c>
      <c r="G143" s="15">
        <f t="shared" si="4"/>
        <v>16072000</v>
      </c>
      <c r="H143" s="3" t="s">
        <v>348</v>
      </c>
      <c r="I143" s="3" t="s">
        <v>61</v>
      </c>
      <c r="J143" t="str">
        <f>TEXT(Transactions[[#This Row],[Date]],"MMM-YYYY")</f>
        <v>Aug-2025</v>
      </c>
      <c r="K143" s="1">
        <f>DATE(YEAR(Transactions[[#This Row],[Date]]), MONTH(Transactions[[#This Row],[Date]]), 1)</f>
        <v>45870</v>
      </c>
    </row>
    <row r="144" spans="1:11" x14ac:dyDescent="0.25">
      <c r="A144" s="2" t="s">
        <v>82</v>
      </c>
      <c r="B144" s="18">
        <v>45905</v>
      </c>
      <c r="C144" s="2" t="s">
        <v>53</v>
      </c>
      <c r="D144" s="2" t="str">
        <f>VLOOKUP(C144,Items[],2,0)</f>
        <v>Mesin Las Listrik</v>
      </c>
      <c r="E144" s="2">
        <v>9</v>
      </c>
      <c r="F144" s="14">
        <f>VLOOKUP(C144,Items[],5,0)</f>
        <v>2296000</v>
      </c>
      <c r="G144" s="14">
        <f t="shared" si="4"/>
        <v>20664000</v>
      </c>
      <c r="H144" s="2" t="s">
        <v>348</v>
      </c>
      <c r="I144" s="2" t="s">
        <v>61</v>
      </c>
      <c r="J144" t="str">
        <f>TEXT(Transactions[[#This Row],[Date]],"MMM-YYYY")</f>
        <v>Sep-2025</v>
      </c>
      <c r="K144" s="1">
        <f>DATE(YEAR(Transactions[[#This Row],[Date]]), MONTH(Transactions[[#This Row],[Date]]), 1)</f>
        <v>45901</v>
      </c>
    </row>
    <row r="145" spans="1:11" x14ac:dyDescent="0.25">
      <c r="A145" s="3" t="s">
        <v>231</v>
      </c>
      <c r="B145" s="19">
        <v>45892</v>
      </c>
      <c r="C145" s="3" t="s">
        <v>39</v>
      </c>
      <c r="D145" s="2" t="str">
        <f>VLOOKUP(C145,Items[],2,0)</f>
        <v>Kabel Listrik Roll 50m</v>
      </c>
      <c r="E145" s="3">
        <v>20</v>
      </c>
      <c r="F145" s="14">
        <f>VLOOKUP(C145,Items[],5,0)</f>
        <v>203500</v>
      </c>
      <c r="G145" s="15">
        <f t="shared" si="4"/>
        <v>4070000</v>
      </c>
      <c r="H145" s="3" t="s">
        <v>347</v>
      </c>
      <c r="I145" s="3" t="s">
        <v>63</v>
      </c>
      <c r="J145" t="str">
        <f>TEXT(Transactions[[#This Row],[Date]],"MMM-YYYY")</f>
        <v>Aug-2025</v>
      </c>
      <c r="K145" s="1">
        <f>DATE(YEAR(Transactions[[#This Row],[Date]]), MONTH(Transactions[[#This Row],[Date]]), 1)</f>
        <v>45870</v>
      </c>
    </row>
    <row r="146" spans="1:11" x14ac:dyDescent="0.25">
      <c r="A146" s="2" t="s">
        <v>232</v>
      </c>
      <c r="B146" s="18">
        <v>45923</v>
      </c>
      <c r="C146" s="2" t="s">
        <v>38</v>
      </c>
      <c r="D146" s="2" t="str">
        <f>VLOOKUP(C146,Items[],2,0)</f>
        <v>Sarung Tangan Katun</v>
      </c>
      <c r="E146" s="2">
        <v>1</v>
      </c>
      <c r="F146" s="14">
        <f>VLOOKUP(C146,Items[],5,0)</f>
        <v>20000</v>
      </c>
      <c r="G146" s="14">
        <f t="shared" si="4"/>
        <v>20000</v>
      </c>
      <c r="H146" s="2" t="s">
        <v>347</v>
      </c>
      <c r="I146" s="2" t="s">
        <v>64</v>
      </c>
      <c r="J146" t="str">
        <f>TEXT(Transactions[[#This Row],[Date]],"MMM-YYYY")</f>
        <v>Sep-2025</v>
      </c>
      <c r="K146" s="1">
        <f>DATE(YEAR(Transactions[[#This Row],[Date]]), MONTH(Transactions[[#This Row],[Date]]), 1)</f>
        <v>45901</v>
      </c>
    </row>
    <row r="147" spans="1:11" x14ac:dyDescent="0.25">
      <c r="A147" s="3" t="s">
        <v>106</v>
      </c>
      <c r="B147" s="19">
        <v>45909</v>
      </c>
      <c r="C147" s="3" t="s">
        <v>46</v>
      </c>
      <c r="D147" s="2" t="str">
        <f>VLOOKUP(C147,Items[],2,0)</f>
        <v>Masker Safety Box (isi 50)</v>
      </c>
      <c r="E147" s="3">
        <v>20</v>
      </c>
      <c r="F147" s="14">
        <f>VLOOKUP(C147,Items[],5,0)</f>
        <v>11500</v>
      </c>
      <c r="G147" s="15">
        <f t="shared" si="4"/>
        <v>230000</v>
      </c>
      <c r="H147" s="3" t="s">
        <v>347</v>
      </c>
      <c r="I147" s="3" t="s">
        <v>62</v>
      </c>
      <c r="J147" t="str">
        <f>TEXT(Transactions[[#This Row],[Date]],"MMM-YYYY")</f>
        <v>Sep-2025</v>
      </c>
      <c r="K147" s="1">
        <f>DATE(YEAR(Transactions[[#This Row],[Date]]), MONTH(Transactions[[#This Row],[Date]]), 1)</f>
        <v>45901</v>
      </c>
    </row>
    <row r="148" spans="1:11" x14ac:dyDescent="0.25">
      <c r="A148" s="2" t="s">
        <v>233</v>
      </c>
      <c r="B148" s="18">
        <v>45909</v>
      </c>
      <c r="C148" s="2" t="s">
        <v>38</v>
      </c>
      <c r="D148" s="2" t="str">
        <f>VLOOKUP(C148,Items[],2,0)</f>
        <v>Sarung Tangan Katun</v>
      </c>
      <c r="E148" s="2">
        <v>18</v>
      </c>
      <c r="F148" s="14">
        <f>VLOOKUP(C148,Items[],5,0)</f>
        <v>20000</v>
      </c>
      <c r="G148" s="14">
        <f t="shared" si="4"/>
        <v>360000</v>
      </c>
      <c r="H148" s="2" t="s">
        <v>348</v>
      </c>
      <c r="I148" s="2" t="s">
        <v>65</v>
      </c>
      <c r="J148" t="str">
        <f>TEXT(Transactions[[#This Row],[Date]],"MMM-YYYY")</f>
        <v>Sep-2025</v>
      </c>
      <c r="K148" s="1">
        <f>DATE(YEAR(Transactions[[#This Row],[Date]]), MONTH(Transactions[[#This Row],[Date]]), 1)</f>
        <v>45901</v>
      </c>
    </row>
    <row r="149" spans="1:11" x14ac:dyDescent="0.25">
      <c r="A149" s="3" t="s">
        <v>234</v>
      </c>
      <c r="B149" s="19">
        <v>45840</v>
      </c>
      <c r="C149" s="3" t="s">
        <v>45</v>
      </c>
      <c r="D149" s="2" t="str">
        <f>VLOOKUP(C149,Items[],2,0)</f>
        <v>Helm Proyek</v>
      </c>
      <c r="E149" s="3">
        <v>5</v>
      </c>
      <c r="F149" s="14">
        <f>VLOOKUP(C149,Items[],5,0)</f>
        <v>50000</v>
      </c>
      <c r="G149" s="15">
        <f t="shared" si="4"/>
        <v>250000</v>
      </c>
      <c r="H149" s="3" t="s">
        <v>348</v>
      </c>
      <c r="I149" s="3" t="s">
        <v>67</v>
      </c>
      <c r="J149" t="str">
        <f>TEXT(Transactions[[#This Row],[Date]],"MMM-YYYY")</f>
        <v>Jul-2025</v>
      </c>
      <c r="K149" s="1">
        <f>DATE(YEAR(Transactions[[#This Row],[Date]]), MONTH(Transactions[[#This Row],[Date]]), 1)</f>
        <v>45839</v>
      </c>
    </row>
    <row r="150" spans="1:11" x14ac:dyDescent="0.25">
      <c r="A150" s="2" t="s">
        <v>235</v>
      </c>
      <c r="B150" s="18">
        <v>45882</v>
      </c>
      <c r="C150" s="2" t="s">
        <v>53</v>
      </c>
      <c r="D150" s="2" t="str">
        <f>VLOOKUP(C150,Items[],2,0)</f>
        <v>Mesin Las Listrik</v>
      </c>
      <c r="E150" s="2">
        <v>8</v>
      </c>
      <c r="F150" s="14">
        <f>VLOOKUP(C150,Items[],5,0)</f>
        <v>2296000</v>
      </c>
      <c r="G150" s="14">
        <f t="shared" si="4"/>
        <v>18368000</v>
      </c>
      <c r="H150" s="2" t="s">
        <v>348</v>
      </c>
      <c r="I150" s="2" t="s">
        <v>64</v>
      </c>
      <c r="J150" t="str">
        <f>TEXT(Transactions[[#This Row],[Date]],"MMM-YYYY")</f>
        <v>Aug-2025</v>
      </c>
      <c r="K150" s="1">
        <f>DATE(YEAR(Transactions[[#This Row],[Date]]), MONTH(Transactions[[#This Row],[Date]]), 1)</f>
        <v>45870</v>
      </c>
    </row>
    <row r="151" spans="1:11" x14ac:dyDescent="0.25">
      <c r="A151" s="3" t="s">
        <v>70</v>
      </c>
      <c r="B151" s="19">
        <v>45865</v>
      </c>
      <c r="C151" s="3" t="s">
        <v>49</v>
      </c>
      <c r="D151" s="2" t="str">
        <f>VLOOKUP(C151,Items[],2,0)</f>
        <v>Cat Tembok 1 kg</v>
      </c>
      <c r="E151" s="3">
        <v>1</v>
      </c>
      <c r="F151" s="14">
        <f>VLOOKUP(C151,Items[],5,0)</f>
        <v>31000</v>
      </c>
      <c r="G151" s="15">
        <f t="shared" si="4"/>
        <v>31000</v>
      </c>
      <c r="H151" s="3" t="s">
        <v>348</v>
      </c>
      <c r="I151" s="3" t="s">
        <v>58</v>
      </c>
      <c r="J151" t="str">
        <f>TEXT(Transactions[[#This Row],[Date]],"MMM-YYYY")</f>
        <v>Jul-2025</v>
      </c>
      <c r="K151" s="1">
        <f>DATE(YEAR(Transactions[[#This Row],[Date]]), MONTH(Transactions[[#This Row],[Date]]), 1)</f>
        <v>45839</v>
      </c>
    </row>
    <row r="152" spans="1:11" x14ac:dyDescent="0.25">
      <c r="A152" s="2" t="s">
        <v>104</v>
      </c>
      <c r="B152" s="18">
        <v>45926</v>
      </c>
      <c r="C152" s="2" t="s">
        <v>47</v>
      </c>
      <c r="D152" s="2" t="str">
        <f>VLOOKUP(C152,Items[],2,0)</f>
        <v>Jaket Safety</v>
      </c>
      <c r="E152" s="2">
        <v>4</v>
      </c>
      <c r="F152" s="14">
        <f>VLOOKUP(C152,Items[],5,0)</f>
        <v>245000</v>
      </c>
      <c r="G152" s="14">
        <f t="shared" si="4"/>
        <v>980000</v>
      </c>
      <c r="H152" s="2" t="s">
        <v>347</v>
      </c>
      <c r="I152" s="2" t="s">
        <v>61</v>
      </c>
      <c r="J152" t="str">
        <f>TEXT(Transactions[[#This Row],[Date]],"MMM-YYYY")</f>
        <v>Sep-2025</v>
      </c>
      <c r="K152" s="1">
        <f>DATE(YEAR(Transactions[[#This Row],[Date]]), MONTH(Transactions[[#This Row],[Date]]), 1)</f>
        <v>45901</v>
      </c>
    </row>
    <row r="153" spans="1:11" x14ac:dyDescent="0.25">
      <c r="A153" s="3" t="s">
        <v>236</v>
      </c>
      <c r="B153" s="19">
        <v>45914</v>
      </c>
      <c r="C153" s="3" t="s">
        <v>53</v>
      </c>
      <c r="D153" s="2" t="str">
        <f>VLOOKUP(C153,Items[],2,0)</f>
        <v>Mesin Las Listrik</v>
      </c>
      <c r="E153" s="3">
        <v>5</v>
      </c>
      <c r="F153" s="14">
        <f>VLOOKUP(C153,Items[],5,0)</f>
        <v>2296000</v>
      </c>
      <c r="G153" s="15">
        <f t="shared" si="4"/>
        <v>11480000</v>
      </c>
      <c r="H153" s="3" t="s">
        <v>347</v>
      </c>
      <c r="I153" s="3" t="s">
        <v>60</v>
      </c>
      <c r="J153" t="str">
        <f>TEXT(Transactions[[#This Row],[Date]],"MMM-YYYY")</f>
        <v>Sep-2025</v>
      </c>
      <c r="K153" s="1">
        <f>DATE(YEAR(Transactions[[#This Row],[Date]]), MONTH(Transactions[[#This Row],[Date]]), 1)</f>
        <v>45901</v>
      </c>
    </row>
    <row r="154" spans="1:11" x14ac:dyDescent="0.25">
      <c r="A154" s="2" t="s">
        <v>237</v>
      </c>
      <c r="B154" s="18">
        <v>45902</v>
      </c>
      <c r="C154" s="2" t="s">
        <v>44</v>
      </c>
      <c r="D154" s="2" t="str">
        <f>VLOOKUP(C154,Items[],2,0)</f>
        <v>Pompa Air Industri</v>
      </c>
      <c r="E154" s="2">
        <v>7</v>
      </c>
      <c r="F154" s="14">
        <f>VLOOKUP(C154,Items[],5,0)</f>
        <v>4490000</v>
      </c>
      <c r="G154" s="14">
        <f t="shared" si="4"/>
        <v>31430000</v>
      </c>
      <c r="H154" s="2" t="s">
        <v>347</v>
      </c>
      <c r="I154" s="2" t="s">
        <v>66</v>
      </c>
      <c r="J154" t="str">
        <f>TEXT(Transactions[[#This Row],[Date]],"MMM-YYYY")</f>
        <v>Sep-2025</v>
      </c>
      <c r="K154" s="1">
        <f>DATE(YEAR(Transactions[[#This Row],[Date]]), MONTH(Transactions[[#This Row],[Date]]), 1)</f>
        <v>45901</v>
      </c>
    </row>
    <row r="155" spans="1:11" x14ac:dyDescent="0.25">
      <c r="A155" s="3" t="s">
        <v>238</v>
      </c>
      <c r="B155" s="19">
        <v>45920</v>
      </c>
      <c r="C155" s="3" t="s">
        <v>45</v>
      </c>
      <c r="D155" s="2" t="str">
        <f>VLOOKUP(C155,Items[],2,0)</f>
        <v>Helm Proyek</v>
      </c>
      <c r="E155" s="3">
        <v>3</v>
      </c>
      <c r="F155" s="14">
        <f>VLOOKUP(C155,Items[],5,0)</f>
        <v>50000</v>
      </c>
      <c r="G155" s="15">
        <f t="shared" si="4"/>
        <v>150000</v>
      </c>
      <c r="H155" s="3" t="s">
        <v>348</v>
      </c>
      <c r="I155" s="3" t="s">
        <v>59</v>
      </c>
      <c r="J155" t="str">
        <f>TEXT(Transactions[[#This Row],[Date]],"MMM-YYYY")</f>
        <v>Sep-2025</v>
      </c>
      <c r="K155" s="1">
        <f>DATE(YEAR(Transactions[[#This Row],[Date]]), MONTH(Transactions[[#This Row],[Date]]), 1)</f>
        <v>45901</v>
      </c>
    </row>
    <row r="156" spans="1:11" x14ac:dyDescent="0.25">
      <c r="A156" s="2" t="s">
        <v>239</v>
      </c>
      <c r="B156" s="18">
        <v>45901</v>
      </c>
      <c r="C156" s="2" t="s">
        <v>55</v>
      </c>
      <c r="D156" s="2" t="str">
        <f>VLOOKUP(C156,Items[],2,0)</f>
        <v>Genset Portable 1000W</v>
      </c>
      <c r="E156" s="2">
        <v>5</v>
      </c>
      <c r="F156" s="14">
        <f>VLOOKUP(C156,Items[],5,0)</f>
        <v>3134000</v>
      </c>
      <c r="G156" s="14">
        <f t="shared" si="4"/>
        <v>15670000</v>
      </c>
      <c r="H156" s="2" t="s">
        <v>348</v>
      </c>
      <c r="I156" s="2" t="s">
        <v>66</v>
      </c>
      <c r="J156" t="str">
        <f>TEXT(Transactions[[#This Row],[Date]],"MMM-YYYY")</f>
        <v>Sep-2025</v>
      </c>
      <c r="K156" s="1">
        <f>DATE(YEAR(Transactions[[#This Row],[Date]]), MONTH(Transactions[[#This Row],[Date]]), 1)</f>
        <v>45901</v>
      </c>
    </row>
    <row r="157" spans="1:11" x14ac:dyDescent="0.25">
      <c r="A157" s="3" t="s">
        <v>240</v>
      </c>
      <c r="B157" s="19">
        <v>45840</v>
      </c>
      <c r="C157" s="3" t="s">
        <v>40</v>
      </c>
      <c r="D157" s="2" t="str">
        <f>VLOOKUP(C157,Items[],2,0)</f>
        <v>Bor Tangan Listrik</v>
      </c>
      <c r="E157" s="3">
        <v>5</v>
      </c>
      <c r="F157" s="14">
        <f>VLOOKUP(C157,Items[],5,0)</f>
        <v>335500</v>
      </c>
      <c r="G157" s="15">
        <f t="shared" si="4"/>
        <v>1677500</v>
      </c>
      <c r="H157" s="3" t="s">
        <v>347</v>
      </c>
      <c r="I157" s="3" t="s">
        <v>64</v>
      </c>
      <c r="J157" t="str">
        <f>TEXT(Transactions[[#This Row],[Date]],"MMM-YYYY")</f>
        <v>Jul-2025</v>
      </c>
      <c r="K157" s="1">
        <f>DATE(YEAR(Transactions[[#This Row],[Date]]), MONTH(Transactions[[#This Row],[Date]]), 1)</f>
        <v>45839</v>
      </c>
    </row>
    <row r="158" spans="1:11" x14ac:dyDescent="0.25">
      <c r="A158" s="2" t="s">
        <v>241</v>
      </c>
      <c r="B158" s="18">
        <v>45856</v>
      </c>
      <c r="C158" s="2" t="s">
        <v>38</v>
      </c>
      <c r="D158" s="2" t="str">
        <f>VLOOKUP(C158,Items[],2,0)</f>
        <v>Sarung Tangan Katun</v>
      </c>
      <c r="E158" s="2">
        <v>12</v>
      </c>
      <c r="F158" s="14">
        <f>VLOOKUP(C158,Items[],5,0)</f>
        <v>20000</v>
      </c>
      <c r="G158" s="14">
        <f t="shared" si="4"/>
        <v>240000</v>
      </c>
      <c r="H158" s="2" t="s">
        <v>348</v>
      </c>
      <c r="I158" s="2" t="s">
        <v>60</v>
      </c>
      <c r="J158" t="str">
        <f>TEXT(Transactions[[#This Row],[Date]],"MMM-YYYY")</f>
        <v>Jul-2025</v>
      </c>
      <c r="K158" s="1">
        <f>DATE(YEAR(Transactions[[#This Row],[Date]]), MONTH(Transactions[[#This Row],[Date]]), 1)</f>
        <v>45839</v>
      </c>
    </row>
    <row r="159" spans="1:11" x14ac:dyDescent="0.25">
      <c r="A159" s="3" t="s">
        <v>242</v>
      </c>
      <c r="B159" s="19">
        <v>45923</v>
      </c>
      <c r="C159" s="3" t="s">
        <v>45</v>
      </c>
      <c r="D159" s="2" t="str">
        <f>VLOOKUP(C159,Items[],2,0)</f>
        <v>Helm Proyek</v>
      </c>
      <c r="E159" s="3">
        <v>1</v>
      </c>
      <c r="F159" s="14">
        <f>VLOOKUP(C159,Items[],5,0)</f>
        <v>50000</v>
      </c>
      <c r="G159" s="15">
        <f t="shared" si="4"/>
        <v>50000</v>
      </c>
      <c r="H159" s="3" t="s">
        <v>348</v>
      </c>
      <c r="I159" s="3" t="s">
        <v>59</v>
      </c>
      <c r="J159" t="str">
        <f>TEXT(Transactions[[#This Row],[Date]],"MMM-YYYY")</f>
        <v>Sep-2025</v>
      </c>
      <c r="K159" s="1">
        <f>DATE(YEAR(Transactions[[#This Row],[Date]]), MONTH(Transactions[[#This Row],[Date]]), 1)</f>
        <v>45901</v>
      </c>
    </row>
    <row r="160" spans="1:11" x14ac:dyDescent="0.25">
      <c r="A160" s="2" t="s">
        <v>79</v>
      </c>
      <c r="B160" s="18">
        <v>45849</v>
      </c>
      <c r="C160" s="2" t="s">
        <v>49</v>
      </c>
      <c r="D160" s="2" t="str">
        <f>VLOOKUP(C160,Items[],2,0)</f>
        <v>Cat Tembok 1 kg</v>
      </c>
      <c r="E160" s="2">
        <v>20</v>
      </c>
      <c r="F160" s="14">
        <f>VLOOKUP(C160,Items[],5,0)</f>
        <v>31000</v>
      </c>
      <c r="G160" s="14">
        <f t="shared" si="4"/>
        <v>620000</v>
      </c>
      <c r="H160" s="2" t="s">
        <v>347</v>
      </c>
      <c r="I160" s="2" t="s">
        <v>62</v>
      </c>
      <c r="J160" t="str">
        <f>TEXT(Transactions[[#This Row],[Date]],"MMM-YYYY")</f>
        <v>Jul-2025</v>
      </c>
      <c r="K160" s="1">
        <f>DATE(YEAR(Transactions[[#This Row],[Date]]), MONTH(Transactions[[#This Row],[Date]]), 1)</f>
        <v>45839</v>
      </c>
    </row>
    <row r="161" spans="1:11" x14ac:dyDescent="0.25">
      <c r="A161" s="3" t="s">
        <v>243</v>
      </c>
      <c r="B161" s="19">
        <v>45912</v>
      </c>
      <c r="C161" s="3" t="s">
        <v>55</v>
      </c>
      <c r="D161" s="2" t="str">
        <f>VLOOKUP(C161,Items[],2,0)</f>
        <v>Genset Portable 1000W</v>
      </c>
      <c r="E161" s="3">
        <v>9</v>
      </c>
      <c r="F161" s="14">
        <f>VLOOKUP(C161,Items[],5,0)</f>
        <v>3134000</v>
      </c>
      <c r="G161" s="15">
        <f t="shared" si="4"/>
        <v>28206000</v>
      </c>
      <c r="H161" s="3" t="s">
        <v>348</v>
      </c>
      <c r="I161" s="3" t="s">
        <v>59</v>
      </c>
      <c r="J161" t="str">
        <f>TEXT(Transactions[[#This Row],[Date]],"MMM-YYYY")</f>
        <v>Sep-2025</v>
      </c>
      <c r="K161" s="1">
        <f>DATE(YEAR(Transactions[[#This Row],[Date]]), MONTH(Transactions[[#This Row],[Date]]), 1)</f>
        <v>45901</v>
      </c>
    </row>
    <row r="162" spans="1:11" x14ac:dyDescent="0.25">
      <c r="A162" s="2" t="s">
        <v>110</v>
      </c>
      <c r="B162" s="18">
        <v>45883</v>
      </c>
      <c r="C162" s="2" t="s">
        <v>37</v>
      </c>
      <c r="D162" s="2" t="str">
        <f>VLOOKUP(C162,Items[],2,0)</f>
        <v>Mesin Potong Besi</v>
      </c>
      <c r="E162" s="2">
        <v>9</v>
      </c>
      <c r="F162" s="14">
        <f>VLOOKUP(C162,Items[],5,0)</f>
        <v>3200000</v>
      </c>
      <c r="G162" s="14">
        <f t="shared" ref="G162:G193" si="5">E162*F162</f>
        <v>28800000</v>
      </c>
      <c r="H162" s="2" t="s">
        <v>348</v>
      </c>
      <c r="I162" s="2" t="s">
        <v>66</v>
      </c>
      <c r="J162" t="str">
        <f>TEXT(Transactions[[#This Row],[Date]],"MMM-YYYY")</f>
        <v>Aug-2025</v>
      </c>
      <c r="K162" s="1">
        <f>DATE(YEAR(Transactions[[#This Row],[Date]]), MONTH(Transactions[[#This Row],[Date]]), 1)</f>
        <v>45870</v>
      </c>
    </row>
    <row r="163" spans="1:11" x14ac:dyDescent="0.25">
      <c r="A163" s="3" t="s">
        <v>244</v>
      </c>
      <c r="B163" s="19">
        <v>45840</v>
      </c>
      <c r="C163" s="3" t="s">
        <v>37</v>
      </c>
      <c r="D163" s="2" t="str">
        <f>VLOOKUP(C163,Items[],2,0)</f>
        <v>Mesin Potong Besi</v>
      </c>
      <c r="E163" s="3">
        <v>7</v>
      </c>
      <c r="F163" s="14">
        <f>VLOOKUP(C163,Items[],5,0)</f>
        <v>3200000</v>
      </c>
      <c r="G163" s="15">
        <f t="shared" si="5"/>
        <v>22400000</v>
      </c>
      <c r="H163" s="3" t="s">
        <v>347</v>
      </c>
      <c r="I163" s="3" t="s">
        <v>63</v>
      </c>
      <c r="J163" t="str">
        <f>TEXT(Transactions[[#This Row],[Date]],"MMM-YYYY")</f>
        <v>Jul-2025</v>
      </c>
      <c r="K163" s="1">
        <f>DATE(YEAR(Transactions[[#This Row],[Date]]), MONTH(Transactions[[#This Row],[Date]]), 1)</f>
        <v>45839</v>
      </c>
    </row>
    <row r="164" spans="1:11" x14ac:dyDescent="0.25">
      <c r="A164" s="2" t="s">
        <v>245</v>
      </c>
      <c r="B164" s="18">
        <v>45888</v>
      </c>
      <c r="C164" s="2" t="s">
        <v>51</v>
      </c>
      <c r="D164" s="2" t="str">
        <f>VLOOKUP(C164,Items[],2,0)</f>
        <v>Lampu Sorot LED 100W</v>
      </c>
      <c r="E164" s="2">
        <v>10</v>
      </c>
      <c r="F164" s="14">
        <f>VLOOKUP(C164,Items[],5,0)</f>
        <v>237000</v>
      </c>
      <c r="G164" s="14">
        <f t="shared" si="5"/>
        <v>2370000</v>
      </c>
      <c r="H164" s="2" t="s">
        <v>347</v>
      </c>
      <c r="I164" s="2" t="s">
        <v>67</v>
      </c>
      <c r="J164" t="str">
        <f>TEXT(Transactions[[#This Row],[Date]],"MMM-YYYY")</f>
        <v>Aug-2025</v>
      </c>
      <c r="K164" s="1">
        <f>DATE(YEAR(Transactions[[#This Row],[Date]]), MONTH(Transactions[[#This Row],[Date]]), 1)</f>
        <v>45870</v>
      </c>
    </row>
    <row r="165" spans="1:11" x14ac:dyDescent="0.25">
      <c r="A165" s="3" t="s">
        <v>246</v>
      </c>
      <c r="B165" s="19">
        <v>45846</v>
      </c>
      <c r="C165" s="3" t="s">
        <v>49</v>
      </c>
      <c r="D165" s="2" t="str">
        <f>VLOOKUP(C165,Items[],2,0)</f>
        <v>Cat Tembok 1 kg</v>
      </c>
      <c r="E165" s="3">
        <v>12</v>
      </c>
      <c r="F165" s="14">
        <f>VLOOKUP(C165,Items[],5,0)</f>
        <v>31000</v>
      </c>
      <c r="G165" s="15">
        <f t="shared" si="5"/>
        <v>372000</v>
      </c>
      <c r="H165" s="3" t="s">
        <v>348</v>
      </c>
      <c r="I165" s="3" t="s">
        <v>65</v>
      </c>
      <c r="J165" t="str">
        <f>TEXT(Transactions[[#This Row],[Date]],"MMM-YYYY")</f>
        <v>Jul-2025</v>
      </c>
      <c r="K165" s="1">
        <f>DATE(YEAR(Transactions[[#This Row],[Date]]), MONTH(Transactions[[#This Row],[Date]]), 1)</f>
        <v>45839</v>
      </c>
    </row>
    <row r="166" spans="1:11" x14ac:dyDescent="0.25">
      <c r="A166" s="2" t="s">
        <v>247</v>
      </c>
      <c r="B166" s="18">
        <v>45917</v>
      </c>
      <c r="C166" s="2" t="s">
        <v>43</v>
      </c>
      <c r="D166" s="2" t="str">
        <f>VLOOKUP(C166,Items[],2,0)</f>
        <v>Drum Solar 200L</v>
      </c>
      <c r="E166" s="2">
        <v>12</v>
      </c>
      <c r="F166" s="14">
        <f>VLOOKUP(C166,Items[],5,0)</f>
        <v>1060000</v>
      </c>
      <c r="G166" s="14">
        <f t="shared" si="5"/>
        <v>12720000</v>
      </c>
      <c r="H166" s="2" t="s">
        <v>347</v>
      </c>
      <c r="I166" s="2" t="s">
        <v>59</v>
      </c>
      <c r="J166" t="str">
        <f>TEXT(Transactions[[#This Row],[Date]],"MMM-YYYY")</f>
        <v>Sep-2025</v>
      </c>
      <c r="K166" s="1">
        <f>DATE(YEAR(Transactions[[#This Row],[Date]]), MONTH(Transactions[[#This Row],[Date]]), 1)</f>
        <v>45901</v>
      </c>
    </row>
    <row r="167" spans="1:11" x14ac:dyDescent="0.25">
      <c r="A167" s="3" t="s">
        <v>248</v>
      </c>
      <c r="B167" s="19">
        <v>45902</v>
      </c>
      <c r="C167" s="3" t="s">
        <v>50</v>
      </c>
      <c r="D167" s="2" t="str">
        <f>VLOOKUP(C167,Items[],2,0)</f>
        <v>Rantai Besi 10m</v>
      </c>
      <c r="E167" s="3">
        <v>2</v>
      </c>
      <c r="F167" s="14">
        <f>VLOOKUP(C167,Items[],5,0)</f>
        <v>431000</v>
      </c>
      <c r="G167" s="15">
        <f t="shared" si="5"/>
        <v>862000</v>
      </c>
      <c r="H167" s="3" t="s">
        <v>348</v>
      </c>
      <c r="I167" s="3" t="s">
        <v>62</v>
      </c>
      <c r="J167" t="str">
        <f>TEXT(Transactions[[#This Row],[Date]],"MMM-YYYY")</f>
        <v>Sep-2025</v>
      </c>
      <c r="K167" s="1">
        <f>DATE(YEAR(Transactions[[#This Row],[Date]]), MONTH(Transactions[[#This Row],[Date]]), 1)</f>
        <v>45901</v>
      </c>
    </row>
    <row r="168" spans="1:11" x14ac:dyDescent="0.25">
      <c r="A168" s="2" t="s">
        <v>249</v>
      </c>
      <c r="B168" s="18">
        <v>45892</v>
      </c>
      <c r="C168" s="2" t="s">
        <v>48</v>
      </c>
      <c r="D168" s="2" t="str">
        <f>VLOOKUP(C168,Items[],2,0)</f>
        <v>Gerinda Tangan</v>
      </c>
      <c r="E168" s="2">
        <v>18</v>
      </c>
      <c r="F168" s="14">
        <f>VLOOKUP(C168,Items[],5,0)</f>
        <v>465000</v>
      </c>
      <c r="G168" s="14">
        <f t="shared" si="5"/>
        <v>8370000</v>
      </c>
      <c r="H168" s="2" t="s">
        <v>348</v>
      </c>
      <c r="I168" s="2" t="s">
        <v>67</v>
      </c>
      <c r="J168" t="str">
        <f>TEXT(Transactions[[#This Row],[Date]],"MMM-YYYY")</f>
        <v>Aug-2025</v>
      </c>
      <c r="K168" s="1">
        <f>DATE(YEAR(Transactions[[#This Row],[Date]]), MONTH(Transactions[[#This Row],[Date]]), 1)</f>
        <v>45870</v>
      </c>
    </row>
    <row r="169" spans="1:11" x14ac:dyDescent="0.25">
      <c r="A169" s="3" t="s">
        <v>250</v>
      </c>
      <c r="B169" s="19">
        <v>45862</v>
      </c>
      <c r="C169" s="3" t="s">
        <v>52</v>
      </c>
      <c r="D169" s="2" t="str">
        <f>VLOOKUP(C169,Items[],2,0)</f>
        <v>Paku 5cm (1 kg)</v>
      </c>
      <c r="E169" s="3">
        <v>15</v>
      </c>
      <c r="F169" s="14">
        <f>VLOOKUP(C169,Items[],5,0)</f>
        <v>13500</v>
      </c>
      <c r="G169" s="15">
        <f t="shared" si="5"/>
        <v>202500</v>
      </c>
      <c r="H169" s="3" t="s">
        <v>347</v>
      </c>
      <c r="I169" s="3" t="s">
        <v>62</v>
      </c>
      <c r="J169" t="str">
        <f>TEXT(Transactions[[#This Row],[Date]],"MMM-YYYY")</f>
        <v>Jul-2025</v>
      </c>
      <c r="K169" s="1">
        <f>DATE(YEAR(Transactions[[#This Row],[Date]]), MONTH(Transactions[[#This Row],[Date]]), 1)</f>
        <v>45839</v>
      </c>
    </row>
    <row r="170" spans="1:11" x14ac:dyDescent="0.25">
      <c r="A170" s="2" t="s">
        <v>87</v>
      </c>
      <c r="B170" s="18">
        <v>45854</v>
      </c>
      <c r="C170" s="2" t="s">
        <v>48</v>
      </c>
      <c r="D170" s="2" t="str">
        <f>VLOOKUP(C170,Items[],2,0)</f>
        <v>Gerinda Tangan</v>
      </c>
      <c r="E170" s="2">
        <v>20</v>
      </c>
      <c r="F170" s="14">
        <f>VLOOKUP(C170,Items[],5,0)</f>
        <v>465000</v>
      </c>
      <c r="G170" s="14">
        <f t="shared" si="5"/>
        <v>9300000</v>
      </c>
      <c r="H170" s="2" t="s">
        <v>347</v>
      </c>
      <c r="I170" s="2" t="s">
        <v>58</v>
      </c>
      <c r="J170" t="str">
        <f>TEXT(Transactions[[#This Row],[Date]],"MMM-YYYY")</f>
        <v>Jul-2025</v>
      </c>
      <c r="K170" s="1">
        <f>DATE(YEAR(Transactions[[#This Row],[Date]]), MONTH(Transactions[[#This Row],[Date]]), 1)</f>
        <v>45839</v>
      </c>
    </row>
    <row r="171" spans="1:11" x14ac:dyDescent="0.25">
      <c r="A171" s="3" t="s">
        <v>112</v>
      </c>
      <c r="B171" s="19">
        <v>45852</v>
      </c>
      <c r="C171" s="3" t="s">
        <v>40</v>
      </c>
      <c r="D171" s="2" t="str">
        <f>VLOOKUP(C171,Items[],2,0)</f>
        <v>Bor Tangan Listrik</v>
      </c>
      <c r="E171" s="3">
        <v>10</v>
      </c>
      <c r="F171" s="14">
        <f>VLOOKUP(C171,Items[],5,0)</f>
        <v>335500</v>
      </c>
      <c r="G171" s="15">
        <f t="shared" si="5"/>
        <v>3355000</v>
      </c>
      <c r="H171" s="3" t="s">
        <v>347</v>
      </c>
      <c r="I171" s="3" t="s">
        <v>63</v>
      </c>
      <c r="J171" t="str">
        <f>TEXT(Transactions[[#This Row],[Date]],"MMM-YYYY")</f>
        <v>Jul-2025</v>
      </c>
      <c r="K171" s="1">
        <f>DATE(YEAR(Transactions[[#This Row],[Date]]), MONTH(Transactions[[#This Row],[Date]]), 1)</f>
        <v>45839</v>
      </c>
    </row>
    <row r="172" spans="1:11" x14ac:dyDescent="0.25">
      <c r="A172" s="2" t="s">
        <v>116</v>
      </c>
      <c r="B172" s="18">
        <v>45848</v>
      </c>
      <c r="C172" s="2" t="s">
        <v>52</v>
      </c>
      <c r="D172" s="2" t="str">
        <f>VLOOKUP(C172,Items[],2,0)</f>
        <v>Paku 5cm (1 kg)</v>
      </c>
      <c r="E172" s="2">
        <v>15</v>
      </c>
      <c r="F172" s="14">
        <f>VLOOKUP(C172,Items[],5,0)</f>
        <v>13500</v>
      </c>
      <c r="G172" s="14">
        <f t="shared" si="5"/>
        <v>202500</v>
      </c>
      <c r="H172" s="2" t="s">
        <v>348</v>
      </c>
      <c r="I172" s="2" t="s">
        <v>60</v>
      </c>
      <c r="J172" t="str">
        <f>TEXT(Transactions[[#This Row],[Date]],"MMM-YYYY")</f>
        <v>Jul-2025</v>
      </c>
      <c r="K172" s="1">
        <f>DATE(YEAR(Transactions[[#This Row],[Date]]), MONTH(Transactions[[#This Row],[Date]]), 1)</f>
        <v>45839</v>
      </c>
    </row>
    <row r="173" spans="1:11" x14ac:dyDescent="0.25">
      <c r="A173" s="3" t="s">
        <v>251</v>
      </c>
      <c r="B173" s="19">
        <v>45890</v>
      </c>
      <c r="C173" s="3" t="s">
        <v>42</v>
      </c>
      <c r="D173" s="2" t="str">
        <f>VLOOKUP(C173,Items[],2,0)</f>
        <v>Pipa PVC 4 inch (per batang)</v>
      </c>
      <c r="E173" s="3">
        <v>10</v>
      </c>
      <c r="F173" s="14">
        <f>VLOOKUP(C173,Items[],5,0)</f>
        <v>260000</v>
      </c>
      <c r="G173" s="15">
        <f t="shared" si="5"/>
        <v>2600000</v>
      </c>
      <c r="H173" s="3" t="s">
        <v>347</v>
      </c>
      <c r="I173" s="3" t="s">
        <v>65</v>
      </c>
      <c r="J173" t="str">
        <f>TEXT(Transactions[[#This Row],[Date]],"MMM-YYYY")</f>
        <v>Aug-2025</v>
      </c>
      <c r="K173" s="1">
        <f>DATE(YEAR(Transactions[[#This Row],[Date]]), MONTH(Transactions[[#This Row],[Date]]), 1)</f>
        <v>45870</v>
      </c>
    </row>
    <row r="174" spans="1:11" x14ac:dyDescent="0.25">
      <c r="A174" s="2" t="s">
        <v>252</v>
      </c>
      <c r="B174" s="18">
        <v>45880</v>
      </c>
      <c r="C174" s="2" t="s">
        <v>39</v>
      </c>
      <c r="D174" s="2" t="str">
        <f>VLOOKUP(C174,Items[],2,0)</f>
        <v>Kabel Listrik Roll 50m</v>
      </c>
      <c r="E174" s="2">
        <v>1</v>
      </c>
      <c r="F174" s="14">
        <f>VLOOKUP(C174,Items[],5,0)</f>
        <v>203500</v>
      </c>
      <c r="G174" s="14">
        <f t="shared" si="5"/>
        <v>203500</v>
      </c>
      <c r="H174" s="2" t="s">
        <v>347</v>
      </c>
      <c r="I174" s="2" t="s">
        <v>62</v>
      </c>
      <c r="J174" t="str">
        <f>TEXT(Transactions[[#This Row],[Date]],"MMM-YYYY")</f>
        <v>Aug-2025</v>
      </c>
      <c r="K174" s="1">
        <f>DATE(YEAR(Transactions[[#This Row],[Date]]), MONTH(Transactions[[#This Row],[Date]]), 1)</f>
        <v>45870</v>
      </c>
    </row>
    <row r="175" spans="1:11" x14ac:dyDescent="0.25">
      <c r="A175" s="3" t="s">
        <v>253</v>
      </c>
      <c r="B175" s="19">
        <v>45903</v>
      </c>
      <c r="C175" s="3" t="s">
        <v>47</v>
      </c>
      <c r="D175" s="2" t="str">
        <f>VLOOKUP(C175,Items[],2,0)</f>
        <v>Jaket Safety</v>
      </c>
      <c r="E175" s="3">
        <v>14</v>
      </c>
      <c r="F175" s="14">
        <f>VLOOKUP(C175,Items[],5,0)</f>
        <v>245000</v>
      </c>
      <c r="G175" s="15">
        <f t="shared" si="5"/>
        <v>3430000</v>
      </c>
      <c r="H175" s="3" t="s">
        <v>347</v>
      </c>
      <c r="I175" s="3" t="s">
        <v>63</v>
      </c>
      <c r="J175" t="str">
        <f>TEXT(Transactions[[#This Row],[Date]],"MMM-YYYY")</f>
        <v>Sep-2025</v>
      </c>
      <c r="K175" s="1">
        <f>DATE(YEAR(Transactions[[#This Row],[Date]]), MONTH(Transactions[[#This Row],[Date]]), 1)</f>
        <v>45901</v>
      </c>
    </row>
    <row r="176" spans="1:11" x14ac:dyDescent="0.25">
      <c r="A176" s="2" t="s">
        <v>254</v>
      </c>
      <c r="B176" s="18">
        <v>45916</v>
      </c>
      <c r="C176" s="2" t="s">
        <v>48</v>
      </c>
      <c r="D176" s="2" t="str">
        <f>VLOOKUP(C176,Items[],2,0)</f>
        <v>Gerinda Tangan</v>
      </c>
      <c r="E176" s="2">
        <v>18</v>
      </c>
      <c r="F176" s="14">
        <f>VLOOKUP(C176,Items[],5,0)</f>
        <v>465000</v>
      </c>
      <c r="G176" s="14">
        <f t="shared" si="5"/>
        <v>8370000</v>
      </c>
      <c r="H176" s="2" t="s">
        <v>348</v>
      </c>
      <c r="I176" s="2" t="s">
        <v>67</v>
      </c>
      <c r="J176" t="str">
        <f>TEXT(Transactions[[#This Row],[Date]],"MMM-YYYY")</f>
        <v>Sep-2025</v>
      </c>
      <c r="K176" s="1">
        <f>DATE(YEAR(Transactions[[#This Row],[Date]]), MONTH(Transactions[[#This Row],[Date]]), 1)</f>
        <v>45901</v>
      </c>
    </row>
    <row r="177" spans="1:11" x14ac:dyDescent="0.25">
      <c r="A177" s="3" t="s">
        <v>255</v>
      </c>
      <c r="B177" s="19">
        <v>45867</v>
      </c>
      <c r="C177" s="3" t="s">
        <v>53</v>
      </c>
      <c r="D177" s="2" t="str">
        <f>VLOOKUP(C177,Items[],2,0)</f>
        <v>Mesin Las Listrik</v>
      </c>
      <c r="E177" s="3">
        <v>18</v>
      </c>
      <c r="F177" s="14">
        <f>VLOOKUP(C177,Items[],5,0)</f>
        <v>2296000</v>
      </c>
      <c r="G177" s="15">
        <f t="shared" si="5"/>
        <v>41328000</v>
      </c>
      <c r="H177" s="3" t="s">
        <v>347</v>
      </c>
      <c r="I177" s="3" t="s">
        <v>60</v>
      </c>
      <c r="J177" t="str">
        <f>TEXT(Transactions[[#This Row],[Date]],"MMM-YYYY")</f>
        <v>Jul-2025</v>
      </c>
      <c r="K177" s="1">
        <f>DATE(YEAR(Transactions[[#This Row],[Date]]), MONTH(Transactions[[#This Row],[Date]]), 1)</f>
        <v>45839</v>
      </c>
    </row>
    <row r="178" spans="1:11" x14ac:dyDescent="0.25">
      <c r="A178" s="2" t="s">
        <v>256</v>
      </c>
      <c r="B178" s="18">
        <v>45879</v>
      </c>
      <c r="C178" s="2" t="s">
        <v>37</v>
      </c>
      <c r="D178" s="2" t="str">
        <f>VLOOKUP(C178,Items[],2,0)</f>
        <v>Mesin Potong Besi</v>
      </c>
      <c r="E178" s="2">
        <v>7</v>
      </c>
      <c r="F178" s="14">
        <f>VLOOKUP(C178,Items[],5,0)</f>
        <v>3200000</v>
      </c>
      <c r="G178" s="14">
        <f t="shared" si="5"/>
        <v>22400000</v>
      </c>
      <c r="H178" s="2" t="s">
        <v>347</v>
      </c>
      <c r="I178" s="2" t="s">
        <v>59</v>
      </c>
      <c r="J178" t="str">
        <f>TEXT(Transactions[[#This Row],[Date]],"MMM-YYYY")</f>
        <v>Aug-2025</v>
      </c>
      <c r="K178" s="1">
        <f>DATE(YEAR(Transactions[[#This Row],[Date]]), MONTH(Transactions[[#This Row],[Date]]), 1)</f>
        <v>45870</v>
      </c>
    </row>
    <row r="179" spans="1:11" x14ac:dyDescent="0.25">
      <c r="A179" s="3" t="s">
        <v>257</v>
      </c>
      <c r="B179" s="19">
        <v>45884</v>
      </c>
      <c r="C179" s="3" t="s">
        <v>49</v>
      </c>
      <c r="D179" s="2" t="str">
        <f>VLOOKUP(C179,Items[],2,0)</f>
        <v>Cat Tembok 1 kg</v>
      </c>
      <c r="E179" s="3">
        <v>18</v>
      </c>
      <c r="F179" s="14">
        <f>VLOOKUP(C179,Items[],5,0)</f>
        <v>31000</v>
      </c>
      <c r="G179" s="15">
        <f t="shared" si="5"/>
        <v>558000</v>
      </c>
      <c r="H179" s="3" t="s">
        <v>347</v>
      </c>
      <c r="I179" s="3" t="s">
        <v>62</v>
      </c>
      <c r="J179" t="str">
        <f>TEXT(Transactions[[#This Row],[Date]],"MMM-YYYY")</f>
        <v>Aug-2025</v>
      </c>
      <c r="K179" s="1">
        <f>DATE(YEAR(Transactions[[#This Row],[Date]]), MONTH(Transactions[[#This Row],[Date]]), 1)</f>
        <v>45870</v>
      </c>
    </row>
    <row r="180" spans="1:11" x14ac:dyDescent="0.25">
      <c r="A180" s="2" t="s">
        <v>258</v>
      </c>
      <c r="B180" s="18">
        <v>45871</v>
      </c>
      <c r="C180" s="2" t="s">
        <v>54</v>
      </c>
      <c r="D180" s="2" t="str">
        <f>VLOOKUP(C180,Items[],2,0)</f>
        <v>Obeng Set</v>
      </c>
      <c r="E180" s="2">
        <v>4</v>
      </c>
      <c r="F180" s="14">
        <f>VLOOKUP(C180,Items[],5,0)</f>
        <v>128000</v>
      </c>
      <c r="G180" s="14">
        <f t="shared" si="5"/>
        <v>512000</v>
      </c>
      <c r="H180" s="2" t="s">
        <v>348</v>
      </c>
      <c r="I180" s="2" t="s">
        <v>58</v>
      </c>
      <c r="J180" t="str">
        <f>TEXT(Transactions[[#This Row],[Date]],"MMM-YYYY")</f>
        <v>Aug-2025</v>
      </c>
      <c r="K180" s="1">
        <f>DATE(YEAR(Transactions[[#This Row],[Date]]), MONTH(Transactions[[#This Row],[Date]]), 1)</f>
        <v>45870</v>
      </c>
    </row>
    <row r="181" spans="1:11" x14ac:dyDescent="0.25">
      <c r="A181" s="3" t="s">
        <v>259</v>
      </c>
      <c r="B181" s="19">
        <v>45864</v>
      </c>
      <c r="C181" s="3" t="s">
        <v>44</v>
      </c>
      <c r="D181" s="2" t="str">
        <f>VLOOKUP(C181,Items[],2,0)</f>
        <v>Pompa Air Industri</v>
      </c>
      <c r="E181" s="3">
        <v>8</v>
      </c>
      <c r="F181" s="14">
        <f>VLOOKUP(C181,Items[],5,0)</f>
        <v>4490000</v>
      </c>
      <c r="G181" s="15">
        <f t="shared" si="5"/>
        <v>35920000</v>
      </c>
      <c r="H181" s="3" t="s">
        <v>347</v>
      </c>
      <c r="I181" s="3" t="s">
        <v>60</v>
      </c>
      <c r="J181" t="str">
        <f>TEXT(Transactions[[#This Row],[Date]],"MMM-YYYY")</f>
        <v>Jul-2025</v>
      </c>
      <c r="K181" s="1">
        <f>DATE(YEAR(Transactions[[#This Row],[Date]]), MONTH(Transactions[[#This Row],[Date]]), 1)</f>
        <v>45839</v>
      </c>
    </row>
    <row r="182" spans="1:11" x14ac:dyDescent="0.25">
      <c r="A182" s="2" t="s">
        <v>100</v>
      </c>
      <c r="B182" s="18">
        <v>45864</v>
      </c>
      <c r="C182" s="2" t="s">
        <v>55</v>
      </c>
      <c r="D182" s="2" t="str">
        <f>VLOOKUP(C182,Items[],2,0)</f>
        <v>Genset Portable 1000W</v>
      </c>
      <c r="E182" s="2">
        <v>5</v>
      </c>
      <c r="F182" s="14">
        <f>VLOOKUP(C182,Items[],5,0)</f>
        <v>3134000</v>
      </c>
      <c r="G182" s="14">
        <f t="shared" si="5"/>
        <v>15670000</v>
      </c>
      <c r="H182" s="2" t="s">
        <v>347</v>
      </c>
      <c r="I182" s="2" t="s">
        <v>60</v>
      </c>
      <c r="J182" t="str">
        <f>TEXT(Transactions[[#This Row],[Date]],"MMM-YYYY")</f>
        <v>Jul-2025</v>
      </c>
      <c r="K182" s="1">
        <f>DATE(YEAR(Transactions[[#This Row],[Date]]), MONTH(Transactions[[#This Row],[Date]]), 1)</f>
        <v>45839</v>
      </c>
    </row>
    <row r="183" spans="1:11" x14ac:dyDescent="0.25">
      <c r="A183" s="3" t="s">
        <v>260</v>
      </c>
      <c r="B183" s="19">
        <v>45848</v>
      </c>
      <c r="C183" s="3" t="s">
        <v>50</v>
      </c>
      <c r="D183" s="2" t="str">
        <f>VLOOKUP(C183,Items[],2,0)</f>
        <v>Rantai Besi 10m</v>
      </c>
      <c r="E183" s="3">
        <v>12</v>
      </c>
      <c r="F183" s="14">
        <f>VLOOKUP(C183,Items[],5,0)</f>
        <v>431000</v>
      </c>
      <c r="G183" s="15">
        <f t="shared" si="5"/>
        <v>5172000</v>
      </c>
      <c r="H183" s="3" t="s">
        <v>348</v>
      </c>
      <c r="I183" s="3" t="s">
        <v>59</v>
      </c>
      <c r="J183" t="str">
        <f>TEXT(Transactions[[#This Row],[Date]],"MMM-YYYY")</f>
        <v>Jul-2025</v>
      </c>
      <c r="K183" s="1">
        <f>DATE(YEAR(Transactions[[#This Row],[Date]]), MONTH(Transactions[[#This Row],[Date]]), 1)</f>
        <v>45839</v>
      </c>
    </row>
    <row r="184" spans="1:11" x14ac:dyDescent="0.25">
      <c r="A184" s="2" t="s">
        <v>261</v>
      </c>
      <c r="B184" s="18">
        <v>45869</v>
      </c>
      <c r="C184" s="2" t="s">
        <v>55</v>
      </c>
      <c r="D184" s="2" t="str">
        <f>VLOOKUP(C184,Items[],2,0)</f>
        <v>Genset Portable 1000W</v>
      </c>
      <c r="E184" s="2">
        <v>5</v>
      </c>
      <c r="F184" s="14">
        <f>VLOOKUP(C184,Items[],5,0)</f>
        <v>3134000</v>
      </c>
      <c r="G184" s="14">
        <f t="shared" si="5"/>
        <v>15670000</v>
      </c>
      <c r="H184" s="2" t="s">
        <v>348</v>
      </c>
      <c r="I184" s="2" t="s">
        <v>65</v>
      </c>
      <c r="J184" t="str">
        <f>TEXT(Transactions[[#This Row],[Date]],"MMM-YYYY")</f>
        <v>Jul-2025</v>
      </c>
      <c r="K184" s="1">
        <f>DATE(YEAR(Transactions[[#This Row],[Date]]), MONTH(Transactions[[#This Row],[Date]]), 1)</f>
        <v>45839</v>
      </c>
    </row>
    <row r="185" spans="1:11" x14ac:dyDescent="0.25">
      <c r="A185" s="3" t="s">
        <v>262</v>
      </c>
      <c r="B185" s="19">
        <v>45901</v>
      </c>
      <c r="C185" s="3" t="s">
        <v>54</v>
      </c>
      <c r="D185" s="2" t="str">
        <f>VLOOKUP(C185,Items[],2,0)</f>
        <v>Obeng Set</v>
      </c>
      <c r="E185" s="3">
        <v>10</v>
      </c>
      <c r="F185" s="14">
        <f>VLOOKUP(C185,Items[],5,0)</f>
        <v>128000</v>
      </c>
      <c r="G185" s="15">
        <f t="shared" si="5"/>
        <v>1280000</v>
      </c>
      <c r="H185" s="3" t="s">
        <v>347</v>
      </c>
      <c r="I185" s="3" t="s">
        <v>63</v>
      </c>
      <c r="J185" t="str">
        <f>TEXT(Transactions[[#This Row],[Date]],"MMM-YYYY")</f>
        <v>Sep-2025</v>
      </c>
      <c r="K185" s="1">
        <f>DATE(YEAR(Transactions[[#This Row],[Date]]), MONTH(Transactions[[#This Row],[Date]]), 1)</f>
        <v>45901</v>
      </c>
    </row>
    <row r="186" spans="1:11" x14ac:dyDescent="0.25">
      <c r="A186" s="2" t="s">
        <v>263</v>
      </c>
      <c r="B186" s="18">
        <v>45891</v>
      </c>
      <c r="C186" s="2" t="s">
        <v>43</v>
      </c>
      <c r="D186" s="2" t="str">
        <f>VLOOKUP(C186,Items[],2,0)</f>
        <v>Drum Solar 200L</v>
      </c>
      <c r="E186" s="2">
        <v>1</v>
      </c>
      <c r="F186" s="14">
        <f>VLOOKUP(C186,Items[],5,0)</f>
        <v>1060000</v>
      </c>
      <c r="G186" s="14">
        <f t="shared" si="5"/>
        <v>1060000</v>
      </c>
      <c r="H186" s="2" t="s">
        <v>347</v>
      </c>
      <c r="I186" s="2" t="s">
        <v>67</v>
      </c>
      <c r="J186" t="str">
        <f>TEXT(Transactions[[#This Row],[Date]],"MMM-YYYY")</f>
        <v>Aug-2025</v>
      </c>
      <c r="K186" s="1">
        <f>DATE(YEAR(Transactions[[#This Row],[Date]]), MONTH(Transactions[[#This Row],[Date]]), 1)</f>
        <v>45870</v>
      </c>
    </row>
    <row r="187" spans="1:11" x14ac:dyDescent="0.25">
      <c r="A187" s="3" t="s">
        <v>107</v>
      </c>
      <c r="B187" s="19">
        <v>45915</v>
      </c>
      <c r="C187" s="3" t="s">
        <v>52</v>
      </c>
      <c r="D187" s="2" t="str">
        <f>VLOOKUP(C187,Items[],2,0)</f>
        <v>Paku 5cm (1 kg)</v>
      </c>
      <c r="E187" s="3">
        <v>19</v>
      </c>
      <c r="F187" s="14">
        <f>VLOOKUP(C187,Items[],5,0)</f>
        <v>13500</v>
      </c>
      <c r="G187" s="15">
        <f t="shared" si="5"/>
        <v>256500</v>
      </c>
      <c r="H187" s="3" t="s">
        <v>347</v>
      </c>
      <c r="I187" s="3" t="s">
        <v>67</v>
      </c>
      <c r="J187" t="str">
        <f>TEXT(Transactions[[#This Row],[Date]],"MMM-YYYY")</f>
        <v>Sep-2025</v>
      </c>
      <c r="K187" s="1">
        <f>DATE(YEAR(Transactions[[#This Row],[Date]]), MONTH(Transactions[[#This Row],[Date]]), 1)</f>
        <v>45901</v>
      </c>
    </row>
    <row r="188" spans="1:11" x14ac:dyDescent="0.25">
      <c r="A188" s="2" t="s">
        <v>115</v>
      </c>
      <c r="B188" s="18">
        <v>45849</v>
      </c>
      <c r="C188" s="2" t="s">
        <v>53</v>
      </c>
      <c r="D188" s="2" t="str">
        <f>VLOOKUP(C188,Items[],2,0)</f>
        <v>Mesin Las Listrik</v>
      </c>
      <c r="E188" s="2">
        <v>1</v>
      </c>
      <c r="F188" s="14">
        <f>VLOOKUP(C188,Items[],5,0)</f>
        <v>2296000</v>
      </c>
      <c r="G188" s="14">
        <f t="shared" si="5"/>
        <v>2296000</v>
      </c>
      <c r="H188" s="2" t="s">
        <v>347</v>
      </c>
      <c r="I188" s="2" t="s">
        <v>63</v>
      </c>
      <c r="J188" t="str">
        <f>TEXT(Transactions[[#This Row],[Date]],"MMM-YYYY")</f>
        <v>Jul-2025</v>
      </c>
      <c r="K188" s="1">
        <f>DATE(YEAR(Transactions[[#This Row],[Date]]), MONTH(Transactions[[#This Row],[Date]]), 1)</f>
        <v>45839</v>
      </c>
    </row>
    <row r="189" spans="1:11" x14ac:dyDescent="0.25">
      <c r="A189" s="3" t="s">
        <v>264</v>
      </c>
      <c r="B189" s="19">
        <v>45840</v>
      </c>
      <c r="C189" s="3" t="s">
        <v>47</v>
      </c>
      <c r="D189" s="2" t="str">
        <f>VLOOKUP(C189,Items[],2,0)</f>
        <v>Jaket Safety</v>
      </c>
      <c r="E189" s="3">
        <v>3</v>
      </c>
      <c r="F189" s="14">
        <f>VLOOKUP(C189,Items[],5,0)</f>
        <v>245000</v>
      </c>
      <c r="G189" s="15">
        <f t="shared" si="5"/>
        <v>735000</v>
      </c>
      <c r="H189" s="3" t="s">
        <v>347</v>
      </c>
      <c r="I189" s="3" t="s">
        <v>66</v>
      </c>
      <c r="J189" t="str">
        <f>TEXT(Transactions[[#This Row],[Date]],"MMM-YYYY")</f>
        <v>Jul-2025</v>
      </c>
      <c r="K189" s="1">
        <f>DATE(YEAR(Transactions[[#This Row],[Date]]), MONTH(Transactions[[#This Row],[Date]]), 1)</f>
        <v>45839</v>
      </c>
    </row>
    <row r="190" spans="1:11" x14ac:dyDescent="0.25">
      <c r="A190" s="2" t="s">
        <v>265</v>
      </c>
      <c r="B190" s="18">
        <v>45867</v>
      </c>
      <c r="C190" s="2" t="s">
        <v>47</v>
      </c>
      <c r="D190" s="2" t="str">
        <f>VLOOKUP(C190,Items[],2,0)</f>
        <v>Jaket Safety</v>
      </c>
      <c r="E190" s="2">
        <v>8</v>
      </c>
      <c r="F190" s="14">
        <f>VLOOKUP(C190,Items[],5,0)</f>
        <v>245000</v>
      </c>
      <c r="G190" s="14">
        <f t="shared" si="5"/>
        <v>1960000</v>
      </c>
      <c r="H190" s="2" t="s">
        <v>347</v>
      </c>
      <c r="I190" s="2" t="s">
        <v>65</v>
      </c>
      <c r="J190" t="str">
        <f>TEXT(Transactions[[#This Row],[Date]],"MMM-YYYY")</f>
        <v>Jul-2025</v>
      </c>
      <c r="K190" s="1">
        <f>DATE(YEAR(Transactions[[#This Row],[Date]]), MONTH(Transactions[[#This Row],[Date]]), 1)</f>
        <v>45839</v>
      </c>
    </row>
    <row r="191" spans="1:11" x14ac:dyDescent="0.25">
      <c r="A191" s="3" t="s">
        <v>117</v>
      </c>
      <c r="B191" s="19">
        <v>45849</v>
      </c>
      <c r="C191" s="3" t="s">
        <v>54</v>
      </c>
      <c r="D191" s="2" t="str">
        <f>VLOOKUP(C191,Items[],2,0)</f>
        <v>Obeng Set</v>
      </c>
      <c r="E191" s="3">
        <v>9</v>
      </c>
      <c r="F191" s="14">
        <f>VLOOKUP(C191,Items[],5,0)</f>
        <v>128000</v>
      </c>
      <c r="G191" s="15">
        <f t="shared" si="5"/>
        <v>1152000</v>
      </c>
      <c r="H191" s="3" t="s">
        <v>347</v>
      </c>
      <c r="I191" s="3" t="s">
        <v>61</v>
      </c>
      <c r="J191" t="str">
        <f>TEXT(Transactions[[#This Row],[Date]],"MMM-YYYY")</f>
        <v>Jul-2025</v>
      </c>
      <c r="K191" s="1">
        <f>DATE(YEAR(Transactions[[#This Row],[Date]]), MONTH(Transactions[[#This Row],[Date]]), 1)</f>
        <v>45839</v>
      </c>
    </row>
    <row r="192" spans="1:11" x14ac:dyDescent="0.25">
      <c r="A192" s="2" t="s">
        <v>266</v>
      </c>
      <c r="B192" s="18">
        <v>45899</v>
      </c>
      <c r="C192" s="2" t="s">
        <v>48</v>
      </c>
      <c r="D192" s="2" t="str">
        <f>VLOOKUP(C192,Items[],2,0)</f>
        <v>Gerinda Tangan</v>
      </c>
      <c r="E192" s="2">
        <v>18</v>
      </c>
      <c r="F192" s="14">
        <f>VLOOKUP(C192,Items[],5,0)</f>
        <v>465000</v>
      </c>
      <c r="G192" s="14">
        <f t="shared" si="5"/>
        <v>8370000</v>
      </c>
      <c r="H192" s="2" t="s">
        <v>348</v>
      </c>
      <c r="I192" s="2" t="s">
        <v>64</v>
      </c>
      <c r="J192" t="str">
        <f>TEXT(Transactions[[#This Row],[Date]],"MMM-YYYY")</f>
        <v>Aug-2025</v>
      </c>
      <c r="K192" s="1">
        <f>DATE(YEAR(Transactions[[#This Row],[Date]]), MONTH(Transactions[[#This Row],[Date]]), 1)</f>
        <v>45870</v>
      </c>
    </row>
    <row r="193" spans="1:11" x14ac:dyDescent="0.25">
      <c r="A193" s="3" t="s">
        <v>267</v>
      </c>
      <c r="B193" s="19">
        <v>45847</v>
      </c>
      <c r="C193" s="3" t="s">
        <v>44</v>
      </c>
      <c r="D193" s="2" t="str">
        <f>VLOOKUP(C193,Items[],2,0)</f>
        <v>Pompa Air Industri</v>
      </c>
      <c r="E193" s="3">
        <v>1</v>
      </c>
      <c r="F193" s="14">
        <f>VLOOKUP(C193,Items[],5,0)</f>
        <v>4490000</v>
      </c>
      <c r="G193" s="15">
        <f t="shared" si="5"/>
        <v>4490000</v>
      </c>
      <c r="H193" s="3" t="s">
        <v>347</v>
      </c>
      <c r="I193" s="3" t="s">
        <v>60</v>
      </c>
      <c r="J193" t="str">
        <f>TEXT(Transactions[[#This Row],[Date]],"MMM-YYYY")</f>
        <v>Jul-2025</v>
      </c>
      <c r="K193" s="1">
        <f>DATE(YEAR(Transactions[[#This Row],[Date]]), MONTH(Transactions[[#This Row],[Date]]), 1)</f>
        <v>45839</v>
      </c>
    </row>
    <row r="194" spans="1:11" x14ac:dyDescent="0.25">
      <c r="A194" s="2" t="s">
        <v>119</v>
      </c>
      <c r="B194" s="18">
        <v>45875</v>
      </c>
      <c r="C194" s="2" t="s">
        <v>40</v>
      </c>
      <c r="D194" s="2" t="str">
        <f>VLOOKUP(C194,Items[],2,0)</f>
        <v>Bor Tangan Listrik</v>
      </c>
      <c r="E194" s="2">
        <v>6</v>
      </c>
      <c r="F194" s="14">
        <f>VLOOKUP(C194,Items[],5,0)</f>
        <v>335500</v>
      </c>
      <c r="G194" s="14">
        <f t="shared" ref="G194:G201" si="6">E194*F194</f>
        <v>2013000</v>
      </c>
      <c r="H194" s="2" t="s">
        <v>348</v>
      </c>
      <c r="I194" s="2" t="s">
        <v>59</v>
      </c>
      <c r="J194" t="str">
        <f>TEXT(Transactions[[#This Row],[Date]],"MMM-YYYY")</f>
        <v>Aug-2025</v>
      </c>
      <c r="K194" s="1">
        <f>DATE(YEAR(Transactions[[#This Row],[Date]]), MONTH(Transactions[[#This Row],[Date]]), 1)</f>
        <v>45870</v>
      </c>
    </row>
    <row r="195" spans="1:11" x14ac:dyDescent="0.25">
      <c r="A195" s="3" t="s">
        <v>268</v>
      </c>
      <c r="B195" s="19">
        <v>45925</v>
      </c>
      <c r="C195" s="3" t="s">
        <v>39</v>
      </c>
      <c r="D195" s="2" t="str">
        <f>VLOOKUP(C195,Items[],2,0)</f>
        <v>Kabel Listrik Roll 50m</v>
      </c>
      <c r="E195" s="3">
        <v>19</v>
      </c>
      <c r="F195" s="14">
        <f>VLOOKUP(C195,Items[],5,0)</f>
        <v>203500</v>
      </c>
      <c r="G195" s="15">
        <f t="shared" si="6"/>
        <v>3866500</v>
      </c>
      <c r="H195" s="3" t="s">
        <v>347</v>
      </c>
      <c r="I195" s="3" t="s">
        <v>60</v>
      </c>
      <c r="J195" t="str">
        <f>TEXT(Transactions[[#This Row],[Date]],"MMM-YYYY")</f>
        <v>Sep-2025</v>
      </c>
      <c r="K195" s="1">
        <f>DATE(YEAR(Transactions[[#This Row],[Date]]), MONTH(Transactions[[#This Row],[Date]]), 1)</f>
        <v>45901</v>
      </c>
    </row>
    <row r="196" spans="1:11" x14ac:dyDescent="0.25">
      <c r="A196" s="2" t="s">
        <v>76</v>
      </c>
      <c r="B196" s="18">
        <v>45845</v>
      </c>
      <c r="C196" s="2" t="s">
        <v>54</v>
      </c>
      <c r="D196" s="2" t="str">
        <f>VLOOKUP(C196,Items[],2,0)</f>
        <v>Obeng Set</v>
      </c>
      <c r="E196" s="2">
        <v>8</v>
      </c>
      <c r="F196" s="14">
        <f>VLOOKUP(C196,Items[],5,0)</f>
        <v>128000</v>
      </c>
      <c r="G196" s="14">
        <f t="shared" si="6"/>
        <v>1024000</v>
      </c>
      <c r="H196" s="2" t="s">
        <v>348</v>
      </c>
      <c r="I196" s="2" t="s">
        <v>67</v>
      </c>
      <c r="J196" t="str">
        <f>TEXT(Transactions[[#This Row],[Date]],"MMM-YYYY")</f>
        <v>Jul-2025</v>
      </c>
      <c r="K196" s="1">
        <f>DATE(YEAR(Transactions[[#This Row],[Date]]), MONTH(Transactions[[#This Row],[Date]]), 1)</f>
        <v>45839</v>
      </c>
    </row>
    <row r="197" spans="1:11" x14ac:dyDescent="0.25">
      <c r="A197" s="3" t="s">
        <v>71</v>
      </c>
      <c r="B197" s="19">
        <v>45923</v>
      </c>
      <c r="C197" s="3" t="s">
        <v>39</v>
      </c>
      <c r="D197" s="2" t="str">
        <f>VLOOKUP(C197,Items[],2,0)</f>
        <v>Kabel Listrik Roll 50m</v>
      </c>
      <c r="E197" s="3">
        <v>11</v>
      </c>
      <c r="F197" s="14">
        <f>VLOOKUP(C197,Items[],5,0)</f>
        <v>203500</v>
      </c>
      <c r="G197" s="15">
        <f t="shared" si="6"/>
        <v>2238500</v>
      </c>
      <c r="H197" s="3" t="s">
        <v>348</v>
      </c>
      <c r="I197" s="3" t="s">
        <v>61</v>
      </c>
      <c r="J197" t="str">
        <f>TEXT(Transactions[[#This Row],[Date]],"MMM-YYYY")</f>
        <v>Sep-2025</v>
      </c>
      <c r="K197" s="1">
        <f>DATE(YEAR(Transactions[[#This Row],[Date]]), MONTH(Transactions[[#This Row],[Date]]), 1)</f>
        <v>45901</v>
      </c>
    </row>
    <row r="198" spans="1:11" x14ac:dyDescent="0.25">
      <c r="A198" s="2" t="s">
        <v>74</v>
      </c>
      <c r="B198" s="18">
        <v>45876</v>
      </c>
      <c r="C198" s="2" t="s">
        <v>44</v>
      </c>
      <c r="D198" s="2" t="str">
        <f>VLOOKUP(C198,Items[],2,0)</f>
        <v>Pompa Air Industri</v>
      </c>
      <c r="E198" s="2">
        <v>11</v>
      </c>
      <c r="F198" s="14">
        <f>VLOOKUP(C198,Items[],5,0)</f>
        <v>4490000</v>
      </c>
      <c r="G198" s="14">
        <f t="shared" si="6"/>
        <v>49390000</v>
      </c>
      <c r="H198" s="2" t="s">
        <v>347</v>
      </c>
      <c r="I198" s="2" t="s">
        <v>62</v>
      </c>
      <c r="J198" t="str">
        <f>TEXT(Transactions[[#This Row],[Date]],"MMM-YYYY")</f>
        <v>Aug-2025</v>
      </c>
      <c r="K198" s="1">
        <f>DATE(YEAR(Transactions[[#This Row],[Date]]), MONTH(Transactions[[#This Row],[Date]]), 1)</f>
        <v>45870</v>
      </c>
    </row>
    <row r="199" spans="1:11" x14ac:dyDescent="0.25">
      <c r="A199" s="3" t="s">
        <v>269</v>
      </c>
      <c r="B199" s="19">
        <v>45858</v>
      </c>
      <c r="C199" s="3" t="s">
        <v>55</v>
      </c>
      <c r="D199" s="2" t="str">
        <f>VLOOKUP(C199,Items[],2,0)</f>
        <v>Genset Portable 1000W</v>
      </c>
      <c r="E199" s="3">
        <v>17</v>
      </c>
      <c r="F199" s="14">
        <f>VLOOKUP(C199,Items[],5,0)</f>
        <v>3134000</v>
      </c>
      <c r="G199" s="15">
        <f t="shared" si="6"/>
        <v>53278000</v>
      </c>
      <c r="H199" s="3" t="s">
        <v>348</v>
      </c>
      <c r="I199" s="3" t="s">
        <v>60</v>
      </c>
      <c r="J199" t="str">
        <f>TEXT(Transactions[[#This Row],[Date]],"MMM-YYYY")</f>
        <v>Jul-2025</v>
      </c>
      <c r="K199" s="1">
        <f>DATE(YEAR(Transactions[[#This Row],[Date]]), MONTH(Transactions[[#This Row],[Date]]), 1)</f>
        <v>45839</v>
      </c>
    </row>
    <row r="200" spans="1:11" x14ac:dyDescent="0.25">
      <c r="A200" s="2" t="s">
        <v>120</v>
      </c>
      <c r="B200" s="18">
        <v>45901</v>
      </c>
      <c r="C200" s="2" t="s">
        <v>41</v>
      </c>
      <c r="D200" s="2" t="str">
        <f>VLOOKUP(C200,Items[],2,0)</f>
        <v>Tangga Lipat Alumunium</v>
      </c>
      <c r="E200" s="2">
        <v>10</v>
      </c>
      <c r="F200" s="14">
        <f>VLOOKUP(C200,Items[],5,0)</f>
        <v>420000</v>
      </c>
      <c r="G200" s="14">
        <f t="shared" si="6"/>
        <v>4200000</v>
      </c>
      <c r="H200" s="2" t="s">
        <v>347</v>
      </c>
      <c r="I200" s="2" t="s">
        <v>59</v>
      </c>
      <c r="J200" t="str">
        <f>TEXT(Transactions[[#This Row],[Date]],"MMM-YYYY")</f>
        <v>Sep-2025</v>
      </c>
      <c r="K200" s="1">
        <f>DATE(YEAR(Transactions[[#This Row],[Date]]), MONTH(Transactions[[#This Row],[Date]]), 1)</f>
        <v>45901</v>
      </c>
    </row>
    <row r="201" spans="1:11" x14ac:dyDescent="0.25">
      <c r="A201" s="3" t="s">
        <v>121</v>
      </c>
      <c r="B201" s="19">
        <v>45915</v>
      </c>
      <c r="C201" s="3" t="s">
        <v>39</v>
      </c>
      <c r="D201" s="2" t="str">
        <f>VLOOKUP(C201,Items[],2,0)</f>
        <v>Kabel Listrik Roll 50m</v>
      </c>
      <c r="E201" s="3">
        <v>7</v>
      </c>
      <c r="F201" s="14">
        <f>VLOOKUP(C201,Items[],5,0)</f>
        <v>203500</v>
      </c>
      <c r="G201" s="15">
        <f t="shared" si="6"/>
        <v>1424500</v>
      </c>
      <c r="H201" s="3" t="s">
        <v>347</v>
      </c>
      <c r="I201" s="3" t="s">
        <v>64</v>
      </c>
      <c r="J201" t="str">
        <f>TEXT(Transactions[[#This Row],[Date]],"MMM-YYYY")</f>
        <v>Sep-2025</v>
      </c>
      <c r="K201" s="1">
        <f>DATE(YEAR(Transactions[[#This Row],[Date]]), MONTH(Transactions[[#This Row],[Date]]), 1)</f>
        <v>45901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93373D-9593-4092-99EB-404A4A87F1E8}">
  <dimension ref="A1:K201"/>
  <sheetViews>
    <sheetView zoomScaleNormal="100" workbookViewId="0">
      <selection activeCell="G9" sqref="G9"/>
    </sheetView>
  </sheetViews>
  <sheetFormatPr defaultRowHeight="15" x14ac:dyDescent="0.25"/>
  <cols>
    <col min="1" max="1" width="11.85546875" customWidth="1"/>
    <col min="2" max="2" width="12.42578125" bestFit="1" customWidth="1"/>
    <col min="3" max="3" width="15.5703125" customWidth="1"/>
    <col min="4" max="4" width="26.28515625" customWidth="1"/>
    <col min="5" max="5" width="9.42578125" customWidth="1"/>
    <col min="6" max="6" width="14.5703125" customWidth="1"/>
    <col min="7" max="7" width="13" customWidth="1"/>
    <col min="8" max="8" width="17.140625" bestFit="1" customWidth="1"/>
    <col min="9" max="9" width="19.42578125" customWidth="1"/>
    <col min="10" max="10" width="7.42578125" customWidth="1"/>
    <col min="11" max="11" width="13.140625" customWidth="1"/>
  </cols>
  <sheetData>
    <row r="1" spans="1:11" x14ac:dyDescent="0.25">
      <c r="A1" t="s">
        <v>68</v>
      </c>
      <c r="B1" s="17" t="s">
        <v>353</v>
      </c>
      <c r="C1" t="s">
        <v>57</v>
      </c>
      <c r="D1" t="s">
        <v>350</v>
      </c>
      <c r="E1" t="s">
        <v>345</v>
      </c>
      <c r="F1" t="s">
        <v>352</v>
      </c>
      <c r="G1" t="s">
        <v>388</v>
      </c>
      <c r="H1" t="s">
        <v>362</v>
      </c>
      <c r="I1" t="s">
        <v>355</v>
      </c>
      <c r="J1" t="s">
        <v>376</v>
      </c>
      <c r="K1" t="s">
        <v>387</v>
      </c>
    </row>
    <row r="2" spans="1:11" hidden="1" x14ac:dyDescent="0.25">
      <c r="A2" t="s">
        <v>280</v>
      </c>
      <c r="B2" s="18">
        <f>INDEX(Transactions[Date],MATCH(InvoicesDetail[[#This Row],[Transaction ID]],Transactions[Transaction ID],0))</f>
        <v>45913</v>
      </c>
      <c r="C2" t="s">
        <v>75</v>
      </c>
      <c r="D2" t="str">
        <f>VLOOKUP(C2,Transactions[],4,0)</f>
        <v>Jaket Safety</v>
      </c>
      <c r="E2">
        <f>VLOOKUP(C2,Transactions[],5,0)</f>
        <v>11</v>
      </c>
      <c r="F2" s="13">
        <f>VLOOKUP(C2,Transactions[],6,0)</f>
        <v>245000</v>
      </c>
      <c r="G2" s="13">
        <f>InvoicesDetail[[#This Row],[Qty]]*InvoicesDetail[[#This Row],[Unit Price]]</f>
        <v>2695000</v>
      </c>
      <c r="H2" t="s">
        <v>374</v>
      </c>
      <c r="I2" t="str">
        <f>VLOOKUP(A2,Invoices_Display!$A$1:$I$201,9,0)</f>
        <v>PO #003</v>
      </c>
      <c r="J2" t="str">
        <f>VLOOKUP(InvoicesDetail[[#This Row],[Transaction ID]],Transactions[],8,0)</f>
        <v>OUT</v>
      </c>
      <c r="K2" t="str">
        <f>TEXT(InvoicesDetail[[#This Row],[Date]],"MMM-YYYY")</f>
        <v>Sep-2025</v>
      </c>
    </row>
    <row r="3" spans="1:11" hidden="1" x14ac:dyDescent="0.25">
      <c r="A3" t="s">
        <v>280</v>
      </c>
      <c r="B3" s="18">
        <f>INDEX(Transactions[Date],MATCH(InvoicesDetail[[#This Row],[Transaction ID]],Transactions[Transaction ID],0))</f>
        <v>45913</v>
      </c>
      <c r="C3" t="s">
        <v>195</v>
      </c>
      <c r="D3" t="str">
        <f>VLOOKUP(C3,Transactions[],4,0)</f>
        <v>Kabel Listrik Roll 50m</v>
      </c>
      <c r="E3">
        <f>VLOOKUP(C3,Transactions[],5,0)</f>
        <v>4</v>
      </c>
      <c r="F3" s="13">
        <f>VLOOKUP(C3,Transactions[],6,0)</f>
        <v>203500</v>
      </c>
      <c r="G3" s="13">
        <f>InvoicesDetail[[#This Row],[Qty]]*InvoicesDetail[[#This Row],[Unit Price]]</f>
        <v>814000</v>
      </c>
      <c r="H3" t="s">
        <v>374</v>
      </c>
      <c r="I3" t="str">
        <f>VLOOKUP(A3,Invoices_Display!$A$1:$I$201,9,0)</f>
        <v>PO #003</v>
      </c>
      <c r="J3" t="str">
        <f>VLOOKUP(InvoicesDetail[[#This Row],[Transaction ID]],Transactions[],8,0)</f>
        <v>OUT</v>
      </c>
      <c r="K3" t="str">
        <f>TEXT(InvoicesDetail[[#This Row],[Date]],"MMM-YYYY")</f>
        <v>Sep-2025</v>
      </c>
    </row>
    <row r="4" spans="1:11" hidden="1" x14ac:dyDescent="0.25">
      <c r="A4" t="s">
        <v>281</v>
      </c>
      <c r="B4" s="18">
        <f>INDEX(Transactions[Date],MATCH(InvoicesDetail[[#This Row],[Transaction ID]],Transactions[Transaction ID],0))</f>
        <v>45907</v>
      </c>
      <c r="C4" t="s">
        <v>126</v>
      </c>
      <c r="D4" t="str">
        <f>VLOOKUP(C4,Transactions[],4,0)</f>
        <v>Bor Tangan Listrik</v>
      </c>
      <c r="E4">
        <f>VLOOKUP(C4,Transactions[],5,0)</f>
        <v>3</v>
      </c>
      <c r="F4" s="13">
        <f>VLOOKUP(C4,Transactions[],6,0)</f>
        <v>335500</v>
      </c>
      <c r="G4" s="13">
        <f>InvoicesDetail[[#This Row],[Qty]]*InvoicesDetail[[#This Row],[Unit Price]]</f>
        <v>1006500</v>
      </c>
      <c r="H4" t="s">
        <v>374</v>
      </c>
      <c r="I4" t="str">
        <f>VLOOKUP(A4,Invoices_Display!$A$1:$I$201,9,0)</f>
        <v>Project Site A</v>
      </c>
      <c r="J4" t="str">
        <f>VLOOKUP(InvoicesDetail[[#This Row],[Transaction ID]],Transactions[],8,0)</f>
        <v>OUT</v>
      </c>
      <c r="K4" t="str">
        <f>TEXT(InvoicesDetail[[#This Row],[Date]],"MMM-YYYY")</f>
        <v>Sep-2025</v>
      </c>
    </row>
    <row r="5" spans="1:11" hidden="1" x14ac:dyDescent="0.25">
      <c r="A5" t="s">
        <v>281</v>
      </c>
      <c r="B5" s="18">
        <f>INDEX(Transactions[Date],MATCH(InvoicesDetail[[#This Row],[Transaction ID]],Transactions[Transaction ID],0))</f>
        <v>45890</v>
      </c>
      <c r="C5" t="s">
        <v>130</v>
      </c>
      <c r="D5" t="str">
        <f>VLOOKUP(C5,Transactions[],4,0)</f>
        <v>Paku 5cm (1 kg)</v>
      </c>
      <c r="E5">
        <f>VLOOKUP(C5,Transactions[],5,0)</f>
        <v>20</v>
      </c>
      <c r="F5" s="13">
        <f>VLOOKUP(C5,Transactions[],6,0)</f>
        <v>13500</v>
      </c>
      <c r="G5" s="13">
        <f>InvoicesDetail[[#This Row],[Qty]]*InvoicesDetail[[#This Row],[Unit Price]]</f>
        <v>270000</v>
      </c>
      <c r="H5" t="s">
        <v>374</v>
      </c>
      <c r="I5" t="str">
        <f>VLOOKUP(A5,Invoices_Display!$A$1:$I$201,9,0)</f>
        <v>Project Site A</v>
      </c>
      <c r="J5" t="str">
        <f>VLOOKUP(InvoicesDetail[[#This Row],[Transaction ID]],Transactions[],8,0)</f>
        <v>IN</v>
      </c>
      <c r="K5" t="str">
        <f>TEXT(InvoicesDetail[[#This Row],[Date]],"MMM-YYYY")</f>
        <v>Aug-2025</v>
      </c>
    </row>
    <row r="6" spans="1:11" hidden="1" x14ac:dyDescent="0.25">
      <c r="A6" t="s">
        <v>281</v>
      </c>
      <c r="B6" s="18">
        <f>INDEX(Transactions[Date],MATCH(InvoicesDetail[[#This Row],[Transaction ID]],Transactions[Transaction ID],0))</f>
        <v>45914</v>
      </c>
      <c r="C6" t="s">
        <v>236</v>
      </c>
      <c r="D6" t="str">
        <f>VLOOKUP(C6,Transactions[],4,0)</f>
        <v>Mesin Las Listrik</v>
      </c>
      <c r="E6">
        <f>VLOOKUP(C6,Transactions[],5,0)</f>
        <v>5</v>
      </c>
      <c r="F6" s="13">
        <f>VLOOKUP(C6,Transactions[],6,0)</f>
        <v>2296000</v>
      </c>
      <c r="G6" s="13">
        <f>InvoicesDetail[[#This Row],[Qty]]*InvoicesDetail[[#This Row],[Unit Price]]</f>
        <v>11480000</v>
      </c>
      <c r="H6" t="s">
        <v>374</v>
      </c>
      <c r="I6" t="str">
        <f>VLOOKUP(A6,Invoices_Display!$A$1:$I$201,9,0)</f>
        <v>Project Site A</v>
      </c>
      <c r="J6" t="str">
        <f>VLOOKUP(InvoicesDetail[[#This Row],[Transaction ID]],Transactions[],8,0)</f>
        <v>OUT</v>
      </c>
      <c r="K6" t="str">
        <f>TEXT(InvoicesDetail[[#This Row],[Date]],"MMM-YYYY")</f>
        <v>Sep-2025</v>
      </c>
    </row>
    <row r="7" spans="1:11" hidden="1" x14ac:dyDescent="0.25">
      <c r="A7" t="s">
        <v>282</v>
      </c>
      <c r="B7" s="18">
        <f>INDEX(Transactions[Date],MATCH(InvoicesDetail[[#This Row],[Transaction ID]],Transactions[Transaction ID],0))</f>
        <v>45855</v>
      </c>
      <c r="C7" t="s">
        <v>181</v>
      </c>
      <c r="D7" t="str">
        <f>VLOOKUP(C7,Transactions[],4,0)</f>
        <v>Drum Solar 200L</v>
      </c>
      <c r="E7">
        <f>VLOOKUP(C7,Transactions[],5,0)</f>
        <v>3</v>
      </c>
      <c r="F7" s="13">
        <f>VLOOKUP(C7,Transactions[],6,0)</f>
        <v>1060000</v>
      </c>
      <c r="G7" s="13">
        <f>InvoicesDetail[[#This Row],[Qty]]*InvoicesDetail[[#This Row],[Unit Price]]</f>
        <v>3180000</v>
      </c>
      <c r="H7" t="s">
        <v>375</v>
      </c>
      <c r="I7" t="str">
        <f>VLOOKUP(A7,Invoices_Display!$A$1:$I$201,9,0)</f>
        <v>Proyek Maintenance</v>
      </c>
      <c r="J7" t="str">
        <f>VLOOKUP(InvoicesDetail[[#This Row],[Transaction ID]],Transactions[],8,0)</f>
        <v>OUT</v>
      </c>
      <c r="K7" t="str">
        <f>TEXT(InvoicesDetail[[#This Row],[Date]],"MMM-YYYY")</f>
        <v>Jul-2025</v>
      </c>
    </row>
    <row r="8" spans="1:11" hidden="1" x14ac:dyDescent="0.25">
      <c r="A8" t="s">
        <v>282</v>
      </c>
      <c r="B8" s="18">
        <f>INDEX(Transactions[Date],MATCH(InvoicesDetail[[#This Row],[Transaction ID]],Transactions[Transaction ID],0))</f>
        <v>45850</v>
      </c>
      <c r="C8" t="s">
        <v>213</v>
      </c>
      <c r="D8" t="str">
        <f>VLOOKUP(C8,Transactions[],4,0)</f>
        <v>Helm Proyek</v>
      </c>
      <c r="E8">
        <f>VLOOKUP(C8,Transactions[],5,0)</f>
        <v>9</v>
      </c>
      <c r="F8" s="13">
        <f>VLOOKUP(C8,Transactions[],6,0)</f>
        <v>50000</v>
      </c>
      <c r="G8" s="13">
        <f>InvoicesDetail[[#This Row],[Qty]]*InvoicesDetail[[#This Row],[Unit Price]]</f>
        <v>450000</v>
      </c>
      <c r="H8" t="s">
        <v>375</v>
      </c>
      <c r="I8" t="str">
        <f>VLOOKUP(A8,Invoices_Display!$A$1:$I$201,9,0)</f>
        <v>Proyek Maintenance</v>
      </c>
      <c r="J8" t="str">
        <f>VLOOKUP(InvoicesDetail[[#This Row],[Transaction ID]],Transactions[],8,0)</f>
        <v>OUT</v>
      </c>
      <c r="K8" t="str">
        <f>TEXT(InvoicesDetail[[#This Row],[Date]],"MMM-YYYY")</f>
        <v>Jul-2025</v>
      </c>
    </row>
    <row r="9" spans="1:11" x14ac:dyDescent="0.25">
      <c r="A9" t="s">
        <v>282</v>
      </c>
      <c r="B9" s="18">
        <f>INDEX(Transactions[Date],MATCH(InvoicesDetail[[#This Row],[Transaction ID]],Transactions[Transaction ID],0))</f>
        <v>45924</v>
      </c>
      <c r="C9" t="s">
        <v>217</v>
      </c>
      <c r="D9" t="str">
        <f>VLOOKUP(C9,Transactions[],4,0)</f>
        <v>Cat Minyak 5L</v>
      </c>
      <c r="E9">
        <f>VLOOKUP(C9,Transactions[],5,0)</f>
        <v>13</v>
      </c>
      <c r="F9" s="13">
        <f>VLOOKUP(C9,Transactions[],6,0)</f>
        <v>135500</v>
      </c>
      <c r="G9" s="13">
        <f>InvoicesDetail[[#This Row],[Qty]]*InvoicesDetail[[#This Row],[Unit Price]]</f>
        <v>1761500</v>
      </c>
      <c r="H9" t="s">
        <v>375</v>
      </c>
      <c r="I9" t="str">
        <f>VLOOKUP(A9,Invoices_Display!$A$1:$I$201,9,0)</f>
        <v>Proyek Maintenance</v>
      </c>
      <c r="J9" t="str">
        <f>VLOOKUP(InvoicesDetail[[#This Row],[Transaction ID]],Transactions[],8,0)</f>
        <v>OUT</v>
      </c>
      <c r="K9" t="str">
        <f>TEXT(InvoicesDetail[[#This Row],[Date]],"MMM-YYYY")</f>
        <v>Sep-2025</v>
      </c>
    </row>
    <row r="10" spans="1:11" hidden="1" x14ac:dyDescent="0.25">
      <c r="A10" t="s">
        <v>282</v>
      </c>
      <c r="B10" s="18">
        <f>INDEX(Transactions[Date],MATCH(InvoicesDetail[[#This Row],[Transaction ID]],Transactions[Transaction ID],0))</f>
        <v>45845</v>
      </c>
      <c r="C10" t="s">
        <v>76</v>
      </c>
      <c r="D10" t="str">
        <f>VLOOKUP(C10,Transactions[],4,0)</f>
        <v>Obeng Set</v>
      </c>
      <c r="E10">
        <f>VLOOKUP(C10,Transactions[],5,0)</f>
        <v>8</v>
      </c>
      <c r="F10" s="13">
        <f>VLOOKUP(C10,Transactions[],6,0)</f>
        <v>128000</v>
      </c>
      <c r="G10" s="13">
        <f>InvoicesDetail[[#This Row],[Qty]]*InvoicesDetail[[#This Row],[Unit Price]]</f>
        <v>1024000</v>
      </c>
      <c r="H10" t="s">
        <v>375</v>
      </c>
      <c r="I10" t="str">
        <f>VLOOKUP(A10,Invoices_Display!$A$1:$I$201,9,0)</f>
        <v>Proyek Maintenance</v>
      </c>
      <c r="J10" t="str">
        <f>VLOOKUP(InvoicesDetail[[#This Row],[Transaction ID]],Transactions[],8,0)</f>
        <v>IN</v>
      </c>
      <c r="K10" t="str">
        <f>TEXT(InvoicesDetail[[#This Row],[Date]],"MMM-YYYY")</f>
        <v>Jul-2025</v>
      </c>
    </row>
    <row r="11" spans="1:11" x14ac:dyDescent="0.25">
      <c r="A11" t="s">
        <v>283</v>
      </c>
      <c r="B11" s="18">
        <f>INDEX(Transactions[Date],MATCH(InvoicesDetail[[#This Row],[Transaction ID]],Transactions[Transaction ID],0))</f>
        <v>45906</v>
      </c>
      <c r="C11" s="1" t="s">
        <v>132</v>
      </c>
      <c r="D11" t="str">
        <f>VLOOKUP(C11,Transactions[],4,0)</f>
        <v>Gerinda Tangan</v>
      </c>
      <c r="E11">
        <f>VLOOKUP(C11,Transactions[],5,0)</f>
        <v>3</v>
      </c>
      <c r="F11" s="13">
        <f>VLOOKUP(C11,Transactions[],6,0)</f>
        <v>465000</v>
      </c>
      <c r="G11" s="13">
        <f>InvoicesDetail[[#This Row],[Qty]]*InvoicesDetail[[#This Row],[Unit Price]]</f>
        <v>1395000</v>
      </c>
      <c r="H11" t="s">
        <v>375</v>
      </c>
      <c r="I11" t="str">
        <f>VLOOKUP(A11,Invoices_Display!$A$1:$I$201,9,0)</f>
        <v>Proyek Maintenance</v>
      </c>
      <c r="J11" t="str">
        <f>VLOOKUP(InvoicesDetail[[#This Row],[Transaction ID]],Transactions[],8,0)</f>
        <v>OUT</v>
      </c>
      <c r="K11" t="str">
        <f>TEXT(InvoicesDetail[[#This Row],[Date]],"MMM-YYYY")</f>
        <v>Sep-2025</v>
      </c>
    </row>
    <row r="12" spans="1:11" x14ac:dyDescent="0.25">
      <c r="A12" t="s">
        <v>283</v>
      </c>
      <c r="B12" s="18">
        <f>INDEX(Transactions[Date],MATCH(InvoicesDetail[[#This Row],[Transaction ID]],Transactions[Transaction ID],0))</f>
        <v>45904</v>
      </c>
      <c r="C12" t="s">
        <v>77</v>
      </c>
      <c r="D12" t="str">
        <f>VLOOKUP(C12,Transactions[],4,0)</f>
        <v>Obeng Set</v>
      </c>
      <c r="E12">
        <f>VLOOKUP(C12,Transactions[],5,0)</f>
        <v>11</v>
      </c>
      <c r="F12" s="13">
        <f>VLOOKUP(C12,Transactions[],6,0)</f>
        <v>128000</v>
      </c>
      <c r="G12" s="13">
        <f>InvoicesDetail[[#This Row],[Qty]]*InvoicesDetail[[#This Row],[Unit Price]]</f>
        <v>1408000</v>
      </c>
      <c r="H12" t="s">
        <v>375</v>
      </c>
      <c r="I12" t="str">
        <f>VLOOKUP(A12,Invoices_Display!$A$1:$I$201,9,0)</f>
        <v>Proyek Maintenance</v>
      </c>
      <c r="J12" t="str">
        <f>VLOOKUP(InvoicesDetail[[#This Row],[Transaction ID]],Transactions[],8,0)</f>
        <v>OUT</v>
      </c>
      <c r="K12" t="str">
        <f>TEXT(InvoicesDetail[[#This Row],[Date]],"MMM-YYYY")</f>
        <v>Sep-2025</v>
      </c>
    </row>
    <row r="13" spans="1:11" hidden="1" x14ac:dyDescent="0.25">
      <c r="A13" t="s">
        <v>283</v>
      </c>
      <c r="B13" s="18">
        <f>INDEX(Transactions[Date],MATCH(InvoicesDetail[[#This Row],[Transaction ID]],Transactions[Transaction ID],0))</f>
        <v>45891</v>
      </c>
      <c r="C13" t="s">
        <v>144</v>
      </c>
      <c r="D13" t="str">
        <f>VLOOKUP(C13,Transactions[],4,0)</f>
        <v>Rantai Besi 10m</v>
      </c>
      <c r="E13">
        <f>VLOOKUP(C13,Transactions[],5,0)</f>
        <v>10</v>
      </c>
      <c r="F13" s="13">
        <f>VLOOKUP(C13,Transactions[],6,0)</f>
        <v>431000</v>
      </c>
      <c r="G13" s="13">
        <f>InvoicesDetail[[#This Row],[Qty]]*InvoicesDetail[[#This Row],[Unit Price]]</f>
        <v>4310000</v>
      </c>
      <c r="H13" t="s">
        <v>375</v>
      </c>
      <c r="I13" t="str">
        <f>VLOOKUP(A13,Invoices_Display!$A$1:$I$201,9,0)</f>
        <v>Proyek Maintenance</v>
      </c>
      <c r="J13" t="str">
        <f>VLOOKUP(InvoicesDetail[[#This Row],[Transaction ID]],Transactions[],8,0)</f>
        <v>OUT</v>
      </c>
      <c r="K13" t="str">
        <f>TEXT(InvoicesDetail[[#This Row],[Date]],"MMM-YYYY")</f>
        <v>Aug-2025</v>
      </c>
    </row>
    <row r="14" spans="1:11" hidden="1" x14ac:dyDescent="0.25">
      <c r="A14" t="s">
        <v>284</v>
      </c>
      <c r="B14" s="18">
        <f>INDEX(Transactions[Date],MATCH(InvoicesDetail[[#This Row],[Transaction ID]],Transactions[Transaction ID],0))</f>
        <v>45920</v>
      </c>
      <c r="C14" t="s">
        <v>137</v>
      </c>
      <c r="D14" t="str">
        <f>VLOOKUP(C14,Transactions[],4,0)</f>
        <v>Paku 5cm (1 kg)</v>
      </c>
      <c r="E14">
        <f>VLOOKUP(C14,Transactions[],5,0)</f>
        <v>7</v>
      </c>
      <c r="F14" s="13">
        <f>VLOOKUP(C14,Transactions[],6,0)</f>
        <v>13500</v>
      </c>
      <c r="G14" s="13">
        <f>InvoicesDetail[[#This Row],[Qty]]*InvoicesDetail[[#This Row],[Unit Price]]</f>
        <v>94500</v>
      </c>
      <c r="H14" t="s">
        <v>374</v>
      </c>
      <c r="I14" t="str">
        <f>VLOOKUP(A14,Invoices_Display!$A$1:$I$201,9,0)</f>
        <v>PO #002</v>
      </c>
      <c r="J14" t="str">
        <f>VLOOKUP(InvoicesDetail[[#This Row],[Transaction ID]],Transactions[],8,0)</f>
        <v>IN</v>
      </c>
      <c r="K14" t="str">
        <f>TEXT(InvoicesDetail[[#This Row],[Date]],"MMM-YYYY")</f>
        <v>Sep-2025</v>
      </c>
    </row>
    <row r="15" spans="1:11" hidden="1" x14ac:dyDescent="0.25">
      <c r="A15" t="s">
        <v>284</v>
      </c>
      <c r="B15" s="18">
        <f>INDEX(Transactions[Date],MATCH(InvoicesDetail[[#This Row],[Transaction ID]],Transactions[Transaction ID],0))</f>
        <v>45917</v>
      </c>
      <c r="C15" t="s">
        <v>138</v>
      </c>
      <c r="D15" t="str">
        <f>VLOOKUP(C15,Transactions[],4,0)</f>
        <v>Pompa Air Industri</v>
      </c>
      <c r="E15">
        <f>VLOOKUP(C15,Transactions[],5,0)</f>
        <v>10</v>
      </c>
      <c r="F15" s="13">
        <f>VLOOKUP(C15,Transactions[],6,0)</f>
        <v>4490000</v>
      </c>
      <c r="G15" s="13">
        <f>InvoicesDetail[[#This Row],[Qty]]*InvoicesDetail[[#This Row],[Unit Price]]</f>
        <v>44900000</v>
      </c>
      <c r="H15" t="s">
        <v>374</v>
      </c>
      <c r="I15" t="str">
        <f>VLOOKUP(A15,Invoices_Display!$A$1:$I$201,9,0)</f>
        <v>PO #002</v>
      </c>
      <c r="J15" t="str">
        <f>VLOOKUP(InvoicesDetail[[#This Row],[Transaction ID]],Transactions[],8,0)</f>
        <v>IN</v>
      </c>
      <c r="K15" t="str">
        <f>TEXT(InvoicesDetail[[#This Row],[Date]],"MMM-YYYY")</f>
        <v>Sep-2025</v>
      </c>
    </row>
    <row r="16" spans="1:11" hidden="1" x14ac:dyDescent="0.25">
      <c r="A16" t="s">
        <v>284</v>
      </c>
      <c r="B16" s="18">
        <f>INDEX(Transactions[Date],MATCH(InvoicesDetail[[#This Row],[Transaction ID]],Transactions[Transaction ID],0))</f>
        <v>45839</v>
      </c>
      <c r="C16" t="s">
        <v>221</v>
      </c>
      <c r="D16" t="str">
        <f>VLOOKUP(C16,Transactions[],4,0)</f>
        <v>Mesin Potong Besi</v>
      </c>
      <c r="E16">
        <f>VLOOKUP(C16,Transactions[],5,0)</f>
        <v>2</v>
      </c>
      <c r="F16" s="13">
        <f>VLOOKUP(C16,Transactions[],6,0)</f>
        <v>3200000</v>
      </c>
      <c r="G16" s="13">
        <f>InvoicesDetail[[#This Row],[Qty]]*InvoicesDetail[[#This Row],[Unit Price]]</f>
        <v>6400000</v>
      </c>
      <c r="H16" t="s">
        <v>374</v>
      </c>
      <c r="I16" t="str">
        <f>VLOOKUP(A16,Invoices_Display!$A$1:$I$201,9,0)</f>
        <v>PO #002</v>
      </c>
      <c r="J16" t="str">
        <f>VLOOKUP(InvoicesDetail[[#This Row],[Transaction ID]],Transactions[],8,0)</f>
        <v>IN</v>
      </c>
      <c r="K16" t="str">
        <f>TEXT(InvoicesDetail[[#This Row],[Date]],"MMM-YYYY")</f>
        <v>Jul-2025</v>
      </c>
    </row>
    <row r="17" spans="1:11" hidden="1" x14ac:dyDescent="0.25">
      <c r="A17" t="s">
        <v>285</v>
      </c>
      <c r="B17" s="18">
        <f>INDEX(Transactions[Date],MATCH(InvoicesDetail[[#This Row],[Transaction ID]],Transactions[Transaction ID],0))</f>
        <v>45857</v>
      </c>
      <c r="C17" s="1" t="s">
        <v>78</v>
      </c>
      <c r="D17" t="str">
        <f>VLOOKUP(C17,Transactions[],4,0)</f>
        <v>Helm Proyek</v>
      </c>
      <c r="E17">
        <f>VLOOKUP(C17,Transactions[],5,0)</f>
        <v>7</v>
      </c>
      <c r="F17" s="13">
        <f>VLOOKUP(C17,Transactions[],6,0)</f>
        <v>50000</v>
      </c>
      <c r="G17" s="13">
        <f>InvoicesDetail[[#This Row],[Qty]]*InvoicesDetail[[#This Row],[Unit Price]]</f>
        <v>350000</v>
      </c>
      <c r="H17" t="s">
        <v>374</v>
      </c>
      <c r="I17" t="str">
        <f>VLOOKUP(A17,Invoices_Display!$A$1:$I$201,9,0)</f>
        <v>Project Site C + D</v>
      </c>
      <c r="J17" t="str">
        <f>VLOOKUP(InvoicesDetail[[#This Row],[Transaction ID]],Transactions[],8,0)</f>
        <v>OUT</v>
      </c>
      <c r="K17" t="str">
        <f>TEXT(InvoicesDetail[[#This Row],[Date]],"MMM-YYYY")</f>
        <v>Jul-2025</v>
      </c>
    </row>
    <row r="18" spans="1:11" hidden="1" x14ac:dyDescent="0.25">
      <c r="A18" t="s">
        <v>285</v>
      </c>
      <c r="B18" s="18">
        <f>INDEX(Transactions[Date],MATCH(InvoicesDetail[[#This Row],[Transaction ID]],Transactions[Transaction ID],0))</f>
        <v>45879</v>
      </c>
      <c r="C18" t="s">
        <v>182</v>
      </c>
      <c r="D18" t="str">
        <f>VLOOKUP(C18,Transactions[],4,0)</f>
        <v>Kabel Listrik Roll 50m</v>
      </c>
      <c r="E18">
        <f>VLOOKUP(C18,Transactions[],5,0)</f>
        <v>4</v>
      </c>
      <c r="F18" s="13">
        <f>VLOOKUP(C18,Transactions[],6,0)</f>
        <v>203500</v>
      </c>
      <c r="G18" s="13">
        <f>InvoicesDetail[[#This Row],[Qty]]*InvoicesDetail[[#This Row],[Unit Price]]</f>
        <v>814000</v>
      </c>
      <c r="H18" t="s">
        <v>374</v>
      </c>
      <c r="I18" t="str">
        <f>VLOOKUP(A18,Invoices_Display!$A$1:$I$201,9,0)</f>
        <v>Project Site C + D</v>
      </c>
      <c r="J18" t="str">
        <f>VLOOKUP(InvoicesDetail[[#This Row],[Transaction ID]],Transactions[],8,0)</f>
        <v>IN</v>
      </c>
      <c r="K18" t="str">
        <f>TEXT(InvoicesDetail[[#This Row],[Date]],"MMM-YYYY")</f>
        <v>Aug-2025</v>
      </c>
    </row>
    <row r="19" spans="1:11" hidden="1" x14ac:dyDescent="0.25">
      <c r="A19" t="s">
        <v>286</v>
      </c>
      <c r="B19" s="18">
        <f>INDEX(Transactions[Date],MATCH(InvoicesDetail[[#This Row],[Transaction ID]],Transactions[Transaction ID],0))</f>
        <v>45919</v>
      </c>
      <c r="C19" s="1" t="s">
        <v>165</v>
      </c>
      <c r="D19" t="str">
        <f>VLOOKUP(C19,Transactions[],4,0)</f>
        <v>Kabel Listrik Roll 50m</v>
      </c>
      <c r="E19">
        <f>VLOOKUP(C19,Transactions[],5,0)</f>
        <v>16</v>
      </c>
      <c r="F19" s="13">
        <f>VLOOKUP(C19,Transactions[],6,0)</f>
        <v>203500</v>
      </c>
      <c r="G19" s="13">
        <f>InvoicesDetail[[#This Row],[Qty]]*InvoicesDetail[[#This Row],[Unit Price]]</f>
        <v>3256000</v>
      </c>
      <c r="H19" t="s">
        <v>375</v>
      </c>
      <c r="I19" t="str">
        <f>VLOOKUP(A19,Invoices_Display!$A$1:$I$201,9,0)</f>
        <v>Project Site C + D</v>
      </c>
      <c r="J19" t="str">
        <f>VLOOKUP(InvoicesDetail[[#This Row],[Transaction ID]],Transactions[],8,0)</f>
        <v>IN</v>
      </c>
      <c r="K19" t="str">
        <f>TEXT(InvoicesDetail[[#This Row],[Date]],"MMM-YYYY")</f>
        <v>Sep-2025</v>
      </c>
    </row>
    <row r="20" spans="1:11" hidden="1" x14ac:dyDescent="0.25">
      <c r="A20" t="s">
        <v>286</v>
      </c>
      <c r="B20" s="18">
        <f>INDEX(Transactions[Date],MATCH(InvoicesDetail[[#This Row],[Transaction ID]],Transactions[Transaction ID],0))</f>
        <v>45865</v>
      </c>
      <c r="C20" t="s">
        <v>166</v>
      </c>
      <c r="D20" t="str">
        <f>VLOOKUP(C20,Transactions[],4,0)</f>
        <v>Pipa PVC 4 inch (per batang)</v>
      </c>
      <c r="E20">
        <f>VLOOKUP(C20,Transactions[],5,0)</f>
        <v>10</v>
      </c>
      <c r="F20" s="13">
        <f>VLOOKUP(C20,Transactions[],6,0)</f>
        <v>260000</v>
      </c>
      <c r="G20" s="13">
        <f>InvoicesDetail[[#This Row],[Qty]]*InvoicesDetail[[#This Row],[Unit Price]]</f>
        <v>2600000</v>
      </c>
      <c r="H20" t="s">
        <v>375</v>
      </c>
      <c r="I20" t="str">
        <f>VLOOKUP(A20,Invoices_Display!$A$1:$I$201,9,0)</f>
        <v>Project Site C + D</v>
      </c>
      <c r="J20" t="str">
        <f>VLOOKUP(InvoicesDetail[[#This Row],[Transaction ID]],Transactions[],8,0)</f>
        <v>IN</v>
      </c>
      <c r="K20" t="str">
        <f>TEXT(InvoicesDetail[[#This Row],[Date]],"MMM-YYYY")</f>
        <v>Jul-2025</v>
      </c>
    </row>
    <row r="21" spans="1:11" hidden="1" x14ac:dyDescent="0.25">
      <c r="A21" t="s">
        <v>286</v>
      </c>
      <c r="B21" s="18">
        <f>INDEX(Transactions[Date],MATCH(InvoicesDetail[[#This Row],[Transaction ID]],Transactions[Transaction ID],0))</f>
        <v>45920</v>
      </c>
      <c r="C21" t="s">
        <v>183</v>
      </c>
      <c r="D21" t="str">
        <f>VLOOKUP(C21,Transactions[],4,0)</f>
        <v>Sarung Tangan Katun</v>
      </c>
      <c r="E21">
        <f>VLOOKUP(C21,Transactions[],5,0)</f>
        <v>10</v>
      </c>
      <c r="F21" s="13">
        <f>VLOOKUP(C21,Transactions[],6,0)</f>
        <v>20000</v>
      </c>
      <c r="G21" s="13">
        <f>InvoicesDetail[[#This Row],[Qty]]*InvoicesDetail[[#This Row],[Unit Price]]</f>
        <v>200000</v>
      </c>
      <c r="H21" t="s">
        <v>375</v>
      </c>
      <c r="I21" t="str">
        <f>VLOOKUP(A21,Invoices_Display!$A$1:$I$201,9,0)</f>
        <v>Project Site C + D</v>
      </c>
      <c r="J21" t="str">
        <f>VLOOKUP(InvoicesDetail[[#This Row],[Transaction ID]],Transactions[],8,0)</f>
        <v>IN</v>
      </c>
      <c r="K21" t="str">
        <f>TEXT(InvoicesDetail[[#This Row],[Date]],"MMM-YYYY")</f>
        <v>Sep-2025</v>
      </c>
    </row>
    <row r="22" spans="1:11" hidden="1" x14ac:dyDescent="0.25">
      <c r="A22" t="s">
        <v>286</v>
      </c>
      <c r="B22" s="18">
        <f>INDEX(Transactions[Date],MATCH(InvoicesDetail[[#This Row],[Transaction ID]],Transactions[Transaction ID],0))</f>
        <v>45849</v>
      </c>
      <c r="C22" t="s">
        <v>79</v>
      </c>
      <c r="D22" t="str">
        <f>VLOOKUP(C22,Transactions[],4,0)</f>
        <v>Cat Tembok 1 kg</v>
      </c>
      <c r="E22">
        <f>VLOOKUP(C22,Transactions[],5,0)</f>
        <v>20</v>
      </c>
      <c r="F22" s="13">
        <f>VLOOKUP(C22,Transactions[],6,0)</f>
        <v>31000</v>
      </c>
      <c r="G22" s="13">
        <f>InvoicesDetail[[#This Row],[Qty]]*InvoicesDetail[[#This Row],[Unit Price]]</f>
        <v>620000</v>
      </c>
      <c r="H22" t="s">
        <v>375</v>
      </c>
      <c r="I22" t="str">
        <f>VLOOKUP(A22,Invoices_Display!$A$1:$I$201,9,0)</f>
        <v>Project Site C + D</v>
      </c>
      <c r="J22" t="str">
        <f>VLOOKUP(InvoicesDetail[[#This Row],[Transaction ID]],Transactions[],8,0)</f>
        <v>OUT</v>
      </c>
      <c r="K22" t="str">
        <f>TEXT(InvoicesDetail[[#This Row],[Date]],"MMM-YYYY")</f>
        <v>Jul-2025</v>
      </c>
    </row>
    <row r="23" spans="1:11" hidden="1" x14ac:dyDescent="0.25">
      <c r="A23" t="s">
        <v>287</v>
      </c>
      <c r="B23" s="18">
        <f>INDEX(Transactions[Date],MATCH(InvoicesDetail[[#This Row],[Transaction ID]],Transactions[Transaction ID],0))</f>
        <v>45863</v>
      </c>
      <c r="C23" t="s">
        <v>146</v>
      </c>
      <c r="D23" t="str">
        <f>VLOOKUP(C23,Transactions[],4,0)</f>
        <v>Gerinda Tangan</v>
      </c>
      <c r="E23">
        <f>VLOOKUP(C23,Transactions[],5,0)</f>
        <v>20</v>
      </c>
      <c r="F23" s="13">
        <f>VLOOKUP(C23,Transactions[],6,0)</f>
        <v>465000</v>
      </c>
      <c r="G23" s="13">
        <f>InvoicesDetail[[#This Row],[Qty]]*InvoicesDetail[[#This Row],[Unit Price]]</f>
        <v>9300000</v>
      </c>
      <c r="H23" t="s">
        <v>374</v>
      </c>
      <c r="I23" t="str">
        <f>VLOOKUP(A23,Invoices_Display!$A$1:$I$201,9,0)</f>
        <v>PO #001</v>
      </c>
      <c r="J23" t="str">
        <f>VLOOKUP(InvoicesDetail[[#This Row],[Transaction ID]],Transactions[],8,0)</f>
        <v>OUT</v>
      </c>
      <c r="K23" t="str">
        <f>TEXT(InvoicesDetail[[#This Row],[Date]],"MMM-YYYY")</f>
        <v>Jul-2025</v>
      </c>
    </row>
    <row r="24" spans="1:11" hidden="1" x14ac:dyDescent="0.25">
      <c r="A24" t="s">
        <v>287</v>
      </c>
      <c r="B24" s="18">
        <f>INDEX(Transactions[Date],MATCH(InvoicesDetail[[#This Row],[Transaction ID]],Transactions[Transaction ID],0))</f>
        <v>45860</v>
      </c>
      <c r="C24" t="s">
        <v>147</v>
      </c>
      <c r="D24" t="str">
        <f>VLOOKUP(C24,Transactions[],4,0)</f>
        <v>Sarung Tangan Katun</v>
      </c>
      <c r="E24">
        <f>VLOOKUP(C24,Transactions[],5,0)</f>
        <v>14</v>
      </c>
      <c r="F24" s="13">
        <f>VLOOKUP(C24,Transactions[],6,0)</f>
        <v>20000</v>
      </c>
      <c r="G24" s="13">
        <f>InvoicesDetail[[#This Row],[Qty]]*InvoicesDetail[[#This Row],[Unit Price]]</f>
        <v>280000</v>
      </c>
      <c r="H24" t="s">
        <v>374</v>
      </c>
      <c r="I24" t="str">
        <f>VLOOKUP(A24,Invoices_Display!$A$1:$I$201,9,0)</f>
        <v>PO #001</v>
      </c>
      <c r="J24" t="str">
        <f>VLOOKUP(InvoicesDetail[[#This Row],[Transaction ID]],Transactions[],8,0)</f>
        <v>OUT</v>
      </c>
      <c r="K24" t="str">
        <f>TEXT(InvoicesDetail[[#This Row],[Date]],"MMM-YYYY")</f>
        <v>Jul-2025</v>
      </c>
    </row>
    <row r="25" spans="1:11" hidden="1" x14ac:dyDescent="0.25">
      <c r="A25" t="s">
        <v>287</v>
      </c>
      <c r="B25" s="18">
        <f>INDEX(Transactions[Date],MATCH(InvoicesDetail[[#This Row],[Transaction ID]],Transactions[Transaction ID],0))</f>
        <v>45856</v>
      </c>
      <c r="C25" t="s">
        <v>226</v>
      </c>
      <c r="D25" t="str">
        <f>VLOOKUP(C25,Transactions[],4,0)</f>
        <v>Cat Tembok 1 kg</v>
      </c>
      <c r="E25">
        <f>VLOOKUP(C25,Transactions[],5,0)</f>
        <v>10</v>
      </c>
      <c r="F25" s="13">
        <f>VLOOKUP(C25,Transactions[],6,0)</f>
        <v>31000</v>
      </c>
      <c r="G25" s="13">
        <f>InvoicesDetail[[#This Row],[Qty]]*InvoicesDetail[[#This Row],[Unit Price]]</f>
        <v>310000</v>
      </c>
      <c r="H25" t="s">
        <v>374</v>
      </c>
      <c r="I25" t="str">
        <f>VLOOKUP(A25,Invoices_Display!$A$1:$I$201,9,0)</f>
        <v>PO #001</v>
      </c>
      <c r="J25" t="str">
        <f>VLOOKUP(InvoicesDetail[[#This Row],[Transaction ID]],Transactions[],8,0)</f>
        <v>IN</v>
      </c>
      <c r="K25" t="str">
        <f>TEXT(InvoicesDetail[[#This Row],[Date]],"MMM-YYYY")</f>
        <v>Jul-2025</v>
      </c>
    </row>
    <row r="26" spans="1:11" hidden="1" x14ac:dyDescent="0.25">
      <c r="A26" t="s">
        <v>287</v>
      </c>
      <c r="B26" s="18">
        <f>INDEX(Transactions[Date],MATCH(InvoicesDetail[[#This Row],[Transaction ID]],Transactions[Transaction ID],0))</f>
        <v>45913</v>
      </c>
      <c r="C26" t="s">
        <v>227</v>
      </c>
      <c r="D26" t="str">
        <f>VLOOKUP(C26,Transactions[],4,0)</f>
        <v>Rantai Besi 10m</v>
      </c>
      <c r="E26">
        <f>VLOOKUP(C26,Transactions[],5,0)</f>
        <v>2</v>
      </c>
      <c r="F26" s="13">
        <f>VLOOKUP(C26,Transactions[],6,0)</f>
        <v>431000</v>
      </c>
      <c r="G26" s="13">
        <f>InvoicesDetail[[#This Row],[Qty]]*InvoicesDetail[[#This Row],[Unit Price]]</f>
        <v>862000</v>
      </c>
      <c r="H26" t="s">
        <v>374</v>
      </c>
      <c r="I26" t="str">
        <f>VLOOKUP(A26,Invoices_Display!$A$1:$I$201,9,0)</f>
        <v>PO #001</v>
      </c>
      <c r="J26" t="str">
        <f>VLOOKUP(InvoicesDetail[[#This Row],[Transaction ID]],Transactions[],8,0)</f>
        <v>OUT</v>
      </c>
      <c r="K26" t="str">
        <f>TEXT(InvoicesDetail[[#This Row],[Date]],"MMM-YYYY")</f>
        <v>Sep-2025</v>
      </c>
    </row>
    <row r="27" spans="1:11" hidden="1" x14ac:dyDescent="0.25">
      <c r="A27" t="s">
        <v>270</v>
      </c>
      <c r="B27" s="18">
        <f>INDEX(Transactions[Date],MATCH(InvoicesDetail[[#This Row],[Transaction ID]],Transactions[Transaction ID],0))</f>
        <v>45846</v>
      </c>
      <c r="C27" t="s">
        <v>131</v>
      </c>
      <c r="D27" t="str">
        <f>VLOOKUP(C27,Transactions[],4,0)</f>
        <v>Pipa PVC 4 inch (per batang)</v>
      </c>
      <c r="E27">
        <f>VLOOKUP(C27,Transactions[],5,0)</f>
        <v>15</v>
      </c>
      <c r="F27" s="13">
        <f>VLOOKUP(C27,Transactions[],6,0)</f>
        <v>260000</v>
      </c>
      <c r="G27" s="13">
        <f>InvoicesDetail[[#This Row],[Qty]]*InvoicesDetail[[#This Row],[Unit Price]]</f>
        <v>3900000</v>
      </c>
      <c r="H27" t="s">
        <v>375</v>
      </c>
      <c r="I27" t="str">
        <f>VLOOKUP(A27,Invoices_Display!$A$1:$I$201,9,0)</f>
        <v>PO #002</v>
      </c>
      <c r="J27" t="str">
        <f>VLOOKUP(InvoicesDetail[[#This Row],[Transaction ID]],Transactions[],8,0)</f>
        <v>IN</v>
      </c>
      <c r="K27" t="str">
        <f>TEXT(InvoicesDetail[[#This Row],[Date]],"MMM-YYYY")</f>
        <v>Jul-2025</v>
      </c>
    </row>
    <row r="28" spans="1:11" hidden="1" x14ac:dyDescent="0.25">
      <c r="A28" t="s">
        <v>270</v>
      </c>
      <c r="B28" s="18">
        <f>INDEX(Transactions[Date],MATCH(InvoicesDetail[[#This Row],[Transaction ID]],Transactions[Transaction ID],0))</f>
        <v>45894</v>
      </c>
      <c r="C28" t="s">
        <v>145</v>
      </c>
      <c r="D28" t="str">
        <f>VLOOKUP(C28,Transactions[],4,0)</f>
        <v>Bor Tangan Listrik</v>
      </c>
      <c r="E28">
        <f>VLOOKUP(C28,Transactions[],5,0)</f>
        <v>10</v>
      </c>
      <c r="F28" s="13">
        <f>VLOOKUP(C28,Transactions[],6,0)</f>
        <v>335500</v>
      </c>
      <c r="G28" s="13">
        <f>InvoicesDetail[[#This Row],[Qty]]*InvoicesDetail[[#This Row],[Unit Price]]</f>
        <v>3355000</v>
      </c>
      <c r="H28" t="s">
        <v>375</v>
      </c>
      <c r="I28" t="str">
        <f>VLOOKUP(A28,Invoices_Display!$A$1:$I$201,9,0)</f>
        <v>PO #002</v>
      </c>
      <c r="J28" t="str">
        <f>VLOOKUP(InvoicesDetail[[#This Row],[Transaction ID]],Transactions[],8,0)</f>
        <v>OUT</v>
      </c>
      <c r="K28" t="str">
        <f>TEXT(InvoicesDetail[[#This Row],[Date]],"MMM-YYYY")</f>
        <v>Aug-2025</v>
      </c>
    </row>
    <row r="29" spans="1:11" hidden="1" x14ac:dyDescent="0.25">
      <c r="A29" t="s">
        <v>270</v>
      </c>
      <c r="B29" s="18">
        <f>INDEX(Transactions[Date],MATCH(InvoicesDetail[[#This Row],[Transaction ID]],Transactions[Transaction ID],0))</f>
        <v>45919</v>
      </c>
      <c r="C29" t="s">
        <v>167</v>
      </c>
      <c r="D29" t="str">
        <f>VLOOKUP(C29,Transactions[],4,0)</f>
        <v>Pompa Air Industri</v>
      </c>
      <c r="E29">
        <f>VLOOKUP(C29,Transactions[],5,0)</f>
        <v>1</v>
      </c>
      <c r="F29" s="13">
        <f>VLOOKUP(C29,Transactions[],6,0)</f>
        <v>4490000</v>
      </c>
      <c r="G29" s="13">
        <f>InvoicesDetail[[#This Row],[Qty]]*InvoicesDetail[[#This Row],[Unit Price]]</f>
        <v>4490000</v>
      </c>
      <c r="H29" t="s">
        <v>375</v>
      </c>
      <c r="I29" t="str">
        <f>VLOOKUP(A29,Invoices_Display!$A$1:$I$201,9,0)</f>
        <v>PO #002</v>
      </c>
      <c r="J29" t="str">
        <f>VLOOKUP(InvoicesDetail[[#This Row],[Transaction ID]],Transactions[],8,0)</f>
        <v>IN</v>
      </c>
      <c r="K29" t="str">
        <f>TEXT(InvoicesDetail[[#This Row],[Date]],"MMM-YYYY")</f>
        <v>Sep-2025</v>
      </c>
    </row>
    <row r="30" spans="1:11" hidden="1" x14ac:dyDescent="0.25">
      <c r="A30" t="s">
        <v>270</v>
      </c>
      <c r="B30" s="18">
        <f>INDEX(Transactions[Date],MATCH(InvoicesDetail[[#This Row],[Transaction ID]],Transactions[Transaction ID],0))</f>
        <v>45925</v>
      </c>
      <c r="C30" t="s">
        <v>202</v>
      </c>
      <c r="D30" t="str">
        <f>VLOOKUP(C30,Transactions[],4,0)</f>
        <v>Helm Proyek</v>
      </c>
      <c r="E30">
        <f>VLOOKUP(C30,Transactions[],5,0)</f>
        <v>16</v>
      </c>
      <c r="F30" s="13">
        <f>VLOOKUP(C30,Transactions[],6,0)</f>
        <v>50000</v>
      </c>
      <c r="G30" s="13">
        <f>InvoicesDetail[[#This Row],[Qty]]*InvoicesDetail[[#This Row],[Unit Price]]</f>
        <v>800000</v>
      </c>
      <c r="H30" t="s">
        <v>375</v>
      </c>
      <c r="I30" t="str">
        <f>VLOOKUP(A30,Invoices_Display!$A$1:$I$201,9,0)</f>
        <v>PO #002</v>
      </c>
      <c r="J30" t="str">
        <f>VLOOKUP(InvoicesDetail[[#This Row],[Transaction ID]],Transactions[],8,0)</f>
        <v>IN</v>
      </c>
      <c r="K30" t="str">
        <f>TEXT(InvoicesDetail[[#This Row],[Date]],"MMM-YYYY")</f>
        <v>Sep-2025</v>
      </c>
    </row>
    <row r="31" spans="1:11" hidden="1" x14ac:dyDescent="0.25">
      <c r="A31" t="s">
        <v>288</v>
      </c>
      <c r="B31" s="18">
        <f>INDEX(Transactions[Date],MATCH(InvoicesDetail[[#This Row],[Transaction ID]],Transactions[Transaction ID],0))</f>
        <v>45904</v>
      </c>
      <c r="C31" s="1" t="s">
        <v>81</v>
      </c>
      <c r="D31" t="str">
        <f>VLOOKUP(C31,Transactions[],4,0)</f>
        <v>Bor Tangan Listrik</v>
      </c>
      <c r="E31">
        <f>VLOOKUP(C31,Transactions[],5,0)</f>
        <v>7</v>
      </c>
      <c r="F31" s="13">
        <f>VLOOKUP(C31,Transactions[],6,0)</f>
        <v>335500</v>
      </c>
      <c r="G31" s="13">
        <f>InvoicesDetail[[#This Row],[Qty]]*InvoicesDetail[[#This Row],[Unit Price]]</f>
        <v>2348500</v>
      </c>
      <c r="H31" t="s">
        <v>374</v>
      </c>
      <c r="I31" t="str">
        <f>VLOOKUP(A31,Invoices_Display!$A$1:$I$201,9,0)</f>
        <v>Proyek Maintenance</v>
      </c>
      <c r="J31" t="str">
        <f>VLOOKUP(InvoicesDetail[[#This Row],[Transaction ID]],Transactions[],8,0)</f>
        <v>OUT</v>
      </c>
      <c r="K31" t="str">
        <f>TEXT(InvoicesDetail[[#This Row],[Date]],"MMM-YYYY")</f>
        <v>Sep-2025</v>
      </c>
    </row>
    <row r="32" spans="1:11" hidden="1" x14ac:dyDescent="0.25">
      <c r="A32" t="s">
        <v>288</v>
      </c>
      <c r="B32" s="18">
        <f>INDEX(Transactions[Date],MATCH(InvoicesDetail[[#This Row],[Transaction ID]],Transactions[Transaction ID],0))</f>
        <v>45899</v>
      </c>
      <c r="C32" t="s">
        <v>198</v>
      </c>
      <c r="D32" t="str">
        <f>VLOOKUP(C32,Transactions[],4,0)</f>
        <v>Cat Minyak 5L</v>
      </c>
      <c r="E32">
        <f>VLOOKUP(C32,Transactions[],5,0)</f>
        <v>10</v>
      </c>
      <c r="F32" s="13">
        <f>VLOOKUP(C32,Transactions[],6,0)</f>
        <v>135500</v>
      </c>
      <c r="G32" s="13">
        <f>InvoicesDetail[[#This Row],[Qty]]*InvoicesDetail[[#This Row],[Unit Price]]</f>
        <v>1355000</v>
      </c>
      <c r="H32" t="s">
        <v>374</v>
      </c>
      <c r="I32" t="str">
        <f>VLOOKUP(A32,Invoices_Display!$A$1:$I$201,9,0)</f>
        <v>Proyek Maintenance</v>
      </c>
      <c r="J32" t="str">
        <f>VLOOKUP(InvoicesDetail[[#This Row],[Transaction ID]],Transactions[],8,0)</f>
        <v>OUT</v>
      </c>
      <c r="K32" t="str">
        <f>TEXT(InvoicesDetail[[#This Row],[Date]],"MMM-YYYY")</f>
        <v>Aug-2025</v>
      </c>
    </row>
    <row r="33" spans="1:11" hidden="1" x14ac:dyDescent="0.25">
      <c r="A33" t="s">
        <v>288</v>
      </c>
      <c r="B33" s="18">
        <f>INDEX(Transactions[Date],MATCH(InvoicesDetail[[#This Row],[Transaction ID]],Transactions[Transaction ID],0))</f>
        <v>45901</v>
      </c>
      <c r="C33" t="s">
        <v>224</v>
      </c>
      <c r="D33" t="str">
        <f>VLOOKUP(C33,Transactions[],4,0)</f>
        <v>Lampu Sorot LED 100W</v>
      </c>
      <c r="E33">
        <f>VLOOKUP(C33,Transactions[],5,0)</f>
        <v>8</v>
      </c>
      <c r="F33" s="13">
        <f>VLOOKUP(C33,Transactions[],6,0)</f>
        <v>237000</v>
      </c>
      <c r="G33" s="13">
        <f>InvoicesDetail[[#This Row],[Qty]]*InvoicesDetail[[#This Row],[Unit Price]]</f>
        <v>1896000</v>
      </c>
      <c r="H33" t="s">
        <v>374</v>
      </c>
      <c r="I33" t="str">
        <f>VLOOKUP(A33,Invoices_Display!$A$1:$I$201,9,0)</f>
        <v>Proyek Maintenance</v>
      </c>
      <c r="J33" t="str">
        <f>VLOOKUP(InvoicesDetail[[#This Row],[Transaction ID]],Transactions[],8,0)</f>
        <v>IN</v>
      </c>
      <c r="K33" t="str">
        <f>TEXT(InvoicesDetail[[#This Row],[Date]],"MMM-YYYY")</f>
        <v>Sep-2025</v>
      </c>
    </row>
    <row r="34" spans="1:11" hidden="1" x14ac:dyDescent="0.25">
      <c r="A34" t="s">
        <v>289</v>
      </c>
      <c r="B34" s="18">
        <f>INDEX(Transactions[Date],MATCH(InvoicesDetail[[#This Row],[Transaction ID]],Transactions[Transaction ID],0))</f>
        <v>45867</v>
      </c>
      <c r="C34" t="s">
        <v>157</v>
      </c>
      <c r="D34" t="str">
        <f>VLOOKUP(C34,Transactions[],4,0)</f>
        <v>Cat Minyak 5L</v>
      </c>
      <c r="E34">
        <f>VLOOKUP(C34,Transactions[],5,0)</f>
        <v>8</v>
      </c>
      <c r="F34" s="13">
        <f>VLOOKUP(C34,Transactions[],6,0)</f>
        <v>135500</v>
      </c>
      <c r="G34" s="13">
        <f>InvoicesDetail[[#This Row],[Qty]]*InvoicesDetail[[#This Row],[Unit Price]]</f>
        <v>1084000</v>
      </c>
      <c r="H34" t="s">
        <v>374</v>
      </c>
      <c r="I34" t="str">
        <f>VLOOKUP(A34,Invoices_Display!$A$1:$I$201,9,0)</f>
        <v>Project Site B</v>
      </c>
      <c r="J34" t="str">
        <f>VLOOKUP(InvoicesDetail[[#This Row],[Transaction ID]],Transactions[],8,0)</f>
        <v>IN</v>
      </c>
      <c r="K34" t="str">
        <f>TEXT(InvoicesDetail[[#This Row],[Date]],"MMM-YYYY")</f>
        <v>Jul-2025</v>
      </c>
    </row>
    <row r="35" spans="1:11" hidden="1" x14ac:dyDescent="0.25">
      <c r="A35" t="s">
        <v>289</v>
      </c>
      <c r="B35" s="18">
        <f>INDEX(Transactions[Date],MATCH(InvoicesDetail[[#This Row],[Transaction ID]],Transactions[Transaction ID],0))</f>
        <v>45884</v>
      </c>
      <c r="C35" t="s">
        <v>69</v>
      </c>
      <c r="D35" t="str">
        <f>VLOOKUP(C35,Transactions[],4,0)</f>
        <v>Lampu Sorot LED 100W</v>
      </c>
      <c r="E35">
        <f>VLOOKUP(C35,Transactions[],5,0)</f>
        <v>8</v>
      </c>
      <c r="F35" s="13">
        <f>VLOOKUP(C35,Transactions[],6,0)</f>
        <v>237000</v>
      </c>
      <c r="G35" s="13">
        <f>InvoicesDetail[[#This Row],[Qty]]*InvoicesDetail[[#This Row],[Unit Price]]</f>
        <v>1896000</v>
      </c>
      <c r="H35" t="s">
        <v>374</v>
      </c>
      <c r="I35" t="str">
        <f>VLOOKUP(A35,Invoices_Display!$A$1:$I$201,9,0)</f>
        <v>Project Site B</v>
      </c>
      <c r="J35" t="str">
        <f>VLOOKUP(InvoicesDetail[[#This Row],[Transaction ID]],Transactions[],8,0)</f>
        <v>OUT</v>
      </c>
      <c r="K35" t="str">
        <f>TEXT(InvoicesDetail[[#This Row],[Date]],"MMM-YYYY")</f>
        <v>Aug-2025</v>
      </c>
    </row>
    <row r="36" spans="1:11" hidden="1" x14ac:dyDescent="0.25">
      <c r="A36" t="s">
        <v>290</v>
      </c>
      <c r="B36" s="18">
        <f>INDEX(Transactions[Date],MATCH(InvoicesDetail[[#This Row],[Transaction ID]],Transactions[Transaction ID],0))</f>
        <v>45905</v>
      </c>
      <c r="C36" t="s">
        <v>163</v>
      </c>
      <c r="D36" t="str">
        <f>VLOOKUP(C36,Transactions[],4,0)</f>
        <v>Pipa PVC 4 inch (per batang)</v>
      </c>
      <c r="E36">
        <f>VLOOKUP(C36,Transactions[],5,0)</f>
        <v>20</v>
      </c>
      <c r="F36" s="13">
        <f>VLOOKUP(C36,Transactions[],6,0)</f>
        <v>260000</v>
      </c>
      <c r="G36" s="13">
        <f>InvoicesDetail[[#This Row],[Qty]]*InvoicesDetail[[#This Row],[Unit Price]]</f>
        <v>5200000</v>
      </c>
      <c r="H36" t="s">
        <v>374</v>
      </c>
      <c r="I36" t="str">
        <f>VLOOKUP(A36,Invoices_Display!$A$1:$I$201,9,0)</f>
        <v>PO #003</v>
      </c>
      <c r="J36" t="str">
        <f>VLOOKUP(InvoicesDetail[[#This Row],[Transaction ID]],Transactions[],8,0)</f>
        <v>OUT</v>
      </c>
      <c r="K36" t="str">
        <f>TEXT(InvoicesDetail[[#This Row],[Date]],"MMM-YYYY")</f>
        <v>Sep-2025</v>
      </c>
    </row>
    <row r="37" spans="1:11" hidden="1" x14ac:dyDescent="0.25">
      <c r="A37" t="s">
        <v>290</v>
      </c>
      <c r="B37" s="18">
        <f>INDEX(Transactions[Date],MATCH(InvoicesDetail[[#This Row],[Transaction ID]],Transactions[Transaction ID],0))</f>
        <v>45841</v>
      </c>
      <c r="C37" t="s">
        <v>193</v>
      </c>
      <c r="D37" t="str">
        <f>VLOOKUP(C37,Transactions[],4,0)</f>
        <v>Drum Solar 200L</v>
      </c>
      <c r="E37">
        <f>VLOOKUP(C37,Transactions[],5,0)</f>
        <v>15</v>
      </c>
      <c r="F37" s="13">
        <f>VLOOKUP(C37,Transactions[],6,0)</f>
        <v>1060000</v>
      </c>
      <c r="G37" s="13">
        <f>InvoicesDetail[[#This Row],[Qty]]*InvoicesDetail[[#This Row],[Unit Price]]</f>
        <v>15900000</v>
      </c>
      <c r="H37" t="s">
        <v>374</v>
      </c>
      <c r="I37" t="str">
        <f>VLOOKUP(A37,Invoices_Display!$A$1:$I$201,9,0)</f>
        <v>PO #003</v>
      </c>
      <c r="J37" t="str">
        <f>VLOOKUP(InvoicesDetail[[#This Row],[Transaction ID]],Transactions[],8,0)</f>
        <v>IN</v>
      </c>
      <c r="K37" t="str">
        <f>TEXT(InvoicesDetail[[#This Row],[Date]],"MMM-YYYY")</f>
        <v>Jul-2025</v>
      </c>
    </row>
    <row r="38" spans="1:11" hidden="1" x14ac:dyDescent="0.25">
      <c r="A38" t="s">
        <v>290</v>
      </c>
      <c r="B38" s="18">
        <f>INDEX(Transactions[Date],MATCH(InvoicesDetail[[#This Row],[Transaction ID]],Transactions[Transaction ID],0))</f>
        <v>45865</v>
      </c>
      <c r="C38" t="s">
        <v>70</v>
      </c>
      <c r="D38" t="str">
        <f>VLOOKUP(C38,Transactions[],4,0)</f>
        <v>Cat Tembok 1 kg</v>
      </c>
      <c r="E38">
        <f>VLOOKUP(C38,Transactions[],5,0)</f>
        <v>1</v>
      </c>
      <c r="F38" s="13">
        <f>VLOOKUP(C38,Transactions[],6,0)</f>
        <v>31000</v>
      </c>
      <c r="G38" s="13">
        <f>InvoicesDetail[[#This Row],[Qty]]*InvoicesDetail[[#This Row],[Unit Price]]</f>
        <v>31000</v>
      </c>
      <c r="H38" t="s">
        <v>374</v>
      </c>
      <c r="I38" t="str">
        <f>VLOOKUP(A38,Invoices_Display!$A$1:$I$201,9,0)</f>
        <v>PO #003</v>
      </c>
      <c r="J38" t="str">
        <f>VLOOKUP(InvoicesDetail[[#This Row],[Transaction ID]],Transactions[],8,0)</f>
        <v>IN</v>
      </c>
      <c r="K38" t="str">
        <f>TEXT(InvoicesDetail[[#This Row],[Date]],"MMM-YYYY")</f>
        <v>Jul-2025</v>
      </c>
    </row>
    <row r="39" spans="1:11" hidden="1" x14ac:dyDescent="0.25">
      <c r="A39" t="s">
        <v>290</v>
      </c>
      <c r="B39" s="18">
        <f>INDEX(Transactions[Date],MATCH(InvoicesDetail[[#This Row],[Transaction ID]],Transactions[Transaction ID],0))</f>
        <v>45903</v>
      </c>
      <c r="C39" t="s">
        <v>253</v>
      </c>
      <c r="D39" t="str">
        <f>VLOOKUP(C39,Transactions[],4,0)</f>
        <v>Jaket Safety</v>
      </c>
      <c r="E39">
        <f>VLOOKUP(C39,Transactions[],5,0)</f>
        <v>14</v>
      </c>
      <c r="F39" s="13">
        <f>VLOOKUP(C39,Transactions[],6,0)</f>
        <v>245000</v>
      </c>
      <c r="G39" s="13">
        <f>InvoicesDetail[[#This Row],[Qty]]*InvoicesDetail[[#This Row],[Unit Price]]</f>
        <v>3430000</v>
      </c>
      <c r="H39" t="s">
        <v>374</v>
      </c>
      <c r="I39" t="str">
        <f>VLOOKUP(A39,Invoices_Display!$A$1:$I$201,9,0)</f>
        <v>PO #003</v>
      </c>
      <c r="J39" t="str">
        <f>VLOOKUP(InvoicesDetail[[#This Row],[Transaction ID]],Transactions[],8,0)</f>
        <v>OUT</v>
      </c>
      <c r="K39" t="str">
        <f>TEXT(InvoicesDetail[[#This Row],[Date]],"MMM-YYYY")</f>
        <v>Sep-2025</v>
      </c>
    </row>
    <row r="40" spans="1:11" hidden="1" x14ac:dyDescent="0.25">
      <c r="A40" t="s">
        <v>291</v>
      </c>
      <c r="B40" s="18">
        <f>INDEX(Transactions[Date],MATCH(InvoicesDetail[[#This Row],[Transaction ID]],Transactions[Transaction ID],0))</f>
        <v>45879</v>
      </c>
      <c r="C40" s="1" t="s">
        <v>164</v>
      </c>
      <c r="D40" t="str">
        <f>VLOOKUP(C40,Transactions[],4,0)</f>
        <v>Pipa PVC 4 inch (per batang)</v>
      </c>
      <c r="E40">
        <f>VLOOKUP(C40,Transactions[],5,0)</f>
        <v>7</v>
      </c>
      <c r="F40" s="13">
        <f>VLOOKUP(C40,Transactions[],6,0)</f>
        <v>260000</v>
      </c>
      <c r="G40" s="13">
        <f>InvoicesDetail[[#This Row],[Qty]]*InvoicesDetail[[#This Row],[Unit Price]]</f>
        <v>1820000</v>
      </c>
      <c r="H40" t="s">
        <v>375</v>
      </c>
      <c r="I40" t="str">
        <f>VLOOKUP(A40,Invoices_Display!$A$1:$I$201,9,0)</f>
        <v>Project Site C + D</v>
      </c>
      <c r="J40" t="str">
        <f>VLOOKUP(InvoicesDetail[[#This Row],[Transaction ID]],Transactions[],8,0)</f>
        <v>IN</v>
      </c>
      <c r="K40" t="str">
        <f>TEXT(InvoicesDetail[[#This Row],[Date]],"MMM-YYYY")</f>
        <v>Aug-2025</v>
      </c>
    </row>
    <row r="41" spans="1:11" hidden="1" x14ac:dyDescent="0.25">
      <c r="A41" t="s">
        <v>291</v>
      </c>
      <c r="B41" s="18">
        <f>INDEX(Transactions[Date],MATCH(InvoicesDetail[[#This Row],[Transaction ID]],Transactions[Transaction ID],0))</f>
        <v>45923</v>
      </c>
      <c r="C41" t="s">
        <v>242</v>
      </c>
      <c r="D41" t="str">
        <f>VLOOKUP(C41,Transactions[],4,0)</f>
        <v>Helm Proyek</v>
      </c>
      <c r="E41">
        <f>VLOOKUP(C41,Transactions[],5,0)</f>
        <v>1</v>
      </c>
      <c r="F41" s="13">
        <f>VLOOKUP(C41,Transactions[],6,0)</f>
        <v>50000</v>
      </c>
      <c r="G41" s="13">
        <f>InvoicesDetail[[#This Row],[Qty]]*InvoicesDetail[[#This Row],[Unit Price]]</f>
        <v>50000</v>
      </c>
      <c r="H41" t="s">
        <v>375</v>
      </c>
      <c r="I41" t="str">
        <f>VLOOKUP(A41,Invoices_Display!$A$1:$I$201,9,0)</f>
        <v>Project Site C + D</v>
      </c>
      <c r="J41" t="str">
        <f>VLOOKUP(InvoicesDetail[[#This Row],[Transaction ID]],Transactions[],8,0)</f>
        <v>IN</v>
      </c>
      <c r="K41" t="str">
        <f>TEXT(InvoicesDetail[[#This Row],[Date]],"MMM-YYYY")</f>
        <v>Sep-2025</v>
      </c>
    </row>
    <row r="42" spans="1:11" hidden="1" x14ac:dyDescent="0.25">
      <c r="A42" t="s">
        <v>291</v>
      </c>
      <c r="B42" s="18">
        <f>INDEX(Transactions[Date],MATCH(InvoicesDetail[[#This Row],[Transaction ID]],Transactions[Transaction ID],0))</f>
        <v>45880</v>
      </c>
      <c r="C42" t="s">
        <v>252</v>
      </c>
      <c r="D42" t="str">
        <f>VLOOKUP(C42,Transactions[],4,0)</f>
        <v>Kabel Listrik Roll 50m</v>
      </c>
      <c r="E42">
        <f>VLOOKUP(C42,Transactions[],5,0)</f>
        <v>1</v>
      </c>
      <c r="F42" s="13">
        <f>VLOOKUP(C42,Transactions[],6,0)</f>
        <v>203500</v>
      </c>
      <c r="G42" s="13">
        <f>InvoicesDetail[[#This Row],[Qty]]*InvoicesDetail[[#This Row],[Unit Price]]</f>
        <v>203500</v>
      </c>
      <c r="H42" t="s">
        <v>375</v>
      </c>
      <c r="I42" t="str">
        <f>VLOOKUP(A42,Invoices_Display!$A$1:$I$201,9,0)</f>
        <v>Project Site C + D</v>
      </c>
      <c r="J42" t="str">
        <f>VLOOKUP(InvoicesDetail[[#This Row],[Transaction ID]],Transactions[],8,0)</f>
        <v>OUT</v>
      </c>
      <c r="K42" t="str">
        <f>TEXT(InvoicesDetail[[#This Row],[Date]],"MMM-YYYY")</f>
        <v>Aug-2025</v>
      </c>
    </row>
    <row r="43" spans="1:11" hidden="1" x14ac:dyDescent="0.25">
      <c r="A43" t="s">
        <v>291</v>
      </c>
      <c r="B43" s="18">
        <f>INDEX(Transactions[Date],MATCH(InvoicesDetail[[#This Row],[Transaction ID]],Transactions[Transaction ID],0))</f>
        <v>45891</v>
      </c>
      <c r="C43" t="s">
        <v>263</v>
      </c>
      <c r="D43" t="str">
        <f>VLOOKUP(C43,Transactions[],4,0)</f>
        <v>Drum Solar 200L</v>
      </c>
      <c r="E43">
        <f>VLOOKUP(C43,Transactions[],5,0)</f>
        <v>1</v>
      </c>
      <c r="F43" s="13">
        <f>VLOOKUP(C43,Transactions[],6,0)</f>
        <v>1060000</v>
      </c>
      <c r="G43" s="13">
        <f>InvoicesDetail[[#This Row],[Qty]]*InvoicesDetail[[#This Row],[Unit Price]]</f>
        <v>1060000</v>
      </c>
      <c r="H43" t="s">
        <v>375</v>
      </c>
      <c r="I43" t="str">
        <f>VLOOKUP(A43,Invoices_Display!$A$1:$I$201,9,0)</f>
        <v>Project Site C + D</v>
      </c>
      <c r="J43" t="str">
        <f>VLOOKUP(InvoicesDetail[[#This Row],[Transaction ID]],Transactions[],8,0)</f>
        <v>OUT</v>
      </c>
      <c r="K43" t="str">
        <f>TEXT(InvoicesDetail[[#This Row],[Date]],"MMM-YYYY")</f>
        <v>Aug-2025</v>
      </c>
    </row>
    <row r="44" spans="1:11" hidden="1" x14ac:dyDescent="0.25">
      <c r="A44" t="s">
        <v>292</v>
      </c>
      <c r="B44" s="18">
        <f>INDEX(Transactions[Date],MATCH(InvoicesDetail[[#This Row],[Transaction ID]],Transactions[Transaction ID],0))</f>
        <v>45912</v>
      </c>
      <c r="C44" t="s">
        <v>243</v>
      </c>
      <c r="D44" t="str">
        <f>VLOOKUP(C44,Transactions[],4,0)</f>
        <v>Genset Portable 1000W</v>
      </c>
      <c r="E44">
        <f>VLOOKUP(C44,Transactions[],5,0)</f>
        <v>9</v>
      </c>
      <c r="F44" s="13">
        <f>VLOOKUP(C44,Transactions[],6,0)</f>
        <v>3134000</v>
      </c>
      <c r="G44" s="13">
        <f>InvoicesDetail[[#This Row],[Qty]]*InvoicesDetail[[#This Row],[Unit Price]]</f>
        <v>28206000</v>
      </c>
      <c r="H44" t="s">
        <v>375</v>
      </c>
      <c r="I44" t="str">
        <f>VLOOKUP(A44,Invoices_Display!$A$1:$I$201,9,0)</f>
        <v>Project Site A</v>
      </c>
      <c r="J44" t="str">
        <f>VLOOKUP(InvoicesDetail[[#This Row],[Transaction ID]],Transactions[],8,0)</f>
        <v>IN</v>
      </c>
      <c r="K44" t="str">
        <f>TEXT(InvoicesDetail[[#This Row],[Date]],"MMM-YYYY")</f>
        <v>Sep-2025</v>
      </c>
    </row>
    <row r="45" spans="1:11" x14ac:dyDescent="0.25">
      <c r="A45" t="s">
        <v>292</v>
      </c>
      <c r="B45" s="18">
        <f>INDEX(Transactions[Date],MATCH(InvoicesDetail[[#This Row],[Transaction ID]],Transactions[Transaction ID],0))</f>
        <v>45917</v>
      </c>
      <c r="C45" t="s">
        <v>247</v>
      </c>
      <c r="D45" t="str">
        <f>VLOOKUP(C45,Transactions[],4,0)</f>
        <v>Drum Solar 200L</v>
      </c>
      <c r="E45">
        <f>VLOOKUP(C45,Transactions[],5,0)</f>
        <v>12</v>
      </c>
      <c r="F45" s="13">
        <f>VLOOKUP(C45,Transactions[],6,0)</f>
        <v>1060000</v>
      </c>
      <c r="G45" s="13">
        <f>InvoicesDetail[[#This Row],[Qty]]*InvoicesDetail[[#This Row],[Unit Price]]</f>
        <v>12720000</v>
      </c>
      <c r="H45" t="s">
        <v>375</v>
      </c>
      <c r="I45" t="str">
        <f>VLOOKUP(A45,Invoices_Display!$A$1:$I$201,9,0)</f>
        <v>Project Site A</v>
      </c>
      <c r="J45" t="str">
        <f>VLOOKUP(InvoicesDetail[[#This Row],[Transaction ID]],Transactions[],8,0)</f>
        <v>OUT</v>
      </c>
      <c r="K45" t="str">
        <f>TEXT(InvoicesDetail[[#This Row],[Date]],"MMM-YYYY")</f>
        <v>Sep-2025</v>
      </c>
    </row>
    <row r="46" spans="1:11" hidden="1" x14ac:dyDescent="0.25">
      <c r="A46" t="s">
        <v>292</v>
      </c>
      <c r="B46" s="18">
        <f>INDEX(Transactions[Date],MATCH(InvoicesDetail[[#This Row],[Transaction ID]],Transactions[Transaction ID],0))</f>
        <v>45876</v>
      </c>
      <c r="C46" t="s">
        <v>74</v>
      </c>
      <c r="D46" t="str">
        <f>VLOOKUP(C46,Transactions[],4,0)</f>
        <v>Pompa Air Industri</v>
      </c>
      <c r="E46">
        <f>VLOOKUP(C46,Transactions[],5,0)</f>
        <v>11</v>
      </c>
      <c r="F46" s="13">
        <f>VLOOKUP(C46,Transactions[],6,0)</f>
        <v>4490000</v>
      </c>
      <c r="G46" s="13">
        <f>InvoicesDetail[[#This Row],[Qty]]*InvoicesDetail[[#This Row],[Unit Price]]</f>
        <v>49390000</v>
      </c>
      <c r="H46" t="s">
        <v>375</v>
      </c>
      <c r="I46" t="str">
        <f>VLOOKUP(A46,Invoices_Display!$A$1:$I$201,9,0)</f>
        <v>Project Site A</v>
      </c>
      <c r="J46" t="str">
        <f>VLOOKUP(InvoicesDetail[[#This Row],[Transaction ID]],Transactions[],8,0)</f>
        <v>OUT</v>
      </c>
      <c r="K46" t="str">
        <f>TEXT(InvoicesDetail[[#This Row],[Date]],"MMM-YYYY")</f>
        <v>Aug-2025</v>
      </c>
    </row>
    <row r="47" spans="1:11" hidden="1" x14ac:dyDescent="0.25">
      <c r="A47" t="s">
        <v>293</v>
      </c>
      <c r="B47" s="18">
        <f>INDEX(Transactions[Date],MATCH(InvoicesDetail[[#This Row],[Transaction ID]],Transactions[Transaction ID],0))</f>
        <v>45895</v>
      </c>
      <c r="C47" s="1" t="s">
        <v>140</v>
      </c>
      <c r="D47" t="str">
        <f>VLOOKUP(C47,Transactions[],4,0)</f>
        <v>Lampu Sorot LED 100W</v>
      </c>
      <c r="E47">
        <f>VLOOKUP(C47,Transactions[],5,0)</f>
        <v>7</v>
      </c>
      <c r="F47" s="13">
        <f>VLOOKUP(C47,Transactions[],6,0)</f>
        <v>237000</v>
      </c>
      <c r="G47" s="13">
        <f>InvoicesDetail[[#This Row],[Qty]]*InvoicesDetail[[#This Row],[Unit Price]]</f>
        <v>1659000</v>
      </c>
      <c r="H47" t="s">
        <v>374</v>
      </c>
      <c r="I47" t="str">
        <f>VLOOKUP(A47,Invoices_Display!$A$1:$I$201,9,0)</f>
        <v>Restock</v>
      </c>
      <c r="J47" t="str">
        <f>VLOOKUP(InvoicesDetail[[#This Row],[Transaction ID]],Transactions[],8,0)</f>
        <v>OUT</v>
      </c>
      <c r="K47" t="str">
        <f>TEXT(InvoicesDetail[[#This Row],[Date]],"MMM-YYYY")</f>
        <v>Aug-2025</v>
      </c>
    </row>
    <row r="48" spans="1:11" hidden="1" x14ac:dyDescent="0.25">
      <c r="A48" t="s">
        <v>293</v>
      </c>
      <c r="B48" s="18">
        <f>INDEX(Transactions[Date],MATCH(InvoicesDetail[[#This Row],[Transaction ID]],Transactions[Transaction ID],0))</f>
        <v>45866</v>
      </c>
      <c r="C48" t="s">
        <v>142</v>
      </c>
      <c r="D48" t="str">
        <f>VLOOKUP(C48,Transactions[],4,0)</f>
        <v>Drum Solar 200L</v>
      </c>
      <c r="E48">
        <f>VLOOKUP(C48,Transactions[],5,0)</f>
        <v>10</v>
      </c>
      <c r="F48" s="13">
        <f>VLOOKUP(C48,Transactions[],6,0)</f>
        <v>1060000</v>
      </c>
      <c r="G48" s="13">
        <f>InvoicesDetail[[#This Row],[Qty]]*InvoicesDetail[[#This Row],[Unit Price]]</f>
        <v>10600000</v>
      </c>
      <c r="H48" t="s">
        <v>374</v>
      </c>
      <c r="I48" t="str">
        <f>VLOOKUP(A48,Invoices_Display!$A$1:$I$201,9,0)</f>
        <v>Restock</v>
      </c>
      <c r="J48" t="str">
        <f>VLOOKUP(InvoicesDetail[[#This Row],[Transaction ID]],Transactions[],8,0)</f>
        <v>OUT</v>
      </c>
      <c r="K48" t="str">
        <f>TEXT(InvoicesDetail[[#This Row],[Date]],"MMM-YYYY")</f>
        <v>Jul-2025</v>
      </c>
    </row>
    <row r="49" spans="1:11" hidden="1" x14ac:dyDescent="0.25">
      <c r="A49" t="s">
        <v>293</v>
      </c>
      <c r="B49" s="18">
        <f>INDEX(Transactions[Date],MATCH(InvoicesDetail[[#This Row],[Transaction ID]],Transactions[Transaction ID],0))</f>
        <v>45920</v>
      </c>
      <c r="C49" t="s">
        <v>215</v>
      </c>
      <c r="D49" t="str">
        <f>VLOOKUP(C49,Transactions[],4,0)</f>
        <v>Cat Tembok 1 kg</v>
      </c>
      <c r="E49">
        <f>VLOOKUP(C49,Transactions[],5,0)</f>
        <v>15</v>
      </c>
      <c r="F49" s="13">
        <f>VLOOKUP(C49,Transactions[],6,0)</f>
        <v>31000</v>
      </c>
      <c r="G49" s="13">
        <f>InvoicesDetail[[#This Row],[Qty]]*InvoicesDetail[[#This Row],[Unit Price]]</f>
        <v>465000</v>
      </c>
      <c r="H49" t="s">
        <v>374</v>
      </c>
      <c r="I49" t="str">
        <f>VLOOKUP(A49,Invoices_Display!$A$1:$I$201,9,0)</f>
        <v>Restock</v>
      </c>
      <c r="J49" t="str">
        <f>VLOOKUP(InvoicesDetail[[#This Row],[Transaction ID]],Transactions[],8,0)</f>
        <v>OUT</v>
      </c>
      <c r="K49" t="str">
        <f>TEXT(InvoicesDetail[[#This Row],[Date]],"MMM-YYYY")</f>
        <v>Sep-2025</v>
      </c>
    </row>
    <row r="50" spans="1:11" hidden="1" x14ac:dyDescent="0.25">
      <c r="A50" t="s">
        <v>293</v>
      </c>
      <c r="B50" s="18">
        <f>INDEX(Transactions[Date],MATCH(InvoicesDetail[[#This Row],[Transaction ID]],Transactions[Transaction ID],0))</f>
        <v>45905</v>
      </c>
      <c r="C50" t="s">
        <v>82</v>
      </c>
      <c r="D50" t="str">
        <f>VLOOKUP(C50,Transactions[],4,0)</f>
        <v>Mesin Las Listrik</v>
      </c>
      <c r="E50">
        <f>VLOOKUP(C50,Transactions[],5,0)</f>
        <v>9</v>
      </c>
      <c r="F50" s="13">
        <f>VLOOKUP(C50,Transactions[],6,0)</f>
        <v>2296000</v>
      </c>
      <c r="G50" s="13">
        <f>InvoicesDetail[[#This Row],[Qty]]*InvoicesDetail[[#This Row],[Unit Price]]</f>
        <v>20664000</v>
      </c>
      <c r="H50" t="s">
        <v>374</v>
      </c>
      <c r="I50" t="str">
        <f>VLOOKUP(A50,Invoices_Display!$A$1:$I$201,9,0)</f>
        <v>Restock</v>
      </c>
      <c r="J50" t="str">
        <f>VLOOKUP(InvoicesDetail[[#This Row],[Transaction ID]],Transactions[],8,0)</f>
        <v>IN</v>
      </c>
      <c r="K50" t="str">
        <f>TEXT(InvoicesDetail[[#This Row],[Date]],"MMM-YYYY")</f>
        <v>Sep-2025</v>
      </c>
    </row>
    <row r="51" spans="1:11" hidden="1" x14ac:dyDescent="0.25">
      <c r="A51" t="s">
        <v>293</v>
      </c>
      <c r="B51" s="18">
        <f>INDEX(Transactions[Date],MATCH(InvoicesDetail[[#This Row],[Transaction ID]],Transactions[Transaction ID],0))</f>
        <v>45902</v>
      </c>
      <c r="C51" t="s">
        <v>248</v>
      </c>
      <c r="D51" t="str">
        <f>VLOOKUP(C51,Transactions[],4,0)</f>
        <v>Rantai Besi 10m</v>
      </c>
      <c r="E51">
        <f>VLOOKUP(C51,Transactions[],5,0)</f>
        <v>2</v>
      </c>
      <c r="F51" s="13">
        <f>VLOOKUP(C51,Transactions[],6,0)</f>
        <v>431000</v>
      </c>
      <c r="G51" s="13">
        <f>InvoicesDetail[[#This Row],[Qty]]*InvoicesDetail[[#This Row],[Unit Price]]</f>
        <v>862000</v>
      </c>
      <c r="H51" t="s">
        <v>374</v>
      </c>
      <c r="I51" t="str">
        <f>VLOOKUP(A51,Invoices_Display!$A$1:$I$201,9,0)</f>
        <v>Restock</v>
      </c>
      <c r="J51" t="str">
        <f>VLOOKUP(InvoicesDetail[[#This Row],[Transaction ID]],Transactions[],8,0)</f>
        <v>IN</v>
      </c>
      <c r="K51" t="str">
        <f>TEXT(InvoicesDetail[[#This Row],[Date]],"MMM-YYYY")</f>
        <v>Sep-2025</v>
      </c>
    </row>
    <row r="52" spans="1:11" hidden="1" x14ac:dyDescent="0.25">
      <c r="A52" t="s">
        <v>294</v>
      </c>
      <c r="B52" s="18">
        <f>INDEX(Transactions[Date],MATCH(InvoicesDetail[[#This Row],[Transaction ID]],Transactions[Transaction ID],0))</f>
        <v>45921</v>
      </c>
      <c r="C52" s="1" t="s">
        <v>83</v>
      </c>
      <c r="D52" t="str">
        <f>VLOOKUP(C52,Transactions[],4,0)</f>
        <v>Obeng Set</v>
      </c>
      <c r="E52">
        <f>VLOOKUP(C52,Transactions[],5,0)</f>
        <v>16</v>
      </c>
      <c r="F52" s="13">
        <f>VLOOKUP(C52,Transactions[],6,0)</f>
        <v>128000</v>
      </c>
      <c r="G52" s="13">
        <f>InvoicesDetail[[#This Row],[Qty]]*InvoicesDetail[[#This Row],[Unit Price]]</f>
        <v>2048000</v>
      </c>
      <c r="H52" t="s">
        <v>374</v>
      </c>
      <c r="I52" t="str">
        <f>VLOOKUP(A52,Invoices_Display!$A$1:$I$201,9,0)</f>
        <v>Project Site B</v>
      </c>
      <c r="J52" t="str">
        <f>VLOOKUP(InvoicesDetail[[#This Row],[Transaction ID]],Transactions[],8,0)</f>
        <v>IN</v>
      </c>
      <c r="K52" t="str">
        <f>TEXT(InvoicesDetail[[#This Row],[Date]],"MMM-YYYY")</f>
        <v>Sep-2025</v>
      </c>
    </row>
    <row r="53" spans="1:11" hidden="1" x14ac:dyDescent="0.25">
      <c r="A53" t="s">
        <v>294</v>
      </c>
      <c r="B53" s="18">
        <f>INDEX(Transactions[Date],MATCH(InvoicesDetail[[#This Row],[Transaction ID]],Transactions[Transaction ID],0))</f>
        <v>45889</v>
      </c>
      <c r="C53" t="s">
        <v>170</v>
      </c>
      <c r="D53" t="str">
        <f>VLOOKUP(C53,Transactions[],4,0)</f>
        <v>Cat Minyak 5L</v>
      </c>
      <c r="E53">
        <f>VLOOKUP(C53,Transactions[],5,0)</f>
        <v>8</v>
      </c>
      <c r="F53" s="13">
        <f>VLOOKUP(C53,Transactions[],6,0)</f>
        <v>135500</v>
      </c>
      <c r="G53" s="13">
        <f>InvoicesDetail[[#This Row],[Qty]]*InvoicesDetail[[#This Row],[Unit Price]]</f>
        <v>1084000</v>
      </c>
      <c r="H53" t="s">
        <v>374</v>
      </c>
      <c r="I53" t="str">
        <f>VLOOKUP(A53,Invoices_Display!$A$1:$I$201,9,0)</f>
        <v>Project Site B</v>
      </c>
      <c r="J53" t="str">
        <f>VLOOKUP(InvoicesDetail[[#This Row],[Transaction ID]],Transactions[],8,0)</f>
        <v>IN</v>
      </c>
      <c r="K53" t="str">
        <f>TEXT(InvoicesDetail[[#This Row],[Date]],"MMM-YYYY")</f>
        <v>Aug-2025</v>
      </c>
    </row>
    <row r="54" spans="1:11" hidden="1" x14ac:dyDescent="0.25">
      <c r="A54" t="s">
        <v>294</v>
      </c>
      <c r="B54" s="18">
        <f>INDEX(Transactions[Date],MATCH(InvoicesDetail[[#This Row],[Transaction ID]],Transactions[Transaction ID],0))</f>
        <v>45888</v>
      </c>
      <c r="C54" t="s">
        <v>184</v>
      </c>
      <c r="D54" t="str">
        <f>VLOOKUP(C54,Transactions[],4,0)</f>
        <v>Mesin Las Listrik</v>
      </c>
      <c r="E54">
        <f>VLOOKUP(C54,Transactions[],5,0)</f>
        <v>1</v>
      </c>
      <c r="F54" s="13">
        <f>VLOOKUP(C54,Transactions[],6,0)</f>
        <v>2296000</v>
      </c>
      <c r="G54" s="13">
        <f>InvoicesDetail[[#This Row],[Qty]]*InvoicesDetail[[#This Row],[Unit Price]]</f>
        <v>2296000</v>
      </c>
      <c r="H54" t="s">
        <v>374</v>
      </c>
      <c r="I54" t="str">
        <f>VLOOKUP(A54,Invoices_Display!$A$1:$I$201,9,0)</f>
        <v>Project Site B</v>
      </c>
      <c r="J54" t="str">
        <f>VLOOKUP(InvoicesDetail[[#This Row],[Transaction ID]],Transactions[],8,0)</f>
        <v>OUT</v>
      </c>
      <c r="K54" t="str">
        <f>TEXT(InvoicesDetail[[#This Row],[Date]],"MMM-YYYY")</f>
        <v>Aug-2025</v>
      </c>
    </row>
    <row r="55" spans="1:11" hidden="1" x14ac:dyDescent="0.25">
      <c r="A55" t="s">
        <v>295</v>
      </c>
      <c r="B55" s="18">
        <f>INDEX(Transactions[Date],MATCH(InvoicesDetail[[#This Row],[Transaction ID]],Transactions[Transaction ID],0))</f>
        <v>45844</v>
      </c>
      <c r="C55" s="1" t="s">
        <v>84</v>
      </c>
      <c r="D55" t="str">
        <f>VLOOKUP(C55,Transactions[],4,0)</f>
        <v>Gerinda Tangan</v>
      </c>
      <c r="E55">
        <f>VLOOKUP(C55,Transactions[],5,0)</f>
        <v>18</v>
      </c>
      <c r="F55" s="13">
        <f>VLOOKUP(C55,Transactions[],6,0)</f>
        <v>465000</v>
      </c>
      <c r="G55" s="13">
        <f>InvoicesDetail[[#This Row],[Qty]]*InvoicesDetail[[#This Row],[Unit Price]]</f>
        <v>8370000</v>
      </c>
      <c r="H55" t="s">
        <v>375</v>
      </c>
      <c r="I55" t="str">
        <f>VLOOKUP(A55,Invoices_Display!$A$1:$I$201,9,0)</f>
        <v>Retur Barang</v>
      </c>
      <c r="J55" t="str">
        <f>VLOOKUP(InvoicesDetail[[#This Row],[Transaction ID]],Transactions[],8,0)</f>
        <v>OUT</v>
      </c>
      <c r="K55" t="str">
        <f>TEXT(InvoicesDetail[[#This Row],[Date]],"MMM-YYYY")</f>
        <v>Jul-2025</v>
      </c>
    </row>
    <row r="56" spans="1:11" hidden="1" x14ac:dyDescent="0.25">
      <c r="A56" t="s">
        <v>295</v>
      </c>
      <c r="B56" s="18">
        <f>INDEX(Transactions[Date],MATCH(InvoicesDetail[[#This Row],[Transaction ID]],Transactions[Transaction ID],0))</f>
        <v>45840</v>
      </c>
      <c r="C56" t="s">
        <v>185</v>
      </c>
      <c r="D56" t="str">
        <f>VLOOKUP(C56,Transactions[],4,0)</f>
        <v>Mesin Las Listrik</v>
      </c>
      <c r="E56">
        <f>VLOOKUP(C56,Transactions[],5,0)</f>
        <v>4</v>
      </c>
      <c r="F56" s="13">
        <f>VLOOKUP(C56,Transactions[],6,0)</f>
        <v>2296000</v>
      </c>
      <c r="G56" s="13">
        <f>InvoicesDetail[[#This Row],[Qty]]*InvoicesDetail[[#This Row],[Unit Price]]</f>
        <v>9184000</v>
      </c>
      <c r="H56" t="s">
        <v>375</v>
      </c>
      <c r="I56" t="str">
        <f>VLOOKUP(A56,Invoices_Display!$A$1:$I$201,9,0)</f>
        <v>Retur Barang</v>
      </c>
      <c r="J56" t="str">
        <f>VLOOKUP(InvoicesDetail[[#This Row],[Transaction ID]],Transactions[],8,0)</f>
        <v>IN</v>
      </c>
      <c r="K56" t="str">
        <f>TEXT(InvoicesDetail[[#This Row],[Date]],"MMM-YYYY")</f>
        <v>Jul-2025</v>
      </c>
    </row>
    <row r="57" spans="1:11" hidden="1" x14ac:dyDescent="0.25">
      <c r="A57" t="s">
        <v>295</v>
      </c>
      <c r="B57" s="18">
        <f>INDEX(Transactions[Date],MATCH(InvoicesDetail[[#This Row],[Transaction ID]],Transactions[Transaction ID],0))</f>
        <v>45858</v>
      </c>
      <c r="C57" t="s">
        <v>269</v>
      </c>
      <c r="D57" t="str">
        <f>VLOOKUP(C57,Transactions[],4,0)</f>
        <v>Genset Portable 1000W</v>
      </c>
      <c r="E57">
        <f>VLOOKUP(C57,Transactions[],5,0)</f>
        <v>17</v>
      </c>
      <c r="F57" s="13">
        <f>VLOOKUP(C57,Transactions[],6,0)</f>
        <v>3134000</v>
      </c>
      <c r="G57" s="13">
        <f>InvoicesDetail[[#This Row],[Qty]]*InvoicesDetail[[#This Row],[Unit Price]]</f>
        <v>53278000</v>
      </c>
      <c r="H57" t="s">
        <v>375</v>
      </c>
      <c r="I57" t="str">
        <f>VLOOKUP(A57,Invoices_Display!$A$1:$I$201,9,0)</f>
        <v>Retur Barang</v>
      </c>
      <c r="J57" t="str">
        <f>VLOOKUP(InvoicesDetail[[#This Row],[Transaction ID]],Transactions[],8,0)</f>
        <v>IN</v>
      </c>
      <c r="K57" t="str">
        <f>TEXT(InvoicesDetail[[#This Row],[Date]],"MMM-YYYY")</f>
        <v>Jul-2025</v>
      </c>
    </row>
    <row r="58" spans="1:11" hidden="1" x14ac:dyDescent="0.25">
      <c r="A58" t="s">
        <v>296</v>
      </c>
      <c r="B58" s="18">
        <f>INDEX(Transactions[Date],MATCH(InvoicesDetail[[#This Row],[Transaction ID]],Transactions[Transaction ID],0))</f>
        <v>45915</v>
      </c>
      <c r="C58" t="s">
        <v>121</v>
      </c>
      <c r="D58" t="str">
        <f>VLOOKUP(C58,Transactions[],4,0)</f>
        <v>Kabel Listrik Roll 50m</v>
      </c>
      <c r="E58">
        <f>VLOOKUP(C58,Transactions[],5,0)</f>
        <v>7</v>
      </c>
      <c r="F58" s="13">
        <f>VLOOKUP(C58,Transactions[],6,0)</f>
        <v>203500</v>
      </c>
      <c r="G58" s="13">
        <f>InvoicesDetail[[#This Row],[Qty]]*InvoicesDetail[[#This Row],[Unit Price]]</f>
        <v>1424500</v>
      </c>
      <c r="H58" t="s">
        <v>374</v>
      </c>
      <c r="I58" t="str">
        <f>VLOOKUP(A58,Invoices_Display!$A$1:$I$201,9,0)</f>
        <v>Project Site C + D</v>
      </c>
      <c r="J58" t="str">
        <f>VLOOKUP(InvoicesDetail[[#This Row],[Transaction ID]],Transactions[],8,0)</f>
        <v>OUT</v>
      </c>
      <c r="K58" t="str">
        <f>TEXT(InvoicesDetail[[#This Row],[Date]],"MMM-YYYY")</f>
        <v>Sep-2025</v>
      </c>
    </row>
    <row r="59" spans="1:11" hidden="1" x14ac:dyDescent="0.25">
      <c r="A59" t="s">
        <v>297</v>
      </c>
      <c r="B59" s="18">
        <f>INDEX(Transactions[Date],MATCH(InvoicesDetail[[#This Row],[Transaction ID]],Transactions[Transaction ID],0))</f>
        <v>45843</v>
      </c>
      <c r="C59" t="s">
        <v>86</v>
      </c>
      <c r="D59" t="str">
        <f>VLOOKUP(C59,Transactions[],4,0)</f>
        <v>Masker Safety Box (isi 50)</v>
      </c>
      <c r="E59">
        <f>VLOOKUP(C59,Transactions[],5,0)</f>
        <v>8</v>
      </c>
      <c r="F59" s="13">
        <f>VLOOKUP(C59,Transactions[],6,0)</f>
        <v>11500</v>
      </c>
      <c r="G59" s="13">
        <f>InvoicesDetail[[#This Row],[Qty]]*InvoicesDetail[[#This Row],[Unit Price]]</f>
        <v>92000</v>
      </c>
      <c r="H59" t="s">
        <v>375</v>
      </c>
      <c r="I59" t="str">
        <f>VLOOKUP(A59,Invoices_Display!$A$1:$I$201,9,0)</f>
        <v>Proyek Maintenance</v>
      </c>
      <c r="J59" t="str">
        <f>VLOOKUP(InvoicesDetail[[#This Row],[Transaction ID]],Transactions[],8,0)</f>
        <v>OUT</v>
      </c>
      <c r="K59" t="str">
        <f>TEXT(InvoicesDetail[[#This Row],[Date]],"MMM-YYYY")</f>
        <v>Jul-2025</v>
      </c>
    </row>
    <row r="60" spans="1:11" x14ac:dyDescent="0.25">
      <c r="A60" t="s">
        <v>297</v>
      </c>
      <c r="B60" s="18">
        <f>INDEX(Transactions[Date],MATCH(InvoicesDetail[[#This Row],[Transaction ID]],Transactions[Transaction ID],0))</f>
        <v>45904</v>
      </c>
      <c r="C60" t="s">
        <v>208</v>
      </c>
      <c r="D60" t="str">
        <f>VLOOKUP(C60,Transactions[],4,0)</f>
        <v>Pipa PVC 4 inch (per batang)</v>
      </c>
      <c r="E60">
        <f>VLOOKUP(C60,Transactions[],5,0)</f>
        <v>6</v>
      </c>
      <c r="F60" s="13">
        <f>VLOOKUP(C60,Transactions[],6,0)</f>
        <v>260000</v>
      </c>
      <c r="G60" s="13">
        <f>InvoicesDetail[[#This Row],[Qty]]*InvoicesDetail[[#This Row],[Unit Price]]</f>
        <v>1560000</v>
      </c>
      <c r="H60" t="s">
        <v>375</v>
      </c>
      <c r="I60" t="str">
        <f>VLOOKUP(A60,Invoices_Display!$A$1:$I$201,9,0)</f>
        <v>Proyek Maintenance</v>
      </c>
      <c r="J60" t="str">
        <f>VLOOKUP(InvoicesDetail[[#This Row],[Transaction ID]],Transactions[],8,0)</f>
        <v>OUT</v>
      </c>
      <c r="K60" t="str">
        <f>TEXT(InvoicesDetail[[#This Row],[Date]],"MMM-YYYY")</f>
        <v>Sep-2025</v>
      </c>
    </row>
    <row r="61" spans="1:11" hidden="1" x14ac:dyDescent="0.25">
      <c r="A61" t="s">
        <v>298</v>
      </c>
      <c r="B61" s="18">
        <f>INDEX(Transactions[Date],MATCH(InvoicesDetail[[#This Row],[Transaction ID]],Transactions[Transaction ID],0))</f>
        <v>45876</v>
      </c>
      <c r="C61" t="s">
        <v>73</v>
      </c>
      <c r="D61" t="str">
        <f>VLOOKUP(C61,Transactions[],4,0)</f>
        <v>Gerinda Tangan</v>
      </c>
      <c r="E61">
        <f>VLOOKUP(C61,Transactions[],5,0)</f>
        <v>20</v>
      </c>
      <c r="F61" s="13">
        <f>VLOOKUP(C61,Transactions[],6,0)</f>
        <v>465000</v>
      </c>
      <c r="G61" s="13">
        <f>InvoicesDetail[[#This Row],[Qty]]*InvoicesDetail[[#This Row],[Unit Price]]</f>
        <v>9300000</v>
      </c>
      <c r="H61" t="s">
        <v>375</v>
      </c>
      <c r="I61" t="str">
        <f>VLOOKUP(A61,Invoices_Display!$A$1:$I$201,9,0)</f>
        <v>PO #002</v>
      </c>
      <c r="J61" t="str">
        <f>VLOOKUP(InvoicesDetail[[#This Row],[Transaction ID]],Transactions[],8,0)</f>
        <v>IN</v>
      </c>
      <c r="K61" t="str">
        <f>TEXT(InvoicesDetail[[#This Row],[Date]],"MMM-YYYY")</f>
        <v>Aug-2025</v>
      </c>
    </row>
    <row r="62" spans="1:11" hidden="1" x14ac:dyDescent="0.25">
      <c r="A62" t="s">
        <v>298</v>
      </c>
      <c r="B62" s="18">
        <f>INDEX(Transactions[Date],MATCH(InvoicesDetail[[#This Row],[Transaction ID]],Transactions[Transaction ID],0))</f>
        <v>45911</v>
      </c>
      <c r="C62" t="s">
        <v>149</v>
      </c>
      <c r="D62" t="str">
        <f>VLOOKUP(C62,Transactions[],4,0)</f>
        <v>Mesin Las Listrik</v>
      </c>
      <c r="E62">
        <f>VLOOKUP(C62,Transactions[],5,0)</f>
        <v>4</v>
      </c>
      <c r="F62" s="13">
        <f>VLOOKUP(C62,Transactions[],6,0)</f>
        <v>2296000</v>
      </c>
      <c r="G62" s="13">
        <f>InvoicesDetail[[#This Row],[Qty]]*InvoicesDetail[[#This Row],[Unit Price]]</f>
        <v>9184000</v>
      </c>
      <c r="H62" t="s">
        <v>375</v>
      </c>
      <c r="I62" t="str">
        <f>VLOOKUP(A62,Invoices_Display!$A$1:$I$201,9,0)</f>
        <v>PO #002</v>
      </c>
      <c r="J62" t="str">
        <f>VLOOKUP(InvoicesDetail[[#This Row],[Transaction ID]],Transactions[],8,0)</f>
        <v>IN</v>
      </c>
      <c r="K62" t="str">
        <f>TEXT(InvoicesDetail[[#This Row],[Date]],"MMM-YYYY")</f>
        <v>Sep-2025</v>
      </c>
    </row>
    <row r="63" spans="1:11" hidden="1" x14ac:dyDescent="0.25">
      <c r="A63" t="s">
        <v>298</v>
      </c>
      <c r="B63" s="18">
        <f>INDEX(Transactions[Date],MATCH(InvoicesDetail[[#This Row],[Transaction ID]],Transactions[Transaction ID],0))</f>
        <v>45878</v>
      </c>
      <c r="C63" t="s">
        <v>169</v>
      </c>
      <c r="D63" t="str">
        <f>VLOOKUP(C63,Transactions[],4,0)</f>
        <v>Helm Proyek</v>
      </c>
      <c r="E63">
        <f>VLOOKUP(C63,Transactions[],5,0)</f>
        <v>12</v>
      </c>
      <c r="F63" s="13">
        <f>VLOOKUP(C63,Transactions[],6,0)</f>
        <v>50000</v>
      </c>
      <c r="G63" s="13">
        <f>InvoicesDetail[[#This Row],[Qty]]*InvoicesDetail[[#This Row],[Unit Price]]</f>
        <v>600000</v>
      </c>
      <c r="H63" t="s">
        <v>375</v>
      </c>
      <c r="I63" t="str">
        <f>VLOOKUP(A63,Invoices_Display!$A$1:$I$201,9,0)</f>
        <v>PO #002</v>
      </c>
      <c r="J63" t="str">
        <f>VLOOKUP(InvoicesDetail[[#This Row],[Transaction ID]],Transactions[],8,0)</f>
        <v>IN</v>
      </c>
      <c r="K63" t="str">
        <f>TEXT(InvoicesDetail[[#This Row],[Date]],"MMM-YYYY")</f>
        <v>Aug-2025</v>
      </c>
    </row>
    <row r="64" spans="1:11" hidden="1" x14ac:dyDescent="0.25">
      <c r="A64" t="s">
        <v>298</v>
      </c>
      <c r="B64" s="18">
        <f>INDEX(Transactions[Date],MATCH(InvoicesDetail[[#This Row],[Transaction ID]],Transactions[Transaction ID],0))</f>
        <v>45871</v>
      </c>
      <c r="C64" t="s">
        <v>258</v>
      </c>
      <c r="D64" t="str">
        <f>VLOOKUP(C64,Transactions[],4,0)</f>
        <v>Obeng Set</v>
      </c>
      <c r="E64">
        <f>VLOOKUP(C64,Transactions[],5,0)</f>
        <v>4</v>
      </c>
      <c r="F64" s="13">
        <f>VLOOKUP(C64,Transactions[],6,0)</f>
        <v>128000</v>
      </c>
      <c r="G64" s="13">
        <f>InvoicesDetail[[#This Row],[Qty]]*InvoicesDetail[[#This Row],[Unit Price]]</f>
        <v>512000</v>
      </c>
      <c r="H64" t="s">
        <v>375</v>
      </c>
      <c r="I64" t="str">
        <f>VLOOKUP(A64,Invoices_Display!$A$1:$I$201,9,0)</f>
        <v>PO #002</v>
      </c>
      <c r="J64" t="str">
        <f>VLOOKUP(InvoicesDetail[[#This Row],[Transaction ID]],Transactions[],8,0)</f>
        <v>IN</v>
      </c>
      <c r="K64" t="str">
        <f>TEXT(InvoicesDetail[[#This Row],[Date]],"MMM-YYYY")</f>
        <v>Aug-2025</v>
      </c>
    </row>
    <row r="65" spans="1:11" x14ac:dyDescent="0.25">
      <c r="A65" t="s">
        <v>299</v>
      </c>
      <c r="B65" s="18">
        <f>INDEX(Transactions[Date],MATCH(InvoicesDetail[[#This Row],[Transaction ID]],Transactions[Transaction ID],0))</f>
        <v>45922</v>
      </c>
      <c r="C65" s="1" t="s">
        <v>209</v>
      </c>
      <c r="D65" t="str">
        <f>VLOOKUP(C65,Transactions[],4,0)</f>
        <v>Pompa Air Industri</v>
      </c>
      <c r="E65">
        <f>VLOOKUP(C65,Transactions[],5,0)</f>
        <v>12</v>
      </c>
      <c r="F65" s="13">
        <f>VLOOKUP(C65,Transactions[],6,0)</f>
        <v>4490000</v>
      </c>
      <c r="G65" s="13">
        <f>InvoicesDetail[[#This Row],[Qty]]*InvoicesDetail[[#This Row],[Unit Price]]</f>
        <v>53880000</v>
      </c>
      <c r="H65" t="s">
        <v>375</v>
      </c>
      <c r="I65" t="str">
        <f>VLOOKUP(A65,Invoices_Display!$A$1:$I$201,9,0)</f>
        <v>Project Site B</v>
      </c>
      <c r="J65" t="str">
        <f>VLOOKUP(InvoicesDetail[[#This Row],[Transaction ID]],Transactions[],8,0)</f>
        <v>OUT</v>
      </c>
      <c r="K65" t="str">
        <f>TEXT(InvoicesDetail[[#This Row],[Date]],"MMM-YYYY")</f>
        <v>Sep-2025</v>
      </c>
    </row>
    <row r="66" spans="1:11" hidden="1" x14ac:dyDescent="0.25">
      <c r="A66" t="s">
        <v>299</v>
      </c>
      <c r="B66" s="18">
        <f>INDEX(Transactions[Date],MATCH(InvoicesDetail[[#This Row],[Transaction ID]],Transactions[Transaction ID],0))</f>
        <v>45849</v>
      </c>
      <c r="C66" t="s">
        <v>210</v>
      </c>
      <c r="D66" t="str">
        <f>VLOOKUP(C66,Transactions[],4,0)</f>
        <v>Mesin Las Listrik</v>
      </c>
      <c r="E66">
        <f>VLOOKUP(C66,Transactions[],5,0)</f>
        <v>19</v>
      </c>
      <c r="F66" s="13">
        <f>VLOOKUP(C66,Transactions[],6,0)</f>
        <v>2296000</v>
      </c>
      <c r="G66" s="13">
        <f>InvoicesDetail[[#This Row],[Qty]]*InvoicesDetail[[#This Row],[Unit Price]]</f>
        <v>43624000</v>
      </c>
      <c r="H66" t="s">
        <v>375</v>
      </c>
      <c r="I66" t="str">
        <f>VLOOKUP(A66,Invoices_Display!$A$1:$I$201,9,0)</f>
        <v>Project Site B</v>
      </c>
      <c r="J66" t="str">
        <f>VLOOKUP(InvoicesDetail[[#This Row],[Transaction ID]],Transactions[],8,0)</f>
        <v>OUT</v>
      </c>
      <c r="K66" t="str">
        <f>TEXT(InvoicesDetail[[#This Row],[Date]],"MMM-YYYY")</f>
        <v>Jul-2025</v>
      </c>
    </row>
    <row r="67" spans="1:11" hidden="1" x14ac:dyDescent="0.25">
      <c r="A67" t="s">
        <v>299</v>
      </c>
      <c r="B67" s="18">
        <f>INDEX(Transactions[Date],MATCH(InvoicesDetail[[#This Row],[Transaction ID]],Transactions[Transaction ID],0))</f>
        <v>45854</v>
      </c>
      <c r="C67" t="s">
        <v>87</v>
      </c>
      <c r="D67" t="str">
        <f>VLOOKUP(C67,Transactions[],4,0)</f>
        <v>Gerinda Tangan</v>
      </c>
      <c r="E67">
        <f>VLOOKUP(C67,Transactions[],5,0)</f>
        <v>20</v>
      </c>
      <c r="F67" s="13">
        <f>VLOOKUP(C67,Transactions[],6,0)</f>
        <v>465000</v>
      </c>
      <c r="G67" s="13">
        <f>InvoicesDetail[[#This Row],[Qty]]*InvoicesDetail[[#This Row],[Unit Price]]</f>
        <v>9300000</v>
      </c>
      <c r="H67" t="s">
        <v>375</v>
      </c>
      <c r="I67" t="str">
        <f>VLOOKUP(A67,Invoices_Display!$A$1:$I$201,9,0)</f>
        <v>Project Site B</v>
      </c>
      <c r="J67" t="str">
        <f>VLOOKUP(InvoicesDetail[[#This Row],[Transaction ID]],Transactions[],8,0)</f>
        <v>OUT</v>
      </c>
      <c r="K67" t="str">
        <f>TEXT(InvoicesDetail[[#This Row],[Date]],"MMM-YYYY")</f>
        <v>Jul-2025</v>
      </c>
    </row>
    <row r="68" spans="1:11" hidden="1" x14ac:dyDescent="0.25">
      <c r="A68" t="s">
        <v>271</v>
      </c>
      <c r="B68" s="18">
        <f>INDEX(Transactions[Date],MATCH(InvoicesDetail[[#This Row],[Transaction ID]],Transactions[Transaction ID],0))</f>
        <v>45859</v>
      </c>
      <c r="C68" t="s">
        <v>150</v>
      </c>
      <c r="D68" t="str">
        <f>VLOOKUP(C68,Transactions[],4,0)</f>
        <v>Cat Minyak 5L</v>
      </c>
      <c r="E68">
        <f>VLOOKUP(C68,Transactions[],5,0)</f>
        <v>6</v>
      </c>
      <c r="F68" s="13">
        <f>VLOOKUP(C68,Transactions[],6,0)</f>
        <v>135500</v>
      </c>
      <c r="G68" s="13">
        <f>InvoicesDetail[[#This Row],[Qty]]*InvoicesDetail[[#This Row],[Unit Price]]</f>
        <v>813000</v>
      </c>
      <c r="H68" t="s">
        <v>374</v>
      </c>
      <c r="I68" t="str">
        <f>VLOOKUP(A68,Invoices_Display!$A$1:$I$201,9,0)</f>
        <v>Proyek Maintenance</v>
      </c>
      <c r="J68" t="str">
        <f>VLOOKUP(InvoicesDetail[[#This Row],[Transaction ID]],Transactions[],8,0)</f>
        <v>OUT</v>
      </c>
      <c r="K68" t="str">
        <f>TEXT(InvoicesDetail[[#This Row],[Date]],"MMM-YYYY")</f>
        <v>Jul-2025</v>
      </c>
    </row>
    <row r="69" spans="1:11" hidden="1" x14ac:dyDescent="0.25">
      <c r="A69" t="s">
        <v>271</v>
      </c>
      <c r="B69" s="18">
        <f>INDEX(Transactions[Date],MATCH(InvoicesDetail[[#This Row],[Transaction ID]],Transactions[Transaction ID],0))</f>
        <v>45884</v>
      </c>
      <c r="C69" t="s">
        <v>88</v>
      </c>
      <c r="D69" t="str">
        <f>VLOOKUP(C69,Transactions[],4,0)</f>
        <v>Sarung Tangan Katun</v>
      </c>
      <c r="E69">
        <f>VLOOKUP(C69,Transactions[],5,0)</f>
        <v>3</v>
      </c>
      <c r="F69" s="13">
        <f>VLOOKUP(C69,Transactions[],6,0)</f>
        <v>20000</v>
      </c>
      <c r="G69" s="13">
        <f>InvoicesDetail[[#This Row],[Qty]]*InvoicesDetail[[#This Row],[Unit Price]]</f>
        <v>60000</v>
      </c>
      <c r="H69" t="s">
        <v>374</v>
      </c>
      <c r="I69" t="str">
        <f>VLOOKUP(A69,Invoices_Display!$A$1:$I$201,9,0)</f>
        <v>Proyek Maintenance</v>
      </c>
      <c r="J69" t="str">
        <f>VLOOKUP(InvoicesDetail[[#This Row],[Transaction ID]],Transactions[],8,0)</f>
        <v>OUT</v>
      </c>
      <c r="K69" t="str">
        <f>TEXT(InvoicesDetail[[#This Row],[Date]],"MMM-YYYY")</f>
        <v>Aug-2025</v>
      </c>
    </row>
    <row r="70" spans="1:11" hidden="1" x14ac:dyDescent="0.25">
      <c r="A70" t="s">
        <v>271</v>
      </c>
      <c r="B70" s="18">
        <f>INDEX(Transactions[Date],MATCH(InvoicesDetail[[#This Row],[Transaction ID]],Transactions[Transaction ID],0))</f>
        <v>45915</v>
      </c>
      <c r="C70" t="s">
        <v>158</v>
      </c>
      <c r="D70" t="str">
        <f>VLOOKUP(C70,Transactions[],4,0)</f>
        <v>Kabel Listrik Roll 50m</v>
      </c>
      <c r="E70">
        <f>VLOOKUP(C70,Transactions[],5,0)</f>
        <v>4</v>
      </c>
      <c r="F70" s="13">
        <f>VLOOKUP(C70,Transactions[],6,0)</f>
        <v>203500</v>
      </c>
      <c r="G70" s="13">
        <f>InvoicesDetail[[#This Row],[Qty]]*InvoicesDetail[[#This Row],[Unit Price]]</f>
        <v>814000</v>
      </c>
      <c r="H70" t="s">
        <v>374</v>
      </c>
      <c r="I70" t="str">
        <f>VLOOKUP(A70,Invoices_Display!$A$1:$I$201,9,0)</f>
        <v>Proyek Maintenance</v>
      </c>
      <c r="J70" t="str">
        <f>VLOOKUP(InvoicesDetail[[#This Row],[Transaction ID]],Transactions[],8,0)</f>
        <v>OUT</v>
      </c>
      <c r="K70" t="str">
        <f>TEXT(InvoicesDetail[[#This Row],[Date]],"MMM-YYYY")</f>
        <v>Sep-2025</v>
      </c>
    </row>
    <row r="71" spans="1:11" hidden="1" x14ac:dyDescent="0.25">
      <c r="A71" t="s">
        <v>271</v>
      </c>
      <c r="B71" s="18">
        <f>INDEX(Transactions[Date],MATCH(InvoicesDetail[[#This Row],[Transaction ID]],Transactions[Transaction ID],0))</f>
        <v>45916</v>
      </c>
      <c r="C71" t="s">
        <v>173</v>
      </c>
      <c r="D71" t="str">
        <f>VLOOKUP(C71,Transactions[],4,0)</f>
        <v>Paku 5cm (1 kg)</v>
      </c>
      <c r="E71">
        <f>VLOOKUP(C71,Transactions[],5,0)</f>
        <v>6</v>
      </c>
      <c r="F71" s="13">
        <f>VLOOKUP(C71,Transactions[],6,0)</f>
        <v>13500</v>
      </c>
      <c r="G71" s="13">
        <f>InvoicesDetail[[#This Row],[Qty]]*InvoicesDetail[[#This Row],[Unit Price]]</f>
        <v>81000</v>
      </c>
      <c r="H71" t="s">
        <v>374</v>
      </c>
      <c r="I71" t="str">
        <f>VLOOKUP(A71,Invoices_Display!$A$1:$I$201,9,0)</f>
        <v>Proyek Maintenance</v>
      </c>
      <c r="J71" t="str">
        <f>VLOOKUP(InvoicesDetail[[#This Row],[Transaction ID]],Transactions[],8,0)</f>
        <v>IN</v>
      </c>
      <c r="K71" t="str">
        <f>TEXT(InvoicesDetail[[#This Row],[Date]],"MMM-YYYY")</f>
        <v>Sep-2025</v>
      </c>
    </row>
    <row r="72" spans="1:11" hidden="1" x14ac:dyDescent="0.25">
      <c r="A72" t="s">
        <v>300</v>
      </c>
      <c r="B72" s="18">
        <f>INDEX(Transactions[Date],MATCH(InvoicesDetail[[#This Row],[Transaction ID]],Transactions[Transaction ID],0))</f>
        <v>45889</v>
      </c>
      <c r="C72" t="s">
        <v>89</v>
      </c>
      <c r="D72" t="str">
        <f>VLOOKUP(C72,Transactions[],4,0)</f>
        <v>Obeng Set</v>
      </c>
      <c r="E72">
        <f>VLOOKUP(C72,Transactions[],5,0)</f>
        <v>1</v>
      </c>
      <c r="F72" s="13">
        <f>VLOOKUP(C72,Transactions[],6,0)</f>
        <v>128000</v>
      </c>
      <c r="G72" s="13">
        <f>InvoicesDetail[[#This Row],[Qty]]*InvoicesDetail[[#This Row],[Unit Price]]</f>
        <v>128000</v>
      </c>
      <c r="H72" t="s">
        <v>375</v>
      </c>
      <c r="I72" t="str">
        <f>VLOOKUP(A72,Invoices_Display!$A$1:$I$201,9,0)</f>
        <v>PO #002</v>
      </c>
      <c r="J72" t="str">
        <f>VLOOKUP(InvoicesDetail[[#This Row],[Transaction ID]],Transactions[],8,0)</f>
        <v>IN</v>
      </c>
      <c r="K72" t="str">
        <f>TEXT(InvoicesDetail[[#This Row],[Date]],"MMM-YYYY")</f>
        <v>Aug-2025</v>
      </c>
    </row>
    <row r="73" spans="1:11" hidden="1" x14ac:dyDescent="0.25">
      <c r="A73" t="s">
        <v>300</v>
      </c>
      <c r="B73" s="18">
        <f>INDEX(Transactions[Date],MATCH(InvoicesDetail[[#This Row],[Transaction ID]],Transactions[Transaction ID],0))</f>
        <v>45892</v>
      </c>
      <c r="C73" t="s">
        <v>249</v>
      </c>
      <c r="D73" t="str">
        <f>VLOOKUP(C73,Transactions[],4,0)</f>
        <v>Gerinda Tangan</v>
      </c>
      <c r="E73">
        <f>VLOOKUP(C73,Transactions[],5,0)</f>
        <v>18</v>
      </c>
      <c r="F73" s="13">
        <f>VLOOKUP(C73,Transactions[],6,0)</f>
        <v>465000</v>
      </c>
      <c r="G73" s="13">
        <f>InvoicesDetail[[#This Row],[Qty]]*InvoicesDetail[[#This Row],[Unit Price]]</f>
        <v>8370000</v>
      </c>
      <c r="H73" t="s">
        <v>375</v>
      </c>
      <c r="I73" t="str">
        <f>VLOOKUP(A73,Invoices_Display!$A$1:$I$201,9,0)</f>
        <v>PO #002</v>
      </c>
      <c r="J73" t="str">
        <f>VLOOKUP(InvoicesDetail[[#This Row],[Transaction ID]],Transactions[],8,0)</f>
        <v>IN</v>
      </c>
      <c r="K73" t="str">
        <f>TEXT(InvoicesDetail[[#This Row],[Date]],"MMM-YYYY")</f>
        <v>Aug-2025</v>
      </c>
    </row>
    <row r="74" spans="1:11" hidden="1" x14ac:dyDescent="0.25">
      <c r="A74" t="s">
        <v>300</v>
      </c>
      <c r="B74" s="18">
        <f>INDEX(Transactions[Date],MATCH(InvoicesDetail[[#This Row],[Transaction ID]],Transactions[Transaction ID],0))</f>
        <v>45862</v>
      </c>
      <c r="C74" t="s">
        <v>250</v>
      </c>
      <c r="D74" t="str">
        <f>VLOOKUP(C74,Transactions[],4,0)</f>
        <v>Paku 5cm (1 kg)</v>
      </c>
      <c r="E74">
        <f>VLOOKUP(C74,Transactions[],5,0)</f>
        <v>15</v>
      </c>
      <c r="F74" s="13">
        <f>VLOOKUP(C74,Transactions[],6,0)</f>
        <v>13500</v>
      </c>
      <c r="G74" s="13">
        <f>InvoicesDetail[[#This Row],[Qty]]*InvoicesDetail[[#This Row],[Unit Price]]</f>
        <v>202500</v>
      </c>
      <c r="H74" t="s">
        <v>375</v>
      </c>
      <c r="I74" t="str">
        <f>VLOOKUP(A74,Invoices_Display!$A$1:$I$201,9,0)</f>
        <v>PO #002</v>
      </c>
      <c r="J74" t="str">
        <f>VLOOKUP(InvoicesDetail[[#This Row],[Transaction ID]],Transactions[],8,0)</f>
        <v>OUT</v>
      </c>
      <c r="K74" t="str">
        <f>TEXT(InvoicesDetail[[#This Row],[Date]],"MMM-YYYY")</f>
        <v>Jul-2025</v>
      </c>
    </row>
    <row r="75" spans="1:11" x14ac:dyDescent="0.25">
      <c r="A75" t="s">
        <v>272</v>
      </c>
      <c r="B75" s="18">
        <f>INDEX(Transactions[Date],MATCH(InvoicesDetail[[#This Row],[Transaction ID]],Transactions[Transaction ID],0))</f>
        <v>45902</v>
      </c>
      <c r="C75" s="1" t="s">
        <v>189</v>
      </c>
      <c r="D75" t="str">
        <f>VLOOKUP(C75,Transactions[],4,0)</f>
        <v>Kabel Listrik Roll 50m</v>
      </c>
      <c r="E75">
        <f>VLOOKUP(C75,Transactions[],5,0)</f>
        <v>1</v>
      </c>
      <c r="F75" s="13">
        <f>VLOOKUP(C75,Transactions[],6,0)</f>
        <v>203500</v>
      </c>
      <c r="G75" s="13">
        <f>InvoicesDetail[[#This Row],[Qty]]*InvoicesDetail[[#This Row],[Unit Price]]</f>
        <v>203500</v>
      </c>
      <c r="H75" t="s">
        <v>375</v>
      </c>
      <c r="I75" t="str">
        <f>VLOOKUP(A75,Invoices_Display!$A$1:$I$201,9,0)</f>
        <v>Project Site A</v>
      </c>
      <c r="J75" t="str">
        <f>VLOOKUP(InvoicesDetail[[#This Row],[Transaction ID]],Transactions[],8,0)</f>
        <v>OUT</v>
      </c>
      <c r="K75" t="str">
        <f>TEXT(InvoicesDetail[[#This Row],[Date]],"MMM-YYYY")</f>
        <v>Sep-2025</v>
      </c>
    </row>
    <row r="76" spans="1:11" hidden="1" x14ac:dyDescent="0.25">
      <c r="A76" t="s">
        <v>272</v>
      </c>
      <c r="B76" s="18">
        <f>INDEX(Transactions[Date],MATCH(InvoicesDetail[[#This Row],[Transaction ID]],Transactions[Transaction ID],0))</f>
        <v>45842</v>
      </c>
      <c r="C76" t="s">
        <v>190</v>
      </c>
      <c r="D76" t="str">
        <f>VLOOKUP(C76,Transactions[],4,0)</f>
        <v>Genset Portable 1000W</v>
      </c>
      <c r="E76">
        <f>VLOOKUP(C76,Transactions[],5,0)</f>
        <v>15</v>
      </c>
      <c r="F76" s="13">
        <f>VLOOKUP(C76,Transactions[],6,0)</f>
        <v>3134000</v>
      </c>
      <c r="G76" s="13">
        <f>InvoicesDetail[[#This Row],[Qty]]*InvoicesDetail[[#This Row],[Unit Price]]</f>
        <v>47010000</v>
      </c>
      <c r="H76" t="s">
        <v>375</v>
      </c>
      <c r="I76" t="str">
        <f>VLOOKUP(A76,Invoices_Display!$A$1:$I$201,9,0)</f>
        <v>Project Site A</v>
      </c>
      <c r="J76" t="str">
        <f>VLOOKUP(InvoicesDetail[[#This Row],[Transaction ID]],Transactions[],8,0)</f>
        <v>OUT</v>
      </c>
      <c r="K76" t="str">
        <f>TEXT(InvoicesDetail[[#This Row],[Date]],"MMM-YYYY")</f>
        <v>Jul-2025</v>
      </c>
    </row>
    <row r="77" spans="1:11" hidden="1" x14ac:dyDescent="0.25">
      <c r="A77" t="s">
        <v>272</v>
      </c>
      <c r="B77" s="18">
        <f>INDEX(Transactions[Date],MATCH(InvoicesDetail[[#This Row],[Transaction ID]],Transactions[Transaction ID],0))</f>
        <v>45861</v>
      </c>
      <c r="C77" t="s">
        <v>90</v>
      </c>
      <c r="D77" t="str">
        <f>VLOOKUP(C77,Transactions[],4,0)</f>
        <v>Sarung Tangan Katun</v>
      </c>
      <c r="E77">
        <f>VLOOKUP(C77,Transactions[],5,0)</f>
        <v>11</v>
      </c>
      <c r="F77" s="13">
        <f>VLOOKUP(C77,Transactions[],6,0)</f>
        <v>20000</v>
      </c>
      <c r="G77" s="13">
        <f>InvoicesDetail[[#This Row],[Qty]]*InvoicesDetail[[#This Row],[Unit Price]]</f>
        <v>220000</v>
      </c>
      <c r="H77" t="s">
        <v>375</v>
      </c>
      <c r="I77" t="str">
        <f>VLOOKUP(A77,Invoices_Display!$A$1:$I$201,9,0)</f>
        <v>Project Site A</v>
      </c>
      <c r="J77" t="str">
        <f>VLOOKUP(InvoicesDetail[[#This Row],[Transaction ID]],Transactions[],8,0)</f>
        <v>IN</v>
      </c>
      <c r="K77" t="str">
        <f>TEXT(InvoicesDetail[[#This Row],[Date]],"MMM-YYYY")</f>
        <v>Jul-2025</v>
      </c>
    </row>
    <row r="78" spans="1:11" x14ac:dyDescent="0.25">
      <c r="A78" t="s">
        <v>272</v>
      </c>
      <c r="B78" s="18">
        <f>INDEX(Transactions[Date],MATCH(InvoicesDetail[[#This Row],[Transaction ID]],Transactions[Transaction ID],0))</f>
        <v>45919</v>
      </c>
      <c r="C78" t="s">
        <v>229</v>
      </c>
      <c r="D78" t="str">
        <f>VLOOKUP(C78,Transactions[],4,0)</f>
        <v>Cat Minyak 5L</v>
      </c>
      <c r="E78">
        <f>VLOOKUP(C78,Transactions[],5,0)</f>
        <v>18</v>
      </c>
      <c r="F78" s="13">
        <f>VLOOKUP(C78,Transactions[],6,0)</f>
        <v>135500</v>
      </c>
      <c r="G78" s="13">
        <f>InvoicesDetail[[#This Row],[Qty]]*InvoicesDetail[[#This Row],[Unit Price]]</f>
        <v>2439000</v>
      </c>
      <c r="H78" t="s">
        <v>375</v>
      </c>
      <c r="I78" t="str">
        <f>VLOOKUP(A78,Invoices_Display!$A$1:$I$201,9,0)</f>
        <v>Project Site A</v>
      </c>
      <c r="J78" t="str">
        <f>VLOOKUP(InvoicesDetail[[#This Row],[Transaction ID]],Transactions[],8,0)</f>
        <v>OUT</v>
      </c>
      <c r="K78" t="str">
        <f>TEXT(InvoicesDetail[[#This Row],[Date]],"MMM-YYYY")</f>
        <v>Sep-2025</v>
      </c>
    </row>
    <row r="79" spans="1:11" hidden="1" x14ac:dyDescent="0.25">
      <c r="A79" t="s">
        <v>301</v>
      </c>
      <c r="B79" s="18">
        <f>INDEX(Transactions[Date],MATCH(InvoicesDetail[[#This Row],[Transaction ID]],Transactions[Transaction ID],0))</f>
        <v>45920</v>
      </c>
      <c r="C79" t="s">
        <v>148</v>
      </c>
      <c r="D79" t="str">
        <f>VLOOKUP(C79,Transactions[],4,0)</f>
        <v>Mesin Potong Besi</v>
      </c>
      <c r="E79">
        <f>VLOOKUP(C79,Transactions[],5,0)</f>
        <v>6</v>
      </c>
      <c r="F79" s="13">
        <f>VLOOKUP(C79,Transactions[],6,0)</f>
        <v>3200000</v>
      </c>
      <c r="G79" s="13">
        <f>InvoicesDetail[[#This Row],[Qty]]*InvoicesDetail[[#This Row],[Unit Price]]</f>
        <v>19200000</v>
      </c>
      <c r="H79" t="s">
        <v>375</v>
      </c>
      <c r="I79" t="str">
        <f>VLOOKUP(A79,Invoices_Display!$A$1:$I$201,9,0)</f>
        <v>Proyek Maintenance</v>
      </c>
      <c r="J79" t="str">
        <f>VLOOKUP(InvoicesDetail[[#This Row],[Transaction ID]],Transactions[],8,0)</f>
        <v>IN</v>
      </c>
      <c r="K79" t="str">
        <f>TEXT(InvoicesDetail[[#This Row],[Date]],"MMM-YYYY")</f>
        <v>Sep-2025</v>
      </c>
    </row>
    <row r="80" spans="1:11" hidden="1" x14ac:dyDescent="0.25">
      <c r="A80" t="s">
        <v>301</v>
      </c>
      <c r="B80" s="18">
        <f>INDEX(Transactions[Date],MATCH(InvoicesDetail[[#This Row],[Transaction ID]],Transactions[Transaction ID],0))</f>
        <v>45890</v>
      </c>
      <c r="C80" t="s">
        <v>199</v>
      </c>
      <c r="D80" t="str">
        <f>VLOOKUP(C80,Transactions[],4,0)</f>
        <v>Mesin Las Listrik</v>
      </c>
      <c r="E80">
        <f>VLOOKUP(C80,Transactions[],5,0)</f>
        <v>10</v>
      </c>
      <c r="F80" s="13">
        <f>VLOOKUP(C80,Transactions[],6,0)</f>
        <v>2296000</v>
      </c>
      <c r="G80" s="13">
        <f>InvoicesDetail[[#This Row],[Qty]]*InvoicesDetail[[#This Row],[Unit Price]]</f>
        <v>22960000</v>
      </c>
      <c r="H80" t="s">
        <v>375</v>
      </c>
      <c r="I80" t="str">
        <f>VLOOKUP(A80,Invoices_Display!$A$1:$I$201,9,0)</f>
        <v>Proyek Maintenance</v>
      </c>
      <c r="J80" t="str">
        <f>VLOOKUP(InvoicesDetail[[#This Row],[Transaction ID]],Transactions[],8,0)</f>
        <v>OUT</v>
      </c>
      <c r="K80" t="str">
        <f>TEXT(InvoicesDetail[[#This Row],[Date]],"MMM-YYYY")</f>
        <v>Aug-2025</v>
      </c>
    </row>
    <row r="81" spans="1:11" x14ac:dyDescent="0.25">
      <c r="A81" t="s">
        <v>301</v>
      </c>
      <c r="B81" s="18">
        <f>INDEX(Transactions[Date],MATCH(InvoicesDetail[[#This Row],[Transaction ID]],Transactions[Transaction ID],0))</f>
        <v>45925</v>
      </c>
      <c r="C81" t="s">
        <v>268</v>
      </c>
      <c r="D81" t="str">
        <f>VLOOKUP(C81,Transactions[],4,0)</f>
        <v>Kabel Listrik Roll 50m</v>
      </c>
      <c r="E81">
        <f>VLOOKUP(C81,Transactions[],5,0)</f>
        <v>19</v>
      </c>
      <c r="F81" s="13">
        <f>VLOOKUP(C81,Transactions[],6,0)</f>
        <v>203500</v>
      </c>
      <c r="G81" s="13">
        <f>InvoicesDetail[[#This Row],[Qty]]*InvoicesDetail[[#This Row],[Unit Price]]</f>
        <v>3866500</v>
      </c>
      <c r="H81" t="s">
        <v>375</v>
      </c>
      <c r="I81" t="str">
        <f>VLOOKUP(A81,Invoices_Display!$A$1:$I$201,9,0)</f>
        <v>Proyek Maintenance</v>
      </c>
      <c r="J81" t="str">
        <f>VLOOKUP(InvoicesDetail[[#This Row],[Transaction ID]],Transactions[],8,0)</f>
        <v>OUT</v>
      </c>
      <c r="K81" t="str">
        <f>TEXT(InvoicesDetail[[#This Row],[Date]],"MMM-YYYY")</f>
        <v>Sep-2025</v>
      </c>
    </row>
    <row r="82" spans="1:11" hidden="1" x14ac:dyDescent="0.25">
      <c r="A82" t="s">
        <v>302</v>
      </c>
      <c r="B82" s="18">
        <f>INDEX(Transactions[Date],MATCH(InvoicesDetail[[#This Row],[Transaction ID]],Transactions[Transaction ID],0))</f>
        <v>45900</v>
      </c>
      <c r="C82" s="1" t="s">
        <v>201</v>
      </c>
      <c r="D82" t="str">
        <f>VLOOKUP(C82,Transactions[],4,0)</f>
        <v>Pipa PVC 4 inch (per batang)</v>
      </c>
      <c r="E82">
        <f>VLOOKUP(C82,Transactions[],5,0)</f>
        <v>20</v>
      </c>
      <c r="F82" s="13">
        <f>VLOOKUP(C82,Transactions[],6,0)</f>
        <v>260000</v>
      </c>
      <c r="G82" s="13">
        <f>InvoicesDetail[[#This Row],[Qty]]*InvoicesDetail[[#This Row],[Unit Price]]</f>
        <v>5200000</v>
      </c>
      <c r="H82" t="s">
        <v>375</v>
      </c>
      <c r="I82" t="str">
        <f>VLOOKUP(A82,Invoices_Display!$A$1:$I$201,9,0)</f>
        <v>PO #002</v>
      </c>
      <c r="J82" t="str">
        <f>VLOOKUP(InvoicesDetail[[#This Row],[Transaction ID]],Transactions[],8,0)</f>
        <v>OUT</v>
      </c>
      <c r="K82" t="str">
        <f>TEXT(InvoicesDetail[[#This Row],[Date]],"MMM-YYYY")</f>
        <v>Aug-2025</v>
      </c>
    </row>
    <row r="83" spans="1:11" x14ac:dyDescent="0.25">
      <c r="A83" t="s">
        <v>302</v>
      </c>
      <c r="B83" s="18">
        <f>INDEX(Transactions[Date],MATCH(InvoicesDetail[[#This Row],[Transaction ID]],Transactions[Transaction ID],0))</f>
        <v>45919</v>
      </c>
      <c r="C83" t="s">
        <v>91</v>
      </c>
      <c r="D83" t="str">
        <f>VLOOKUP(C83,Transactions[],4,0)</f>
        <v>Rantai Besi 10m</v>
      </c>
      <c r="E83">
        <f>VLOOKUP(C83,Transactions[],5,0)</f>
        <v>13</v>
      </c>
      <c r="F83" s="13">
        <f>VLOOKUP(C83,Transactions[],6,0)</f>
        <v>431000</v>
      </c>
      <c r="G83" s="13">
        <f>InvoicesDetail[[#This Row],[Qty]]*InvoicesDetail[[#This Row],[Unit Price]]</f>
        <v>5603000</v>
      </c>
      <c r="H83" t="s">
        <v>375</v>
      </c>
      <c r="I83" t="str">
        <f>VLOOKUP(A83,Invoices_Display!$A$1:$I$201,9,0)</f>
        <v>PO #002</v>
      </c>
      <c r="J83" t="str">
        <f>VLOOKUP(InvoicesDetail[[#This Row],[Transaction ID]],Transactions[],8,0)</f>
        <v>OUT</v>
      </c>
      <c r="K83" t="str">
        <f>TEXT(InvoicesDetail[[#This Row],[Date]],"MMM-YYYY")</f>
        <v>Sep-2025</v>
      </c>
    </row>
    <row r="84" spans="1:11" hidden="1" x14ac:dyDescent="0.25">
      <c r="A84" t="s">
        <v>302</v>
      </c>
      <c r="B84" s="18">
        <f>INDEX(Transactions[Date],MATCH(InvoicesDetail[[#This Row],[Transaction ID]],Transactions[Transaction ID],0))</f>
        <v>45877</v>
      </c>
      <c r="C84" t="s">
        <v>230</v>
      </c>
      <c r="D84" t="str">
        <f>VLOOKUP(C84,Transactions[],4,0)</f>
        <v>Mesin Las Listrik</v>
      </c>
      <c r="E84">
        <f>VLOOKUP(C84,Transactions[],5,0)</f>
        <v>7</v>
      </c>
      <c r="F84" s="13">
        <f>VLOOKUP(C84,Transactions[],6,0)</f>
        <v>2296000</v>
      </c>
      <c r="G84" s="13">
        <f>InvoicesDetail[[#This Row],[Qty]]*InvoicesDetail[[#This Row],[Unit Price]]</f>
        <v>16072000</v>
      </c>
      <c r="H84" t="s">
        <v>375</v>
      </c>
      <c r="I84" t="str">
        <f>VLOOKUP(A84,Invoices_Display!$A$1:$I$201,9,0)</f>
        <v>PO #002</v>
      </c>
      <c r="J84" t="str">
        <f>VLOOKUP(InvoicesDetail[[#This Row],[Transaction ID]],Transactions[],8,0)</f>
        <v>IN</v>
      </c>
      <c r="K84" t="str">
        <f>TEXT(InvoicesDetail[[#This Row],[Date]],"MMM-YYYY")</f>
        <v>Aug-2025</v>
      </c>
    </row>
    <row r="85" spans="1:11" hidden="1" x14ac:dyDescent="0.25">
      <c r="A85" t="s">
        <v>273</v>
      </c>
      <c r="B85" s="18">
        <f>INDEX(Transactions[Date],MATCH(InvoicesDetail[[#This Row],[Transaction ID]],Transactions[Transaction ID],0))</f>
        <v>45878</v>
      </c>
      <c r="C85" t="s">
        <v>122</v>
      </c>
      <c r="D85" t="str">
        <f>VLOOKUP(C85,Transactions[],4,0)</f>
        <v>Bor Tangan Listrik</v>
      </c>
      <c r="E85">
        <f>VLOOKUP(C85,Transactions[],5,0)</f>
        <v>7</v>
      </c>
      <c r="F85" s="13">
        <f>VLOOKUP(C85,Transactions[],6,0)</f>
        <v>335500</v>
      </c>
      <c r="G85" s="13">
        <f>InvoicesDetail[[#This Row],[Qty]]*InvoicesDetail[[#This Row],[Unit Price]]</f>
        <v>2348500</v>
      </c>
      <c r="H85" t="s">
        <v>375</v>
      </c>
      <c r="I85" t="str">
        <f>VLOOKUP(A85,Invoices_Display!$A$1:$I$201,9,0)</f>
        <v>PO #001</v>
      </c>
      <c r="J85" t="str">
        <f>VLOOKUP(InvoicesDetail[[#This Row],[Transaction ID]],Transactions[],8,0)</f>
        <v>IN</v>
      </c>
      <c r="K85" t="str">
        <f>TEXT(InvoicesDetail[[#This Row],[Date]],"MMM-YYYY")</f>
        <v>Aug-2025</v>
      </c>
    </row>
    <row r="86" spans="1:11" x14ac:dyDescent="0.25">
      <c r="A86" t="s">
        <v>273</v>
      </c>
      <c r="B86" s="18">
        <f>INDEX(Transactions[Date],MATCH(InvoicesDetail[[#This Row],[Transaction ID]],Transactions[Transaction ID],0))</f>
        <v>45917</v>
      </c>
      <c r="C86" t="s">
        <v>123</v>
      </c>
      <c r="D86" t="str">
        <f>VLOOKUP(C86,Transactions[],4,0)</f>
        <v>Jaket Safety</v>
      </c>
      <c r="E86">
        <f>VLOOKUP(C86,Transactions[],5,0)</f>
        <v>12</v>
      </c>
      <c r="F86" s="13">
        <f>VLOOKUP(C86,Transactions[],6,0)</f>
        <v>245000</v>
      </c>
      <c r="G86" s="13">
        <f>InvoicesDetail[[#This Row],[Qty]]*InvoicesDetail[[#This Row],[Unit Price]]</f>
        <v>2940000</v>
      </c>
      <c r="H86" t="s">
        <v>375</v>
      </c>
      <c r="I86" t="str">
        <f>VLOOKUP(A86,Invoices_Display!$A$1:$I$201,9,0)</f>
        <v>PO #001</v>
      </c>
      <c r="J86" t="str">
        <f>VLOOKUP(InvoicesDetail[[#This Row],[Transaction ID]],Transactions[],8,0)</f>
        <v>OUT</v>
      </c>
      <c r="K86" t="str">
        <f>TEXT(InvoicesDetail[[#This Row],[Date]],"MMM-YYYY")</f>
        <v>Sep-2025</v>
      </c>
    </row>
    <row r="87" spans="1:11" hidden="1" x14ac:dyDescent="0.25">
      <c r="A87" t="s">
        <v>273</v>
      </c>
      <c r="B87" s="18">
        <f>INDEX(Transactions[Date],MATCH(InvoicesDetail[[#This Row],[Transaction ID]],Transactions[Transaction ID],0))</f>
        <v>45891</v>
      </c>
      <c r="C87" t="s">
        <v>92</v>
      </c>
      <c r="D87" t="str">
        <f>VLOOKUP(C87,Transactions[],4,0)</f>
        <v>Kabel Listrik Roll 50m</v>
      </c>
      <c r="E87">
        <f>VLOOKUP(C87,Transactions[],5,0)</f>
        <v>19</v>
      </c>
      <c r="F87" s="13">
        <f>VLOOKUP(C87,Transactions[],6,0)</f>
        <v>203500</v>
      </c>
      <c r="G87" s="13">
        <f>InvoicesDetail[[#This Row],[Qty]]*InvoicesDetail[[#This Row],[Unit Price]]</f>
        <v>3866500</v>
      </c>
      <c r="H87" t="s">
        <v>375</v>
      </c>
      <c r="I87" t="str">
        <f>VLOOKUP(A87,Invoices_Display!$A$1:$I$201,9,0)</f>
        <v>PO #001</v>
      </c>
      <c r="J87" t="str">
        <f>VLOOKUP(InvoicesDetail[[#This Row],[Transaction ID]],Transactions[],8,0)</f>
        <v>OUT</v>
      </c>
      <c r="K87" t="str">
        <f>TEXT(InvoicesDetail[[#This Row],[Date]],"MMM-YYYY")</f>
        <v>Aug-2025</v>
      </c>
    </row>
    <row r="88" spans="1:11" hidden="1" x14ac:dyDescent="0.25">
      <c r="A88" t="s">
        <v>274</v>
      </c>
      <c r="B88" s="18">
        <f>INDEX(Transactions[Date],MATCH(InvoicesDetail[[#This Row],[Transaction ID]],Transactions[Transaction ID],0))</f>
        <v>45900</v>
      </c>
      <c r="C88" s="1" t="s">
        <v>93</v>
      </c>
      <c r="D88" t="str">
        <f>VLOOKUP(C88,Transactions[],4,0)</f>
        <v>Genset Portable 1000W</v>
      </c>
      <c r="E88">
        <f>VLOOKUP(C88,Transactions[],5,0)</f>
        <v>12</v>
      </c>
      <c r="F88" s="13">
        <f>VLOOKUP(C88,Transactions[],6,0)</f>
        <v>3134000</v>
      </c>
      <c r="G88" s="13">
        <f>InvoicesDetail[[#This Row],[Qty]]*InvoicesDetail[[#This Row],[Unit Price]]</f>
        <v>37608000</v>
      </c>
      <c r="H88" t="s">
        <v>375</v>
      </c>
      <c r="I88" t="str">
        <f>VLOOKUP(A88,Invoices_Display!$A$1:$I$201,9,0)</f>
        <v>Project Site B</v>
      </c>
      <c r="J88" t="str">
        <f>VLOOKUP(InvoicesDetail[[#This Row],[Transaction ID]],Transactions[],8,0)</f>
        <v>OUT</v>
      </c>
      <c r="K88" t="str">
        <f>TEXT(InvoicesDetail[[#This Row],[Date]],"MMM-YYYY")</f>
        <v>Aug-2025</v>
      </c>
    </row>
    <row r="89" spans="1:11" hidden="1" x14ac:dyDescent="0.25">
      <c r="A89" t="s">
        <v>274</v>
      </c>
      <c r="B89" s="18">
        <f>INDEX(Transactions[Date],MATCH(InvoicesDetail[[#This Row],[Transaction ID]],Transactions[Transaction ID],0))</f>
        <v>45892</v>
      </c>
      <c r="C89" t="s">
        <v>231</v>
      </c>
      <c r="D89" t="str">
        <f>VLOOKUP(C89,Transactions[],4,0)</f>
        <v>Kabel Listrik Roll 50m</v>
      </c>
      <c r="E89">
        <f>VLOOKUP(C89,Transactions[],5,0)</f>
        <v>20</v>
      </c>
      <c r="F89" s="13">
        <f>VLOOKUP(C89,Transactions[],6,0)</f>
        <v>203500</v>
      </c>
      <c r="G89" s="13">
        <f>InvoicesDetail[[#This Row],[Qty]]*InvoicesDetail[[#This Row],[Unit Price]]</f>
        <v>4070000</v>
      </c>
      <c r="H89" t="s">
        <v>375</v>
      </c>
      <c r="I89" t="str">
        <f>VLOOKUP(A89,Invoices_Display!$A$1:$I$201,9,0)</f>
        <v>Project Site B</v>
      </c>
      <c r="J89" t="str">
        <f>VLOOKUP(InvoicesDetail[[#This Row],[Transaction ID]],Transactions[],8,0)</f>
        <v>OUT</v>
      </c>
      <c r="K89" t="str">
        <f>TEXT(InvoicesDetail[[#This Row],[Date]],"MMM-YYYY")</f>
        <v>Aug-2025</v>
      </c>
    </row>
    <row r="90" spans="1:11" x14ac:dyDescent="0.25">
      <c r="A90" t="s">
        <v>274</v>
      </c>
      <c r="B90" s="18">
        <f>INDEX(Transactions[Date],MATCH(InvoicesDetail[[#This Row],[Transaction ID]],Transactions[Transaction ID],0))</f>
        <v>45923</v>
      </c>
      <c r="C90" t="s">
        <v>232</v>
      </c>
      <c r="D90" t="str">
        <f>VLOOKUP(C90,Transactions[],4,0)</f>
        <v>Sarung Tangan Katun</v>
      </c>
      <c r="E90">
        <f>VLOOKUP(C90,Transactions[],5,0)</f>
        <v>1</v>
      </c>
      <c r="F90" s="13">
        <f>VLOOKUP(C90,Transactions[],6,0)</f>
        <v>20000</v>
      </c>
      <c r="G90" s="13">
        <f>InvoicesDetail[[#This Row],[Qty]]*InvoicesDetail[[#This Row],[Unit Price]]</f>
        <v>20000</v>
      </c>
      <c r="H90" t="s">
        <v>375</v>
      </c>
      <c r="I90" t="str">
        <f>VLOOKUP(A90,Invoices_Display!$A$1:$I$201,9,0)</f>
        <v>Project Site B</v>
      </c>
      <c r="J90" t="str">
        <f>VLOOKUP(InvoicesDetail[[#This Row],[Transaction ID]],Transactions[],8,0)</f>
        <v>OUT</v>
      </c>
      <c r="K90" t="str">
        <f>TEXT(InvoicesDetail[[#This Row],[Date]],"MMM-YYYY")</f>
        <v>Sep-2025</v>
      </c>
    </row>
    <row r="91" spans="1:11" hidden="1" x14ac:dyDescent="0.25">
      <c r="A91" t="s">
        <v>303</v>
      </c>
      <c r="B91" s="18">
        <f>INDEX(Transactions[Date],MATCH(InvoicesDetail[[#This Row],[Transaction ID]],Transactions[Transaction ID],0))</f>
        <v>45893</v>
      </c>
      <c r="C91" s="1" t="s">
        <v>94</v>
      </c>
      <c r="D91" t="str">
        <f>VLOOKUP(C91,Transactions[],4,0)</f>
        <v>Genset Portable 1000W</v>
      </c>
      <c r="E91">
        <f>VLOOKUP(C91,Transactions[],5,0)</f>
        <v>3</v>
      </c>
      <c r="F91" s="13">
        <f>VLOOKUP(C91,Transactions[],6,0)</f>
        <v>3134000</v>
      </c>
      <c r="G91" s="13">
        <f>InvoicesDetail[[#This Row],[Qty]]*InvoicesDetail[[#This Row],[Unit Price]]</f>
        <v>9402000</v>
      </c>
      <c r="H91" t="s">
        <v>375</v>
      </c>
      <c r="I91" t="str">
        <f>VLOOKUP(A91,Invoices_Display!$A$1:$I$201,9,0)</f>
        <v>Retur Barang</v>
      </c>
      <c r="J91" t="str">
        <f>VLOOKUP(InvoicesDetail[[#This Row],[Transaction ID]],Transactions[],8,0)</f>
        <v>OUT</v>
      </c>
      <c r="K91" t="str">
        <f>TEXT(InvoicesDetail[[#This Row],[Date]],"MMM-YYYY")</f>
        <v>Aug-2025</v>
      </c>
    </row>
    <row r="92" spans="1:11" hidden="1" x14ac:dyDescent="0.25">
      <c r="A92" t="s">
        <v>303</v>
      </c>
      <c r="B92" s="18">
        <f>INDEX(Transactions[Date],MATCH(InvoicesDetail[[#This Row],[Transaction ID]],Transactions[Transaction ID],0))</f>
        <v>45850</v>
      </c>
      <c r="C92" t="s">
        <v>143</v>
      </c>
      <c r="D92" t="str">
        <f>VLOOKUP(C92,Transactions[],4,0)</f>
        <v>Bor Tangan Listrik</v>
      </c>
      <c r="E92">
        <f>VLOOKUP(C92,Transactions[],5,0)</f>
        <v>4</v>
      </c>
      <c r="F92" s="13">
        <f>VLOOKUP(C92,Transactions[],6,0)</f>
        <v>335500</v>
      </c>
      <c r="G92" s="13">
        <f>InvoicesDetail[[#This Row],[Qty]]*InvoicesDetail[[#This Row],[Unit Price]]</f>
        <v>1342000</v>
      </c>
      <c r="H92" t="s">
        <v>375</v>
      </c>
      <c r="I92" t="str">
        <f>VLOOKUP(A92,Invoices_Display!$A$1:$I$201,9,0)</f>
        <v>Retur Barang</v>
      </c>
      <c r="J92" t="str">
        <f>VLOOKUP(InvoicesDetail[[#This Row],[Transaction ID]],Transactions[],8,0)</f>
        <v>OUT</v>
      </c>
      <c r="K92" t="str">
        <f>TEXT(InvoicesDetail[[#This Row],[Date]],"MMM-YYYY")</f>
        <v>Jul-2025</v>
      </c>
    </row>
    <row r="93" spans="1:11" hidden="1" x14ac:dyDescent="0.25">
      <c r="A93" t="s">
        <v>275</v>
      </c>
      <c r="B93" s="18">
        <f>INDEX(Transactions[Date],MATCH(InvoicesDetail[[#This Row],[Transaction ID]],Transactions[Transaction ID],0))</f>
        <v>45847</v>
      </c>
      <c r="C93" t="s">
        <v>204</v>
      </c>
      <c r="D93" t="str">
        <f>VLOOKUP(C93,Transactions[],4,0)</f>
        <v>Bor Tangan Listrik</v>
      </c>
      <c r="E93">
        <f>VLOOKUP(C93,Transactions[],5,0)</f>
        <v>20</v>
      </c>
      <c r="F93" s="13">
        <f>VLOOKUP(C93,Transactions[],6,0)</f>
        <v>335500</v>
      </c>
      <c r="G93" s="13">
        <f>InvoicesDetail[[#This Row],[Qty]]*InvoicesDetail[[#This Row],[Unit Price]]</f>
        <v>6710000</v>
      </c>
      <c r="H93" t="s">
        <v>375</v>
      </c>
      <c r="I93" t="str">
        <f>VLOOKUP(A93,Invoices_Display!$A$1:$I$201,9,0)</f>
        <v>PO #003</v>
      </c>
      <c r="J93" t="str">
        <f>VLOOKUP(InvoicesDetail[[#This Row],[Transaction ID]],Transactions[],8,0)</f>
        <v>IN</v>
      </c>
      <c r="K93" t="str">
        <f>TEXT(InvoicesDetail[[#This Row],[Date]],"MMM-YYYY")</f>
        <v>Jul-2025</v>
      </c>
    </row>
    <row r="94" spans="1:11" hidden="1" x14ac:dyDescent="0.25">
      <c r="A94" t="s">
        <v>275</v>
      </c>
      <c r="B94" s="18">
        <f>INDEX(Transactions[Date],MATCH(InvoicesDetail[[#This Row],[Transaction ID]],Transactions[Transaction ID],0))</f>
        <v>45861</v>
      </c>
      <c r="C94" t="s">
        <v>205</v>
      </c>
      <c r="D94" t="str">
        <f>VLOOKUP(C94,Transactions[],4,0)</f>
        <v>Jaket Safety</v>
      </c>
      <c r="E94">
        <f>VLOOKUP(C94,Transactions[],5,0)</f>
        <v>5</v>
      </c>
      <c r="F94" s="13">
        <f>VLOOKUP(C94,Transactions[],6,0)</f>
        <v>245000</v>
      </c>
      <c r="G94" s="13">
        <f>InvoicesDetail[[#This Row],[Qty]]*InvoicesDetail[[#This Row],[Unit Price]]</f>
        <v>1225000</v>
      </c>
      <c r="H94" t="s">
        <v>375</v>
      </c>
      <c r="I94" t="str">
        <f>VLOOKUP(A94,Invoices_Display!$A$1:$I$201,9,0)</f>
        <v>PO #003</v>
      </c>
      <c r="J94" t="str">
        <f>VLOOKUP(InvoicesDetail[[#This Row],[Transaction ID]],Transactions[],8,0)</f>
        <v>OUT</v>
      </c>
      <c r="K94" t="str">
        <f>TEXT(InvoicesDetail[[#This Row],[Date]],"MMM-YYYY")</f>
        <v>Jul-2025</v>
      </c>
    </row>
    <row r="95" spans="1:11" hidden="1" x14ac:dyDescent="0.25">
      <c r="A95" t="s">
        <v>275</v>
      </c>
      <c r="B95" s="18">
        <f>INDEX(Transactions[Date],MATCH(InvoicesDetail[[#This Row],[Transaction ID]],Transactions[Transaction ID],0))</f>
        <v>45874</v>
      </c>
      <c r="C95" t="s">
        <v>95</v>
      </c>
      <c r="D95" t="str">
        <f>VLOOKUP(C95,Transactions[],4,0)</f>
        <v>Cat Tembok 1 kg</v>
      </c>
      <c r="E95">
        <f>VLOOKUP(C95,Transactions[],5,0)</f>
        <v>9</v>
      </c>
      <c r="F95" s="13">
        <f>VLOOKUP(C95,Transactions[],6,0)</f>
        <v>31000</v>
      </c>
      <c r="G95" s="13">
        <f>InvoicesDetail[[#This Row],[Qty]]*InvoicesDetail[[#This Row],[Unit Price]]</f>
        <v>279000</v>
      </c>
      <c r="H95" t="s">
        <v>375</v>
      </c>
      <c r="I95" t="str">
        <f>VLOOKUP(A95,Invoices_Display!$A$1:$I$201,9,0)</f>
        <v>PO #003</v>
      </c>
      <c r="J95" t="str">
        <f>VLOOKUP(InvoicesDetail[[#This Row],[Transaction ID]],Transactions[],8,0)</f>
        <v>IN</v>
      </c>
      <c r="K95" t="str">
        <f>TEXT(InvoicesDetail[[#This Row],[Date]],"MMM-YYYY")</f>
        <v>Aug-2025</v>
      </c>
    </row>
    <row r="96" spans="1:11" hidden="1" x14ac:dyDescent="0.25">
      <c r="A96" t="s">
        <v>275</v>
      </c>
      <c r="B96" s="18">
        <f>INDEX(Transactions[Date],MATCH(InvoicesDetail[[#This Row],[Transaction ID]],Transactions[Transaction ID],0))</f>
        <v>45930</v>
      </c>
      <c r="C96" t="s">
        <v>206</v>
      </c>
      <c r="D96" t="str">
        <f>VLOOKUP(C96,Transactions[],4,0)</f>
        <v>Cat Minyak 5L</v>
      </c>
      <c r="E96">
        <f>VLOOKUP(C96,Transactions[],5,0)</f>
        <v>14</v>
      </c>
      <c r="F96" s="13">
        <f>VLOOKUP(C96,Transactions[],6,0)</f>
        <v>135500</v>
      </c>
      <c r="G96" s="13">
        <f>InvoicesDetail[[#This Row],[Qty]]*InvoicesDetail[[#This Row],[Unit Price]]</f>
        <v>1897000</v>
      </c>
      <c r="H96" t="s">
        <v>375</v>
      </c>
      <c r="I96" t="str">
        <f>VLOOKUP(A96,Invoices_Display!$A$1:$I$201,9,0)</f>
        <v>PO #003</v>
      </c>
      <c r="J96" t="str">
        <f>VLOOKUP(InvoicesDetail[[#This Row],[Transaction ID]],Transactions[],8,0)</f>
        <v>IN</v>
      </c>
      <c r="K96" t="str">
        <f>TEXT(InvoicesDetail[[#This Row],[Date]],"MMM-YYYY")</f>
        <v>Sep-2025</v>
      </c>
    </row>
    <row r="97" spans="1:11" hidden="1" x14ac:dyDescent="0.25">
      <c r="A97" t="s">
        <v>275</v>
      </c>
      <c r="B97" s="18">
        <f>INDEX(Transactions[Date],MATCH(InvoicesDetail[[#This Row],[Transaction ID]],Transactions[Transaction ID],0))</f>
        <v>45925</v>
      </c>
      <c r="C97" t="s">
        <v>207</v>
      </c>
      <c r="D97" t="str">
        <f>VLOOKUP(C97,Transactions[],4,0)</f>
        <v>Helm Proyek</v>
      </c>
      <c r="E97">
        <f>VLOOKUP(C97,Transactions[],5,0)</f>
        <v>1</v>
      </c>
      <c r="F97" s="13">
        <f>VLOOKUP(C97,Transactions[],6,0)</f>
        <v>50000</v>
      </c>
      <c r="G97" s="13">
        <f>InvoicesDetail[[#This Row],[Qty]]*InvoicesDetail[[#This Row],[Unit Price]]</f>
        <v>50000</v>
      </c>
      <c r="H97" t="s">
        <v>375</v>
      </c>
      <c r="I97" t="str">
        <f>VLOOKUP(A97,Invoices_Display!$A$1:$I$201,9,0)</f>
        <v>PO #003</v>
      </c>
      <c r="J97" t="str">
        <f>VLOOKUP(InvoicesDetail[[#This Row],[Transaction ID]],Transactions[],8,0)</f>
        <v>IN</v>
      </c>
      <c r="K97" t="str">
        <f>TEXT(InvoicesDetail[[#This Row],[Date]],"MMM-YYYY")</f>
        <v>Sep-2025</v>
      </c>
    </row>
    <row r="98" spans="1:11" hidden="1" x14ac:dyDescent="0.25">
      <c r="A98" t="s">
        <v>304</v>
      </c>
      <c r="B98" s="18">
        <f>INDEX(Transactions[Date],MATCH(InvoicesDetail[[#This Row],[Transaction ID]],Transactions[Transaction ID],0))</f>
        <v>45908</v>
      </c>
      <c r="C98" t="s">
        <v>96</v>
      </c>
      <c r="D98" t="str">
        <f>VLOOKUP(C98,Transactions[],4,0)</f>
        <v>Helm Proyek</v>
      </c>
      <c r="E98">
        <f>VLOOKUP(C98,Transactions[],5,0)</f>
        <v>20</v>
      </c>
      <c r="F98" s="13">
        <f>VLOOKUP(C98,Transactions[],6,0)</f>
        <v>50000</v>
      </c>
      <c r="G98" s="13">
        <f>InvoicesDetail[[#This Row],[Qty]]*InvoicesDetail[[#This Row],[Unit Price]]</f>
        <v>1000000</v>
      </c>
      <c r="H98" t="s">
        <v>374</v>
      </c>
      <c r="I98" t="str">
        <f>VLOOKUP(A98,Invoices_Display!$A$1:$I$201,9,0)</f>
        <v>PO #003</v>
      </c>
      <c r="J98" t="str">
        <f>VLOOKUP(InvoicesDetail[[#This Row],[Transaction ID]],Transactions[],8,0)</f>
        <v>IN</v>
      </c>
      <c r="K98" t="str">
        <f>TEXT(InvoicesDetail[[#This Row],[Date]],"MMM-YYYY")</f>
        <v>Sep-2025</v>
      </c>
    </row>
    <row r="99" spans="1:11" hidden="1" x14ac:dyDescent="0.25">
      <c r="A99" t="s">
        <v>304</v>
      </c>
      <c r="B99" s="18">
        <f>INDEX(Transactions[Date],MATCH(InvoicesDetail[[#This Row],[Transaction ID]],Transactions[Transaction ID],0))</f>
        <v>45879</v>
      </c>
      <c r="C99" t="s">
        <v>135</v>
      </c>
      <c r="D99" t="str">
        <f>VLOOKUP(C99,Transactions[],4,0)</f>
        <v>Gerinda Tangan</v>
      </c>
      <c r="E99">
        <f>VLOOKUP(C99,Transactions[],5,0)</f>
        <v>18</v>
      </c>
      <c r="F99" s="13">
        <f>VLOOKUP(C99,Transactions[],6,0)</f>
        <v>465000</v>
      </c>
      <c r="G99" s="13">
        <f>InvoicesDetail[[#This Row],[Qty]]*InvoicesDetail[[#This Row],[Unit Price]]</f>
        <v>8370000</v>
      </c>
      <c r="H99" t="s">
        <v>374</v>
      </c>
      <c r="I99" t="str">
        <f>VLOOKUP(A99,Invoices_Display!$A$1:$I$201,9,0)</f>
        <v>PO #003</v>
      </c>
      <c r="J99" t="str">
        <f>VLOOKUP(InvoicesDetail[[#This Row],[Transaction ID]],Transactions[],8,0)</f>
        <v>OUT</v>
      </c>
      <c r="K99" t="str">
        <f>TEXT(InvoicesDetail[[#This Row],[Date]],"MMM-YYYY")</f>
        <v>Aug-2025</v>
      </c>
    </row>
    <row r="100" spans="1:11" hidden="1" x14ac:dyDescent="0.25">
      <c r="A100" t="s">
        <v>304</v>
      </c>
      <c r="B100" s="18">
        <f>INDEX(Transactions[Date],MATCH(InvoicesDetail[[#This Row],[Transaction ID]],Transactions[Transaction ID],0))</f>
        <v>45888</v>
      </c>
      <c r="C100" t="s">
        <v>245</v>
      </c>
      <c r="D100" t="str">
        <f>VLOOKUP(C100,Transactions[],4,0)</f>
        <v>Lampu Sorot LED 100W</v>
      </c>
      <c r="E100">
        <f>VLOOKUP(C100,Transactions[],5,0)</f>
        <v>10</v>
      </c>
      <c r="F100" s="13">
        <f>VLOOKUP(C100,Transactions[],6,0)</f>
        <v>237000</v>
      </c>
      <c r="G100" s="13">
        <f>InvoicesDetail[[#This Row],[Qty]]*InvoicesDetail[[#This Row],[Unit Price]]</f>
        <v>2370000</v>
      </c>
      <c r="H100" t="s">
        <v>374</v>
      </c>
      <c r="I100" t="str">
        <f>VLOOKUP(A100,Invoices_Display!$A$1:$I$201,9,0)</f>
        <v>PO #003</v>
      </c>
      <c r="J100" t="str">
        <f>VLOOKUP(InvoicesDetail[[#This Row],[Transaction ID]],Transactions[],8,0)</f>
        <v>OUT</v>
      </c>
      <c r="K100" t="str">
        <f>TEXT(InvoicesDetail[[#This Row],[Date]],"MMM-YYYY")</f>
        <v>Aug-2025</v>
      </c>
    </row>
    <row r="101" spans="1:11" x14ac:dyDescent="0.25">
      <c r="A101" t="s">
        <v>305</v>
      </c>
      <c r="B101" s="18">
        <f>INDEX(Transactions[Date],MATCH(InvoicesDetail[[#This Row],[Transaction ID]],Transactions[Transaction ID],0))</f>
        <v>45903</v>
      </c>
      <c r="C101" t="s">
        <v>133</v>
      </c>
      <c r="D101" t="str">
        <f>VLOOKUP(C101,Transactions[],4,0)</f>
        <v>Gerinda Tangan</v>
      </c>
      <c r="E101">
        <f>VLOOKUP(C101,Transactions[],5,0)</f>
        <v>3</v>
      </c>
      <c r="F101" s="13">
        <f>VLOOKUP(C101,Transactions[],6,0)</f>
        <v>465000</v>
      </c>
      <c r="G101" s="13">
        <f>InvoicesDetail[[#This Row],[Qty]]*InvoicesDetail[[#This Row],[Unit Price]]</f>
        <v>1395000</v>
      </c>
      <c r="H101" t="s">
        <v>375</v>
      </c>
      <c r="I101" t="str">
        <f>VLOOKUP(A101,Invoices_Display!$A$1:$I$201,9,0)</f>
        <v>Project Site B</v>
      </c>
      <c r="J101" t="str">
        <f>VLOOKUP(InvoicesDetail[[#This Row],[Transaction ID]],Transactions[],8,0)</f>
        <v>OUT</v>
      </c>
      <c r="K101" t="str">
        <f>TEXT(InvoicesDetail[[#This Row],[Date]],"MMM-YYYY")</f>
        <v>Sep-2025</v>
      </c>
    </row>
    <row r="102" spans="1:11" hidden="1" x14ac:dyDescent="0.25">
      <c r="A102" t="s">
        <v>305</v>
      </c>
      <c r="B102" s="18">
        <f>INDEX(Transactions[Date],MATCH(InvoicesDetail[[#This Row],[Transaction ID]],Transactions[Transaction ID],0))</f>
        <v>45916</v>
      </c>
      <c r="C102" t="s">
        <v>141</v>
      </c>
      <c r="D102" t="str">
        <f>VLOOKUP(C102,Transactions[],4,0)</f>
        <v>Helm Proyek</v>
      </c>
      <c r="E102">
        <f>VLOOKUP(C102,Transactions[],5,0)</f>
        <v>18</v>
      </c>
      <c r="F102" s="13">
        <f>VLOOKUP(C102,Transactions[],6,0)</f>
        <v>50000</v>
      </c>
      <c r="G102" s="13">
        <f>InvoicesDetail[[#This Row],[Qty]]*InvoicesDetail[[#This Row],[Unit Price]]</f>
        <v>900000</v>
      </c>
      <c r="H102" t="s">
        <v>375</v>
      </c>
      <c r="I102" t="str">
        <f>VLOOKUP(A102,Invoices_Display!$A$1:$I$201,9,0)</f>
        <v>Project Site B</v>
      </c>
      <c r="J102" t="str">
        <f>VLOOKUP(InvoicesDetail[[#This Row],[Transaction ID]],Transactions[],8,0)</f>
        <v>IN</v>
      </c>
      <c r="K102" t="str">
        <f>TEXT(InvoicesDetail[[#This Row],[Date]],"MMM-YYYY")</f>
        <v>Sep-2025</v>
      </c>
    </row>
    <row r="103" spans="1:11" x14ac:dyDescent="0.25">
      <c r="A103" t="s">
        <v>305</v>
      </c>
      <c r="B103" s="18">
        <f>INDEX(Transactions[Date],MATCH(InvoicesDetail[[#This Row],[Transaction ID]],Transactions[Transaction ID],0))</f>
        <v>45918</v>
      </c>
      <c r="C103" t="s">
        <v>174</v>
      </c>
      <c r="D103" t="str">
        <f>VLOOKUP(C103,Transactions[],4,0)</f>
        <v>Pompa Air Industri</v>
      </c>
      <c r="E103">
        <f>VLOOKUP(C103,Transactions[],5,0)</f>
        <v>10</v>
      </c>
      <c r="F103" s="13">
        <f>VLOOKUP(C103,Transactions[],6,0)</f>
        <v>4490000</v>
      </c>
      <c r="G103" s="13">
        <f>InvoicesDetail[[#This Row],[Qty]]*InvoicesDetail[[#This Row],[Unit Price]]</f>
        <v>44900000</v>
      </c>
      <c r="H103" t="s">
        <v>375</v>
      </c>
      <c r="I103" t="str">
        <f>VLOOKUP(A103,Invoices_Display!$A$1:$I$201,9,0)</f>
        <v>Project Site B</v>
      </c>
      <c r="J103" t="str">
        <f>VLOOKUP(InvoicesDetail[[#This Row],[Transaction ID]],Transactions[],8,0)</f>
        <v>OUT</v>
      </c>
      <c r="K103" t="str">
        <f>TEXT(InvoicesDetail[[#This Row],[Date]],"MMM-YYYY")</f>
        <v>Sep-2025</v>
      </c>
    </row>
    <row r="104" spans="1:11" hidden="1" x14ac:dyDescent="0.25">
      <c r="A104" t="s">
        <v>305</v>
      </c>
      <c r="B104" s="18">
        <f>INDEX(Transactions[Date],MATCH(InvoicesDetail[[#This Row],[Transaction ID]],Transactions[Transaction ID],0))</f>
        <v>45879</v>
      </c>
      <c r="C104" t="s">
        <v>203</v>
      </c>
      <c r="D104" t="str">
        <f>VLOOKUP(C104,Transactions[],4,0)</f>
        <v>Rantai Besi 10m</v>
      </c>
      <c r="E104">
        <f>VLOOKUP(C104,Transactions[],5,0)</f>
        <v>1</v>
      </c>
      <c r="F104" s="13">
        <f>VLOOKUP(C104,Transactions[],6,0)</f>
        <v>431000</v>
      </c>
      <c r="G104" s="13">
        <f>InvoicesDetail[[#This Row],[Qty]]*InvoicesDetail[[#This Row],[Unit Price]]</f>
        <v>431000</v>
      </c>
      <c r="H104" t="s">
        <v>375</v>
      </c>
      <c r="I104" t="str">
        <f>VLOOKUP(A104,Invoices_Display!$A$1:$I$201,9,0)</f>
        <v>Project Site B</v>
      </c>
      <c r="J104" t="str">
        <f>VLOOKUP(InvoicesDetail[[#This Row],[Transaction ID]],Transactions[],8,0)</f>
        <v>OUT</v>
      </c>
      <c r="K104" t="str">
        <f>TEXT(InvoicesDetail[[#This Row],[Date]],"MMM-YYYY")</f>
        <v>Aug-2025</v>
      </c>
    </row>
    <row r="105" spans="1:11" hidden="1" x14ac:dyDescent="0.25">
      <c r="A105" t="s">
        <v>306</v>
      </c>
      <c r="B105" s="18">
        <f>INDEX(Transactions[Date],MATCH(InvoicesDetail[[#This Row],[Transaction ID]],Transactions[Transaction ID],0))</f>
        <v>45856</v>
      </c>
      <c r="C105" t="s">
        <v>97</v>
      </c>
      <c r="D105" t="str">
        <f>VLOOKUP(C105,Transactions[],4,0)</f>
        <v>Bor Tangan Listrik</v>
      </c>
      <c r="E105">
        <f>VLOOKUP(C105,Transactions[],5,0)</f>
        <v>10</v>
      </c>
      <c r="F105" s="13">
        <f>VLOOKUP(C105,Transactions[],6,0)</f>
        <v>335500</v>
      </c>
      <c r="G105" s="13">
        <f>InvoicesDetail[[#This Row],[Qty]]*InvoicesDetail[[#This Row],[Unit Price]]</f>
        <v>3355000</v>
      </c>
      <c r="H105" t="s">
        <v>374</v>
      </c>
      <c r="I105" t="str">
        <f>VLOOKUP(A105,Invoices_Display!$A$1:$I$201,9,0)</f>
        <v>Retur Barang</v>
      </c>
      <c r="J105" t="str">
        <f>VLOOKUP(InvoicesDetail[[#This Row],[Transaction ID]],Transactions[],8,0)</f>
        <v>IN</v>
      </c>
      <c r="K105" t="str">
        <f>TEXT(InvoicesDetail[[#This Row],[Date]],"MMM-YYYY")</f>
        <v>Jul-2025</v>
      </c>
    </row>
    <row r="106" spans="1:11" hidden="1" x14ac:dyDescent="0.25">
      <c r="A106" t="s">
        <v>306</v>
      </c>
      <c r="B106" s="18">
        <f>INDEX(Transactions[Date],MATCH(InvoicesDetail[[#This Row],[Transaction ID]],Transactions[Transaction ID],0))</f>
        <v>45930</v>
      </c>
      <c r="C106" t="s">
        <v>196</v>
      </c>
      <c r="D106" t="str">
        <f>VLOOKUP(C106,Transactions[],4,0)</f>
        <v>Gerinda Tangan</v>
      </c>
      <c r="E106">
        <f>VLOOKUP(C106,Transactions[],5,0)</f>
        <v>12</v>
      </c>
      <c r="F106" s="13">
        <f>VLOOKUP(C106,Transactions[],6,0)</f>
        <v>465000</v>
      </c>
      <c r="G106" s="13">
        <f>InvoicesDetail[[#This Row],[Qty]]*InvoicesDetail[[#This Row],[Unit Price]]</f>
        <v>5580000</v>
      </c>
      <c r="H106" t="s">
        <v>374</v>
      </c>
      <c r="I106" t="str">
        <f>VLOOKUP(A106,Invoices_Display!$A$1:$I$201,9,0)</f>
        <v>Retur Barang</v>
      </c>
      <c r="J106" t="str">
        <f>VLOOKUP(InvoicesDetail[[#This Row],[Transaction ID]],Transactions[],8,0)</f>
        <v>OUT</v>
      </c>
      <c r="K106" t="str">
        <f>TEXT(InvoicesDetail[[#This Row],[Date]],"MMM-YYYY")</f>
        <v>Sep-2025</v>
      </c>
    </row>
    <row r="107" spans="1:11" hidden="1" x14ac:dyDescent="0.25">
      <c r="A107" t="s">
        <v>306</v>
      </c>
      <c r="B107" s="18">
        <f>INDEX(Transactions[Date],MATCH(InvoicesDetail[[#This Row],[Transaction ID]],Transactions[Transaction ID],0))</f>
        <v>45844</v>
      </c>
      <c r="C107" t="s">
        <v>197</v>
      </c>
      <c r="D107" t="str">
        <f>VLOOKUP(C107,Transactions[],4,0)</f>
        <v>Obeng Set</v>
      </c>
      <c r="E107">
        <f>VLOOKUP(C107,Transactions[],5,0)</f>
        <v>1</v>
      </c>
      <c r="F107" s="13">
        <f>VLOOKUP(C107,Transactions[],6,0)</f>
        <v>128000</v>
      </c>
      <c r="G107" s="13">
        <f>InvoicesDetail[[#This Row],[Qty]]*InvoicesDetail[[#This Row],[Unit Price]]</f>
        <v>128000</v>
      </c>
      <c r="H107" t="s">
        <v>374</v>
      </c>
      <c r="I107" t="str">
        <f>VLOOKUP(A107,Invoices_Display!$A$1:$I$201,9,0)</f>
        <v>Retur Barang</v>
      </c>
      <c r="J107" t="str">
        <f>VLOOKUP(InvoicesDetail[[#This Row],[Transaction ID]],Transactions[],8,0)</f>
        <v>OUT</v>
      </c>
      <c r="K107" t="str">
        <f>TEXT(InvoicesDetail[[#This Row],[Date]],"MMM-YYYY")</f>
        <v>Jul-2025</v>
      </c>
    </row>
    <row r="108" spans="1:11" hidden="1" x14ac:dyDescent="0.25">
      <c r="A108" t="s">
        <v>307</v>
      </c>
      <c r="B108" s="18">
        <f>INDEX(Transactions[Date],MATCH(InvoicesDetail[[#This Row],[Transaction ID]],Transactions[Transaction ID],0))</f>
        <v>45839</v>
      </c>
      <c r="C108" t="s">
        <v>98</v>
      </c>
      <c r="D108" t="str">
        <f>VLOOKUP(C108,Transactions[],4,0)</f>
        <v>Lampu Sorot LED 100W</v>
      </c>
      <c r="E108">
        <f>VLOOKUP(C108,Transactions[],5,0)</f>
        <v>18</v>
      </c>
      <c r="F108" s="13">
        <f>VLOOKUP(C108,Transactions[],6,0)</f>
        <v>237000</v>
      </c>
      <c r="G108" s="13">
        <f>InvoicesDetail[[#This Row],[Qty]]*InvoicesDetail[[#This Row],[Unit Price]]</f>
        <v>4266000</v>
      </c>
      <c r="H108" t="s">
        <v>375</v>
      </c>
      <c r="I108" t="str">
        <f>VLOOKUP(A108,Invoices_Display!$A$1:$I$201,9,0)</f>
        <v>Restock</v>
      </c>
      <c r="J108" t="str">
        <f>VLOOKUP(InvoicesDetail[[#This Row],[Transaction ID]],Transactions[],8,0)</f>
        <v>OUT</v>
      </c>
      <c r="K108" t="str">
        <f>TEXT(InvoicesDetail[[#This Row],[Date]],"MMM-YYYY")</f>
        <v>Jul-2025</v>
      </c>
    </row>
    <row r="109" spans="1:11" hidden="1" x14ac:dyDescent="0.25">
      <c r="A109" t="s">
        <v>307</v>
      </c>
      <c r="B109" s="18">
        <f>INDEX(Transactions[Date],MATCH(InvoicesDetail[[#This Row],[Transaction ID]],Transactions[Transaction ID],0))</f>
        <v>45856</v>
      </c>
      <c r="C109" t="s">
        <v>219</v>
      </c>
      <c r="D109" t="str">
        <f>VLOOKUP(C109,Transactions[],4,0)</f>
        <v>Paku 5cm (1 kg)</v>
      </c>
      <c r="E109">
        <f>VLOOKUP(C109,Transactions[],5,0)</f>
        <v>8</v>
      </c>
      <c r="F109" s="13">
        <f>VLOOKUP(C109,Transactions[],6,0)</f>
        <v>13500</v>
      </c>
      <c r="G109" s="13">
        <f>InvoicesDetail[[#This Row],[Qty]]*InvoicesDetail[[#This Row],[Unit Price]]</f>
        <v>108000</v>
      </c>
      <c r="H109" t="s">
        <v>375</v>
      </c>
      <c r="I109" t="str">
        <f>VLOOKUP(A109,Invoices_Display!$A$1:$I$201,9,0)</f>
        <v>Restock</v>
      </c>
      <c r="J109" t="str">
        <f>VLOOKUP(InvoicesDetail[[#This Row],[Transaction ID]],Transactions[],8,0)</f>
        <v>IN</v>
      </c>
      <c r="K109" t="str">
        <f>TEXT(InvoicesDetail[[#This Row],[Date]],"MMM-YYYY")</f>
        <v>Jul-2025</v>
      </c>
    </row>
    <row r="110" spans="1:11" hidden="1" x14ac:dyDescent="0.25">
      <c r="A110" t="s">
        <v>307</v>
      </c>
      <c r="B110" s="18">
        <f>INDEX(Transactions[Date],MATCH(InvoicesDetail[[#This Row],[Transaction ID]],Transactions[Transaction ID],0))</f>
        <v>45859</v>
      </c>
      <c r="C110" t="s">
        <v>220</v>
      </c>
      <c r="D110" t="str">
        <f>VLOOKUP(C110,Transactions[],4,0)</f>
        <v>Helm Proyek</v>
      </c>
      <c r="E110">
        <f>VLOOKUP(C110,Transactions[],5,0)</f>
        <v>8</v>
      </c>
      <c r="F110" s="13">
        <f>VLOOKUP(C110,Transactions[],6,0)</f>
        <v>50000</v>
      </c>
      <c r="G110" s="13">
        <f>InvoicesDetail[[#This Row],[Qty]]*InvoicesDetail[[#This Row],[Unit Price]]</f>
        <v>400000</v>
      </c>
      <c r="H110" t="s">
        <v>375</v>
      </c>
      <c r="I110" t="str">
        <f>VLOOKUP(A110,Invoices_Display!$A$1:$I$201,9,0)</f>
        <v>Restock</v>
      </c>
      <c r="J110" t="str">
        <f>VLOOKUP(InvoicesDetail[[#This Row],[Transaction ID]],Transactions[],8,0)</f>
        <v>OUT</v>
      </c>
      <c r="K110" t="str">
        <f>TEXT(InvoicesDetail[[#This Row],[Date]],"MMM-YYYY")</f>
        <v>Jul-2025</v>
      </c>
    </row>
    <row r="111" spans="1:11" hidden="1" x14ac:dyDescent="0.25">
      <c r="A111" t="s">
        <v>308</v>
      </c>
      <c r="B111" s="18">
        <f>INDEX(Transactions[Date],MATCH(InvoicesDetail[[#This Row],[Transaction ID]],Transactions[Transaction ID],0))</f>
        <v>45842</v>
      </c>
      <c r="C111" s="1" t="s">
        <v>99</v>
      </c>
      <c r="D111" t="str">
        <f>VLOOKUP(C111,Transactions[],4,0)</f>
        <v>Helm Proyek</v>
      </c>
      <c r="E111">
        <f>VLOOKUP(C111,Transactions[],5,0)</f>
        <v>11</v>
      </c>
      <c r="F111" s="13">
        <f>VLOOKUP(C111,Transactions[],6,0)</f>
        <v>50000</v>
      </c>
      <c r="G111" s="13">
        <f>InvoicesDetail[[#This Row],[Qty]]*InvoicesDetail[[#This Row],[Unit Price]]</f>
        <v>550000</v>
      </c>
      <c r="H111" t="s">
        <v>374</v>
      </c>
      <c r="I111" t="str">
        <f>VLOOKUP(A111,Invoices_Display!$A$1:$I$201,9,0)</f>
        <v>Restock</v>
      </c>
      <c r="J111" t="str">
        <f>VLOOKUP(InvoicesDetail[[#This Row],[Transaction ID]],Transactions[],8,0)</f>
        <v>OUT</v>
      </c>
      <c r="K111" t="str">
        <f>TEXT(InvoicesDetail[[#This Row],[Date]],"MMM-YYYY")</f>
        <v>Jul-2025</v>
      </c>
    </row>
    <row r="112" spans="1:11" hidden="1" x14ac:dyDescent="0.25">
      <c r="A112" t="s">
        <v>308</v>
      </c>
      <c r="B112" s="18">
        <f>INDEX(Transactions[Date],MATCH(InvoicesDetail[[#This Row],[Transaction ID]],Transactions[Transaction ID],0))</f>
        <v>45890</v>
      </c>
      <c r="C112" t="s">
        <v>251</v>
      </c>
      <c r="D112" t="str">
        <f>VLOOKUP(C112,Transactions[],4,0)</f>
        <v>Pipa PVC 4 inch (per batang)</v>
      </c>
      <c r="E112">
        <f>VLOOKUP(C112,Transactions[],5,0)</f>
        <v>10</v>
      </c>
      <c r="F112" s="13">
        <f>VLOOKUP(C112,Transactions[],6,0)</f>
        <v>260000</v>
      </c>
      <c r="G112" s="13">
        <f>InvoicesDetail[[#This Row],[Qty]]*InvoicesDetail[[#This Row],[Unit Price]]</f>
        <v>2600000</v>
      </c>
      <c r="H112" t="s">
        <v>374</v>
      </c>
      <c r="I112" t="str">
        <f>VLOOKUP(A112,Invoices_Display!$A$1:$I$201,9,0)</f>
        <v>Restock</v>
      </c>
      <c r="J112" t="str">
        <f>VLOOKUP(InvoicesDetail[[#This Row],[Transaction ID]],Transactions[],8,0)</f>
        <v>OUT</v>
      </c>
      <c r="K112" t="str">
        <f>TEXT(InvoicesDetail[[#This Row],[Date]],"MMM-YYYY")</f>
        <v>Aug-2025</v>
      </c>
    </row>
    <row r="113" spans="1:11" hidden="1" x14ac:dyDescent="0.25">
      <c r="A113" t="s">
        <v>309</v>
      </c>
      <c r="B113" s="18">
        <f>INDEX(Transactions[Date],MATCH(InvoicesDetail[[#This Row],[Transaction ID]],Transactions[Transaction ID],0))</f>
        <v>45920</v>
      </c>
      <c r="C113" s="1" t="s">
        <v>238</v>
      </c>
      <c r="D113" t="str">
        <f>VLOOKUP(C113,Transactions[],4,0)</f>
        <v>Helm Proyek</v>
      </c>
      <c r="E113">
        <f>VLOOKUP(C113,Transactions[],5,0)</f>
        <v>3</v>
      </c>
      <c r="F113" s="13">
        <f>VLOOKUP(C113,Transactions[],6,0)</f>
        <v>50000</v>
      </c>
      <c r="G113" s="13">
        <f>InvoicesDetail[[#This Row],[Qty]]*InvoicesDetail[[#This Row],[Unit Price]]</f>
        <v>150000</v>
      </c>
      <c r="H113" t="s">
        <v>375</v>
      </c>
      <c r="I113" t="str">
        <f>VLOOKUP(A113,Invoices_Display!$A$1:$I$201,9,0)</f>
        <v>Project Site A</v>
      </c>
      <c r="J113" t="str">
        <f>VLOOKUP(InvoicesDetail[[#This Row],[Transaction ID]],Transactions[],8,0)</f>
        <v>IN</v>
      </c>
      <c r="K113" t="str">
        <f>TEXT(InvoicesDetail[[#This Row],[Date]],"MMM-YYYY")</f>
        <v>Sep-2025</v>
      </c>
    </row>
    <row r="114" spans="1:11" hidden="1" x14ac:dyDescent="0.25">
      <c r="A114" t="s">
        <v>309</v>
      </c>
      <c r="B114" s="18">
        <f>INDEX(Transactions[Date],MATCH(InvoicesDetail[[#This Row],[Transaction ID]],Transactions[Transaction ID],0))</f>
        <v>45864</v>
      </c>
      <c r="C114" t="s">
        <v>100</v>
      </c>
      <c r="D114" t="str">
        <f>VLOOKUP(C114,Transactions[],4,0)</f>
        <v>Genset Portable 1000W</v>
      </c>
      <c r="E114">
        <f>VLOOKUP(C114,Transactions[],5,0)</f>
        <v>5</v>
      </c>
      <c r="F114" s="13">
        <f>VLOOKUP(C114,Transactions[],6,0)</f>
        <v>3134000</v>
      </c>
      <c r="G114" s="13">
        <f>InvoicesDetail[[#This Row],[Qty]]*InvoicesDetail[[#This Row],[Unit Price]]</f>
        <v>15670000</v>
      </c>
      <c r="H114" t="s">
        <v>375</v>
      </c>
      <c r="I114" t="str">
        <f>VLOOKUP(A114,Invoices_Display!$A$1:$I$201,9,0)</f>
        <v>Project Site A</v>
      </c>
      <c r="J114" t="str">
        <f>VLOOKUP(InvoicesDetail[[#This Row],[Transaction ID]],Transactions[],8,0)</f>
        <v>OUT</v>
      </c>
      <c r="K114" t="str">
        <f>TEXT(InvoicesDetail[[#This Row],[Date]],"MMM-YYYY")</f>
        <v>Jul-2025</v>
      </c>
    </row>
    <row r="115" spans="1:11" hidden="1" x14ac:dyDescent="0.25">
      <c r="A115" t="s">
        <v>309</v>
      </c>
      <c r="B115" s="18">
        <f>INDEX(Transactions[Date],MATCH(InvoicesDetail[[#This Row],[Transaction ID]],Transactions[Transaction ID],0))</f>
        <v>45867</v>
      </c>
      <c r="C115" t="s">
        <v>265</v>
      </c>
      <c r="D115" t="str">
        <f>VLOOKUP(C115,Transactions[],4,0)</f>
        <v>Jaket Safety</v>
      </c>
      <c r="E115">
        <f>VLOOKUP(C115,Transactions[],5,0)</f>
        <v>8</v>
      </c>
      <c r="F115" s="13">
        <f>VLOOKUP(C115,Transactions[],6,0)</f>
        <v>245000</v>
      </c>
      <c r="G115" s="13">
        <f>InvoicesDetail[[#This Row],[Qty]]*InvoicesDetail[[#This Row],[Unit Price]]</f>
        <v>1960000</v>
      </c>
      <c r="H115" t="s">
        <v>375</v>
      </c>
      <c r="I115" t="str">
        <f>VLOOKUP(A115,Invoices_Display!$A$1:$I$201,9,0)</f>
        <v>Project Site A</v>
      </c>
      <c r="J115" t="str">
        <f>VLOOKUP(InvoicesDetail[[#This Row],[Transaction ID]],Transactions[],8,0)</f>
        <v>OUT</v>
      </c>
      <c r="K115" t="str">
        <f>TEXT(InvoicesDetail[[#This Row],[Date]],"MMM-YYYY")</f>
        <v>Jul-2025</v>
      </c>
    </row>
    <row r="116" spans="1:11" hidden="1" x14ac:dyDescent="0.25">
      <c r="A116" t="s">
        <v>276</v>
      </c>
      <c r="B116" s="18">
        <f>INDEX(Transactions[Date],MATCH(InvoicesDetail[[#This Row],[Transaction ID]],Transactions[Transaction ID],0))</f>
        <v>45849</v>
      </c>
      <c r="C116" t="s">
        <v>101</v>
      </c>
      <c r="D116" t="str">
        <f>VLOOKUP(C116,Transactions[],4,0)</f>
        <v>Cat Minyak 5L</v>
      </c>
      <c r="E116">
        <f>VLOOKUP(C116,Transactions[],5,0)</f>
        <v>16</v>
      </c>
      <c r="F116" s="13">
        <f>VLOOKUP(C116,Transactions[],6,0)</f>
        <v>135500</v>
      </c>
      <c r="G116" s="13">
        <f>InvoicesDetail[[#This Row],[Qty]]*InvoicesDetail[[#This Row],[Unit Price]]</f>
        <v>2168000</v>
      </c>
      <c r="H116" t="s">
        <v>375</v>
      </c>
      <c r="I116" t="str">
        <f>VLOOKUP(A116,Invoices_Display!$A$1:$I$201,9,0)</f>
        <v>Retur Barang</v>
      </c>
      <c r="J116" t="str">
        <f>VLOOKUP(InvoicesDetail[[#This Row],[Transaction ID]],Transactions[],8,0)</f>
        <v>OUT</v>
      </c>
      <c r="K116" t="str">
        <f>TEXT(InvoicesDetail[[#This Row],[Date]],"MMM-YYYY")</f>
        <v>Jul-2025</v>
      </c>
    </row>
    <row r="117" spans="1:11" hidden="1" x14ac:dyDescent="0.25">
      <c r="A117" t="s">
        <v>276</v>
      </c>
      <c r="B117" s="18">
        <f>INDEX(Transactions[Date],MATCH(InvoicesDetail[[#This Row],[Transaction ID]],Transactions[Transaction ID],0))</f>
        <v>45913</v>
      </c>
      <c r="C117" t="s">
        <v>134</v>
      </c>
      <c r="D117" t="str">
        <f>VLOOKUP(C117,Transactions[],4,0)</f>
        <v>Obeng Set</v>
      </c>
      <c r="E117">
        <f>VLOOKUP(C117,Transactions[],5,0)</f>
        <v>15</v>
      </c>
      <c r="F117" s="13">
        <f>VLOOKUP(C117,Transactions[],6,0)</f>
        <v>128000</v>
      </c>
      <c r="G117" s="13">
        <f>InvoicesDetail[[#This Row],[Qty]]*InvoicesDetail[[#This Row],[Unit Price]]</f>
        <v>1920000</v>
      </c>
      <c r="H117" t="s">
        <v>375</v>
      </c>
      <c r="I117" t="str">
        <f>VLOOKUP(A117,Invoices_Display!$A$1:$I$201,9,0)</f>
        <v>Retur Barang</v>
      </c>
      <c r="J117" t="str">
        <f>VLOOKUP(InvoicesDetail[[#This Row],[Transaction ID]],Transactions[],8,0)</f>
        <v>IN</v>
      </c>
      <c r="K117" t="str">
        <f>TEXT(InvoicesDetail[[#This Row],[Date]],"MMM-YYYY")</f>
        <v>Sep-2025</v>
      </c>
    </row>
    <row r="118" spans="1:11" x14ac:dyDescent="0.25">
      <c r="A118" t="s">
        <v>276</v>
      </c>
      <c r="B118" s="18">
        <f>INDEX(Transactions[Date],MATCH(InvoicesDetail[[#This Row],[Transaction ID]],Transactions[Transaction ID],0))</f>
        <v>45902</v>
      </c>
      <c r="C118" t="s">
        <v>237</v>
      </c>
      <c r="D118" t="str">
        <f>VLOOKUP(C118,Transactions[],4,0)</f>
        <v>Pompa Air Industri</v>
      </c>
      <c r="E118">
        <f>VLOOKUP(C118,Transactions[],5,0)</f>
        <v>7</v>
      </c>
      <c r="F118" s="13">
        <f>VLOOKUP(C118,Transactions[],6,0)</f>
        <v>4490000</v>
      </c>
      <c r="G118" s="13">
        <f>InvoicesDetail[[#This Row],[Qty]]*InvoicesDetail[[#This Row],[Unit Price]]</f>
        <v>31430000</v>
      </c>
      <c r="H118" t="s">
        <v>375</v>
      </c>
      <c r="I118" t="str">
        <f>VLOOKUP(A118,Invoices_Display!$A$1:$I$201,9,0)</f>
        <v>Retur Barang</v>
      </c>
      <c r="J118" t="str">
        <f>VLOOKUP(InvoicesDetail[[#This Row],[Transaction ID]],Transactions[],8,0)</f>
        <v>OUT</v>
      </c>
      <c r="K118" t="str">
        <f>TEXT(InvoicesDetail[[#This Row],[Date]],"MMM-YYYY")</f>
        <v>Sep-2025</v>
      </c>
    </row>
    <row r="119" spans="1:11" hidden="1" x14ac:dyDescent="0.25">
      <c r="A119" t="s">
        <v>277</v>
      </c>
      <c r="B119" s="18">
        <f>INDEX(Transactions[Date],MATCH(InvoicesDetail[[#This Row],[Transaction ID]],Transactions[Transaction ID],0))</f>
        <v>45845</v>
      </c>
      <c r="C119" t="s">
        <v>188</v>
      </c>
      <c r="D119" t="str">
        <f>VLOOKUP(C119,Transactions[],4,0)</f>
        <v>Lampu Sorot LED 100W</v>
      </c>
      <c r="E119">
        <f>VLOOKUP(C119,Transactions[],5,0)</f>
        <v>5</v>
      </c>
      <c r="F119" s="13">
        <f>VLOOKUP(C119,Transactions[],6,0)</f>
        <v>237000</v>
      </c>
      <c r="G119" s="13">
        <f>InvoicesDetail[[#This Row],[Qty]]*InvoicesDetail[[#This Row],[Unit Price]]</f>
        <v>1185000</v>
      </c>
      <c r="H119" t="s">
        <v>375</v>
      </c>
      <c r="I119" t="str">
        <f>VLOOKUP(A119,Invoices_Display!$A$1:$I$201,9,0)</f>
        <v>Proyek Maintenance</v>
      </c>
      <c r="J119" t="str">
        <f>VLOOKUP(InvoicesDetail[[#This Row],[Transaction ID]],Transactions[],8,0)</f>
        <v>OUT</v>
      </c>
      <c r="K119" t="str">
        <f>TEXT(InvoicesDetail[[#This Row],[Date]],"MMM-YYYY")</f>
        <v>Jul-2025</v>
      </c>
    </row>
    <row r="120" spans="1:11" hidden="1" x14ac:dyDescent="0.25">
      <c r="A120" t="s">
        <v>277</v>
      </c>
      <c r="B120" s="18">
        <f>INDEX(Transactions[Date],MATCH(InvoicesDetail[[#This Row],[Transaction ID]],Transactions[Transaction ID],0))</f>
        <v>45846</v>
      </c>
      <c r="C120" t="s">
        <v>246</v>
      </c>
      <c r="D120" t="str">
        <f>VLOOKUP(C120,Transactions[],4,0)</f>
        <v>Cat Tembok 1 kg</v>
      </c>
      <c r="E120">
        <f>VLOOKUP(C120,Transactions[],5,0)</f>
        <v>12</v>
      </c>
      <c r="F120" s="13">
        <f>VLOOKUP(C120,Transactions[],6,0)</f>
        <v>31000</v>
      </c>
      <c r="G120" s="13">
        <f>InvoicesDetail[[#This Row],[Qty]]*InvoicesDetail[[#This Row],[Unit Price]]</f>
        <v>372000</v>
      </c>
      <c r="H120" t="s">
        <v>375</v>
      </c>
      <c r="I120" t="str">
        <f>VLOOKUP(A120,Invoices_Display!$A$1:$I$201,9,0)</f>
        <v>Proyek Maintenance</v>
      </c>
      <c r="J120" t="str">
        <f>VLOOKUP(InvoicesDetail[[#This Row],[Transaction ID]],Transactions[],8,0)</f>
        <v>IN</v>
      </c>
      <c r="K120" t="str">
        <f>TEXT(InvoicesDetail[[#This Row],[Date]],"MMM-YYYY")</f>
        <v>Jul-2025</v>
      </c>
    </row>
    <row r="121" spans="1:11" hidden="1" x14ac:dyDescent="0.25">
      <c r="A121" t="s">
        <v>310</v>
      </c>
      <c r="B121" s="18">
        <f>INDEX(Transactions[Date],MATCH(InvoicesDetail[[#This Row],[Transaction ID]],Transactions[Transaction ID],0))</f>
        <v>45897</v>
      </c>
      <c r="C121" t="s">
        <v>171</v>
      </c>
      <c r="D121" t="str">
        <f>VLOOKUP(C121,Transactions[],4,0)</f>
        <v>Mesin Potong Besi</v>
      </c>
      <c r="E121">
        <f>VLOOKUP(C121,Transactions[],5,0)</f>
        <v>1</v>
      </c>
      <c r="F121" s="13">
        <f>VLOOKUP(C121,Transactions[],6,0)</f>
        <v>3200000</v>
      </c>
      <c r="G121" s="13">
        <f>InvoicesDetail[[#This Row],[Qty]]*InvoicesDetail[[#This Row],[Unit Price]]</f>
        <v>3200000</v>
      </c>
      <c r="H121" t="s">
        <v>374</v>
      </c>
      <c r="I121" t="str">
        <f>VLOOKUP(A121,Invoices_Display!$A$1:$I$201,9,0)</f>
        <v>PO #003</v>
      </c>
      <c r="J121" t="str">
        <f>VLOOKUP(InvoicesDetail[[#This Row],[Transaction ID]],Transactions[],8,0)</f>
        <v>IN</v>
      </c>
      <c r="K121" t="str">
        <f>TEXT(InvoicesDetail[[#This Row],[Date]],"MMM-YYYY")</f>
        <v>Aug-2025</v>
      </c>
    </row>
    <row r="122" spans="1:11" hidden="1" x14ac:dyDescent="0.25">
      <c r="A122" t="s">
        <v>310</v>
      </c>
      <c r="B122" s="18">
        <f>INDEX(Transactions[Date],MATCH(InvoicesDetail[[#This Row],[Transaction ID]],Transactions[Transaction ID],0))</f>
        <v>45848</v>
      </c>
      <c r="C122" t="s">
        <v>260</v>
      </c>
      <c r="D122" t="str">
        <f>VLOOKUP(C122,Transactions[],4,0)</f>
        <v>Rantai Besi 10m</v>
      </c>
      <c r="E122">
        <f>VLOOKUP(C122,Transactions[],5,0)</f>
        <v>12</v>
      </c>
      <c r="F122" s="13">
        <f>VLOOKUP(C122,Transactions[],6,0)</f>
        <v>431000</v>
      </c>
      <c r="G122" s="13">
        <f>InvoicesDetail[[#This Row],[Qty]]*InvoicesDetail[[#This Row],[Unit Price]]</f>
        <v>5172000</v>
      </c>
      <c r="H122" t="s">
        <v>374</v>
      </c>
      <c r="I122" t="str">
        <f>VLOOKUP(A122,Invoices_Display!$A$1:$I$201,9,0)</f>
        <v>PO #003</v>
      </c>
      <c r="J122" t="str">
        <f>VLOOKUP(InvoicesDetail[[#This Row],[Transaction ID]],Transactions[],8,0)</f>
        <v>IN</v>
      </c>
      <c r="K122" t="str">
        <f>TEXT(InvoicesDetail[[#This Row],[Date]],"MMM-YYYY")</f>
        <v>Jul-2025</v>
      </c>
    </row>
    <row r="123" spans="1:11" hidden="1" x14ac:dyDescent="0.25">
      <c r="A123" t="s">
        <v>311</v>
      </c>
      <c r="B123" s="18">
        <f>INDEX(Transactions[Date],MATCH(InvoicesDetail[[#This Row],[Transaction ID]],Transactions[Transaction ID],0))</f>
        <v>45916</v>
      </c>
      <c r="C123" t="s">
        <v>254</v>
      </c>
      <c r="D123" t="str">
        <f>VLOOKUP(C123,Transactions[],4,0)</f>
        <v>Gerinda Tangan</v>
      </c>
      <c r="E123">
        <f>VLOOKUP(C123,Transactions[],5,0)</f>
        <v>18</v>
      </c>
      <c r="F123" s="13">
        <f>VLOOKUP(C123,Transactions[],6,0)</f>
        <v>465000</v>
      </c>
      <c r="G123" s="13">
        <f>InvoicesDetail[[#This Row],[Qty]]*InvoicesDetail[[#This Row],[Unit Price]]</f>
        <v>8370000</v>
      </c>
      <c r="H123" t="s">
        <v>375</v>
      </c>
      <c r="I123" t="str">
        <f>VLOOKUP(A123,Invoices_Display!$A$1:$I$201,9,0)</f>
        <v>Restock</v>
      </c>
      <c r="J123" t="str">
        <f>VLOOKUP(InvoicesDetail[[#This Row],[Transaction ID]],Transactions[],8,0)</f>
        <v>IN</v>
      </c>
      <c r="K123" t="str">
        <f>TEXT(InvoicesDetail[[#This Row],[Date]],"MMM-YYYY")</f>
        <v>Sep-2025</v>
      </c>
    </row>
    <row r="124" spans="1:11" hidden="1" x14ac:dyDescent="0.25">
      <c r="A124" t="s">
        <v>278</v>
      </c>
      <c r="B124" s="18">
        <f>INDEX(Transactions[Date],MATCH(InvoicesDetail[[#This Row],[Transaction ID]],Transactions[Transaction ID],0))</f>
        <v>45867</v>
      </c>
      <c r="C124" t="s">
        <v>136</v>
      </c>
      <c r="D124" t="str">
        <f>VLOOKUP(C124,Transactions[],4,0)</f>
        <v>Pipa PVC 4 inch (per batang)</v>
      </c>
      <c r="E124">
        <f>VLOOKUP(C124,Transactions[],5,0)</f>
        <v>13</v>
      </c>
      <c r="F124" s="13">
        <f>VLOOKUP(C124,Transactions[],6,0)</f>
        <v>260000</v>
      </c>
      <c r="G124" s="13">
        <f>InvoicesDetail[[#This Row],[Qty]]*InvoicesDetail[[#This Row],[Unit Price]]</f>
        <v>3380000</v>
      </c>
      <c r="H124" t="s">
        <v>374</v>
      </c>
      <c r="I124" t="str">
        <f>VLOOKUP(A124,Invoices_Display!$A$1:$I$201,9,0)</f>
        <v>PO #001</v>
      </c>
      <c r="J124" t="str">
        <f>VLOOKUP(InvoicesDetail[[#This Row],[Transaction ID]],Transactions[],8,0)</f>
        <v>OUT</v>
      </c>
      <c r="K124" t="str">
        <f>TEXT(InvoicesDetail[[#This Row],[Date]],"MMM-YYYY")</f>
        <v>Jul-2025</v>
      </c>
    </row>
    <row r="125" spans="1:11" hidden="1" x14ac:dyDescent="0.25">
      <c r="A125" t="s">
        <v>278</v>
      </c>
      <c r="B125" s="18">
        <f>INDEX(Transactions[Date],MATCH(InvoicesDetail[[#This Row],[Transaction ID]],Transactions[Transaction ID],0))</f>
        <v>45873</v>
      </c>
      <c r="C125" t="s">
        <v>103</v>
      </c>
      <c r="D125" t="str">
        <f>VLOOKUP(C125,Transactions[],4,0)</f>
        <v>Pompa Air Industri</v>
      </c>
      <c r="E125">
        <f>VLOOKUP(C125,Transactions[],5,0)</f>
        <v>8</v>
      </c>
      <c r="F125" s="13">
        <f>VLOOKUP(C125,Transactions[],6,0)</f>
        <v>4490000</v>
      </c>
      <c r="G125" s="13">
        <f>InvoicesDetail[[#This Row],[Qty]]*InvoicesDetail[[#This Row],[Unit Price]]</f>
        <v>35920000</v>
      </c>
      <c r="H125" t="s">
        <v>374</v>
      </c>
      <c r="I125" t="str">
        <f>VLOOKUP(A125,Invoices_Display!$A$1:$I$201,9,0)</f>
        <v>PO #001</v>
      </c>
      <c r="J125" t="str">
        <f>VLOOKUP(InvoicesDetail[[#This Row],[Transaction ID]],Transactions[],8,0)</f>
        <v>OUT</v>
      </c>
      <c r="K125" t="str">
        <f>TEXT(InvoicesDetail[[#This Row],[Date]],"MMM-YYYY")</f>
        <v>Aug-2025</v>
      </c>
    </row>
    <row r="126" spans="1:11" hidden="1" x14ac:dyDescent="0.25">
      <c r="A126" t="s">
        <v>278</v>
      </c>
      <c r="B126" s="18">
        <f>INDEX(Transactions[Date],MATCH(InvoicesDetail[[#This Row],[Transaction ID]],Transactions[Transaction ID],0))</f>
        <v>45880</v>
      </c>
      <c r="C126" t="s">
        <v>225</v>
      </c>
      <c r="D126" t="str">
        <f>VLOOKUP(C126,Transactions[],4,0)</f>
        <v>Mesin Las Listrik</v>
      </c>
      <c r="E126">
        <f>VLOOKUP(C126,Transactions[],5,0)</f>
        <v>4</v>
      </c>
      <c r="F126" s="13">
        <f>VLOOKUP(C126,Transactions[],6,0)</f>
        <v>2296000</v>
      </c>
      <c r="G126" s="13">
        <f>InvoicesDetail[[#This Row],[Qty]]*InvoicesDetail[[#This Row],[Unit Price]]</f>
        <v>9184000</v>
      </c>
      <c r="H126" t="s">
        <v>374</v>
      </c>
      <c r="I126" t="str">
        <f>VLOOKUP(A126,Invoices_Display!$A$1:$I$201,9,0)</f>
        <v>PO #001</v>
      </c>
      <c r="J126" t="str">
        <f>VLOOKUP(InvoicesDetail[[#This Row],[Transaction ID]],Transactions[],8,0)</f>
        <v>IN</v>
      </c>
      <c r="K126" t="str">
        <f>TEXT(InvoicesDetail[[#This Row],[Date]],"MMM-YYYY")</f>
        <v>Aug-2025</v>
      </c>
    </row>
    <row r="127" spans="1:11" hidden="1" x14ac:dyDescent="0.25">
      <c r="A127" t="s">
        <v>278</v>
      </c>
      <c r="B127" s="18">
        <f>INDEX(Transactions[Date],MATCH(InvoicesDetail[[#This Row],[Transaction ID]],Transactions[Transaction ID],0))</f>
        <v>45901</v>
      </c>
      <c r="C127" t="s">
        <v>239</v>
      </c>
      <c r="D127" t="str">
        <f>VLOOKUP(C127,Transactions[],4,0)</f>
        <v>Genset Portable 1000W</v>
      </c>
      <c r="E127">
        <f>VLOOKUP(C127,Transactions[],5,0)</f>
        <v>5</v>
      </c>
      <c r="F127" s="13">
        <f>VLOOKUP(C127,Transactions[],6,0)</f>
        <v>3134000</v>
      </c>
      <c r="G127" s="13">
        <f>InvoicesDetail[[#This Row],[Qty]]*InvoicesDetail[[#This Row],[Unit Price]]</f>
        <v>15670000</v>
      </c>
      <c r="H127" t="s">
        <v>374</v>
      </c>
      <c r="I127" t="str">
        <f>VLOOKUP(A127,Invoices_Display!$A$1:$I$201,9,0)</f>
        <v>PO #001</v>
      </c>
      <c r="J127" t="str">
        <f>VLOOKUP(InvoicesDetail[[#This Row],[Transaction ID]],Transactions[],8,0)</f>
        <v>IN</v>
      </c>
      <c r="K127" t="str">
        <f>TEXT(InvoicesDetail[[#This Row],[Date]],"MMM-YYYY")</f>
        <v>Sep-2025</v>
      </c>
    </row>
    <row r="128" spans="1:11" hidden="1" x14ac:dyDescent="0.25">
      <c r="A128" t="s">
        <v>312</v>
      </c>
      <c r="B128" s="18">
        <f>INDEX(Transactions[Date],MATCH(InvoicesDetail[[#This Row],[Transaction ID]],Transactions[Transaction ID],0))</f>
        <v>45867</v>
      </c>
      <c r="C128" t="s">
        <v>160</v>
      </c>
      <c r="D128" t="str">
        <f>VLOOKUP(C128,Transactions[],4,0)</f>
        <v>Mesin Las Listrik</v>
      </c>
      <c r="E128">
        <f>VLOOKUP(C128,Transactions[],5,0)</f>
        <v>9</v>
      </c>
      <c r="F128" s="13">
        <f>VLOOKUP(C128,Transactions[],6,0)</f>
        <v>2296000</v>
      </c>
      <c r="G128" s="13">
        <f>InvoicesDetail[[#This Row],[Qty]]*InvoicesDetail[[#This Row],[Unit Price]]</f>
        <v>20664000</v>
      </c>
      <c r="H128" t="s">
        <v>375</v>
      </c>
      <c r="I128" t="str">
        <f>VLOOKUP(A128,Invoices_Display!$A$1:$I$201,9,0)</f>
        <v>PO #003</v>
      </c>
      <c r="J128" t="str">
        <f>VLOOKUP(InvoicesDetail[[#This Row],[Transaction ID]],Transactions[],8,0)</f>
        <v>IN</v>
      </c>
      <c r="K128" t="str">
        <f>TEXT(InvoicesDetail[[#This Row],[Date]],"MMM-YYYY")</f>
        <v>Jul-2025</v>
      </c>
    </row>
    <row r="129" spans="1:11" x14ac:dyDescent="0.25">
      <c r="A129" t="s">
        <v>312</v>
      </c>
      <c r="B129" s="18">
        <f>INDEX(Transactions[Date],MATCH(InvoicesDetail[[#This Row],[Transaction ID]],Transactions[Transaction ID],0))</f>
        <v>45921</v>
      </c>
      <c r="C129" t="s">
        <v>161</v>
      </c>
      <c r="D129" t="str">
        <f>VLOOKUP(C129,Transactions[],4,0)</f>
        <v>Rantai Besi 10m</v>
      </c>
      <c r="E129">
        <f>VLOOKUP(C129,Transactions[],5,0)</f>
        <v>11</v>
      </c>
      <c r="F129" s="13">
        <f>VLOOKUP(C129,Transactions[],6,0)</f>
        <v>431000</v>
      </c>
      <c r="G129" s="13">
        <f>InvoicesDetail[[#This Row],[Qty]]*InvoicesDetail[[#This Row],[Unit Price]]</f>
        <v>4741000</v>
      </c>
      <c r="H129" t="s">
        <v>375</v>
      </c>
      <c r="I129" t="str">
        <f>VLOOKUP(A129,Invoices_Display!$A$1:$I$201,9,0)</f>
        <v>PO #003</v>
      </c>
      <c r="J129" t="str">
        <f>VLOOKUP(InvoicesDetail[[#This Row],[Transaction ID]],Transactions[],8,0)</f>
        <v>OUT</v>
      </c>
      <c r="K129" t="str">
        <f>TEXT(InvoicesDetail[[#This Row],[Date]],"MMM-YYYY")</f>
        <v>Sep-2025</v>
      </c>
    </row>
    <row r="130" spans="1:11" x14ac:dyDescent="0.25">
      <c r="A130" t="s">
        <v>312</v>
      </c>
      <c r="B130" s="18">
        <f>INDEX(Transactions[Date],MATCH(InvoicesDetail[[#This Row],[Transaction ID]],Transactions[Transaction ID],0))</f>
        <v>45926</v>
      </c>
      <c r="C130" t="s">
        <v>104</v>
      </c>
      <c r="D130" t="str">
        <f>VLOOKUP(C130,Transactions[],4,0)</f>
        <v>Jaket Safety</v>
      </c>
      <c r="E130">
        <f>VLOOKUP(C130,Transactions[],5,0)</f>
        <v>4</v>
      </c>
      <c r="F130" s="13">
        <f>VLOOKUP(C130,Transactions[],6,0)</f>
        <v>245000</v>
      </c>
      <c r="G130" s="13">
        <f>InvoicesDetail[[#This Row],[Qty]]*InvoicesDetail[[#This Row],[Unit Price]]</f>
        <v>980000</v>
      </c>
      <c r="H130" t="s">
        <v>375</v>
      </c>
      <c r="I130" t="str">
        <f>VLOOKUP(A130,Invoices_Display!$A$1:$I$201,9,0)</f>
        <v>PO #003</v>
      </c>
      <c r="J130" t="str">
        <f>VLOOKUP(InvoicesDetail[[#This Row],[Transaction ID]],Transactions[],8,0)</f>
        <v>OUT</v>
      </c>
      <c r="K130" t="str">
        <f>TEXT(InvoicesDetail[[#This Row],[Date]],"MMM-YYYY")</f>
        <v>Sep-2025</v>
      </c>
    </row>
    <row r="131" spans="1:11" hidden="1" x14ac:dyDescent="0.25">
      <c r="A131" t="s">
        <v>313</v>
      </c>
      <c r="B131" s="18">
        <f>INDEX(Transactions[Date],MATCH(InvoicesDetail[[#This Row],[Transaction ID]],Transactions[Transaction ID],0))</f>
        <v>45880</v>
      </c>
      <c r="C131" t="s">
        <v>124</v>
      </c>
      <c r="D131" t="str">
        <f>VLOOKUP(C131,Transactions[],4,0)</f>
        <v>Pompa Air Industri</v>
      </c>
      <c r="E131">
        <f>VLOOKUP(C131,Transactions[],5,0)</f>
        <v>7</v>
      </c>
      <c r="F131" s="13">
        <f>VLOOKUP(C131,Transactions[],6,0)</f>
        <v>4490000</v>
      </c>
      <c r="G131" s="13">
        <f>InvoicesDetail[[#This Row],[Qty]]*InvoicesDetail[[#This Row],[Unit Price]]</f>
        <v>31430000</v>
      </c>
      <c r="H131" t="s">
        <v>374</v>
      </c>
      <c r="I131" t="str">
        <f>VLOOKUP(A131,Invoices_Display!$A$1:$I$201,9,0)</f>
        <v>Restock</v>
      </c>
      <c r="J131" t="str">
        <f>VLOOKUP(InvoicesDetail[[#This Row],[Transaction ID]],Transactions[],8,0)</f>
        <v>OUT</v>
      </c>
      <c r="K131" t="str">
        <f>TEXT(InvoicesDetail[[#This Row],[Date]],"MMM-YYYY")</f>
        <v>Aug-2025</v>
      </c>
    </row>
    <row r="132" spans="1:11" hidden="1" x14ac:dyDescent="0.25">
      <c r="A132" t="s">
        <v>313</v>
      </c>
      <c r="B132" s="18">
        <f>INDEX(Transactions[Date],MATCH(InvoicesDetail[[#This Row],[Transaction ID]],Transactions[Transaction ID],0))</f>
        <v>45852</v>
      </c>
      <c r="C132" t="s">
        <v>139</v>
      </c>
      <c r="D132" t="str">
        <f>VLOOKUP(C132,Transactions[],4,0)</f>
        <v>Rantai Besi 10m</v>
      </c>
      <c r="E132">
        <f>VLOOKUP(C132,Transactions[],5,0)</f>
        <v>6</v>
      </c>
      <c r="F132" s="13">
        <f>VLOOKUP(C132,Transactions[],6,0)</f>
        <v>431000</v>
      </c>
      <c r="G132" s="13">
        <f>InvoicesDetail[[#This Row],[Qty]]*InvoicesDetail[[#This Row],[Unit Price]]</f>
        <v>2586000</v>
      </c>
      <c r="H132" t="s">
        <v>374</v>
      </c>
      <c r="I132" t="str">
        <f>VLOOKUP(A132,Invoices_Display!$A$1:$I$201,9,0)</f>
        <v>Restock</v>
      </c>
      <c r="J132" t="str">
        <f>VLOOKUP(InvoicesDetail[[#This Row],[Transaction ID]],Transactions[],8,0)</f>
        <v>IN</v>
      </c>
      <c r="K132" t="str">
        <f>TEXT(InvoicesDetail[[#This Row],[Date]],"MMM-YYYY")</f>
        <v>Jul-2025</v>
      </c>
    </row>
    <row r="133" spans="1:11" hidden="1" x14ac:dyDescent="0.25">
      <c r="A133" t="s">
        <v>313</v>
      </c>
      <c r="B133" s="18">
        <f>INDEX(Transactions[Date],MATCH(InvoicesDetail[[#This Row],[Transaction ID]],Transactions[Transaction ID],0))</f>
        <v>45861</v>
      </c>
      <c r="C133" t="s">
        <v>175</v>
      </c>
      <c r="D133" t="str">
        <f>VLOOKUP(C133,Transactions[],4,0)</f>
        <v>Tangga Lipat Alumunium</v>
      </c>
      <c r="E133">
        <f>VLOOKUP(C133,Transactions[],5,0)</f>
        <v>12</v>
      </c>
      <c r="F133" s="13">
        <f>VLOOKUP(C133,Transactions[],6,0)</f>
        <v>420000</v>
      </c>
      <c r="G133" s="13">
        <f>InvoicesDetail[[#This Row],[Qty]]*InvoicesDetail[[#This Row],[Unit Price]]</f>
        <v>5040000</v>
      </c>
      <c r="H133" t="s">
        <v>374</v>
      </c>
      <c r="I133" t="str">
        <f>VLOOKUP(A133,Invoices_Display!$A$1:$I$201,9,0)</f>
        <v>Restock</v>
      </c>
      <c r="J133" t="str">
        <f>VLOOKUP(InvoicesDetail[[#This Row],[Transaction ID]],Transactions[],8,0)</f>
        <v>IN</v>
      </c>
      <c r="K133" t="str">
        <f>TEXT(InvoicesDetail[[#This Row],[Date]],"MMM-YYYY")</f>
        <v>Jul-2025</v>
      </c>
    </row>
    <row r="134" spans="1:11" hidden="1" x14ac:dyDescent="0.25">
      <c r="A134" t="s">
        <v>313</v>
      </c>
      <c r="B134" s="18">
        <f>INDEX(Transactions[Date],MATCH(InvoicesDetail[[#This Row],[Transaction ID]],Transactions[Transaction ID],0))</f>
        <v>45856</v>
      </c>
      <c r="C134" t="s">
        <v>187</v>
      </c>
      <c r="D134" t="str">
        <f>VLOOKUP(C134,Transactions[],4,0)</f>
        <v>Cat Minyak 5L</v>
      </c>
      <c r="E134">
        <f>VLOOKUP(C134,Transactions[],5,0)</f>
        <v>10</v>
      </c>
      <c r="F134" s="13">
        <f>VLOOKUP(C134,Transactions[],6,0)</f>
        <v>135500</v>
      </c>
      <c r="G134" s="13">
        <f>InvoicesDetail[[#This Row],[Qty]]*InvoicesDetail[[#This Row],[Unit Price]]</f>
        <v>1355000</v>
      </c>
      <c r="H134" t="s">
        <v>374</v>
      </c>
      <c r="I134" t="str">
        <f>VLOOKUP(A134,Invoices_Display!$A$1:$I$201,9,0)</f>
        <v>Restock</v>
      </c>
      <c r="J134" t="str">
        <f>VLOOKUP(InvoicesDetail[[#This Row],[Transaction ID]],Transactions[],8,0)</f>
        <v>OUT</v>
      </c>
      <c r="K134" t="str">
        <f>TEXT(InvoicesDetail[[#This Row],[Date]],"MMM-YYYY")</f>
        <v>Jul-2025</v>
      </c>
    </row>
    <row r="135" spans="1:11" hidden="1" x14ac:dyDescent="0.25">
      <c r="A135" t="s">
        <v>313</v>
      </c>
      <c r="B135" s="18">
        <f>INDEX(Transactions[Date],MATCH(InvoicesDetail[[#This Row],[Transaction ID]],Transactions[Transaction ID],0))</f>
        <v>45844</v>
      </c>
      <c r="C135" t="s">
        <v>218</v>
      </c>
      <c r="D135" t="str">
        <f>VLOOKUP(C135,Transactions[],4,0)</f>
        <v>Sarung Tangan Katun</v>
      </c>
      <c r="E135">
        <f>VLOOKUP(C135,Transactions[],5,0)</f>
        <v>14</v>
      </c>
      <c r="F135" s="13">
        <f>VLOOKUP(C135,Transactions[],6,0)</f>
        <v>20000</v>
      </c>
      <c r="G135" s="13">
        <f>InvoicesDetail[[#This Row],[Qty]]*InvoicesDetail[[#This Row],[Unit Price]]</f>
        <v>280000</v>
      </c>
      <c r="H135" t="s">
        <v>374</v>
      </c>
      <c r="I135" t="str">
        <f>VLOOKUP(A135,Invoices_Display!$A$1:$I$201,9,0)</f>
        <v>Restock</v>
      </c>
      <c r="J135" t="str">
        <f>VLOOKUP(InvoicesDetail[[#This Row],[Transaction ID]],Transactions[],8,0)</f>
        <v>OUT</v>
      </c>
      <c r="K135" t="str">
        <f>TEXT(InvoicesDetail[[#This Row],[Date]],"MMM-YYYY")</f>
        <v>Jul-2025</v>
      </c>
    </row>
    <row r="136" spans="1:11" hidden="1" x14ac:dyDescent="0.25">
      <c r="A136" t="s">
        <v>314</v>
      </c>
      <c r="B136" s="18">
        <f>INDEX(Transactions[Date],MATCH(InvoicesDetail[[#This Row],[Transaction ID]],Transactions[Transaction ID],0))</f>
        <v>45874</v>
      </c>
      <c r="C136" t="s">
        <v>172</v>
      </c>
      <c r="D136" t="str">
        <f>VLOOKUP(C136,Transactions[],4,0)</f>
        <v>Masker Safety Box (isi 50)</v>
      </c>
      <c r="E136">
        <f>VLOOKUP(C136,Transactions[],5,0)</f>
        <v>16</v>
      </c>
      <c r="F136" s="13">
        <f>VLOOKUP(C136,Transactions[],6,0)</f>
        <v>11500</v>
      </c>
      <c r="G136" s="13">
        <f>InvoicesDetail[[#This Row],[Qty]]*InvoicesDetail[[#This Row],[Unit Price]]</f>
        <v>184000</v>
      </c>
      <c r="H136" t="s">
        <v>374</v>
      </c>
      <c r="I136" t="str">
        <f>VLOOKUP(A136,Invoices_Display!$A$1:$I$201,9,0)</f>
        <v>Project Site C + D</v>
      </c>
      <c r="J136" t="str">
        <f>VLOOKUP(InvoicesDetail[[#This Row],[Transaction ID]],Transactions[],8,0)</f>
        <v>OUT</v>
      </c>
      <c r="K136" t="str">
        <f>TEXT(InvoicesDetail[[#This Row],[Date]],"MMM-YYYY")</f>
        <v>Aug-2025</v>
      </c>
    </row>
    <row r="137" spans="1:11" hidden="1" x14ac:dyDescent="0.25">
      <c r="A137" t="s">
        <v>314</v>
      </c>
      <c r="B137" s="18">
        <f>INDEX(Transactions[Date],MATCH(InvoicesDetail[[#This Row],[Transaction ID]],Transactions[Transaction ID],0))</f>
        <v>45897</v>
      </c>
      <c r="C137" t="s">
        <v>176</v>
      </c>
      <c r="D137" t="str">
        <f>VLOOKUP(C137,Transactions[],4,0)</f>
        <v>Sarung Tangan Katun</v>
      </c>
      <c r="E137">
        <f>VLOOKUP(C137,Transactions[],5,0)</f>
        <v>15</v>
      </c>
      <c r="F137" s="13">
        <f>VLOOKUP(C137,Transactions[],6,0)</f>
        <v>20000</v>
      </c>
      <c r="G137" s="13">
        <f>InvoicesDetail[[#This Row],[Qty]]*InvoicesDetail[[#This Row],[Unit Price]]</f>
        <v>300000</v>
      </c>
      <c r="H137" t="s">
        <v>374</v>
      </c>
      <c r="I137" t="str">
        <f>VLOOKUP(A137,Invoices_Display!$A$1:$I$201,9,0)</f>
        <v>Project Site C + D</v>
      </c>
      <c r="J137" t="str">
        <f>VLOOKUP(InvoicesDetail[[#This Row],[Transaction ID]],Transactions[],8,0)</f>
        <v>OUT</v>
      </c>
      <c r="K137" t="str">
        <f>TEXT(InvoicesDetail[[#This Row],[Date]],"MMM-YYYY")</f>
        <v>Aug-2025</v>
      </c>
    </row>
    <row r="138" spans="1:11" hidden="1" x14ac:dyDescent="0.25">
      <c r="A138" t="s">
        <v>314</v>
      </c>
      <c r="B138" s="18">
        <f>INDEX(Transactions[Date],MATCH(InvoicesDetail[[#This Row],[Transaction ID]],Transactions[Transaction ID],0))</f>
        <v>45840</v>
      </c>
      <c r="C138" t="s">
        <v>240</v>
      </c>
      <c r="D138" t="str">
        <f>VLOOKUP(C138,Transactions[],4,0)</f>
        <v>Bor Tangan Listrik</v>
      </c>
      <c r="E138">
        <f>VLOOKUP(C138,Transactions[],5,0)</f>
        <v>5</v>
      </c>
      <c r="F138" s="13">
        <f>VLOOKUP(C138,Transactions[],6,0)</f>
        <v>335500</v>
      </c>
      <c r="G138" s="13">
        <f>InvoicesDetail[[#This Row],[Qty]]*InvoicesDetail[[#This Row],[Unit Price]]</f>
        <v>1677500</v>
      </c>
      <c r="H138" t="s">
        <v>374</v>
      </c>
      <c r="I138" t="str">
        <f>VLOOKUP(A138,Invoices_Display!$A$1:$I$201,9,0)</f>
        <v>Project Site C + D</v>
      </c>
      <c r="J138" t="str">
        <f>VLOOKUP(InvoicesDetail[[#This Row],[Transaction ID]],Transactions[],8,0)</f>
        <v>OUT</v>
      </c>
      <c r="K138" t="str">
        <f>TEXT(InvoicesDetail[[#This Row],[Date]],"MMM-YYYY")</f>
        <v>Jul-2025</v>
      </c>
    </row>
    <row r="139" spans="1:11" hidden="1" x14ac:dyDescent="0.25">
      <c r="A139" t="s">
        <v>315</v>
      </c>
      <c r="B139" s="18">
        <f>INDEX(Transactions[Date],MATCH(InvoicesDetail[[#This Row],[Transaction ID]],Transactions[Transaction ID],0))</f>
        <v>45843</v>
      </c>
      <c r="C139" t="s">
        <v>125</v>
      </c>
      <c r="D139" t="str">
        <f>VLOOKUP(C139,Transactions[],4,0)</f>
        <v>Rantai Besi 10m</v>
      </c>
      <c r="E139">
        <f>VLOOKUP(C139,Transactions[],5,0)</f>
        <v>14</v>
      </c>
      <c r="F139" s="13">
        <f>VLOOKUP(C139,Transactions[],6,0)</f>
        <v>431000</v>
      </c>
      <c r="G139" s="13">
        <f>InvoicesDetail[[#This Row],[Qty]]*InvoicesDetail[[#This Row],[Unit Price]]</f>
        <v>6034000</v>
      </c>
      <c r="H139" t="s">
        <v>375</v>
      </c>
      <c r="I139" t="str">
        <f>VLOOKUP(A139,Invoices_Display!$A$1:$I$201,9,0)</f>
        <v>Retur Barang</v>
      </c>
      <c r="J139" t="str">
        <f>VLOOKUP(InvoicesDetail[[#This Row],[Transaction ID]],Transactions[],8,0)</f>
        <v>OUT</v>
      </c>
      <c r="K139" t="str">
        <f>TEXT(InvoicesDetail[[#This Row],[Date]],"MMM-YYYY")</f>
        <v>Jul-2025</v>
      </c>
    </row>
    <row r="140" spans="1:11" x14ac:dyDescent="0.25">
      <c r="A140" t="s">
        <v>315</v>
      </c>
      <c r="B140" s="18">
        <f>INDEX(Transactions[Date],MATCH(InvoicesDetail[[#This Row],[Transaction ID]],Transactions[Transaction ID],0))</f>
        <v>45909</v>
      </c>
      <c r="C140" t="s">
        <v>106</v>
      </c>
      <c r="D140" t="str">
        <f>VLOOKUP(C140,Transactions[],4,0)</f>
        <v>Masker Safety Box (isi 50)</v>
      </c>
      <c r="E140">
        <f>VLOOKUP(C140,Transactions[],5,0)</f>
        <v>20</v>
      </c>
      <c r="F140" s="13">
        <f>VLOOKUP(C140,Transactions[],6,0)</f>
        <v>11500</v>
      </c>
      <c r="G140" s="13">
        <f>InvoicesDetail[[#This Row],[Qty]]*InvoicesDetail[[#This Row],[Unit Price]]</f>
        <v>230000</v>
      </c>
      <c r="H140" t="s">
        <v>375</v>
      </c>
      <c r="I140" t="str">
        <f>VLOOKUP(A140,Invoices_Display!$A$1:$I$201,9,0)</f>
        <v>Retur Barang</v>
      </c>
      <c r="J140" t="str">
        <f>VLOOKUP(InvoicesDetail[[#This Row],[Transaction ID]],Transactions[],8,0)</f>
        <v>OUT</v>
      </c>
      <c r="K140" t="str">
        <f>TEXT(InvoicesDetail[[#This Row],[Date]],"MMM-YYYY")</f>
        <v>Sep-2025</v>
      </c>
    </row>
    <row r="141" spans="1:11" hidden="1" x14ac:dyDescent="0.25">
      <c r="A141" t="s">
        <v>315</v>
      </c>
      <c r="B141" s="18">
        <f>INDEX(Transactions[Date],MATCH(InvoicesDetail[[#This Row],[Transaction ID]],Transactions[Transaction ID],0))</f>
        <v>45867</v>
      </c>
      <c r="C141" t="s">
        <v>255</v>
      </c>
      <c r="D141" t="str">
        <f>VLOOKUP(C141,Transactions[],4,0)</f>
        <v>Mesin Las Listrik</v>
      </c>
      <c r="E141">
        <f>VLOOKUP(C141,Transactions[],5,0)</f>
        <v>18</v>
      </c>
      <c r="F141" s="13">
        <f>VLOOKUP(C141,Transactions[],6,0)</f>
        <v>2296000</v>
      </c>
      <c r="G141" s="13">
        <f>InvoicesDetail[[#This Row],[Qty]]*InvoicesDetail[[#This Row],[Unit Price]]</f>
        <v>41328000</v>
      </c>
      <c r="H141" t="s">
        <v>375</v>
      </c>
      <c r="I141" t="str">
        <f>VLOOKUP(A141,Invoices_Display!$A$1:$I$201,9,0)</f>
        <v>Retur Barang</v>
      </c>
      <c r="J141" t="str">
        <f>VLOOKUP(InvoicesDetail[[#This Row],[Transaction ID]],Transactions[],8,0)</f>
        <v>OUT</v>
      </c>
      <c r="K141" t="str">
        <f>TEXT(InvoicesDetail[[#This Row],[Date]],"MMM-YYYY")</f>
        <v>Jul-2025</v>
      </c>
    </row>
    <row r="142" spans="1:11" hidden="1" x14ac:dyDescent="0.25">
      <c r="A142" t="s">
        <v>279</v>
      </c>
      <c r="B142" s="18">
        <f>INDEX(Transactions[Date],MATCH(InvoicesDetail[[#This Row],[Transaction ID]],Transactions[Transaction ID],0))</f>
        <v>45897</v>
      </c>
      <c r="C142" s="1" t="s">
        <v>162</v>
      </c>
      <c r="D142" t="str">
        <f>VLOOKUP(C142,Transactions[],4,0)</f>
        <v>Cat Tembok 1 kg</v>
      </c>
      <c r="E142">
        <f>VLOOKUP(C142,Transactions[],5,0)</f>
        <v>16</v>
      </c>
      <c r="F142" s="13">
        <f>VLOOKUP(C142,Transactions[],6,0)</f>
        <v>31000</v>
      </c>
      <c r="G142" s="13">
        <f>InvoicesDetail[[#This Row],[Qty]]*InvoicesDetail[[#This Row],[Unit Price]]</f>
        <v>496000</v>
      </c>
      <c r="H142" t="s">
        <v>375</v>
      </c>
      <c r="I142" t="str">
        <f>VLOOKUP(A142,Invoices_Display!$A$1:$I$201,9,0)</f>
        <v>Project Site B</v>
      </c>
      <c r="J142" t="str">
        <f>VLOOKUP(InvoicesDetail[[#This Row],[Transaction ID]],Transactions[],8,0)</f>
        <v>IN</v>
      </c>
      <c r="K142" t="str">
        <f>TEXT(InvoicesDetail[[#This Row],[Date]],"MMM-YYYY")</f>
        <v>Aug-2025</v>
      </c>
    </row>
    <row r="143" spans="1:11" hidden="1" x14ac:dyDescent="0.25">
      <c r="A143" t="s">
        <v>279</v>
      </c>
      <c r="B143" s="18">
        <f>INDEX(Transactions[Date],MATCH(InvoicesDetail[[#This Row],[Transaction ID]],Transactions[Transaction ID],0))</f>
        <v>45909</v>
      </c>
      <c r="C143" t="s">
        <v>233</v>
      </c>
      <c r="D143" t="str">
        <f>VLOOKUP(C143,Transactions[],4,0)</f>
        <v>Sarung Tangan Katun</v>
      </c>
      <c r="E143">
        <f>VLOOKUP(C143,Transactions[],5,0)</f>
        <v>18</v>
      </c>
      <c r="F143" s="13">
        <f>VLOOKUP(C143,Transactions[],6,0)</f>
        <v>20000</v>
      </c>
      <c r="G143" s="13">
        <f>InvoicesDetail[[#This Row],[Qty]]*InvoicesDetail[[#This Row],[Unit Price]]</f>
        <v>360000</v>
      </c>
      <c r="H143" t="s">
        <v>375</v>
      </c>
      <c r="I143" t="str">
        <f>VLOOKUP(A143,Invoices_Display!$A$1:$I$201,9,0)</f>
        <v>Project Site B</v>
      </c>
      <c r="J143" t="str">
        <f>VLOOKUP(InvoicesDetail[[#This Row],[Transaction ID]],Transactions[],8,0)</f>
        <v>IN</v>
      </c>
      <c r="K143" t="str">
        <f>TEXT(InvoicesDetail[[#This Row],[Date]],"MMM-YYYY")</f>
        <v>Sep-2025</v>
      </c>
    </row>
    <row r="144" spans="1:11" hidden="1" x14ac:dyDescent="0.25">
      <c r="A144" t="s">
        <v>279</v>
      </c>
      <c r="B144" s="18">
        <f>INDEX(Transactions[Date],MATCH(InvoicesDetail[[#This Row],[Transaction ID]],Transactions[Transaction ID],0))</f>
        <v>45840</v>
      </c>
      <c r="C144" t="s">
        <v>234</v>
      </c>
      <c r="D144" t="str">
        <f>VLOOKUP(C144,Transactions[],4,0)</f>
        <v>Helm Proyek</v>
      </c>
      <c r="E144">
        <f>VLOOKUP(C144,Transactions[],5,0)</f>
        <v>5</v>
      </c>
      <c r="F144" s="13">
        <f>VLOOKUP(C144,Transactions[],6,0)</f>
        <v>50000</v>
      </c>
      <c r="G144" s="13">
        <f>InvoicesDetail[[#This Row],[Qty]]*InvoicesDetail[[#This Row],[Unit Price]]</f>
        <v>250000</v>
      </c>
      <c r="H144" t="s">
        <v>375</v>
      </c>
      <c r="I144" t="str">
        <f>VLOOKUP(A144,Invoices_Display!$A$1:$I$201,9,0)</f>
        <v>Project Site B</v>
      </c>
      <c r="J144" t="str">
        <f>VLOOKUP(InvoicesDetail[[#This Row],[Transaction ID]],Transactions[],8,0)</f>
        <v>IN</v>
      </c>
      <c r="K144" t="str">
        <f>TEXT(InvoicesDetail[[#This Row],[Date]],"MMM-YYYY")</f>
        <v>Jul-2025</v>
      </c>
    </row>
    <row r="145" spans="1:11" x14ac:dyDescent="0.25">
      <c r="A145" t="s">
        <v>279</v>
      </c>
      <c r="B145" s="18">
        <f>INDEX(Transactions[Date],MATCH(InvoicesDetail[[#This Row],[Transaction ID]],Transactions[Transaction ID],0))</f>
        <v>45915</v>
      </c>
      <c r="C145" t="s">
        <v>107</v>
      </c>
      <c r="D145" t="str">
        <f>VLOOKUP(C145,Transactions[],4,0)</f>
        <v>Paku 5cm (1 kg)</v>
      </c>
      <c r="E145">
        <f>VLOOKUP(C145,Transactions[],5,0)</f>
        <v>19</v>
      </c>
      <c r="F145" s="13">
        <f>VLOOKUP(C145,Transactions[],6,0)</f>
        <v>13500</v>
      </c>
      <c r="G145" s="13">
        <f>InvoicesDetail[[#This Row],[Qty]]*InvoicesDetail[[#This Row],[Unit Price]]</f>
        <v>256500</v>
      </c>
      <c r="H145" t="s">
        <v>375</v>
      </c>
      <c r="I145" t="str">
        <f>VLOOKUP(A145,Invoices_Display!$A$1:$I$201,9,0)</f>
        <v>Project Site B</v>
      </c>
      <c r="J145" t="str">
        <f>VLOOKUP(InvoicesDetail[[#This Row],[Transaction ID]],Transactions[],8,0)</f>
        <v>OUT</v>
      </c>
      <c r="K145" t="str">
        <f>TEXT(InvoicesDetail[[#This Row],[Date]],"MMM-YYYY")</f>
        <v>Sep-2025</v>
      </c>
    </row>
    <row r="146" spans="1:11" hidden="1" x14ac:dyDescent="0.25">
      <c r="A146" t="s">
        <v>316</v>
      </c>
      <c r="B146" s="18">
        <f>INDEX(Transactions[Date],MATCH(InvoicesDetail[[#This Row],[Transaction ID]],Transactions[Transaction ID],0))</f>
        <v>45894</v>
      </c>
      <c r="C146" t="s">
        <v>159</v>
      </c>
      <c r="D146" t="str">
        <f>VLOOKUP(C146,Transactions[],4,0)</f>
        <v>Bor Tangan Listrik</v>
      </c>
      <c r="E146">
        <f>VLOOKUP(C146,Transactions[],5,0)</f>
        <v>7</v>
      </c>
      <c r="F146" s="13">
        <f>VLOOKUP(C146,Transactions[],6,0)</f>
        <v>335500</v>
      </c>
      <c r="G146" s="13">
        <f>InvoicesDetail[[#This Row],[Qty]]*InvoicesDetail[[#This Row],[Unit Price]]</f>
        <v>2348500</v>
      </c>
      <c r="H146" t="s">
        <v>374</v>
      </c>
      <c r="I146" t="str">
        <f>VLOOKUP(A146,Invoices_Display!$A$1:$I$201,9,0)</f>
        <v>Project Site B</v>
      </c>
      <c r="J146" t="str">
        <f>VLOOKUP(InvoicesDetail[[#This Row],[Transaction ID]],Transactions[],8,0)</f>
        <v>OUT</v>
      </c>
      <c r="K146" t="str">
        <f>TEXT(InvoicesDetail[[#This Row],[Date]],"MMM-YYYY")</f>
        <v>Aug-2025</v>
      </c>
    </row>
    <row r="147" spans="1:11" hidden="1" x14ac:dyDescent="0.25">
      <c r="A147" t="s">
        <v>316</v>
      </c>
      <c r="B147" s="18">
        <f>INDEX(Transactions[Date],MATCH(InvoicesDetail[[#This Row],[Transaction ID]],Transactions[Transaction ID],0))</f>
        <v>45880</v>
      </c>
      <c r="C147" t="s">
        <v>177</v>
      </c>
      <c r="D147" t="str">
        <f>VLOOKUP(C147,Transactions[],4,0)</f>
        <v>Rantai Besi 10m</v>
      </c>
      <c r="E147">
        <f>VLOOKUP(C147,Transactions[],5,0)</f>
        <v>17</v>
      </c>
      <c r="F147" s="13">
        <f>VLOOKUP(C147,Transactions[],6,0)</f>
        <v>431000</v>
      </c>
      <c r="G147" s="13">
        <f>InvoicesDetail[[#This Row],[Qty]]*InvoicesDetail[[#This Row],[Unit Price]]</f>
        <v>7327000</v>
      </c>
      <c r="H147" t="s">
        <v>374</v>
      </c>
      <c r="I147" t="str">
        <f>VLOOKUP(A147,Invoices_Display!$A$1:$I$201,9,0)</f>
        <v>Project Site B</v>
      </c>
      <c r="J147" t="str">
        <f>VLOOKUP(InvoicesDetail[[#This Row],[Transaction ID]],Transactions[],8,0)</f>
        <v>OUT</v>
      </c>
      <c r="K147" t="str">
        <f>TEXT(InvoicesDetail[[#This Row],[Date]],"MMM-YYYY")</f>
        <v>Aug-2025</v>
      </c>
    </row>
    <row r="148" spans="1:11" hidden="1" x14ac:dyDescent="0.25">
      <c r="A148" t="s">
        <v>317</v>
      </c>
      <c r="B148" s="18">
        <f>INDEX(Transactions[Date],MATCH(InvoicesDetail[[#This Row],[Transaction ID]],Transactions[Transaction ID],0))</f>
        <v>45891</v>
      </c>
      <c r="C148" t="s">
        <v>72</v>
      </c>
      <c r="D148" t="str">
        <f>VLOOKUP(C148,Transactions[],4,0)</f>
        <v>Pipa PVC 4 inch (per batang)</v>
      </c>
      <c r="E148">
        <f>VLOOKUP(C148,Transactions[],5,0)</f>
        <v>19</v>
      </c>
      <c r="F148" s="13">
        <f>VLOOKUP(C148,Transactions[],6,0)</f>
        <v>260000</v>
      </c>
      <c r="G148" s="13">
        <f>InvoicesDetail[[#This Row],[Qty]]*InvoicesDetail[[#This Row],[Unit Price]]</f>
        <v>4940000</v>
      </c>
      <c r="H148" t="s">
        <v>374</v>
      </c>
      <c r="I148" t="str">
        <f>VLOOKUP(A148,Invoices_Display!$A$1:$I$201,9,0)</f>
        <v>PO #001</v>
      </c>
      <c r="J148" t="str">
        <f>VLOOKUP(InvoicesDetail[[#This Row],[Transaction ID]],Transactions[],8,0)</f>
        <v>IN</v>
      </c>
      <c r="K148" t="str">
        <f>TEXT(InvoicesDetail[[#This Row],[Date]],"MMM-YYYY")</f>
        <v>Aug-2025</v>
      </c>
    </row>
    <row r="149" spans="1:11" hidden="1" x14ac:dyDescent="0.25">
      <c r="A149" t="s">
        <v>318</v>
      </c>
      <c r="B149" s="18">
        <f>INDEX(Transactions[Date],MATCH(InvoicesDetail[[#This Row],[Transaction ID]],Transactions[Transaction ID],0))</f>
        <v>45868</v>
      </c>
      <c r="C149" s="1" t="s">
        <v>127</v>
      </c>
      <c r="D149" t="str">
        <f>VLOOKUP(C149,Transactions[],4,0)</f>
        <v>Sarung Tangan Katun</v>
      </c>
      <c r="E149">
        <f>VLOOKUP(C149,Transactions[],5,0)</f>
        <v>16</v>
      </c>
      <c r="F149" s="13">
        <f>VLOOKUP(C149,Transactions[],6,0)</f>
        <v>20000</v>
      </c>
      <c r="G149" s="13">
        <f>InvoicesDetail[[#This Row],[Qty]]*InvoicesDetail[[#This Row],[Unit Price]]</f>
        <v>320000</v>
      </c>
      <c r="H149" t="s">
        <v>374</v>
      </c>
      <c r="I149" t="str">
        <f>VLOOKUP(A149,Invoices_Display!$A$1:$I$201,9,0)</f>
        <v>Restock</v>
      </c>
      <c r="J149" t="str">
        <f>VLOOKUP(InvoicesDetail[[#This Row],[Transaction ID]],Transactions[],8,0)</f>
        <v>IN</v>
      </c>
      <c r="K149" t="str">
        <f>TEXT(InvoicesDetail[[#This Row],[Date]],"MMM-YYYY")</f>
        <v>Jul-2025</v>
      </c>
    </row>
    <row r="150" spans="1:11" hidden="1" x14ac:dyDescent="0.25">
      <c r="A150" t="s">
        <v>318</v>
      </c>
      <c r="B150" s="18">
        <f>INDEX(Transactions[Date],MATCH(InvoicesDetail[[#This Row],[Transaction ID]],Transactions[Transaction ID],0))</f>
        <v>45872</v>
      </c>
      <c r="C150" t="s">
        <v>129</v>
      </c>
      <c r="D150" t="str">
        <f>VLOOKUP(C150,Transactions[],4,0)</f>
        <v>Helm Proyek</v>
      </c>
      <c r="E150">
        <f>VLOOKUP(C150,Transactions[],5,0)</f>
        <v>5</v>
      </c>
      <c r="F150" s="13">
        <f>VLOOKUP(C150,Transactions[],6,0)</f>
        <v>50000</v>
      </c>
      <c r="G150" s="13">
        <f>InvoicesDetail[[#This Row],[Qty]]*InvoicesDetail[[#This Row],[Unit Price]]</f>
        <v>250000</v>
      </c>
      <c r="H150" t="s">
        <v>374</v>
      </c>
      <c r="I150" t="str">
        <f>VLOOKUP(A150,Invoices_Display!$A$1:$I$201,9,0)</f>
        <v>Restock</v>
      </c>
      <c r="J150" t="str">
        <f>VLOOKUP(InvoicesDetail[[#This Row],[Transaction ID]],Transactions[],8,0)</f>
        <v>OUT</v>
      </c>
      <c r="K150" t="str">
        <f>TEXT(InvoicesDetail[[#This Row],[Date]],"MMM-YYYY")</f>
        <v>Aug-2025</v>
      </c>
    </row>
    <row r="151" spans="1:11" hidden="1" x14ac:dyDescent="0.25">
      <c r="A151" t="s">
        <v>318</v>
      </c>
      <c r="B151" s="18">
        <f>INDEX(Transactions[Date],MATCH(InvoicesDetail[[#This Row],[Transaction ID]],Transactions[Transaction ID],0))</f>
        <v>45847</v>
      </c>
      <c r="C151" t="s">
        <v>267</v>
      </c>
      <c r="D151" t="str">
        <f>VLOOKUP(C151,Transactions[],4,0)</f>
        <v>Pompa Air Industri</v>
      </c>
      <c r="E151">
        <f>VLOOKUP(C151,Transactions[],5,0)</f>
        <v>1</v>
      </c>
      <c r="F151" s="13">
        <f>VLOOKUP(C151,Transactions[],6,0)</f>
        <v>4490000</v>
      </c>
      <c r="G151" s="13">
        <f>InvoicesDetail[[#This Row],[Qty]]*InvoicesDetail[[#This Row],[Unit Price]]</f>
        <v>4490000</v>
      </c>
      <c r="H151" t="s">
        <v>374</v>
      </c>
      <c r="I151" t="str">
        <f>VLOOKUP(A151,Invoices_Display!$A$1:$I$201,9,0)</f>
        <v>Restock</v>
      </c>
      <c r="J151" t="str">
        <f>VLOOKUP(InvoicesDetail[[#This Row],[Transaction ID]],Transactions[],8,0)</f>
        <v>OUT</v>
      </c>
      <c r="K151" t="str">
        <f>TEXT(InvoicesDetail[[#This Row],[Date]],"MMM-YYYY")</f>
        <v>Jul-2025</v>
      </c>
    </row>
    <row r="152" spans="1:11" x14ac:dyDescent="0.25">
      <c r="A152" t="s">
        <v>319</v>
      </c>
      <c r="B152" s="18">
        <f>INDEX(Transactions[Date],MATCH(InvoicesDetail[[#This Row],[Transaction ID]],Transactions[Transaction ID],0))</f>
        <v>45922</v>
      </c>
      <c r="C152" t="s">
        <v>105</v>
      </c>
      <c r="D152" t="str">
        <f>VLOOKUP(C152,Transactions[],4,0)</f>
        <v>Cat Minyak 5L</v>
      </c>
      <c r="E152">
        <f>VLOOKUP(C152,Transactions[],5,0)</f>
        <v>7</v>
      </c>
      <c r="F152" s="13">
        <f>VLOOKUP(C152,Transactions[],6,0)</f>
        <v>135500</v>
      </c>
      <c r="G152" s="13">
        <f>InvoicesDetail[[#This Row],[Qty]]*InvoicesDetail[[#This Row],[Unit Price]]</f>
        <v>948500</v>
      </c>
      <c r="H152" t="s">
        <v>375</v>
      </c>
      <c r="I152" t="str">
        <f>VLOOKUP(A152,Invoices_Display!$A$1:$I$201,9,0)</f>
        <v>PO #003</v>
      </c>
      <c r="J152" t="str">
        <f>VLOOKUP(InvoicesDetail[[#This Row],[Transaction ID]],Transactions[],8,0)</f>
        <v>OUT</v>
      </c>
      <c r="K152" t="str">
        <f>TEXT(InvoicesDetail[[#This Row],[Date]],"MMM-YYYY")</f>
        <v>Sep-2025</v>
      </c>
    </row>
    <row r="153" spans="1:11" hidden="1" x14ac:dyDescent="0.25">
      <c r="A153" t="s">
        <v>319</v>
      </c>
      <c r="B153" s="18">
        <f>INDEX(Transactions[Date],MATCH(InvoicesDetail[[#This Row],[Transaction ID]],Transactions[Transaction ID],0))</f>
        <v>45879</v>
      </c>
      <c r="C153" t="s">
        <v>256</v>
      </c>
      <c r="D153" t="str">
        <f>VLOOKUP(C153,Transactions[],4,0)</f>
        <v>Mesin Potong Besi</v>
      </c>
      <c r="E153">
        <f>VLOOKUP(C153,Transactions[],5,0)</f>
        <v>7</v>
      </c>
      <c r="F153" s="13">
        <f>VLOOKUP(C153,Transactions[],6,0)</f>
        <v>3200000</v>
      </c>
      <c r="G153" s="13">
        <f>InvoicesDetail[[#This Row],[Qty]]*InvoicesDetail[[#This Row],[Unit Price]]</f>
        <v>22400000</v>
      </c>
      <c r="H153" t="s">
        <v>375</v>
      </c>
      <c r="I153" t="str">
        <f>VLOOKUP(A153,Invoices_Display!$A$1:$I$201,9,0)</f>
        <v>PO #003</v>
      </c>
      <c r="J153" t="str">
        <f>VLOOKUP(InvoicesDetail[[#This Row],[Transaction ID]],Transactions[],8,0)</f>
        <v>OUT</v>
      </c>
      <c r="K153" t="str">
        <f>TEXT(InvoicesDetail[[#This Row],[Date]],"MMM-YYYY")</f>
        <v>Aug-2025</v>
      </c>
    </row>
    <row r="154" spans="1:11" hidden="1" x14ac:dyDescent="0.25">
      <c r="A154" t="s">
        <v>320</v>
      </c>
      <c r="B154" s="18">
        <f>INDEX(Transactions[Date],MATCH(InvoicesDetail[[#This Row],[Transaction ID]],Transactions[Transaction ID],0))</f>
        <v>45880</v>
      </c>
      <c r="C154" t="s">
        <v>108</v>
      </c>
      <c r="D154" t="str">
        <f>VLOOKUP(C154,Transactions[],4,0)</f>
        <v>Obeng Set</v>
      </c>
      <c r="E154">
        <f>VLOOKUP(C154,Transactions[],5,0)</f>
        <v>10</v>
      </c>
      <c r="F154" s="13">
        <f>VLOOKUP(C154,Transactions[],6,0)</f>
        <v>128000</v>
      </c>
      <c r="G154" s="13">
        <f>InvoicesDetail[[#This Row],[Qty]]*InvoicesDetail[[#This Row],[Unit Price]]</f>
        <v>1280000</v>
      </c>
      <c r="H154" t="s">
        <v>374</v>
      </c>
      <c r="I154" t="str">
        <f>VLOOKUP(A154,Invoices_Display!$A$1:$I$201,9,0)</f>
        <v>Project Site B</v>
      </c>
      <c r="J154" t="str">
        <f>VLOOKUP(InvoicesDetail[[#This Row],[Transaction ID]],Transactions[],8,0)</f>
        <v>OUT</v>
      </c>
      <c r="K154" t="str">
        <f>TEXT(InvoicesDetail[[#This Row],[Date]],"MMM-YYYY")</f>
        <v>Aug-2025</v>
      </c>
    </row>
    <row r="155" spans="1:11" hidden="1" x14ac:dyDescent="0.25">
      <c r="A155" t="s">
        <v>320</v>
      </c>
      <c r="B155" s="18">
        <f>INDEX(Transactions[Date],MATCH(InvoicesDetail[[#This Row],[Transaction ID]],Transactions[Transaction ID],0))</f>
        <v>45884</v>
      </c>
      <c r="C155" t="s">
        <v>180</v>
      </c>
      <c r="D155" t="str">
        <f>VLOOKUP(C155,Transactions[],4,0)</f>
        <v>Pipa PVC 4 inch (per batang)</v>
      </c>
      <c r="E155">
        <f>VLOOKUP(C155,Transactions[],5,0)</f>
        <v>6</v>
      </c>
      <c r="F155" s="13">
        <f>VLOOKUP(C155,Transactions[],6,0)</f>
        <v>260000</v>
      </c>
      <c r="G155" s="13">
        <f>InvoicesDetail[[#This Row],[Qty]]*InvoicesDetail[[#This Row],[Unit Price]]</f>
        <v>1560000</v>
      </c>
      <c r="H155" t="s">
        <v>374</v>
      </c>
      <c r="I155" t="str">
        <f>VLOOKUP(A155,Invoices_Display!$A$1:$I$201,9,0)</f>
        <v>Project Site B</v>
      </c>
      <c r="J155" t="str">
        <f>VLOOKUP(InvoicesDetail[[#This Row],[Transaction ID]],Transactions[],8,0)</f>
        <v>IN</v>
      </c>
      <c r="K155" t="str">
        <f>TEXT(InvoicesDetail[[#This Row],[Date]],"MMM-YYYY")</f>
        <v>Aug-2025</v>
      </c>
    </row>
    <row r="156" spans="1:11" hidden="1" x14ac:dyDescent="0.25">
      <c r="A156" t="s">
        <v>320</v>
      </c>
      <c r="B156" s="18">
        <f>INDEX(Transactions[Date],MATCH(InvoicesDetail[[#This Row],[Transaction ID]],Transactions[Transaction ID],0))</f>
        <v>45882</v>
      </c>
      <c r="C156" t="s">
        <v>235</v>
      </c>
      <c r="D156" t="str">
        <f>VLOOKUP(C156,Transactions[],4,0)</f>
        <v>Mesin Las Listrik</v>
      </c>
      <c r="E156">
        <f>VLOOKUP(C156,Transactions[],5,0)</f>
        <v>8</v>
      </c>
      <c r="F156" s="13">
        <f>VLOOKUP(C156,Transactions[],6,0)</f>
        <v>2296000</v>
      </c>
      <c r="G156" s="13">
        <f>InvoicesDetail[[#This Row],[Qty]]*InvoicesDetail[[#This Row],[Unit Price]]</f>
        <v>18368000</v>
      </c>
      <c r="H156" t="s">
        <v>374</v>
      </c>
      <c r="I156" t="str">
        <f>VLOOKUP(A156,Invoices_Display!$A$1:$I$201,9,0)</f>
        <v>Project Site B</v>
      </c>
      <c r="J156" t="str">
        <f>VLOOKUP(InvoicesDetail[[#This Row],[Transaction ID]],Transactions[],8,0)</f>
        <v>IN</v>
      </c>
      <c r="K156" t="str">
        <f>TEXT(InvoicesDetail[[#This Row],[Date]],"MMM-YYYY")</f>
        <v>Aug-2025</v>
      </c>
    </row>
    <row r="157" spans="1:11" hidden="1" x14ac:dyDescent="0.25">
      <c r="A157" t="s">
        <v>321</v>
      </c>
      <c r="B157" s="18">
        <f>INDEX(Transactions[Date],MATCH(InvoicesDetail[[#This Row],[Transaction ID]],Transactions[Transaction ID],0))</f>
        <v>45844</v>
      </c>
      <c r="C157" t="s">
        <v>168</v>
      </c>
      <c r="D157" t="str">
        <f>VLOOKUP(C157,Transactions[],4,0)</f>
        <v>Tangga Lipat Alumunium</v>
      </c>
      <c r="E157">
        <f>VLOOKUP(C157,Transactions[],5,0)</f>
        <v>11</v>
      </c>
      <c r="F157" s="13">
        <f>VLOOKUP(C157,Transactions[],6,0)</f>
        <v>420000</v>
      </c>
      <c r="G157" s="13">
        <f>InvoicesDetail[[#This Row],[Qty]]*InvoicesDetail[[#This Row],[Unit Price]]</f>
        <v>4620000</v>
      </c>
      <c r="H157" t="s">
        <v>375</v>
      </c>
      <c r="I157" t="str">
        <f>VLOOKUP(A157,Invoices_Display!$A$1:$I$201,9,0)</f>
        <v>PO #001</v>
      </c>
      <c r="J157" t="str">
        <f>VLOOKUP(InvoicesDetail[[#This Row],[Transaction ID]],Transactions[],8,0)</f>
        <v>OUT</v>
      </c>
      <c r="K157" t="str">
        <f>TEXT(InvoicesDetail[[#This Row],[Date]],"MMM-YYYY")</f>
        <v>Jul-2025</v>
      </c>
    </row>
    <row r="158" spans="1:11" hidden="1" x14ac:dyDescent="0.25">
      <c r="A158" t="s">
        <v>321</v>
      </c>
      <c r="B158" s="18">
        <f>INDEX(Transactions[Date],MATCH(InvoicesDetail[[#This Row],[Transaction ID]],Transactions[Transaction ID],0))</f>
        <v>45850</v>
      </c>
      <c r="C158" t="s">
        <v>80</v>
      </c>
      <c r="D158" t="str">
        <f>VLOOKUP(C158,Transactions[],4,0)</f>
        <v>Sarung Tangan Katun</v>
      </c>
      <c r="E158">
        <f>VLOOKUP(C158,Transactions[],5,0)</f>
        <v>5</v>
      </c>
      <c r="F158" s="13">
        <f>VLOOKUP(C158,Transactions[],6,0)</f>
        <v>20000</v>
      </c>
      <c r="G158" s="13">
        <f>InvoicesDetail[[#This Row],[Qty]]*InvoicesDetail[[#This Row],[Unit Price]]</f>
        <v>100000</v>
      </c>
      <c r="H158" t="s">
        <v>375</v>
      </c>
      <c r="I158" t="str">
        <f>VLOOKUP(A158,Invoices_Display!$A$1:$I$201,9,0)</f>
        <v>PO #001</v>
      </c>
      <c r="J158" t="str">
        <f>VLOOKUP(InvoicesDetail[[#This Row],[Transaction ID]],Transactions[],8,0)</f>
        <v>OUT</v>
      </c>
      <c r="K158" t="str">
        <f>TEXT(InvoicesDetail[[#This Row],[Date]],"MMM-YYYY")</f>
        <v>Jul-2025</v>
      </c>
    </row>
    <row r="159" spans="1:11" hidden="1" x14ac:dyDescent="0.25">
      <c r="A159" t="s">
        <v>322</v>
      </c>
      <c r="B159" s="18">
        <f>INDEX(Transactions[Date],MATCH(InvoicesDetail[[#This Row],[Transaction ID]],Transactions[Transaction ID],0))</f>
        <v>45876</v>
      </c>
      <c r="C159" s="1" t="s">
        <v>179</v>
      </c>
      <c r="D159" t="str">
        <f>VLOOKUP(C159,Transactions[],4,0)</f>
        <v>Pipa PVC 4 inch (per batang)</v>
      </c>
      <c r="E159">
        <f>VLOOKUP(C159,Transactions[],5,0)</f>
        <v>4</v>
      </c>
      <c r="F159" s="13">
        <f>VLOOKUP(C159,Transactions[],6,0)</f>
        <v>260000</v>
      </c>
      <c r="G159" s="13">
        <f>InvoicesDetail[[#This Row],[Qty]]*InvoicesDetail[[#This Row],[Unit Price]]</f>
        <v>1040000</v>
      </c>
      <c r="H159" t="s">
        <v>374</v>
      </c>
      <c r="I159" t="str">
        <f>VLOOKUP(A159,Invoices_Display!$A$1:$I$201,9,0)</f>
        <v>Project Site C + D</v>
      </c>
      <c r="J159" t="str">
        <f>VLOOKUP(InvoicesDetail[[#This Row],[Transaction ID]],Transactions[],8,0)</f>
        <v>IN</v>
      </c>
      <c r="K159" t="str">
        <f>TEXT(InvoicesDetail[[#This Row],[Date]],"MMM-YYYY")</f>
        <v>Aug-2025</v>
      </c>
    </row>
    <row r="160" spans="1:11" hidden="1" x14ac:dyDescent="0.25">
      <c r="A160" t="s">
        <v>322</v>
      </c>
      <c r="B160" s="18">
        <f>INDEX(Transactions[Date],MATCH(InvoicesDetail[[#This Row],[Transaction ID]],Transactions[Transaction ID],0))</f>
        <v>45930</v>
      </c>
      <c r="C160" t="s">
        <v>102</v>
      </c>
      <c r="D160" t="str">
        <f>VLOOKUP(C160,Transactions[],4,0)</f>
        <v>Drum Solar 200L</v>
      </c>
      <c r="E160">
        <f>VLOOKUP(C160,Transactions[],5,0)</f>
        <v>10</v>
      </c>
      <c r="F160" s="13">
        <f>VLOOKUP(C160,Transactions[],6,0)</f>
        <v>1060000</v>
      </c>
      <c r="G160" s="13">
        <f>InvoicesDetail[[#This Row],[Qty]]*InvoicesDetail[[#This Row],[Unit Price]]</f>
        <v>10600000</v>
      </c>
      <c r="H160" t="s">
        <v>374</v>
      </c>
      <c r="I160" t="str">
        <f>VLOOKUP(A160,Invoices_Display!$A$1:$I$201,9,0)</f>
        <v>Project Site C + D</v>
      </c>
      <c r="J160" t="str">
        <f>VLOOKUP(InvoicesDetail[[#This Row],[Transaction ID]],Transactions[],8,0)</f>
        <v>OUT</v>
      </c>
      <c r="K160" t="str">
        <f>TEXT(InvoicesDetail[[#This Row],[Date]],"MMM-YYYY")</f>
        <v>Sep-2025</v>
      </c>
    </row>
    <row r="161" spans="1:11" hidden="1" x14ac:dyDescent="0.25">
      <c r="A161" t="s">
        <v>322</v>
      </c>
      <c r="B161" s="18">
        <f>INDEX(Transactions[Date],MATCH(InvoicesDetail[[#This Row],[Transaction ID]],Transactions[Transaction ID],0))</f>
        <v>45884</v>
      </c>
      <c r="C161" t="s">
        <v>257</v>
      </c>
      <c r="D161" t="str">
        <f>VLOOKUP(C161,Transactions[],4,0)</f>
        <v>Cat Tembok 1 kg</v>
      </c>
      <c r="E161">
        <f>VLOOKUP(C161,Transactions[],5,0)</f>
        <v>18</v>
      </c>
      <c r="F161" s="13">
        <f>VLOOKUP(C161,Transactions[],6,0)</f>
        <v>31000</v>
      </c>
      <c r="G161" s="13">
        <f>InvoicesDetail[[#This Row],[Qty]]*InvoicesDetail[[#This Row],[Unit Price]]</f>
        <v>558000</v>
      </c>
      <c r="H161" t="s">
        <v>374</v>
      </c>
      <c r="I161" t="str">
        <f>VLOOKUP(A161,Invoices_Display!$A$1:$I$201,9,0)</f>
        <v>Project Site C + D</v>
      </c>
      <c r="J161" t="str">
        <f>VLOOKUP(InvoicesDetail[[#This Row],[Transaction ID]],Transactions[],8,0)</f>
        <v>OUT</v>
      </c>
      <c r="K161" t="str">
        <f>TEXT(InvoicesDetail[[#This Row],[Date]],"MMM-YYYY")</f>
        <v>Aug-2025</v>
      </c>
    </row>
    <row r="162" spans="1:11" x14ac:dyDescent="0.25">
      <c r="A162" t="s">
        <v>323</v>
      </c>
      <c r="B162" s="18">
        <f>INDEX(Transactions[Date],MATCH(InvoicesDetail[[#This Row],[Transaction ID]],Transactions[Transaction ID],0))</f>
        <v>45905</v>
      </c>
      <c r="C162" t="s">
        <v>151</v>
      </c>
      <c r="D162" t="str">
        <f>VLOOKUP(C162,Transactions[],4,0)</f>
        <v>Kabel Listrik Roll 50m</v>
      </c>
      <c r="E162">
        <f>VLOOKUP(C162,Transactions[],5,0)</f>
        <v>3</v>
      </c>
      <c r="F162" s="13">
        <f>VLOOKUP(C162,Transactions[],6,0)</f>
        <v>203500</v>
      </c>
      <c r="G162" s="13">
        <f>InvoicesDetail[[#This Row],[Qty]]*InvoicesDetail[[#This Row],[Unit Price]]</f>
        <v>610500</v>
      </c>
      <c r="H162" t="s">
        <v>375</v>
      </c>
      <c r="I162" t="str">
        <f>VLOOKUP(A162,Invoices_Display!$A$1:$I$201,9,0)</f>
        <v>Retur Barang</v>
      </c>
      <c r="J162" t="str">
        <f>VLOOKUP(InvoicesDetail[[#This Row],[Transaction ID]],Transactions[],8,0)</f>
        <v>OUT</v>
      </c>
      <c r="K162" t="str">
        <f>TEXT(InvoicesDetail[[#This Row],[Date]],"MMM-YYYY")</f>
        <v>Sep-2025</v>
      </c>
    </row>
    <row r="163" spans="1:11" x14ac:dyDescent="0.25">
      <c r="A163" t="s">
        <v>323</v>
      </c>
      <c r="B163" s="18">
        <f>INDEX(Transactions[Date],MATCH(InvoicesDetail[[#This Row],[Transaction ID]],Transactions[Transaction ID],0))</f>
        <v>45926</v>
      </c>
      <c r="C163" t="s">
        <v>178</v>
      </c>
      <c r="D163" t="str">
        <f>VLOOKUP(C163,Transactions[],4,0)</f>
        <v>Pipa PVC 4 inch (per batang)</v>
      </c>
      <c r="E163">
        <f>VLOOKUP(C163,Transactions[],5,0)</f>
        <v>10</v>
      </c>
      <c r="F163" s="13">
        <f>VLOOKUP(C163,Transactions[],6,0)</f>
        <v>260000</v>
      </c>
      <c r="G163" s="13">
        <f>InvoicesDetail[[#This Row],[Qty]]*InvoicesDetail[[#This Row],[Unit Price]]</f>
        <v>2600000</v>
      </c>
      <c r="H163" t="s">
        <v>375</v>
      </c>
      <c r="I163" t="str">
        <f>VLOOKUP(A163,Invoices_Display!$A$1:$I$201,9,0)</f>
        <v>Retur Barang</v>
      </c>
      <c r="J163" t="str">
        <f>VLOOKUP(InvoicesDetail[[#This Row],[Transaction ID]],Transactions[],8,0)</f>
        <v>OUT</v>
      </c>
      <c r="K163" t="str">
        <f>TEXT(InvoicesDetail[[#This Row],[Date]],"MMM-YYYY")</f>
        <v>Sep-2025</v>
      </c>
    </row>
    <row r="164" spans="1:11" hidden="1" x14ac:dyDescent="0.25">
      <c r="A164" t="s">
        <v>323</v>
      </c>
      <c r="B164" s="18">
        <f>INDEX(Transactions[Date],MATCH(InvoicesDetail[[#This Row],[Transaction ID]],Transactions[Transaction ID],0))</f>
        <v>45856</v>
      </c>
      <c r="C164" t="s">
        <v>241</v>
      </c>
      <c r="D164" t="str">
        <f>VLOOKUP(C164,Transactions[],4,0)</f>
        <v>Sarung Tangan Katun</v>
      </c>
      <c r="E164">
        <f>VLOOKUP(C164,Transactions[],5,0)</f>
        <v>12</v>
      </c>
      <c r="F164" s="13">
        <f>VLOOKUP(C164,Transactions[],6,0)</f>
        <v>20000</v>
      </c>
      <c r="G164" s="13">
        <f>InvoicesDetail[[#This Row],[Qty]]*InvoicesDetail[[#This Row],[Unit Price]]</f>
        <v>240000</v>
      </c>
      <c r="H164" t="s">
        <v>375</v>
      </c>
      <c r="I164" t="str">
        <f>VLOOKUP(A164,Invoices_Display!$A$1:$I$201,9,0)</f>
        <v>Retur Barang</v>
      </c>
      <c r="J164" t="str">
        <f>VLOOKUP(InvoicesDetail[[#This Row],[Transaction ID]],Transactions[],8,0)</f>
        <v>IN</v>
      </c>
      <c r="K164" t="str">
        <f>TEXT(InvoicesDetail[[#This Row],[Date]],"MMM-YYYY")</f>
        <v>Jul-2025</v>
      </c>
    </row>
    <row r="165" spans="1:11" hidden="1" x14ac:dyDescent="0.25">
      <c r="A165" t="s">
        <v>324</v>
      </c>
      <c r="B165" s="18">
        <f>INDEX(Transactions[Date],MATCH(InvoicesDetail[[#This Row],[Transaction ID]],Transactions[Transaction ID],0))</f>
        <v>45840</v>
      </c>
      <c r="C165" s="1" t="s">
        <v>244</v>
      </c>
      <c r="D165" t="str">
        <f>VLOOKUP(C165,Transactions[],4,0)</f>
        <v>Mesin Potong Besi</v>
      </c>
      <c r="E165">
        <f>VLOOKUP(C165,Transactions[],5,0)</f>
        <v>7</v>
      </c>
      <c r="F165" s="13">
        <f>VLOOKUP(C165,Transactions[],6,0)</f>
        <v>3200000</v>
      </c>
      <c r="G165" s="13">
        <f>InvoicesDetail[[#This Row],[Qty]]*InvoicesDetail[[#This Row],[Unit Price]]</f>
        <v>22400000</v>
      </c>
      <c r="H165" t="s">
        <v>375</v>
      </c>
      <c r="I165" t="str">
        <f>VLOOKUP(A165,Invoices_Display!$A$1:$I$201,9,0)</f>
        <v>Project Site C + D</v>
      </c>
      <c r="J165" t="str">
        <f>VLOOKUP(InvoicesDetail[[#This Row],[Transaction ID]],Transactions[],8,0)</f>
        <v>OUT</v>
      </c>
      <c r="K165" t="str">
        <f>TEXT(InvoicesDetail[[#This Row],[Date]],"MMM-YYYY")</f>
        <v>Jul-2025</v>
      </c>
    </row>
    <row r="166" spans="1:11" hidden="1" x14ac:dyDescent="0.25">
      <c r="A166" t="s">
        <v>324</v>
      </c>
      <c r="B166" s="18">
        <f>INDEX(Transactions[Date],MATCH(InvoicesDetail[[#This Row],[Transaction ID]],Transactions[Transaction ID],0))</f>
        <v>45923</v>
      </c>
      <c r="C166" t="s">
        <v>71</v>
      </c>
      <c r="D166" t="str">
        <f>VLOOKUP(C166,Transactions[],4,0)</f>
        <v>Kabel Listrik Roll 50m</v>
      </c>
      <c r="E166">
        <f>VLOOKUP(C166,Transactions[],5,0)</f>
        <v>11</v>
      </c>
      <c r="F166" s="13">
        <f>VLOOKUP(C166,Transactions[],6,0)</f>
        <v>203500</v>
      </c>
      <c r="G166" s="13">
        <f>InvoicesDetail[[#This Row],[Qty]]*InvoicesDetail[[#This Row],[Unit Price]]</f>
        <v>2238500</v>
      </c>
      <c r="H166" t="s">
        <v>375</v>
      </c>
      <c r="I166" t="str">
        <f>VLOOKUP(A166,Invoices_Display!$A$1:$I$201,9,0)</f>
        <v>Project Site C + D</v>
      </c>
      <c r="J166" t="str">
        <f>VLOOKUP(InvoicesDetail[[#This Row],[Transaction ID]],Transactions[],8,0)</f>
        <v>IN</v>
      </c>
      <c r="K166" t="str">
        <f>TEXT(InvoicesDetail[[#This Row],[Date]],"MMM-YYYY")</f>
        <v>Sep-2025</v>
      </c>
    </row>
    <row r="167" spans="1:11" hidden="1" x14ac:dyDescent="0.25">
      <c r="A167" t="s">
        <v>325</v>
      </c>
      <c r="B167" s="18">
        <f>INDEX(Transactions[Date],MATCH(InvoicesDetail[[#This Row],[Transaction ID]],Transactions[Transaction ID],0))</f>
        <v>45851</v>
      </c>
      <c r="C167" s="1" t="s">
        <v>153</v>
      </c>
      <c r="D167" t="str">
        <f>VLOOKUP(C167,Transactions[],4,0)</f>
        <v>Tangga Lipat Alumunium</v>
      </c>
      <c r="E167">
        <f>VLOOKUP(C167,Transactions[],5,0)</f>
        <v>9</v>
      </c>
      <c r="F167" s="13">
        <f>VLOOKUP(C167,Transactions[],6,0)</f>
        <v>420000</v>
      </c>
      <c r="G167" s="13">
        <f>InvoicesDetail[[#This Row],[Qty]]*InvoicesDetail[[#This Row],[Unit Price]]</f>
        <v>3780000</v>
      </c>
      <c r="H167" t="s">
        <v>374</v>
      </c>
      <c r="I167" t="str">
        <f>VLOOKUP(A167,Invoices_Display!$A$1:$I$201,9,0)</f>
        <v>Project Site A</v>
      </c>
      <c r="J167" t="str">
        <f>VLOOKUP(InvoicesDetail[[#This Row],[Transaction ID]],Transactions[],8,0)</f>
        <v>IN</v>
      </c>
      <c r="K167" t="str">
        <f>TEXT(InvoicesDetail[[#This Row],[Date]],"MMM-YYYY")</f>
        <v>Jul-2025</v>
      </c>
    </row>
    <row r="168" spans="1:11" hidden="1" x14ac:dyDescent="0.25">
      <c r="A168" t="s">
        <v>325</v>
      </c>
      <c r="B168" s="18">
        <f>INDEX(Transactions[Date],MATCH(InvoicesDetail[[#This Row],[Transaction ID]],Transactions[Transaction ID],0))</f>
        <v>45897</v>
      </c>
      <c r="C168" t="s">
        <v>154</v>
      </c>
      <c r="D168" t="str">
        <f>VLOOKUP(C168,Transactions[],4,0)</f>
        <v>Cat Minyak 5L</v>
      </c>
      <c r="E168">
        <f>VLOOKUP(C168,Transactions[],5,0)</f>
        <v>15</v>
      </c>
      <c r="F168" s="13">
        <f>VLOOKUP(C168,Transactions[],6,0)</f>
        <v>135500</v>
      </c>
      <c r="G168" s="13">
        <f>InvoicesDetail[[#This Row],[Qty]]*InvoicesDetail[[#This Row],[Unit Price]]</f>
        <v>2032500</v>
      </c>
      <c r="H168" t="s">
        <v>374</v>
      </c>
      <c r="I168" t="str">
        <f>VLOOKUP(A168,Invoices_Display!$A$1:$I$201,9,0)</f>
        <v>Project Site A</v>
      </c>
      <c r="J168" t="str">
        <f>VLOOKUP(InvoicesDetail[[#This Row],[Transaction ID]],Transactions[],8,0)</f>
        <v>IN</v>
      </c>
      <c r="K168" t="str">
        <f>TEXT(InvoicesDetail[[#This Row],[Date]],"MMM-YYYY")</f>
        <v>Aug-2025</v>
      </c>
    </row>
    <row r="169" spans="1:11" hidden="1" x14ac:dyDescent="0.25">
      <c r="A169" t="s">
        <v>325</v>
      </c>
      <c r="B169" s="18">
        <f>INDEX(Transactions[Date],MATCH(InvoicesDetail[[#This Row],[Transaction ID]],Transactions[Transaction ID],0))</f>
        <v>45855</v>
      </c>
      <c r="C169" t="s">
        <v>155</v>
      </c>
      <c r="D169" t="str">
        <f>VLOOKUP(C169,Transactions[],4,0)</f>
        <v>Lampu Sorot LED 100W</v>
      </c>
      <c r="E169">
        <f>VLOOKUP(C169,Transactions[],5,0)</f>
        <v>5</v>
      </c>
      <c r="F169" s="13">
        <f>VLOOKUP(C169,Transactions[],6,0)</f>
        <v>237000</v>
      </c>
      <c r="G169" s="13">
        <f>InvoicesDetail[[#This Row],[Qty]]*InvoicesDetail[[#This Row],[Unit Price]]</f>
        <v>1185000</v>
      </c>
      <c r="H169" t="s">
        <v>374</v>
      </c>
      <c r="I169" t="str">
        <f>VLOOKUP(A169,Invoices_Display!$A$1:$I$201,9,0)</f>
        <v>Project Site A</v>
      </c>
      <c r="J169" t="str">
        <f>VLOOKUP(InvoicesDetail[[#This Row],[Transaction ID]],Transactions[],8,0)</f>
        <v>IN</v>
      </c>
      <c r="K169" t="str">
        <f>TEXT(InvoicesDetail[[#This Row],[Date]],"MMM-YYYY")</f>
        <v>Jul-2025</v>
      </c>
    </row>
    <row r="170" spans="1:11" hidden="1" x14ac:dyDescent="0.25">
      <c r="A170" t="s">
        <v>325</v>
      </c>
      <c r="B170" s="18">
        <f>INDEX(Transactions[Date],MATCH(InvoicesDetail[[#This Row],[Transaction ID]],Transactions[Transaction ID],0))</f>
        <v>45927</v>
      </c>
      <c r="C170" t="s">
        <v>156</v>
      </c>
      <c r="D170" t="str">
        <f>VLOOKUP(C170,Transactions[],4,0)</f>
        <v>Sarung Tangan Katun</v>
      </c>
      <c r="E170">
        <f>VLOOKUP(C170,Transactions[],5,0)</f>
        <v>10</v>
      </c>
      <c r="F170" s="13">
        <f>VLOOKUP(C170,Transactions[],6,0)</f>
        <v>20000</v>
      </c>
      <c r="G170" s="13">
        <f>InvoicesDetail[[#This Row],[Qty]]*InvoicesDetail[[#This Row],[Unit Price]]</f>
        <v>200000</v>
      </c>
      <c r="H170" t="s">
        <v>374</v>
      </c>
      <c r="I170" t="str">
        <f>VLOOKUP(A170,Invoices_Display!$A$1:$I$201,9,0)</f>
        <v>Project Site A</v>
      </c>
      <c r="J170" t="str">
        <f>VLOOKUP(InvoicesDetail[[#This Row],[Transaction ID]],Transactions[],8,0)</f>
        <v>IN</v>
      </c>
      <c r="K170" t="str">
        <f>TEXT(InvoicesDetail[[#This Row],[Date]],"MMM-YYYY")</f>
        <v>Sep-2025</v>
      </c>
    </row>
    <row r="171" spans="1:11" hidden="1" x14ac:dyDescent="0.25">
      <c r="A171" t="s">
        <v>325</v>
      </c>
      <c r="B171" s="18">
        <f>INDEX(Transactions[Date],MATCH(InvoicesDetail[[#This Row],[Transaction ID]],Transactions[Transaction ID],0))</f>
        <v>45901</v>
      </c>
      <c r="C171" t="s">
        <v>262</v>
      </c>
      <c r="D171" t="str">
        <f>VLOOKUP(C171,Transactions[],4,0)</f>
        <v>Obeng Set</v>
      </c>
      <c r="E171">
        <f>VLOOKUP(C171,Transactions[],5,0)</f>
        <v>10</v>
      </c>
      <c r="F171" s="13">
        <f>VLOOKUP(C171,Transactions[],6,0)</f>
        <v>128000</v>
      </c>
      <c r="G171" s="13">
        <f>InvoicesDetail[[#This Row],[Qty]]*InvoicesDetail[[#This Row],[Unit Price]]</f>
        <v>1280000</v>
      </c>
      <c r="H171" t="s">
        <v>374</v>
      </c>
      <c r="I171" t="str">
        <f>VLOOKUP(A171,Invoices_Display!$A$1:$I$201,9,0)</f>
        <v>Project Site A</v>
      </c>
      <c r="J171" t="str">
        <f>VLOOKUP(InvoicesDetail[[#This Row],[Transaction ID]],Transactions[],8,0)</f>
        <v>OUT</v>
      </c>
      <c r="K171" t="str">
        <f>TEXT(InvoicesDetail[[#This Row],[Date]],"MMM-YYYY")</f>
        <v>Sep-2025</v>
      </c>
    </row>
    <row r="172" spans="1:11" hidden="1" x14ac:dyDescent="0.25">
      <c r="A172" t="s">
        <v>326</v>
      </c>
      <c r="B172" s="18">
        <f>INDEX(Transactions[Date],MATCH(InvoicesDetail[[#This Row],[Transaction ID]],Transactions[Transaction ID],0))</f>
        <v>45859</v>
      </c>
      <c r="C172" s="1" t="s">
        <v>109</v>
      </c>
      <c r="D172" t="str">
        <f>VLOOKUP(C172,Transactions[],4,0)</f>
        <v>Genset Portable 1000W</v>
      </c>
      <c r="E172">
        <f>VLOOKUP(C172,Transactions[],5,0)</f>
        <v>5</v>
      </c>
      <c r="F172" s="13">
        <f>VLOOKUP(C172,Transactions[],6,0)</f>
        <v>3134000</v>
      </c>
      <c r="G172" s="13">
        <f>InvoicesDetail[[#This Row],[Qty]]*InvoicesDetail[[#This Row],[Unit Price]]</f>
        <v>15670000</v>
      </c>
      <c r="H172" t="s">
        <v>374</v>
      </c>
      <c r="I172" t="str">
        <f>VLOOKUP(A172,Invoices_Display!$A$1:$I$201,9,0)</f>
        <v>Restock</v>
      </c>
      <c r="J172" t="str">
        <f>VLOOKUP(InvoicesDetail[[#This Row],[Transaction ID]],Transactions[],8,0)</f>
        <v>IN</v>
      </c>
      <c r="K172" t="str">
        <f>TEXT(InvoicesDetail[[#This Row],[Date]],"MMM-YYYY")</f>
        <v>Jul-2025</v>
      </c>
    </row>
    <row r="173" spans="1:11" hidden="1" x14ac:dyDescent="0.25">
      <c r="A173" t="s">
        <v>326</v>
      </c>
      <c r="B173" s="18">
        <f>INDEX(Transactions[Date],MATCH(InvoicesDetail[[#This Row],[Transaction ID]],Transactions[Transaction ID],0))</f>
        <v>45884</v>
      </c>
      <c r="C173" t="s">
        <v>212</v>
      </c>
      <c r="D173" t="str">
        <f>VLOOKUP(C173,Transactions[],4,0)</f>
        <v>Cat Tembok 1 kg</v>
      </c>
      <c r="E173">
        <f>VLOOKUP(C173,Transactions[],5,0)</f>
        <v>10</v>
      </c>
      <c r="F173" s="13">
        <f>VLOOKUP(C173,Transactions[],6,0)</f>
        <v>31000</v>
      </c>
      <c r="G173" s="13">
        <f>InvoicesDetail[[#This Row],[Qty]]*InvoicesDetail[[#This Row],[Unit Price]]</f>
        <v>310000</v>
      </c>
      <c r="H173" t="s">
        <v>374</v>
      </c>
      <c r="I173" t="str">
        <f>VLOOKUP(A173,Invoices_Display!$A$1:$I$201,9,0)</f>
        <v>Restock</v>
      </c>
      <c r="J173" t="str">
        <f>VLOOKUP(InvoicesDetail[[#This Row],[Transaction ID]],Transactions[],8,0)</f>
        <v>OUT</v>
      </c>
      <c r="K173" t="str">
        <f>TEXT(InvoicesDetail[[#This Row],[Date]],"MMM-YYYY")</f>
        <v>Aug-2025</v>
      </c>
    </row>
    <row r="174" spans="1:11" hidden="1" x14ac:dyDescent="0.25">
      <c r="A174" t="s">
        <v>327</v>
      </c>
      <c r="B174" s="18">
        <f>INDEX(Transactions[Date],MATCH(InvoicesDetail[[#This Row],[Transaction ID]],Transactions[Transaction ID],0))</f>
        <v>45898</v>
      </c>
      <c r="C174" t="s">
        <v>192</v>
      </c>
      <c r="D174" t="str">
        <f>VLOOKUP(C174,Transactions[],4,0)</f>
        <v>Paku 5cm (1 kg)</v>
      </c>
      <c r="E174">
        <f>VLOOKUP(C174,Transactions[],5,0)</f>
        <v>10</v>
      </c>
      <c r="F174" s="13">
        <f>VLOOKUP(C174,Transactions[],6,0)</f>
        <v>13500</v>
      </c>
      <c r="G174" s="13">
        <f>InvoicesDetail[[#This Row],[Qty]]*InvoicesDetail[[#This Row],[Unit Price]]</f>
        <v>135000</v>
      </c>
      <c r="H174" t="s">
        <v>374</v>
      </c>
      <c r="I174" t="str">
        <f>VLOOKUP(A174,Invoices_Display!$A$1:$I$201,9,0)</f>
        <v>Retur Barang</v>
      </c>
      <c r="J174" t="str">
        <f>VLOOKUP(InvoicesDetail[[#This Row],[Transaction ID]],Transactions[],8,0)</f>
        <v>IN</v>
      </c>
      <c r="K174" t="str">
        <f>TEXT(InvoicesDetail[[#This Row],[Date]],"MMM-YYYY")</f>
        <v>Aug-2025</v>
      </c>
    </row>
    <row r="175" spans="1:11" hidden="1" x14ac:dyDescent="0.25">
      <c r="A175" t="s">
        <v>327</v>
      </c>
      <c r="B175" s="18">
        <f>INDEX(Transactions[Date],MATCH(InvoicesDetail[[#This Row],[Transaction ID]],Transactions[Transaction ID],0))</f>
        <v>45915</v>
      </c>
      <c r="C175" t="s">
        <v>211</v>
      </c>
      <c r="D175" t="str">
        <f>VLOOKUP(C175,Transactions[],4,0)</f>
        <v>Masker Safety Box (isi 50)</v>
      </c>
      <c r="E175">
        <f>VLOOKUP(C175,Transactions[],5,0)</f>
        <v>4</v>
      </c>
      <c r="F175" s="13">
        <f>VLOOKUP(C175,Transactions[],6,0)</f>
        <v>11500</v>
      </c>
      <c r="G175" s="13">
        <f>InvoicesDetail[[#This Row],[Qty]]*InvoicesDetail[[#This Row],[Unit Price]]</f>
        <v>46000</v>
      </c>
      <c r="H175" t="s">
        <v>374</v>
      </c>
      <c r="I175" t="str">
        <f>VLOOKUP(A175,Invoices_Display!$A$1:$I$201,9,0)</f>
        <v>Retur Barang</v>
      </c>
      <c r="J175" t="str">
        <f>VLOOKUP(InvoicesDetail[[#This Row],[Transaction ID]],Transactions[],8,0)</f>
        <v>IN</v>
      </c>
      <c r="K175" t="str">
        <f>TEXT(InvoicesDetail[[#This Row],[Date]],"MMM-YYYY")</f>
        <v>Sep-2025</v>
      </c>
    </row>
    <row r="176" spans="1:11" hidden="1" x14ac:dyDescent="0.25">
      <c r="A176" t="s">
        <v>327</v>
      </c>
      <c r="B176" s="18">
        <f>INDEX(Transactions[Date],MATCH(InvoicesDetail[[#This Row],[Transaction ID]],Transactions[Transaction ID],0))</f>
        <v>45883</v>
      </c>
      <c r="C176" t="s">
        <v>110</v>
      </c>
      <c r="D176" t="str">
        <f>VLOOKUP(C176,Transactions[],4,0)</f>
        <v>Mesin Potong Besi</v>
      </c>
      <c r="E176">
        <f>VLOOKUP(C176,Transactions[],5,0)</f>
        <v>9</v>
      </c>
      <c r="F176" s="13">
        <f>VLOOKUP(C176,Transactions[],6,0)</f>
        <v>3200000</v>
      </c>
      <c r="G176" s="13">
        <f>InvoicesDetail[[#This Row],[Qty]]*InvoicesDetail[[#This Row],[Unit Price]]</f>
        <v>28800000</v>
      </c>
      <c r="H176" t="s">
        <v>374</v>
      </c>
      <c r="I176" t="str">
        <f>VLOOKUP(A176,Invoices_Display!$A$1:$I$201,9,0)</f>
        <v>Retur Barang</v>
      </c>
      <c r="J176" t="str">
        <f>VLOOKUP(InvoicesDetail[[#This Row],[Transaction ID]],Transactions[],8,0)</f>
        <v>IN</v>
      </c>
      <c r="K176" t="str">
        <f>TEXT(InvoicesDetail[[#This Row],[Date]],"MMM-YYYY")</f>
        <v>Aug-2025</v>
      </c>
    </row>
    <row r="177" spans="1:11" hidden="1" x14ac:dyDescent="0.25">
      <c r="A177" t="s">
        <v>328</v>
      </c>
      <c r="B177" s="18">
        <f>INDEX(Transactions[Date],MATCH(InvoicesDetail[[#This Row],[Transaction ID]],Transactions[Transaction ID],0))</f>
        <v>45888</v>
      </c>
      <c r="C177" t="s">
        <v>128</v>
      </c>
      <c r="D177" t="str">
        <f>VLOOKUP(C177,Transactions[],4,0)</f>
        <v>Mesin Potong Besi</v>
      </c>
      <c r="E177">
        <f>VLOOKUP(C177,Transactions[],5,0)</f>
        <v>6</v>
      </c>
      <c r="F177" s="13">
        <f>VLOOKUP(C177,Transactions[],6,0)</f>
        <v>3200000</v>
      </c>
      <c r="G177" s="13">
        <f>InvoicesDetail[[#This Row],[Qty]]*InvoicesDetail[[#This Row],[Unit Price]]</f>
        <v>19200000</v>
      </c>
      <c r="H177" t="s">
        <v>374</v>
      </c>
      <c r="I177" t="str">
        <f>VLOOKUP(A177,Invoices_Display!$A$1:$I$201,9,0)</f>
        <v>Retur Barang</v>
      </c>
      <c r="J177" t="str">
        <f>VLOOKUP(InvoicesDetail[[#This Row],[Transaction ID]],Transactions[],8,0)</f>
        <v>IN</v>
      </c>
      <c r="K177" t="str">
        <f>TEXT(InvoicesDetail[[#This Row],[Date]],"MMM-YYYY")</f>
        <v>Aug-2025</v>
      </c>
    </row>
    <row r="178" spans="1:11" hidden="1" x14ac:dyDescent="0.25">
      <c r="A178" t="s">
        <v>328</v>
      </c>
      <c r="B178" s="18">
        <f>INDEX(Transactions[Date],MATCH(InvoicesDetail[[#This Row],[Transaction ID]],Transactions[Transaction ID],0))</f>
        <v>45858</v>
      </c>
      <c r="C178" t="s">
        <v>111</v>
      </c>
      <c r="D178" t="str">
        <f>VLOOKUP(C178,Transactions[],4,0)</f>
        <v>Pompa Air Industri</v>
      </c>
      <c r="E178">
        <f>VLOOKUP(C178,Transactions[],5,0)</f>
        <v>10</v>
      </c>
      <c r="F178" s="13">
        <f>VLOOKUP(C178,Transactions[],6,0)</f>
        <v>4490000</v>
      </c>
      <c r="G178" s="13">
        <f>InvoicesDetail[[#This Row],[Qty]]*InvoicesDetail[[#This Row],[Unit Price]]</f>
        <v>44900000</v>
      </c>
      <c r="H178" t="s">
        <v>374</v>
      </c>
      <c r="I178" t="str">
        <f>VLOOKUP(A178,Invoices_Display!$A$1:$I$201,9,0)</f>
        <v>Retur Barang</v>
      </c>
      <c r="J178" t="str">
        <f>VLOOKUP(InvoicesDetail[[#This Row],[Transaction ID]],Transactions[],8,0)</f>
        <v>IN</v>
      </c>
      <c r="K178" t="str">
        <f>TEXT(InvoicesDetail[[#This Row],[Date]],"MMM-YYYY")</f>
        <v>Jul-2025</v>
      </c>
    </row>
    <row r="179" spans="1:11" hidden="1" x14ac:dyDescent="0.25">
      <c r="A179" t="s">
        <v>328</v>
      </c>
      <c r="B179" s="18">
        <f>INDEX(Transactions[Date],MATCH(InvoicesDetail[[#This Row],[Transaction ID]],Transactions[Transaction ID],0))</f>
        <v>45907</v>
      </c>
      <c r="C179" t="s">
        <v>152</v>
      </c>
      <c r="D179" t="str">
        <f>VLOOKUP(C179,Transactions[],4,0)</f>
        <v>Cat Tembok 1 kg</v>
      </c>
      <c r="E179">
        <f>VLOOKUP(C179,Transactions[],5,0)</f>
        <v>5</v>
      </c>
      <c r="F179" s="13">
        <f>VLOOKUP(C179,Transactions[],6,0)</f>
        <v>31000</v>
      </c>
      <c r="G179" s="13">
        <f>InvoicesDetail[[#This Row],[Qty]]*InvoicesDetail[[#This Row],[Unit Price]]</f>
        <v>155000</v>
      </c>
      <c r="H179" t="s">
        <v>374</v>
      </c>
      <c r="I179" t="str">
        <f>VLOOKUP(A179,Invoices_Display!$A$1:$I$201,9,0)</f>
        <v>Retur Barang</v>
      </c>
      <c r="J179" t="str">
        <f>VLOOKUP(InvoicesDetail[[#This Row],[Transaction ID]],Transactions[],8,0)</f>
        <v>IN</v>
      </c>
      <c r="K179" t="str">
        <f>TEXT(InvoicesDetail[[#This Row],[Date]],"MMM-YYYY")</f>
        <v>Sep-2025</v>
      </c>
    </row>
    <row r="180" spans="1:11" hidden="1" x14ac:dyDescent="0.25">
      <c r="A180" t="s">
        <v>328</v>
      </c>
      <c r="B180" s="18">
        <f>INDEX(Transactions[Date],MATCH(InvoicesDetail[[#This Row],[Transaction ID]],Transactions[Transaction ID],0))</f>
        <v>45869</v>
      </c>
      <c r="C180" t="s">
        <v>261</v>
      </c>
      <c r="D180" t="str">
        <f>VLOOKUP(C180,Transactions[],4,0)</f>
        <v>Genset Portable 1000W</v>
      </c>
      <c r="E180">
        <f>VLOOKUP(C180,Transactions[],5,0)</f>
        <v>5</v>
      </c>
      <c r="F180" s="13">
        <f>VLOOKUP(C180,Transactions[],6,0)</f>
        <v>3134000</v>
      </c>
      <c r="G180" s="13">
        <f>InvoicesDetail[[#This Row],[Qty]]*InvoicesDetail[[#This Row],[Unit Price]]</f>
        <v>15670000</v>
      </c>
      <c r="H180" t="s">
        <v>374</v>
      </c>
      <c r="I180" t="str">
        <f>VLOOKUP(A180,Invoices_Display!$A$1:$I$201,9,0)</f>
        <v>Retur Barang</v>
      </c>
      <c r="J180" t="str">
        <f>VLOOKUP(InvoicesDetail[[#This Row],[Transaction ID]],Transactions[],8,0)</f>
        <v>IN</v>
      </c>
      <c r="K180" t="str">
        <f>TEXT(InvoicesDetail[[#This Row],[Date]],"MMM-YYYY")</f>
        <v>Jul-2025</v>
      </c>
    </row>
    <row r="181" spans="1:11" x14ac:dyDescent="0.25">
      <c r="A181" t="s">
        <v>329</v>
      </c>
      <c r="B181" s="18">
        <f>INDEX(Transactions[Date],MATCH(InvoicesDetail[[#This Row],[Transaction ID]],Transactions[Transaction ID],0))</f>
        <v>45907</v>
      </c>
      <c r="C181" s="1" t="s">
        <v>191</v>
      </c>
      <c r="D181" t="str">
        <f>VLOOKUP(C181,Transactions[],4,0)</f>
        <v>Pompa Air Industri</v>
      </c>
      <c r="E181">
        <f>VLOOKUP(C181,Transactions[],5,0)</f>
        <v>13</v>
      </c>
      <c r="F181" s="13">
        <f>VLOOKUP(C181,Transactions[],6,0)</f>
        <v>4490000</v>
      </c>
      <c r="G181" s="13">
        <f>InvoicesDetail[[#This Row],[Qty]]*InvoicesDetail[[#This Row],[Unit Price]]</f>
        <v>58370000</v>
      </c>
      <c r="H181" t="s">
        <v>375</v>
      </c>
      <c r="I181" t="str">
        <f>VLOOKUP(A181,Invoices_Display!$A$1:$I$201,9,0)</f>
        <v>Project Site C + D</v>
      </c>
      <c r="J181" t="str">
        <f>VLOOKUP(InvoicesDetail[[#This Row],[Transaction ID]],Transactions[],8,0)</f>
        <v>OUT</v>
      </c>
      <c r="K181" t="str">
        <f>TEXT(InvoicesDetail[[#This Row],[Date]],"MMM-YYYY")</f>
        <v>Sep-2025</v>
      </c>
    </row>
    <row r="182" spans="1:11" hidden="1" x14ac:dyDescent="0.25">
      <c r="A182" t="s">
        <v>329</v>
      </c>
      <c r="B182" s="18">
        <f>INDEX(Transactions[Date],MATCH(InvoicesDetail[[#This Row],[Transaction ID]],Transactions[Transaction ID],0))</f>
        <v>45881</v>
      </c>
      <c r="C182" t="s">
        <v>194</v>
      </c>
      <c r="D182" t="str">
        <f>VLOOKUP(C182,Transactions[],4,0)</f>
        <v>Tangga Lipat Alumunium</v>
      </c>
      <c r="E182">
        <f>VLOOKUP(C182,Transactions[],5,0)</f>
        <v>16</v>
      </c>
      <c r="F182" s="13">
        <f>VLOOKUP(C182,Transactions[],6,0)</f>
        <v>420000</v>
      </c>
      <c r="G182" s="13">
        <f>InvoicesDetail[[#This Row],[Qty]]*InvoicesDetail[[#This Row],[Unit Price]]</f>
        <v>6720000</v>
      </c>
      <c r="H182" t="s">
        <v>375</v>
      </c>
      <c r="I182" t="str">
        <f>VLOOKUP(A182,Invoices_Display!$A$1:$I$201,9,0)</f>
        <v>Project Site C + D</v>
      </c>
      <c r="J182" t="str">
        <f>VLOOKUP(InvoicesDetail[[#This Row],[Transaction ID]],Transactions[],8,0)</f>
        <v>OUT</v>
      </c>
      <c r="K182" t="str">
        <f>TEXT(InvoicesDetail[[#This Row],[Date]],"MMM-YYYY")</f>
        <v>Aug-2025</v>
      </c>
    </row>
    <row r="183" spans="1:11" hidden="1" x14ac:dyDescent="0.25">
      <c r="A183" t="s">
        <v>329</v>
      </c>
      <c r="B183" s="18">
        <f>INDEX(Transactions[Date],MATCH(InvoicesDetail[[#This Row],[Transaction ID]],Transactions[Transaction ID],0))</f>
        <v>45852</v>
      </c>
      <c r="C183" t="s">
        <v>112</v>
      </c>
      <c r="D183" t="str">
        <f>VLOOKUP(C183,Transactions[],4,0)</f>
        <v>Bor Tangan Listrik</v>
      </c>
      <c r="E183">
        <f>VLOOKUP(C183,Transactions[],5,0)</f>
        <v>10</v>
      </c>
      <c r="F183" s="13">
        <f>VLOOKUP(C183,Transactions[],6,0)</f>
        <v>335500</v>
      </c>
      <c r="G183" s="13">
        <f>InvoicesDetail[[#This Row],[Qty]]*InvoicesDetail[[#This Row],[Unit Price]]</f>
        <v>3355000</v>
      </c>
      <c r="H183" t="s">
        <v>375</v>
      </c>
      <c r="I183" t="str">
        <f>VLOOKUP(A183,Invoices_Display!$A$1:$I$201,9,0)</f>
        <v>Project Site C + D</v>
      </c>
      <c r="J183" t="str">
        <f>VLOOKUP(InvoicesDetail[[#This Row],[Transaction ID]],Transactions[],8,0)</f>
        <v>OUT</v>
      </c>
      <c r="K183" t="str">
        <f>TEXT(InvoicesDetail[[#This Row],[Date]],"MMM-YYYY")</f>
        <v>Jul-2025</v>
      </c>
    </row>
    <row r="184" spans="1:11" hidden="1" x14ac:dyDescent="0.25">
      <c r="A184" t="s">
        <v>330</v>
      </c>
      <c r="B184" s="18">
        <f>INDEX(Transactions[Date],MATCH(InvoicesDetail[[#This Row],[Transaction ID]],Transactions[Transaction ID],0))</f>
        <v>45883</v>
      </c>
      <c r="C184" t="s">
        <v>114</v>
      </c>
      <c r="D184" t="str">
        <f>VLOOKUP(C184,Transactions[],4,0)</f>
        <v>Kabel Listrik Roll 50m</v>
      </c>
      <c r="E184">
        <f>VLOOKUP(C184,Transactions[],5,0)</f>
        <v>17</v>
      </c>
      <c r="F184" s="13">
        <f>VLOOKUP(C184,Transactions[],6,0)</f>
        <v>203500</v>
      </c>
      <c r="G184" s="13">
        <f>InvoicesDetail[[#This Row],[Qty]]*InvoicesDetail[[#This Row],[Unit Price]]</f>
        <v>3459500</v>
      </c>
      <c r="H184" t="s">
        <v>375</v>
      </c>
      <c r="I184" t="str">
        <f>VLOOKUP(A184,Invoices_Display!$A$1:$I$201,9,0)</f>
        <v>PO #001</v>
      </c>
      <c r="J184" t="str">
        <f>VLOOKUP(InvoicesDetail[[#This Row],[Transaction ID]],Transactions[],8,0)</f>
        <v>OUT</v>
      </c>
      <c r="K184" t="str">
        <f>TEXT(InvoicesDetail[[#This Row],[Date]],"MMM-YYYY")</f>
        <v>Aug-2025</v>
      </c>
    </row>
    <row r="185" spans="1:11" hidden="1" x14ac:dyDescent="0.25">
      <c r="A185" t="s">
        <v>330</v>
      </c>
      <c r="B185" s="18">
        <f>INDEX(Transactions[Date],MATCH(InvoicesDetail[[#This Row],[Transaction ID]],Transactions[Transaction ID],0))</f>
        <v>45841</v>
      </c>
      <c r="C185" t="s">
        <v>214</v>
      </c>
      <c r="D185" t="str">
        <f>VLOOKUP(C185,Transactions[],4,0)</f>
        <v>Pompa Air Industri</v>
      </c>
      <c r="E185">
        <f>VLOOKUP(C185,Transactions[],5,0)</f>
        <v>12</v>
      </c>
      <c r="F185" s="13">
        <f>VLOOKUP(C185,Transactions[],6,0)</f>
        <v>4490000</v>
      </c>
      <c r="G185" s="13">
        <f>InvoicesDetail[[#This Row],[Qty]]*InvoicesDetail[[#This Row],[Unit Price]]</f>
        <v>53880000</v>
      </c>
      <c r="H185" t="s">
        <v>375</v>
      </c>
      <c r="I185" t="str">
        <f>VLOOKUP(A185,Invoices_Display!$A$1:$I$201,9,0)</f>
        <v>PO #001</v>
      </c>
      <c r="J185" t="str">
        <f>VLOOKUP(InvoicesDetail[[#This Row],[Transaction ID]],Transactions[],8,0)</f>
        <v>IN</v>
      </c>
      <c r="K185" t="str">
        <f>TEXT(InvoicesDetail[[#This Row],[Date]],"MMM-YYYY")</f>
        <v>Jul-2025</v>
      </c>
    </row>
    <row r="186" spans="1:11" hidden="1" x14ac:dyDescent="0.25">
      <c r="A186" t="s">
        <v>331</v>
      </c>
      <c r="B186" s="18">
        <f>INDEX(Transactions[Date],MATCH(InvoicesDetail[[#This Row],[Transaction ID]],Transactions[Transaction ID],0))</f>
        <v>45849</v>
      </c>
      <c r="C186" t="s">
        <v>115</v>
      </c>
      <c r="D186" t="str">
        <f>VLOOKUP(C186,Transactions[],4,0)</f>
        <v>Mesin Las Listrik</v>
      </c>
      <c r="E186">
        <f>VLOOKUP(C186,Transactions[],5,0)</f>
        <v>1</v>
      </c>
      <c r="F186" s="13">
        <f>VLOOKUP(C186,Transactions[],6,0)</f>
        <v>2296000</v>
      </c>
      <c r="G186" s="13">
        <f>InvoicesDetail[[#This Row],[Qty]]*InvoicesDetail[[#This Row],[Unit Price]]</f>
        <v>2296000</v>
      </c>
      <c r="H186" t="s">
        <v>375</v>
      </c>
      <c r="I186" t="str">
        <f>VLOOKUP(A186,Invoices_Display!$A$1:$I$201,9,0)</f>
        <v>Project Site A</v>
      </c>
      <c r="J186" t="str">
        <f>VLOOKUP(InvoicesDetail[[#This Row],[Transaction ID]],Transactions[],8,0)</f>
        <v>OUT</v>
      </c>
      <c r="K186" t="str">
        <f>TEXT(InvoicesDetail[[#This Row],[Date]],"MMM-YYYY")</f>
        <v>Jul-2025</v>
      </c>
    </row>
    <row r="187" spans="1:11" hidden="1" x14ac:dyDescent="0.25">
      <c r="A187" t="s">
        <v>331</v>
      </c>
      <c r="B187" s="18">
        <f>INDEX(Transactions[Date],MATCH(InvoicesDetail[[#This Row],[Transaction ID]],Transactions[Transaction ID],0))</f>
        <v>45840</v>
      </c>
      <c r="C187" t="s">
        <v>264</v>
      </c>
      <c r="D187" t="str">
        <f>VLOOKUP(C187,Transactions[],4,0)</f>
        <v>Jaket Safety</v>
      </c>
      <c r="E187">
        <f>VLOOKUP(C187,Transactions[],5,0)</f>
        <v>3</v>
      </c>
      <c r="F187" s="13">
        <f>VLOOKUP(C187,Transactions[],6,0)</f>
        <v>245000</v>
      </c>
      <c r="G187" s="13">
        <f>InvoicesDetail[[#This Row],[Qty]]*InvoicesDetail[[#This Row],[Unit Price]]</f>
        <v>735000</v>
      </c>
      <c r="H187" t="s">
        <v>375</v>
      </c>
      <c r="I187" t="str">
        <f>VLOOKUP(A187,Invoices_Display!$A$1:$I$201,9,0)</f>
        <v>Project Site A</v>
      </c>
      <c r="J187" t="str">
        <f>VLOOKUP(InvoicesDetail[[#This Row],[Transaction ID]],Transactions[],8,0)</f>
        <v>OUT</v>
      </c>
      <c r="K187" t="str">
        <f>TEXT(InvoicesDetail[[#This Row],[Date]],"MMM-YYYY")</f>
        <v>Jul-2025</v>
      </c>
    </row>
    <row r="188" spans="1:11" hidden="1" x14ac:dyDescent="0.25">
      <c r="A188" t="s">
        <v>332</v>
      </c>
      <c r="B188" s="18">
        <f>INDEX(Transactions[Date],MATCH(InvoicesDetail[[#This Row],[Transaction ID]],Transactions[Transaction ID],0))</f>
        <v>45876</v>
      </c>
      <c r="C188" t="s">
        <v>223</v>
      </c>
      <c r="D188" t="str">
        <f>VLOOKUP(C188,Transactions[],4,0)</f>
        <v>Cat Minyak 5L</v>
      </c>
      <c r="E188">
        <f>VLOOKUP(C188,Transactions[],5,0)</f>
        <v>3</v>
      </c>
      <c r="F188" s="13">
        <f>VLOOKUP(C188,Transactions[],6,0)</f>
        <v>135500</v>
      </c>
      <c r="G188" s="13">
        <f>InvoicesDetail[[#This Row],[Qty]]*InvoicesDetail[[#This Row],[Unit Price]]</f>
        <v>406500</v>
      </c>
      <c r="H188" t="s">
        <v>374</v>
      </c>
      <c r="I188" t="str">
        <f>VLOOKUP(A188,Invoices_Display!$A$1:$I$201,9,0)</f>
        <v>Proyek Maintenance</v>
      </c>
      <c r="J188" t="str">
        <f>VLOOKUP(InvoicesDetail[[#This Row],[Transaction ID]],Transactions[],8,0)</f>
        <v>IN</v>
      </c>
      <c r="K188" t="str">
        <f>TEXT(InvoicesDetail[[#This Row],[Date]],"MMM-YYYY")</f>
        <v>Aug-2025</v>
      </c>
    </row>
    <row r="189" spans="1:11" hidden="1" x14ac:dyDescent="0.25">
      <c r="A189" t="s">
        <v>332</v>
      </c>
      <c r="B189" s="18">
        <f>INDEX(Transactions[Date],MATCH(InvoicesDetail[[#This Row],[Transaction ID]],Transactions[Transaction ID],0))</f>
        <v>45848</v>
      </c>
      <c r="C189" t="s">
        <v>116</v>
      </c>
      <c r="D189" t="str">
        <f>VLOOKUP(C189,Transactions[],4,0)</f>
        <v>Paku 5cm (1 kg)</v>
      </c>
      <c r="E189">
        <f>VLOOKUP(C189,Transactions[],5,0)</f>
        <v>15</v>
      </c>
      <c r="F189" s="13">
        <f>VLOOKUP(C189,Transactions[],6,0)</f>
        <v>13500</v>
      </c>
      <c r="G189" s="13">
        <f>InvoicesDetail[[#This Row],[Qty]]*InvoicesDetail[[#This Row],[Unit Price]]</f>
        <v>202500</v>
      </c>
      <c r="H189" t="s">
        <v>374</v>
      </c>
      <c r="I189" t="str">
        <f>VLOOKUP(A189,Invoices_Display!$A$1:$I$201,9,0)</f>
        <v>Proyek Maintenance</v>
      </c>
      <c r="J189" t="str">
        <f>VLOOKUP(InvoicesDetail[[#This Row],[Transaction ID]],Transactions[],8,0)</f>
        <v>IN</v>
      </c>
      <c r="K189" t="str">
        <f>TEXT(InvoicesDetail[[#This Row],[Date]],"MMM-YYYY")</f>
        <v>Jul-2025</v>
      </c>
    </row>
    <row r="190" spans="1:11" hidden="1" x14ac:dyDescent="0.25">
      <c r="A190" t="s">
        <v>333</v>
      </c>
      <c r="B190" s="18">
        <f>INDEX(Transactions[Date],MATCH(InvoicesDetail[[#This Row],[Transaction ID]],Transactions[Transaction ID],0))</f>
        <v>45849</v>
      </c>
      <c r="C190" t="s">
        <v>117</v>
      </c>
      <c r="D190" t="str">
        <f>VLOOKUP(C190,Transactions[],4,0)</f>
        <v>Obeng Set</v>
      </c>
      <c r="E190">
        <f>VLOOKUP(C190,Transactions[],5,0)</f>
        <v>9</v>
      </c>
      <c r="F190" s="13">
        <f>VLOOKUP(C190,Transactions[],6,0)</f>
        <v>128000</v>
      </c>
      <c r="G190" s="13">
        <f>InvoicesDetail[[#This Row],[Qty]]*InvoicesDetail[[#This Row],[Unit Price]]</f>
        <v>1152000</v>
      </c>
      <c r="H190" t="s">
        <v>375</v>
      </c>
      <c r="I190" t="str">
        <f>VLOOKUP(A190,Invoices_Display!$A$1:$I$201,9,0)</f>
        <v>Restock</v>
      </c>
      <c r="J190" t="str">
        <f>VLOOKUP(InvoicesDetail[[#This Row],[Transaction ID]],Transactions[],8,0)</f>
        <v>OUT</v>
      </c>
      <c r="K190" t="str">
        <f>TEXT(InvoicesDetail[[#This Row],[Date]],"MMM-YYYY")</f>
        <v>Jul-2025</v>
      </c>
    </row>
    <row r="191" spans="1:11" hidden="1" x14ac:dyDescent="0.25">
      <c r="A191" t="s">
        <v>333</v>
      </c>
      <c r="B191" s="18">
        <f>INDEX(Transactions[Date],MATCH(InvoicesDetail[[#This Row],[Transaction ID]],Transactions[Transaction ID],0))</f>
        <v>45899</v>
      </c>
      <c r="C191" t="s">
        <v>266</v>
      </c>
      <c r="D191" t="str">
        <f>VLOOKUP(C191,Transactions[],4,0)</f>
        <v>Gerinda Tangan</v>
      </c>
      <c r="E191">
        <f>VLOOKUP(C191,Transactions[],5,0)</f>
        <v>18</v>
      </c>
      <c r="F191" s="13">
        <f>VLOOKUP(C191,Transactions[],6,0)</f>
        <v>465000</v>
      </c>
      <c r="G191" s="13">
        <f>InvoicesDetail[[#This Row],[Qty]]*InvoicesDetail[[#This Row],[Unit Price]]</f>
        <v>8370000</v>
      </c>
      <c r="H191" t="s">
        <v>375</v>
      </c>
      <c r="I191" t="str">
        <f>VLOOKUP(A191,Invoices_Display!$A$1:$I$201,9,0)</f>
        <v>Restock</v>
      </c>
      <c r="J191" t="str">
        <f>VLOOKUP(InvoicesDetail[[#This Row],[Transaction ID]],Transactions[],8,0)</f>
        <v>IN</v>
      </c>
      <c r="K191" t="str">
        <f>TEXT(InvoicesDetail[[#This Row],[Date]],"MMM-YYYY")</f>
        <v>Aug-2025</v>
      </c>
    </row>
    <row r="192" spans="1:11" hidden="1" x14ac:dyDescent="0.25">
      <c r="A192" t="s">
        <v>334</v>
      </c>
      <c r="B192" s="18">
        <f>INDEX(Transactions[Date],MATCH(InvoicesDetail[[#This Row],[Transaction ID]],Transactions[Transaction ID],0))</f>
        <v>45871</v>
      </c>
      <c r="C192" t="s">
        <v>118</v>
      </c>
      <c r="D192" t="str">
        <f>VLOOKUP(C192,Transactions[],4,0)</f>
        <v>Gerinda Tangan</v>
      </c>
      <c r="E192">
        <f>VLOOKUP(C192,Transactions[],5,0)</f>
        <v>20</v>
      </c>
      <c r="F192" s="13">
        <f>VLOOKUP(C192,Transactions[],6,0)</f>
        <v>465000</v>
      </c>
      <c r="G192" s="13">
        <f>InvoicesDetail[[#This Row],[Qty]]*InvoicesDetail[[#This Row],[Unit Price]]</f>
        <v>9300000</v>
      </c>
      <c r="H192" t="s">
        <v>374</v>
      </c>
      <c r="I192" t="str">
        <f>VLOOKUP(A192,Invoices_Display!$A$1:$I$201,9,0)</f>
        <v>PO #003</v>
      </c>
      <c r="J192" t="str">
        <f>VLOOKUP(InvoicesDetail[[#This Row],[Transaction ID]],Transactions[],8,0)</f>
        <v>IN</v>
      </c>
      <c r="K192" t="str">
        <f>TEXT(InvoicesDetail[[#This Row],[Date]],"MMM-YYYY")</f>
        <v>Aug-2025</v>
      </c>
    </row>
    <row r="193" spans="1:11" hidden="1" x14ac:dyDescent="0.25">
      <c r="A193" t="s">
        <v>334</v>
      </c>
      <c r="B193" s="18">
        <f>INDEX(Transactions[Date],MATCH(InvoicesDetail[[#This Row],[Transaction ID]],Transactions[Transaction ID],0))</f>
        <v>45882</v>
      </c>
      <c r="C193" t="s">
        <v>222</v>
      </c>
      <c r="D193" t="str">
        <f>VLOOKUP(C193,Transactions[],4,0)</f>
        <v>Bor Tangan Listrik</v>
      </c>
      <c r="E193">
        <f>VLOOKUP(C193,Transactions[],5,0)</f>
        <v>16</v>
      </c>
      <c r="F193" s="13">
        <f>VLOOKUP(C193,Transactions[],6,0)</f>
        <v>335500</v>
      </c>
      <c r="G193" s="13">
        <f>InvoicesDetail[[#This Row],[Qty]]*InvoicesDetail[[#This Row],[Unit Price]]</f>
        <v>5368000</v>
      </c>
      <c r="H193" t="s">
        <v>374</v>
      </c>
      <c r="I193" t="str">
        <f>VLOOKUP(A193,Invoices_Display!$A$1:$I$201,9,0)</f>
        <v>PO #003</v>
      </c>
      <c r="J193" t="str">
        <f>VLOOKUP(InvoicesDetail[[#This Row],[Transaction ID]],Transactions[],8,0)</f>
        <v>OUT</v>
      </c>
      <c r="K193" t="str">
        <f>TEXT(InvoicesDetail[[#This Row],[Date]],"MMM-YYYY")</f>
        <v>Aug-2025</v>
      </c>
    </row>
    <row r="194" spans="1:11" hidden="1" x14ac:dyDescent="0.25">
      <c r="A194" t="s">
        <v>334</v>
      </c>
      <c r="B194" s="18">
        <f>INDEX(Transactions[Date],MATCH(InvoicesDetail[[#This Row],[Transaction ID]],Transactions[Transaction ID],0))</f>
        <v>45864</v>
      </c>
      <c r="C194" t="s">
        <v>259</v>
      </c>
      <c r="D194" t="str">
        <f>VLOOKUP(C194,Transactions[],4,0)</f>
        <v>Pompa Air Industri</v>
      </c>
      <c r="E194">
        <f>VLOOKUP(C194,Transactions[],5,0)</f>
        <v>8</v>
      </c>
      <c r="F194" s="13">
        <f>VLOOKUP(C194,Transactions[],6,0)</f>
        <v>4490000</v>
      </c>
      <c r="G194" s="13">
        <f>InvoicesDetail[[#This Row],[Qty]]*InvoicesDetail[[#This Row],[Unit Price]]</f>
        <v>35920000</v>
      </c>
      <c r="H194" t="s">
        <v>374</v>
      </c>
      <c r="I194" t="str">
        <f>VLOOKUP(A194,Invoices_Display!$A$1:$I$201,9,0)</f>
        <v>PO #003</v>
      </c>
      <c r="J194" t="str">
        <f>VLOOKUP(InvoicesDetail[[#This Row],[Transaction ID]],Transactions[],8,0)</f>
        <v>OUT</v>
      </c>
      <c r="K194" t="str">
        <f>TEXT(InvoicesDetail[[#This Row],[Date]],"MMM-YYYY")</f>
        <v>Jul-2025</v>
      </c>
    </row>
    <row r="195" spans="1:11" hidden="1" x14ac:dyDescent="0.25">
      <c r="A195" t="s">
        <v>335</v>
      </c>
      <c r="B195" s="18">
        <f>INDEX(Transactions[Date],MATCH(InvoicesDetail[[#This Row],[Transaction ID]],Transactions[Transaction ID],0))</f>
        <v>45846</v>
      </c>
      <c r="C195" t="s">
        <v>200</v>
      </c>
      <c r="D195" t="str">
        <f>VLOOKUP(C195,Transactions[],4,0)</f>
        <v>Sarung Tangan Katun</v>
      </c>
      <c r="E195">
        <f>VLOOKUP(C195,Transactions[],5,0)</f>
        <v>17</v>
      </c>
      <c r="F195" s="13">
        <f>VLOOKUP(C195,Transactions[],6,0)</f>
        <v>20000</v>
      </c>
      <c r="G195" s="13">
        <f>InvoicesDetail[[#This Row],[Qty]]*InvoicesDetail[[#This Row],[Unit Price]]</f>
        <v>340000</v>
      </c>
      <c r="H195" t="s">
        <v>375</v>
      </c>
      <c r="I195" t="str">
        <f>VLOOKUP(A195,Invoices_Display!$A$1:$I$201,9,0)</f>
        <v>Proyek Maintenance</v>
      </c>
      <c r="J195" t="str">
        <f>VLOOKUP(InvoicesDetail[[#This Row],[Transaction ID]],Transactions[],8,0)</f>
        <v>OUT</v>
      </c>
      <c r="K195" t="str">
        <f>TEXT(InvoicesDetail[[#This Row],[Date]],"MMM-YYYY")</f>
        <v>Jul-2025</v>
      </c>
    </row>
    <row r="196" spans="1:11" x14ac:dyDescent="0.25">
      <c r="A196" t="s">
        <v>336</v>
      </c>
      <c r="B196" s="18">
        <f>INDEX(Transactions[Date],MATCH(InvoicesDetail[[#This Row],[Transaction ID]],Transactions[Transaction ID],0))</f>
        <v>45902</v>
      </c>
      <c r="C196" t="s">
        <v>85</v>
      </c>
      <c r="D196" t="str">
        <f>VLOOKUP(C196,Transactions[],4,0)</f>
        <v>Obeng Set</v>
      </c>
      <c r="E196">
        <f>VLOOKUP(C196,Transactions[],5,0)</f>
        <v>8</v>
      </c>
      <c r="F196" s="13">
        <f>VLOOKUP(C196,Transactions[],6,0)</f>
        <v>128000</v>
      </c>
      <c r="G196" s="13">
        <f>InvoicesDetail[[#This Row],[Qty]]*InvoicesDetail[[#This Row],[Unit Price]]</f>
        <v>1024000</v>
      </c>
      <c r="H196" t="s">
        <v>375</v>
      </c>
      <c r="I196" t="str">
        <f>VLOOKUP(A196,Invoices_Display!$A$1:$I$201,9,0)</f>
        <v>Project Site C + D</v>
      </c>
      <c r="J196" t="str">
        <f>VLOOKUP(InvoicesDetail[[#This Row],[Transaction ID]],Transactions[],8,0)</f>
        <v>OUT</v>
      </c>
      <c r="K196" t="str">
        <f>TEXT(InvoicesDetail[[#This Row],[Date]],"MMM-YYYY")</f>
        <v>Sep-2025</v>
      </c>
    </row>
    <row r="197" spans="1:11" x14ac:dyDescent="0.25">
      <c r="A197" t="s">
        <v>336</v>
      </c>
      <c r="B197" s="18">
        <f>INDEX(Transactions[Date],MATCH(InvoicesDetail[[#This Row],[Transaction ID]],Transactions[Transaction ID],0))</f>
        <v>45913</v>
      </c>
      <c r="C197" t="s">
        <v>216</v>
      </c>
      <c r="D197" t="str">
        <f>VLOOKUP(C197,Transactions[],4,0)</f>
        <v>Drum Solar 200L</v>
      </c>
      <c r="E197">
        <f>VLOOKUP(C197,Transactions[],5,0)</f>
        <v>17</v>
      </c>
      <c r="F197" s="13">
        <f>VLOOKUP(C197,Transactions[],6,0)</f>
        <v>1060000</v>
      </c>
      <c r="G197" s="13">
        <f>InvoicesDetail[[#This Row],[Qty]]*InvoicesDetail[[#This Row],[Unit Price]]</f>
        <v>18020000</v>
      </c>
      <c r="H197" t="s">
        <v>375</v>
      </c>
      <c r="I197" t="str">
        <f>VLOOKUP(A197,Invoices_Display!$A$1:$I$201,9,0)</f>
        <v>Project Site C + D</v>
      </c>
      <c r="J197" t="str">
        <f>VLOOKUP(InvoicesDetail[[#This Row],[Transaction ID]],Transactions[],8,0)</f>
        <v>OUT</v>
      </c>
      <c r="K197" t="str">
        <f>TEXT(InvoicesDetail[[#This Row],[Date]],"MMM-YYYY")</f>
        <v>Sep-2025</v>
      </c>
    </row>
    <row r="198" spans="1:11" x14ac:dyDescent="0.25">
      <c r="A198" t="s">
        <v>337</v>
      </c>
      <c r="B198" s="18">
        <f>INDEX(Transactions[Date],MATCH(InvoicesDetail[[#This Row],[Transaction ID]],Transactions[Transaction ID],0))</f>
        <v>45901</v>
      </c>
      <c r="C198" t="s">
        <v>120</v>
      </c>
      <c r="D198" t="str">
        <f>VLOOKUP(C198,Transactions[],4,0)</f>
        <v>Tangga Lipat Alumunium</v>
      </c>
      <c r="E198">
        <f>VLOOKUP(C198,Transactions[],5,0)</f>
        <v>10</v>
      </c>
      <c r="F198" s="13">
        <f>VLOOKUP(C198,Transactions[],6,0)</f>
        <v>420000</v>
      </c>
      <c r="G198" s="13">
        <f>InvoicesDetail[[#This Row],[Qty]]*InvoicesDetail[[#This Row],[Unit Price]]</f>
        <v>4200000</v>
      </c>
      <c r="H198" t="s">
        <v>375</v>
      </c>
      <c r="I198" t="str">
        <f>VLOOKUP(A198,Invoices_Display!$A$1:$I$201,9,0)</f>
        <v>Project Site C + D</v>
      </c>
      <c r="J198" t="str">
        <f>VLOOKUP(InvoicesDetail[[#This Row],[Transaction ID]],Transactions[],8,0)</f>
        <v>OUT</v>
      </c>
      <c r="K198" t="str">
        <f>TEXT(InvoicesDetail[[#This Row],[Date]],"MMM-YYYY")</f>
        <v>Sep-2025</v>
      </c>
    </row>
    <row r="199" spans="1:11" hidden="1" x14ac:dyDescent="0.25">
      <c r="A199" t="s">
        <v>338</v>
      </c>
      <c r="B199" s="18">
        <f>INDEX(Transactions[Date],MATCH(InvoicesDetail[[#This Row],[Transaction ID]],Transactions[Transaction ID],0))</f>
        <v>45851</v>
      </c>
      <c r="C199" t="s">
        <v>186</v>
      </c>
      <c r="D199" t="str">
        <f>VLOOKUP(C199,Transactions[],4,0)</f>
        <v>Paku 5cm (1 kg)</v>
      </c>
      <c r="E199">
        <f>VLOOKUP(C199,Transactions[],5,0)</f>
        <v>18</v>
      </c>
      <c r="F199" s="13">
        <f>VLOOKUP(C199,Transactions[],6,0)</f>
        <v>13500</v>
      </c>
      <c r="G199" s="13">
        <f>InvoicesDetail[[#This Row],[Qty]]*InvoicesDetail[[#This Row],[Unit Price]]</f>
        <v>243000</v>
      </c>
      <c r="H199" t="s">
        <v>375</v>
      </c>
      <c r="I199" t="str">
        <f>VLOOKUP(A199,Invoices_Display!$A$1:$I$201,9,0)</f>
        <v>Project Site B</v>
      </c>
      <c r="J199" t="str">
        <f>VLOOKUP(InvoicesDetail[[#This Row],[Transaction ID]],Transactions[],8,0)</f>
        <v>IN</v>
      </c>
      <c r="K199" t="str">
        <f>TEXT(InvoicesDetail[[#This Row],[Date]],"MMM-YYYY")</f>
        <v>Jul-2025</v>
      </c>
    </row>
    <row r="200" spans="1:11" hidden="1" x14ac:dyDescent="0.25">
      <c r="A200" t="s">
        <v>338</v>
      </c>
      <c r="B200" s="18">
        <f>INDEX(Transactions[Date],MATCH(InvoicesDetail[[#This Row],[Transaction ID]],Transactions[Transaction ID],0))</f>
        <v>45919</v>
      </c>
      <c r="C200" t="s">
        <v>228</v>
      </c>
      <c r="D200" t="str">
        <f>VLOOKUP(C200,Transactions[],4,0)</f>
        <v>Genset Portable 1000W</v>
      </c>
      <c r="E200">
        <f>VLOOKUP(C200,Transactions[],5,0)</f>
        <v>7</v>
      </c>
      <c r="F200" s="13">
        <f>VLOOKUP(C200,Transactions[],6,0)</f>
        <v>3134000</v>
      </c>
      <c r="G200" s="13">
        <f>InvoicesDetail[[#This Row],[Qty]]*InvoicesDetail[[#This Row],[Unit Price]]</f>
        <v>21938000</v>
      </c>
      <c r="H200" t="s">
        <v>375</v>
      </c>
      <c r="I200" t="str">
        <f>VLOOKUP(A200,Invoices_Display!$A$1:$I$201,9,0)</f>
        <v>Project Site B</v>
      </c>
      <c r="J200" t="str">
        <f>VLOOKUP(InvoicesDetail[[#This Row],[Transaction ID]],Transactions[],8,0)</f>
        <v>IN</v>
      </c>
      <c r="K200" t="str">
        <f>TEXT(InvoicesDetail[[#This Row],[Date]],"MMM-YYYY")</f>
        <v>Sep-2025</v>
      </c>
    </row>
    <row r="201" spans="1:11" hidden="1" x14ac:dyDescent="0.25">
      <c r="A201" t="s">
        <v>339</v>
      </c>
      <c r="B201" s="18">
        <f>INDEX(Transactions[Date],MATCH(InvoicesDetail[[#This Row],[Transaction ID]],Transactions[Transaction ID],0))</f>
        <v>45875</v>
      </c>
      <c r="C201" t="s">
        <v>119</v>
      </c>
      <c r="D201" t="str">
        <f>VLOOKUP(C201,Transactions[],4,0)</f>
        <v>Bor Tangan Listrik</v>
      </c>
      <c r="E201">
        <f>VLOOKUP(C201,Transactions[],5,0)</f>
        <v>6</v>
      </c>
      <c r="F201" s="13">
        <f>VLOOKUP(C201,Transactions[],6,0)</f>
        <v>335500</v>
      </c>
      <c r="G201" s="13">
        <f>InvoicesDetail[[#This Row],[Qty]]*InvoicesDetail[[#This Row],[Unit Price]]</f>
        <v>2013000</v>
      </c>
      <c r="H201" t="s">
        <v>375</v>
      </c>
      <c r="I201" t="str">
        <f>VLOOKUP(A201,Invoices_Display!$A$1:$I$201,9,0)</f>
        <v>PO #001</v>
      </c>
      <c r="J201" t="str">
        <f>VLOOKUP(InvoicesDetail[[#This Row],[Transaction ID]],Transactions[],8,0)</f>
        <v>IN</v>
      </c>
      <c r="K201" t="str">
        <f>TEXT(InvoicesDetail[[#This Row],[Date]],"MMM-YYYY")</f>
        <v>Aug-2025</v>
      </c>
    </row>
  </sheetData>
  <conditionalFormatting sqref="C2:C201">
    <cfRule type="duplicateValues" dxfId="4" priority="15"/>
  </conditionalFormatting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49E320-7EB8-4368-9057-AFCAC7058FE0}">
  <dimension ref="A1:K201"/>
  <sheetViews>
    <sheetView zoomScale="70" zoomScaleNormal="70" workbookViewId="0">
      <selection activeCell="H2" sqref="H2"/>
    </sheetView>
  </sheetViews>
  <sheetFormatPr defaultRowHeight="15" x14ac:dyDescent="0.25"/>
  <cols>
    <col min="1" max="1" width="11.85546875" customWidth="1"/>
    <col min="2" max="2" width="11.5703125" bestFit="1" customWidth="1"/>
    <col min="3" max="3" width="37.28515625" bestFit="1" customWidth="1"/>
    <col min="4" max="4" width="90" bestFit="1" customWidth="1"/>
    <col min="5" max="5" width="16.5703125" bestFit="1" customWidth="1"/>
    <col min="6" max="6" width="36.85546875" bestFit="1" customWidth="1"/>
    <col min="7" max="7" width="54.85546875" bestFit="1" customWidth="1"/>
    <col min="8" max="8" width="17.140625" bestFit="1" customWidth="1"/>
    <col min="9" max="9" width="21.28515625" bestFit="1" customWidth="1"/>
    <col min="10" max="10" width="10.7109375" bestFit="1" customWidth="1"/>
  </cols>
  <sheetData>
    <row r="1" spans="1:11" x14ac:dyDescent="0.25">
      <c r="A1" t="s">
        <v>68</v>
      </c>
      <c r="B1" t="s">
        <v>353</v>
      </c>
      <c r="C1" t="s">
        <v>57</v>
      </c>
      <c r="D1" t="s">
        <v>350</v>
      </c>
      <c r="E1" t="s">
        <v>345</v>
      </c>
      <c r="F1" t="s">
        <v>352</v>
      </c>
      <c r="G1" t="s">
        <v>360</v>
      </c>
      <c r="H1" t="s">
        <v>362</v>
      </c>
      <c r="I1" t="s">
        <v>355</v>
      </c>
    </row>
    <row r="2" spans="1:11" x14ac:dyDescent="0.25">
      <c r="A2" t="s">
        <v>280</v>
      </c>
      <c r="B2" s="20">
        <f>VLOOKUP(InvoicesDisplay[[#This Row],[Invoice ID]],InvoicesDetail[],2,0)</f>
        <v>45913</v>
      </c>
      <c r="C2" t="str" cm="1">
        <f t="array" ref="C2">_xlfn.TEXTJOIN(", ",TRUE,_xlfn._xlws.FILTER(Invoices_Detail!$C$2:$C$201,Invoices_Detail!$A$2:$A$201=A2))</f>
        <v>TRX079, TRX097</v>
      </c>
      <c r="D2" t="str" cm="1">
        <f t="array" ref="D2">_xlfn.TEXTJOIN("; ",TRUE,_xlfn._xlws.FILTER(Invoices_Detail!$D$2:$D$201,Invoices_Detail!$A$2:$A$201=A2))</f>
        <v>Jaket Safety; Kabel Listrik Roll 50m</v>
      </c>
      <c r="E2" t="str" cm="1">
        <f t="array" ref="E2">_xlfn.TEXTJOIN(" + ",TRUE,_xlfn._xlws.FILTER(Invoices_Detail!$E$2:$E$201,Invoices_Detail!$A$2:$A$201=A2))</f>
        <v>11 + 4</v>
      </c>
      <c r="F2" t="str" cm="1">
        <f t="array" ref="F2">_xlfn.TEXTJOIN("; ",TRUE,_xlfn._xlws.FILTER(Invoices_Detail!$F$2:$F$201,Invoices_Detail!$A$2:$A$201=$A2))</f>
        <v>245000; 203500</v>
      </c>
      <c r="G2" t="str" cm="1">
        <f t="array" ref="G2">_xlfn.TEXTJOIN(" + ",TRUE,_xlfn._xlws.FILTER(Invoices_Detail!$G$2:$G$201,Invoices_Detail!$A$2:$A$201=$A2)) &amp; " = " &amp; SUM(_xlfn._xlws.FILTER(Invoices_Detail!G2:G3,Invoices_Detail!A2:A3=A2))</f>
        <v>2695000 + 814000 = 3509000</v>
      </c>
      <c r="H2" t="str">
        <f>VLOOKUP(A2,InvoicesDetail[],8,0)</f>
        <v>Unpaid</v>
      </c>
      <c r="I2" t="s">
        <v>60</v>
      </c>
      <c r="J2" s="20"/>
    </row>
    <row r="3" spans="1:11" x14ac:dyDescent="0.25">
      <c r="A3" t="s">
        <v>281</v>
      </c>
      <c r="B3" s="20">
        <f>VLOOKUP(InvoicesDisplay[[#This Row],[Invoice ID]],InvoicesDetail[],2,0)</f>
        <v>45907</v>
      </c>
      <c r="C3" t="str" cm="1">
        <f t="array" ref="C3">_xlfn.TEXTJOIN(", ",TRUE,_xlfn._xlws.FILTER(Invoices_Detail!$C$2:$C$201,Invoices_Detail!$A$2:$A$201=A3))</f>
        <v>TRX008, TRX013, TRX152</v>
      </c>
      <c r="D3" t="str" cm="1">
        <f t="array" ref="D3">_xlfn.TEXTJOIN("; ",TRUE,_xlfn._xlws.FILTER(Invoices_Detail!$D$2:$D$201,Invoices_Detail!$A$2:$A$201=A3))</f>
        <v>Bor Tangan Listrik; Paku 5cm (1 kg); Mesin Las Listrik</v>
      </c>
      <c r="E3" t="str" cm="1">
        <f t="array" ref="E3">_xlfn.TEXTJOIN(" + ",TRUE,_xlfn._xlws.FILTER(Invoices_Detail!$E$2:$E$201,Invoices_Detail!$A$2:$A$201=A3))</f>
        <v>3 + 20 + 5</v>
      </c>
      <c r="F3" t="str" cm="1">
        <f t="array" ref="F3">_xlfn.TEXTJOIN("; ",TRUE,_xlfn._xlws.FILTER(Invoices_Detail!$F$2:$F$201,Invoices_Detail!$A$2:$A$201=$A3))</f>
        <v>335500; 13500; 2296000</v>
      </c>
      <c r="G3" t="str" cm="1">
        <f t="array" ref="G3">_xlfn.TEXTJOIN(" + ",TRUE,_xlfn._xlws.FILTER(Invoices_Detail!$G$2:$G$201,Invoices_Detail!$A$2:$A$201=$A3)) &amp; " = " &amp; SUM(_xlfn._xlws.FILTER(Invoices_Detail!G4:G6,Invoices_Detail!A4:A6=A3))</f>
        <v>1006500 + 270000 + 11480000 = 12756500</v>
      </c>
      <c r="H3" t="str">
        <f>VLOOKUP(A3,InvoicesDetail[],8,0)</f>
        <v>Unpaid</v>
      </c>
      <c r="I3" t="s">
        <v>66</v>
      </c>
      <c r="J3" s="20"/>
    </row>
    <row r="4" spans="1:11" x14ac:dyDescent="0.25">
      <c r="A4" t="s">
        <v>282</v>
      </c>
      <c r="B4" s="20">
        <f>VLOOKUP(InvoicesDisplay[[#This Row],[Invoice ID]],InvoicesDetail[],2,0)</f>
        <v>45855</v>
      </c>
      <c r="C4" t="str" cm="1">
        <f t="array" ref="C4">_xlfn.TEXTJOIN(", ",TRUE,_xlfn._xlws.FILTER(Invoices_Detail!$C$2:$C$201,Invoices_Detail!$A$2:$A$201=A4))</f>
        <v>TRX080, TRX121, TRX125, TRX195</v>
      </c>
      <c r="D4" t="str" cm="1">
        <f t="array" ref="D4">_xlfn.TEXTJOIN("; ",TRUE,_xlfn._xlws.FILTER(Invoices_Detail!$D$2:$D$201,Invoices_Detail!$A$2:$A$201=A4))</f>
        <v>Drum Solar 200L; Helm Proyek; Cat Minyak 5L; Obeng Set</v>
      </c>
      <c r="E4" t="str" cm="1">
        <f t="array" ref="E4">_xlfn.TEXTJOIN(" + ",TRUE,_xlfn._xlws.FILTER(Invoices_Detail!$E$2:$E$201,Invoices_Detail!$A$2:$A$201=A4))</f>
        <v>3 + 9 + 13 + 8</v>
      </c>
      <c r="F4" t="str" cm="1">
        <f t="array" ref="F4">_xlfn.TEXTJOIN("; ",TRUE,_xlfn._xlws.FILTER(Invoices_Detail!$F$2:$F$201,Invoices_Detail!$A$2:$A$201=$A4))</f>
        <v>1060000; 50000; 135500; 128000</v>
      </c>
      <c r="G4" t="str" cm="1">
        <f t="array" ref="G4">_xlfn.TEXTJOIN(" + ",TRUE,_xlfn._xlws.FILTER(Invoices_Detail!$G$2:$G$201,Invoices_Detail!$A$2:$A$201=$A4)) &amp; " = " &amp; SUM(_xlfn._xlws.FILTER(Invoices_Detail!G7:G10,Invoices_Detail!A7:A10=A4))</f>
        <v>3180000 + 450000 + 1761500 + 1024000 = 6415500</v>
      </c>
      <c r="H4" t="str">
        <f>VLOOKUP(A4,InvoicesDetail[],8,0)</f>
        <v>Paid</v>
      </c>
      <c r="I4" t="s">
        <v>63</v>
      </c>
      <c r="J4" s="20"/>
    </row>
    <row r="5" spans="1:11" x14ac:dyDescent="0.25">
      <c r="A5" t="s">
        <v>283</v>
      </c>
      <c r="B5" s="20">
        <f>VLOOKUP(InvoicesDisplay[[#This Row],[Invoice ID]],InvoicesDetail[],2,0)</f>
        <v>45906</v>
      </c>
      <c r="C5" t="str" cm="1">
        <f t="array" ref="C5">_xlfn.TEXTJOIN(", ",TRUE,_xlfn._xlws.FILTER(Invoices_Detail!$C$2:$C$201,Invoices_Detail!$A$2:$A$201=A5))</f>
        <v>TRX015, TRX034, TRX035</v>
      </c>
      <c r="D5" t="str" cm="1">
        <f t="array" ref="D5">_xlfn.TEXTJOIN("; ",TRUE,_xlfn._xlws.FILTER(Invoices_Detail!$D$2:$D$201,Invoices_Detail!$A$2:$A$201=A5))</f>
        <v>Gerinda Tangan; Obeng Set; Rantai Besi 10m</v>
      </c>
      <c r="E5" t="str" cm="1">
        <f t="array" ref="E5">_xlfn.TEXTJOIN(" + ",TRUE,_xlfn._xlws.FILTER(Invoices_Detail!$E$2:$E$201,Invoices_Detail!$A$2:$A$201=A5))</f>
        <v>3 + 11 + 10</v>
      </c>
      <c r="F5" t="str" cm="1">
        <f t="array" ref="F5">_xlfn.TEXTJOIN("; ",TRUE,_xlfn._xlws.FILTER(Invoices_Detail!$F$2:$F$201,Invoices_Detail!$A$2:$A$201=$A5))</f>
        <v>465000; 128000; 431000</v>
      </c>
      <c r="G5" t="str" cm="1">
        <f t="array" ref="G5">_xlfn.TEXTJOIN(" + ",TRUE,_xlfn._xlws.FILTER(Invoices_Detail!$G$2:$G$201,Invoices_Detail!$A$2:$A$201=$A5)) &amp; " = " &amp; SUM(_xlfn._xlws.FILTER(Invoices_Detail!G11:G13,Invoices_Detail!A11:A13=A5))</f>
        <v>1395000 + 1408000 + 4310000 = 7113000</v>
      </c>
      <c r="H5" t="str">
        <f>VLOOKUP(A5,InvoicesDetail[],8,0)</f>
        <v>Paid</v>
      </c>
      <c r="I5" t="s">
        <v>63</v>
      </c>
      <c r="J5" s="20"/>
    </row>
    <row r="6" spans="1:11" x14ac:dyDescent="0.25">
      <c r="A6" t="s">
        <v>284</v>
      </c>
      <c r="B6" s="20">
        <f>VLOOKUP(InvoicesDisplay[[#This Row],[Invoice ID]],InvoicesDetail[],2,0)</f>
        <v>45920</v>
      </c>
      <c r="C6" t="str" cm="1">
        <f t="array" ref="C6">_xlfn.TEXTJOIN(", ",TRUE,_xlfn._xlws.FILTER(Invoices_Detail!$C$2:$C$201,Invoices_Detail!$A$2:$A$201=A6))</f>
        <v>TRX023, TRX024, TRX130</v>
      </c>
      <c r="D6" t="str" cm="1">
        <f t="array" ref="D6">_xlfn.TEXTJOIN("; ",TRUE,_xlfn._xlws.FILTER(Invoices_Detail!$D$2:$D$201,Invoices_Detail!$A$2:$A$201=A6))</f>
        <v>Paku 5cm (1 kg); Pompa Air Industri; Mesin Potong Besi</v>
      </c>
      <c r="E6" t="str" cm="1">
        <f t="array" ref="E6">_xlfn.TEXTJOIN(" + ",TRUE,_xlfn._xlws.FILTER(Invoices_Detail!$E$2:$E$201,Invoices_Detail!$A$2:$A$201=A6))</f>
        <v>7 + 10 + 2</v>
      </c>
      <c r="F6" t="str" cm="1">
        <f t="array" ref="F6">_xlfn.TEXTJOIN("; ",TRUE,_xlfn._xlws.FILTER(Invoices_Detail!$F$2:$F$201,Invoices_Detail!$A$2:$A$201=$A6))</f>
        <v>13500; 4490000; 3200000</v>
      </c>
      <c r="G6" t="str" cm="1">
        <f t="array" ref="G6">_xlfn.TEXTJOIN(" + ",TRUE,_xlfn._xlws.FILTER(Invoices_Detail!$G$2:$G$201,Invoices_Detail!$A$2:$A$201=$A6)) &amp; " = " &amp; SUM(_xlfn._xlws.FILTER(Invoices_Detail!G14:G16,Invoices_Detail!A14:A16=A6))</f>
        <v>94500 + 44900000 + 6400000 = 51394500</v>
      </c>
      <c r="H6" t="str">
        <f>VLOOKUP(A6,InvoicesDetail[],8,0)</f>
        <v>Unpaid</v>
      </c>
      <c r="I6" t="s">
        <v>64</v>
      </c>
      <c r="J6" s="20"/>
    </row>
    <row r="7" spans="1:11" x14ac:dyDescent="0.25">
      <c r="A7" t="s">
        <v>285</v>
      </c>
      <c r="B7" s="20">
        <f>VLOOKUP(InvoicesDisplay[[#This Row],[Invoice ID]],InvoicesDetail[],2,0)</f>
        <v>45857</v>
      </c>
      <c r="C7" t="str" cm="1">
        <f t="array" ref="C7">_xlfn.TEXTJOIN(", ",TRUE,_xlfn._xlws.FILTER(Invoices_Detail!$C$2:$C$201,Invoices_Detail!$A$2:$A$201=A7))</f>
        <v>TRX059, TRX081</v>
      </c>
      <c r="D7" t="str" cm="1">
        <f t="array" ref="D7">_xlfn.TEXTJOIN("; ",TRUE,_xlfn._xlws.FILTER(Invoices_Detail!$D$2:$D$201,Invoices_Detail!$A$2:$A$201=A7))</f>
        <v>Helm Proyek; Kabel Listrik Roll 50m</v>
      </c>
      <c r="E7" t="str" cm="1">
        <f t="array" ref="E7">_xlfn.TEXTJOIN(" + ",TRUE,_xlfn._xlws.FILTER(Invoices_Detail!$E$2:$E$201,Invoices_Detail!$A$2:$A$201=A7))</f>
        <v>7 + 4</v>
      </c>
      <c r="F7" t="str" cm="1">
        <f t="array" ref="F7">_xlfn.TEXTJOIN("; ",TRUE,_xlfn._xlws.FILTER(Invoices_Detail!$F$2:$F$201,Invoices_Detail!$A$2:$A$201=$A7))</f>
        <v>50000; 203500</v>
      </c>
      <c r="G7" t="str" cm="1">
        <f t="array" ref="G7">_xlfn.TEXTJOIN(" + ",TRUE,_xlfn._xlws.FILTER(Invoices_Detail!$G$2:$G$201,Invoices_Detail!$A$2:$A$201=$A7)) &amp; " = " &amp; SUM(_xlfn._xlws.FILTER(Invoices_Detail!G17:G18,Invoices_Detail!A17:A18=A7))</f>
        <v>350000 + 814000 = 1164000</v>
      </c>
      <c r="H7" t="str">
        <f>VLOOKUP(A7,InvoicesDetail[],8,0)</f>
        <v>Unpaid</v>
      </c>
      <c r="I7" t="s">
        <v>113</v>
      </c>
      <c r="J7" s="20"/>
    </row>
    <row r="8" spans="1:11" x14ac:dyDescent="0.25">
      <c r="A8" t="s">
        <v>286</v>
      </c>
      <c r="B8" s="20">
        <f>VLOOKUP(InvoicesDisplay[[#This Row],[Invoice ID]],InvoicesDetail[],2,0)</f>
        <v>45919</v>
      </c>
      <c r="C8" t="str" cm="1">
        <f t="array" ref="C8">_xlfn.TEXTJOIN(", ",TRUE,_xlfn._xlws.FILTER(Invoices_Detail!$C$2:$C$201,Invoices_Detail!$A$2:$A$201=A8))</f>
        <v>TRX060, TRX061, TRX082, TRX159</v>
      </c>
      <c r="D8" t="str" cm="1">
        <f t="array" ref="D8">_xlfn.TEXTJOIN("; ",TRUE,_xlfn._xlws.FILTER(Invoices_Detail!$D$2:$D$201,Invoices_Detail!$A$2:$A$201=A8))</f>
        <v>Kabel Listrik Roll 50m; Pipa PVC 4 inch (per batang); Sarung Tangan Katun; Cat Tembok 1 kg</v>
      </c>
      <c r="E8" t="str" cm="1">
        <f t="array" ref="E8">_xlfn.TEXTJOIN(" + ",TRUE,_xlfn._xlws.FILTER(Invoices_Detail!$E$2:$E$201,Invoices_Detail!$A$2:$A$201=A8))</f>
        <v>16 + 10 + 10 + 20</v>
      </c>
      <c r="F8" t="str" cm="1">
        <f t="array" ref="F8">_xlfn.TEXTJOIN("; ",TRUE,_xlfn._xlws.FILTER(Invoices_Detail!$F$2:$F$201,Invoices_Detail!$A$2:$A$201=$A8))</f>
        <v>203500; 260000; 20000; 31000</v>
      </c>
      <c r="G8" t="str" cm="1">
        <f t="array" ref="G8">_xlfn.TEXTJOIN(" + ",TRUE,_xlfn._xlws.FILTER(Invoices_Detail!$G$2:$G$201,Invoices_Detail!$A$2:$A$201=$A8)) &amp; " = " &amp; SUM(_xlfn._xlws.FILTER(Invoices_Detail!G19:G21,Invoices_Detail!A19:A21=A8))</f>
        <v>3256000 + 2600000 + 200000 + 620000 = 6056000</v>
      </c>
      <c r="H8" t="str">
        <f>VLOOKUP(A8,InvoicesDetail[],8,0)</f>
        <v>Paid</v>
      </c>
      <c r="I8" t="s">
        <v>113</v>
      </c>
      <c r="J8" s="20"/>
    </row>
    <row r="9" spans="1:11" x14ac:dyDescent="0.25">
      <c r="A9" t="s">
        <v>287</v>
      </c>
      <c r="B9" s="20">
        <f>VLOOKUP(InvoicesDisplay[[#This Row],[Invoice ID]],InvoicesDetail[],2,0)</f>
        <v>45863</v>
      </c>
      <c r="C9" t="str" cm="1">
        <f t="array" ref="C9">_xlfn.TEXTJOIN(", ",TRUE,_xlfn._xlws.FILTER(Invoices_Detail!$C$2:$C$201,Invoices_Detail!$A$2:$A$201=A9))</f>
        <v>TRX037, TRX038, TRX136, TRX138</v>
      </c>
      <c r="D9" t="str" cm="1">
        <f t="array" ref="D9">_xlfn.TEXTJOIN("; ",TRUE,_xlfn._xlws.FILTER(Invoices_Detail!$D$2:$D$201,Invoices_Detail!$A$2:$A$201=A9))</f>
        <v>Gerinda Tangan; Sarung Tangan Katun; Cat Tembok 1 kg; Rantai Besi 10m</v>
      </c>
      <c r="E9" t="str" cm="1">
        <f t="array" ref="E9">_xlfn.TEXTJOIN(" + ",TRUE,_xlfn._xlws.FILTER(Invoices_Detail!$E$2:$E$201,Invoices_Detail!$A$2:$A$201=A9))</f>
        <v>20 + 14 + 10 + 2</v>
      </c>
      <c r="F9" t="str" cm="1">
        <f t="array" ref="F9">_xlfn.TEXTJOIN("; ",TRUE,_xlfn._xlws.FILTER(Invoices_Detail!$F$2:$F$201,Invoices_Detail!$A$2:$A$201=$A9))</f>
        <v>465000; 20000; 31000; 431000</v>
      </c>
      <c r="G9" t="str" cm="1">
        <f t="array" ref="G9">_xlfn.TEXTJOIN(" + ",TRUE,_xlfn._xlws.FILTER(Invoices_Detail!$G$2:$G$201,Invoices_Detail!$A$2:$A$201=$A9)) &amp; " = " &amp; SUM(_xlfn._xlws.FILTER(Invoices_Detail!G23:G26,Invoices_Detail!A23:A26=A9))</f>
        <v>9300000 + 280000 + 310000 + 862000 = 10752000</v>
      </c>
      <c r="H9" t="str">
        <f>VLOOKUP(A9,InvoicesDetail[],8,0)</f>
        <v>Unpaid</v>
      </c>
      <c r="I9" t="s">
        <v>62</v>
      </c>
      <c r="J9" s="20"/>
    </row>
    <row r="10" spans="1:11" x14ac:dyDescent="0.25">
      <c r="A10" t="s">
        <v>270</v>
      </c>
      <c r="B10" s="20">
        <f>VLOOKUP(InvoicesDisplay[[#This Row],[Invoice ID]],InvoicesDetail[],2,0)</f>
        <v>45846</v>
      </c>
      <c r="C10" t="str" cm="1">
        <f t="array" ref="C10">_xlfn.TEXTJOIN(", ",TRUE,_xlfn._xlws.FILTER(Invoices_Detail!$C$2:$C$201,Invoices_Detail!$A$2:$A$201=A10))</f>
        <v>TRX014, TRX036, TRX062, TRX106</v>
      </c>
      <c r="D10" t="str" cm="1">
        <f t="array" ref="D10">_xlfn.TEXTJOIN("; ",TRUE,_xlfn._xlws.FILTER(Invoices_Detail!$D$2:$D$201,Invoices_Detail!$A$2:$A$201=A10))</f>
        <v>Pipa PVC 4 inch (per batang); Bor Tangan Listrik; Pompa Air Industri; Helm Proyek</v>
      </c>
      <c r="E10" t="str" cm="1">
        <f t="array" ref="E10">_xlfn.TEXTJOIN(" + ",TRUE,_xlfn._xlws.FILTER(Invoices_Detail!$E$2:$E$201,Invoices_Detail!$A$2:$A$201=A10))</f>
        <v>15 + 10 + 1 + 16</v>
      </c>
      <c r="F10" t="str" cm="1">
        <f t="array" ref="F10">_xlfn.TEXTJOIN("; ",TRUE,_xlfn._xlws.FILTER(Invoices_Detail!$F$2:$F$201,Invoices_Detail!$A$2:$A$201=$A10))</f>
        <v>260000; 335500; 4490000; 50000</v>
      </c>
      <c r="G10" t="str" cm="1">
        <f t="array" ref="G10">_xlfn.TEXTJOIN(" + ",TRUE,_xlfn._xlws.FILTER(Invoices_Detail!$G$2:$G$201,Invoices_Detail!$A$2:$A$201=$A10)) &amp; " = " &amp; SUM(_xlfn._xlws.FILTER(Invoices_Detail!G27:G30,Invoices_Detail!A27:A30=A10))</f>
        <v>3900000 + 3355000 + 4490000 + 800000 = 12545000</v>
      </c>
      <c r="H10" t="str">
        <f>VLOOKUP(A10,InvoicesDetail[],8,0)</f>
        <v>Paid</v>
      </c>
      <c r="I10" t="s">
        <v>64</v>
      </c>
      <c r="J10" s="20"/>
    </row>
    <row r="11" spans="1:11" x14ac:dyDescent="0.25">
      <c r="A11" t="s">
        <v>288</v>
      </c>
      <c r="B11" s="20">
        <f>VLOOKUP(InvoicesDisplay[[#This Row],[Invoice ID]],InvoicesDetail[],2,0)</f>
        <v>45904</v>
      </c>
      <c r="C11" t="str" cm="1">
        <f t="array" ref="C11">_xlfn.TEXTJOIN(", ",TRUE,_xlfn._xlws.FILTER(Invoices_Detail!$C$2:$C$201,Invoices_Detail!$A$2:$A$201=A11))</f>
        <v>TRX101, TRX102, TRX133</v>
      </c>
      <c r="D11" t="str" cm="1">
        <f t="array" ref="D11">_xlfn.TEXTJOIN("; ",TRUE,_xlfn._xlws.FILTER(Invoices_Detail!$D$2:$D$201,Invoices_Detail!$A$2:$A$201=A11))</f>
        <v>Bor Tangan Listrik; Cat Minyak 5L; Lampu Sorot LED 100W</v>
      </c>
      <c r="E11" t="str" cm="1">
        <f t="array" ref="E11">_xlfn.TEXTJOIN(" + ",TRUE,_xlfn._xlws.FILTER(Invoices_Detail!$E$2:$E$201,Invoices_Detail!$A$2:$A$201=A11))</f>
        <v>7 + 10 + 8</v>
      </c>
      <c r="F11" t="str" cm="1">
        <f t="array" ref="F11">_xlfn.TEXTJOIN("; ",TRUE,_xlfn._xlws.FILTER(Invoices_Detail!$F$2:$F$201,Invoices_Detail!$A$2:$A$201=$A11))</f>
        <v>335500; 135500; 237000</v>
      </c>
      <c r="G11" t="str" cm="1">
        <f t="array" ref="G11">_xlfn.TEXTJOIN(" + ",TRUE,_xlfn._xlws.FILTER(Invoices_Detail!$G$2:$G$201,Invoices_Detail!$A$2:$A$201=$A11)) &amp; " = " &amp; SUM(_xlfn._xlws.FILTER(Invoices_Detail!G31:G33,Invoices_Detail!A31:A33=A11))</f>
        <v>2348500 + 1355000 + 1896000 = 5599500</v>
      </c>
      <c r="H11" t="str">
        <f>VLOOKUP(A11,InvoicesDetail[],8,0)</f>
        <v>Unpaid</v>
      </c>
      <c r="I11" t="s">
        <v>63</v>
      </c>
      <c r="J11" s="20"/>
      <c r="K11" s="1"/>
    </row>
    <row r="12" spans="1:11" x14ac:dyDescent="0.25">
      <c r="A12" t="s">
        <v>289</v>
      </c>
      <c r="B12" s="20">
        <f>VLOOKUP(InvoicesDisplay[[#This Row],[Invoice ID]],InvoicesDetail[],2,0)</f>
        <v>45867</v>
      </c>
      <c r="C12" t="str" cm="1">
        <f t="array" ref="C12">_xlfn.TEXTJOIN(", ",TRUE,_xlfn._xlws.FILTER(Invoices_Detail!$C$2:$C$201,Invoices_Detail!$A$2:$A$201=A12))</f>
        <v>TRX048, TRX109</v>
      </c>
      <c r="D12" t="str" cm="1">
        <f t="array" ref="D12">_xlfn.TEXTJOIN("; ",TRUE,_xlfn._xlws.FILTER(Invoices_Detail!$D$2:$D$201,Invoices_Detail!$A$2:$A$201=A12))</f>
        <v>Cat Minyak 5L; Lampu Sorot LED 100W</v>
      </c>
      <c r="E12" t="str" cm="1">
        <f t="array" ref="E12">_xlfn.TEXTJOIN(" + ",TRUE,_xlfn._xlws.FILTER(Invoices_Detail!$E$2:$E$201,Invoices_Detail!$A$2:$A$201=A12))</f>
        <v>8 + 8</v>
      </c>
      <c r="F12" t="str" cm="1">
        <f t="array" ref="F12">_xlfn.TEXTJOIN("; ",TRUE,_xlfn._xlws.FILTER(Invoices_Detail!$F$2:$F$201,Invoices_Detail!$A$2:$A$201=$A12))</f>
        <v>135500; 237000</v>
      </c>
      <c r="G12" t="str" cm="1">
        <f t="array" ref="G12">_xlfn.TEXTJOIN(" + ",TRUE,_xlfn._xlws.FILTER(Invoices_Detail!$G$2:$G$201,Invoices_Detail!$A$2:$A$201=$A12)) &amp; " = " &amp; SUM(_xlfn._xlws.FILTER(Invoices_Detail!G34:G35,Invoices_Detail!A34:A35=A12))</f>
        <v>1084000 + 1896000 = 2980000</v>
      </c>
      <c r="H12" t="str">
        <f>VLOOKUP(A12,InvoicesDetail[],8,0)</f>
        <v>Unpaid</v>
      </c>
      <c r="I12" t="s">
        <v>59</v>
      </c>
      <c r="J12" s="20"/>
    </row>
    <row r="13" spans="1:11" x14ac:dyDescent="0.25">
      <c r="A13" t="s">
        <v>290</v>
      </c>
      <c r="B13" s="20">
        <f>VLOOKUP(InvoicesDisplay[[#This Row],[Invoice ID]],InvoicesDetail[],2,0)</f>
        <v>45905</v>
      </c>
      <c r="C13" t="str" cm="1">
        <f t="array" ref="C13">_xlfn.TEXTJOIN(", ",TRUE,_xlfn._xlws.FILTER(Invoices_Detail!$C$2:$C$201,Invoices_Detail!$A$2:$A$201=A13))</f>
        <v>TRX056, TRX094, TRX150, TRX174</v>
      </c>
      <c r="D13" t="str" cm="1">
        <f t="array" ref="D13">_xlfn.TEXTJOIN("; ",TRUE,_xlfn._xlws.FILTER(Invoices_Detail!$D$2:$D$201,Invoices_Detail!$A$2:$A$201=A13))</f>
        <v>Pipa PVC 4 inch (per batang); Drum Solar 200L; Cat Tembok 1 kg; Jaket Safety</v>
      </c>
      <c r="E13" t="str" cm="1">
        <f t="array" ref="E13">_xlfn.TEXTJOIN(" + ",TRUE,_xlfn._xlws.FILTER(Invoices_Detail!$E$2:$E$201,Invoices_Detail!$A$2:$A$201=A13))</f>
        <v>20 + 15 + 1 + 14</v>
      </c>
      <c r="F13" t="str" cm="1">
        <f t="array" ref="F13">_xlfn.TEXTJOIN("; ",TRUE,_xlfn._xlws.FILTER(Invoices_Detail!$F$2:$F$201,Invoices_Detail!$A$2:$A$201=$A13))</f>
        <v>260000; 1060000; 31000; 245000</v>
      </c>
      <c r="G13" t="str" cm="1">
        <f t="array" ref="G13">_xlfn.TEXTJOIN(" + ",TRUE,_xlfn._xlws.FILTER(Invoices_Detail!$G$2:$G$201,Invoices_Detail!$A$2:$A$201=$A13)) &amp; " = " &amp; SUM(_xlfn._xlws.FILTER(Invoices_Detail!G36:G39,Invoices_Detail!A36:A39=A13))</f>
        <v>5200000 + 15900000 + 31000 + 3430000 = 24561000</v>
      </c>
      <c r="H13" t="str">
        <f>VLOOKUP(A13,InvoicesDetail[],8,0)</f>
        <v>Unpaid</v>
      </c>
      <c r="I13" t="s">
        <v>60</v>
      </c>
      <c r="J13" s="20"/>
    </row>
    <row r="14" spans="1:11" x14ac:dyDescent="0.25">
      <c r="A14" t="s">
        <v>291</v>
      </c>
      <c r="B14" s="20">
        <f>VLOOKUP(InvoicesDisplay[[#This Row],[Invoice ID]],InvoicesDetail[],2,0)</f>
        <v>45879</v>
      </c>
      <c r="C14" t="str" cm="1">
        <f t="array" ref="C14">_xlfn.TEXTJOIN(", ",TRUE,_xlfn._xlws.FILTER(Invoices_Detail!$C$2:$C$201,Invoices_Detail!$A$2:$A$201=A14))</f>
        <v>TRX057, TRX158, TRX173, TRX185</v>
      </c>
      <c r="D14" t="str" cm="1">
        <f t="array" ref="D14">_xlfn.TEXTJOIN("; ",TRUE,_xlfn._xlws.FILTER(Invoices_Detail!$D$2:$D$201,Invoices_Detail!$A$2:$A$201=A14))</f>
        <v>Pipa PVC 4 inch (per batang); Helm Proyek; Kabel Listrik Roll 50m; Drum Solar 200L</v>
      </c>
      <c r="E14" t="str" cm="1">
        <f t="array" ref="E14">_xlfn.TEXTJOIN(" + ",TRUE,_xlfn._xlws.FILTER(Invoices_Detail!$E$2:$E$201,Invoices_Detail!$A$2:$A$201=A14))</f>
        <v>7 + 1 + 1 + 1</v>
      </c>
      <c r="F14" t="str" cm="1">
        <f t="array" ref="F14">_xlfn.TEXTJOIN("; ",TRUE,_xlfn._xlws.FILTER(Invoices_Detail!$F$2:$F$201,Invoices_Detail!$A$2:$A$201=$A14))</f>
        <v>260000; 50000; 203500; 1060000</v>
      </c>
      <c r="G14" t="str" cm="1">
        <f t="array" ref="G14">_xlfn.TEXTJOIN(" + ",TRUE,_xlfn._xlws.FILTER(Invoices_Detail!$G$2:$G$201,Invoices_Detail!$A$2:$A$201=$A14)) &amp; " = " &amp; SUM(_xlfn._xlws.FILTER(Invoices_Detail!G37:G40,Invoices_Detail!A37:A40=A14))</f>
        <v>1820000 + 50000 + 203500 + 1060000 = 1820000</v>
      </c>
      <c r="H14" t="str">
        <f>VLOOKUP(A14,InvoicesDetail[],8,0)</f>
        <v>Paid</v>
      </c>
      <c r="I14" t="s">
        <v>113</v>
      </c>
      <c r="J14" s="20"/>
    </row>
    <row r="15" spans="1:11" x14ac:dyDescent="0.25">
      <c r="A15" t="s">
        <v>292</v>
      </c>
      <c r="B15" s="20">
        <f>VLOOKUP(InvoicesDisplay[[#This Row],[Invoice ID]],InvoicesDetail[],2,0)</f>
        <v>45912</v>
      </c>
      <c r="C15" t="str" cm="1">
        <f t="array" ref="C15">_xlfn.TEXTJOIN(", ",TRUE,_xlfn._xlws.FILTER(Invoices_Detail!$C$2:$C$201,Invoices_Detail!$A$2:$A$201=A15))</f>
        <v>TRX160, TRX165, TRX197</v>
      </c>
      <c r="D15" t="str" cm="1">
        <f t="array" ref="D15">_xlfn.TEXTJOIN("; ",TRUE,_xlfn._xlws.FILTER(Invoices_Detail!$D$2:$D$201,Invoices_Detail!$A$2:$A$201=A15))</f>
        <v>Genset Portable 1000W; Drum Solar 200L; Pompa Air Industri</v>
      </c>
      <c r="E15" t="str" cm="1">
        <f t="array" ref="E15">_xlfn.TEXTJOIN(" + ",TRUE,_xlfn._xlws.FILTER(Invoices_Detail!$E$2:$E$201,Invoices_Detail!$A$2:$A$201=A15))</f>
        <v>9 + 12 + 11</v>
      </c>
      <c r="F15" t="str" cm="1">
        <f t="array" ref="F15">_xlfn.TEXTJOIN("; ",TRUE,_xlfn._xlws.FILTER(Invoices_Detail!$F$2:$F$201,Invoices_Detail!$A$2:$A$201=$A15))</f>
        <v>3134000; 1060000; 4490000</v>
      </c>
      <c r="G15" t="str" cm="1">
        <f t="array" ref="G15">_xlfn.TEXTJOIN(" + ",TRUE,_xlfn._xlws.FILTER(Invoices_Detail!$G$2:$G$201,Invoices_Detail!$A$2:$A$201=$A15)) &amp; " = " &amp; SUM(_xlfn._xlws.FILTER(Invoices_Detail!G44:G46,Invoices_Detail!A44:A46=A15))</f>
        <v>28206000 + 12720000 + 49390000 = 90316000</v>
      </c>
      <c r="H15" t="str">
        <f>VLOOKUP(A15,InvoicesDetail[],8,0)</f>
        <v>Paid</v>
      </c>
      <c r="I15" t="s">
        <v>66</v>
      </c>
      <c r="J15" s="20"/>
    </row>
    <row r="16" spans="1:11" x14ac:dyDescent="0.25">
      <c r="A16" t="s">
        <v>293</v>
      </c>
      <c r="B16" s="20">
        <f>VLOOKUP(InvoicesDisplay[[#This Row],[Invoice ID]],InvoicesDetail[],2,0)</f>
        <v>45895</v>
      </c>
      <c r="C16" t="str" cm="1">
        <f t="array" ref="C16">_xlfn.TEXTJOIN(", ",TRUE,_xlfn._xlws.FILTER(Invoices_Detail!$C$2:$C$201,Invoices_Detail!$A$2:$A$201=A16))</f>
        <v>TRX029, TRX031, TRX123, TRX143, TRX166</v>
      </c>
      <c r="D16" t="str" cm="1">
        <f t="array" ref="D16">_xlfn.TEXTJOIN("; ",TRUE,_xlfn._xlws.FILTER(Invoices_Detail!$D$2:$D$201,Invoices_Detail!$A$2:$A$201=A16))</f>
        <v>Lampu Sorot LED 100W; Drum Solar 200L; Cat Tembok 1 kg; Mesin Las Listrik; Rantai Besi 10m</v>
      </c>
      <c r="E16" t="str" cm="1">
        <f t="array" ref="E16">_xlfn.TEXTJOIN(" + ",TRUE,_xlfn._xlws.FILTER(Invoices_Detail!$E$2:$E$201,Invoices_Detail!$A$2:$A$201=A16))</f>
        <v>7 + 10 + 15 + 9 + 2</v>
      </c>
      <c r="F16" t="str" cm="1">
        <f t="array" ref="F16">_xlfn.TEXTJOIN("; ",TRUE,_xlfn._xlws.FILTER(Invoices_Detail!$F$2:$F$201,Invoices_Detail!$A$2:$A$201=$A16))</f>
        <v>237000; 1060000; 31000; 2296000; 431000</v>
      </c>
      <c r="G16" t="str" cm="1">
        <f t="array" ref="G16">_xlfn.TEXTJOIN(" + ",TRUE,_xlfn._xlws.FILTER(Invoices_Detail!$G$2:$G$201,Invoices_Detail!$A$2:$A$201=$A16)) &amp; " = " &amp; SUM(_xlfn._xlws.FILTER(Invoices_Detail!G47:G51,Invoices_Detail!A47:A51=A16))</f>
        <v>1659000 + 10600000 + 465000 + 20664000 + 862000 = 34250000</v>
      </c>
      <c r="H16" t="str">
        <f>VLOOKUP(A16,InvoicesDetail[],8,0)</f>
        <v>Unpaid</v>
      </c>
      <c r="I16" t="s">
        <v>65</v>
      </c>
      <c r="J16" s="20"/>
    </row>
    <row r="17" spans="1:11" x14ac:dyDescent="0.25">
      <c r="A17" t="s">
        <v>294</v>
      </c>
      <c r="B17" s="20">
        <f>VLOOKUP(InvoicesDisplay[[#This Row],[Invoice ID]],InvoicesDetail[],2,0)</f>
        <v>45921</v>
      </c>
      <c r="C17" t="str" cm="1">
        <f t="array" ref="C17">_xlfn.TEXTJOIN(", ",TRUE,_xlfn._xlws.FILTER(Invoices_Detail!$C$2:$C$201,Invoices_Detail!$A$2:$A$201=A17))</f>
        <v>TRX058, TRX066, TRX084</v>
      </c>
      <c r="D17" t="str" cm="1">
        <f t="array" ref="D17">_xlfn.TEXTJOIN("; ",TRUE,_xlfn._xlws.FILTER(Invoices_Detail!$D$2:$D$201,Invoices_Detail!$A$2:$A$201=A17))</f>
        <v>Obeng Set; Cat Minyak 5L; Mesin Las Listrik</v>
      </c>
      <c r="E17" t="str" cm="1">
        <f t="array" ref="E17">_xlfn.TEXTJOIN(" + ",TRUE,_xlfn._xlws.FILTER(Invoices_Detail!$E$2:$E$201,Invoices_Detail!$A$2:$A$201=A17))</f>
        <v>16 + 8 + 1</v>
      </c>
      <c r="F17" t="str" cm="1">
        <f t="array" ref="F17">_xlfn.TEXTJOIN("; ",TRUE,_xlfn._xlws.FILTER(Invoices_Detail!$F$2:$F$201,Invoices_Detail!$A$2:$A$201=$A17))</f>
        <v>128000; 135500; 2296000</v>
      </c>
      <c r="G17" t="str" cm="1">
        <f t="array" ref="G17">_xlfn.TEXTJOIN(" + ",TRUE,_xlfn._xlws.FILTER(Invoices_Detail!$G$2:$G$201,Invoices_Detail!$A$2:$A$201=$A17)) &amp; " = " &amp; SUM(_xlfn._xlws.FILTER(Invoices_Detail!G52:G54,Invoices_Detail!A52:A54=A17))</f>
        <v>2048000 + 1084000 + 2296000 = 5428000</v>
      </c>
      <c r="H17" t="str">
        <f>VLOOKUP(A17,InvoicesDetail[],8,0)</f>
        <v>Unpaid</v>
      </c>
      <c r="I17" t="s">
        <v>59</v>
      </c>
      <c r="J17" s="20"/>
      <c r="K17" s="1"/>
    </row>
    <row r="18" spans="1:11" x14ac:dyDescent="0.25">
      <c r="A18" t="s">
        <v>295</v>
      </c>
      <c r="B18" s="20">
        <f>VLOOKUP(InvoicesDisplay[[#This Row],[Invoice ID]],InvoicesDetail[],2,0)</f>
        <v>45844</v>
      </c>
      <c r="C18" t="str" cm="1">
        <f t="array" ref="C18">_xlfn.TEXTJOIN(", ",TRUE,_xlfn._xlws.FILTER(Invoices_Detail!$C$2:$C$201,Invoices_Detail!$A$2:$A$201=A18))</f>
        <v>TRX051, TRX085, TRX198</v>
      </c>
      <c r="D18" t="str" cm="1">
        <f t="array" ref="D18">_xlfn.TEXTJOIN("; ",TRUE,_xlfn._xlws.FILTER(Invoices_Detail!$D$2:$D$201,Invoices_Detail!$A$2:$A$201=A18))</f>
        <v>Gerinda Tangan; Mesin Las Listrik; Genset Portable 1000W</v>
      </c>
      <c r="E18" t="str" cm="1">
        <f t="array" ref="E18">_xlfn.TEXTJOIN(" + ",TRUE,_xlfn._xlws.FILTER(Invoices_Detail!$E$2:$E$201,Invoices_Detail!$A$2:$A$201=A18))</f>
        <v>18 + 4 + 17</v>
      </c>
      <c r="F18" t="str" cm="1">
        <f t="array" ref="F18">_xlfn.TEXTJOIN("; ",TRUE,_xlfn._xlws.FILTER(Invoices_Detail!$F$2:$F$201,Invoices_Detail!$A$2:$A$201=$A18))</f>
        <v>465000; 2296000; 3134000</v>
      </c>
      <c r="G18" t="str" cm="1">
        <f t="array" ref="G18">_xlfn.TEXTJOIN(" + ",TRUE,_xlfn._xlws.FILTER(Invoices_Detail!$G$2:$G$201,Invoices_Detail!$A$2:$A$201=$A18)) &amp; " = " &amp; SUM(_xlfn._xlws.FILTER(Invoices_Detail!G55:G57,Invoices_Detail!A55:A57=A18))</f>
        <v>8370000 + 9184000 + 53278000 = 70832000</v>
      </c>
      <c r="H18" t="str">
        <f>VLOOKUP(A18,InvoicesDetail[],8,0)</f>
        <v>Paid</v>
      </c>
      <c r="I18" t="s">
        <v>58</v>
      </c>
      <c r="J18" s="20"/>
    </row>
    <row r="19" spans="1:11" x14ac:dyDescent="0.25">
      <c r="A19" t="s">
        <v>296</v>
      </c>
      <c r="B19" s="20">
        <f>VLOOKUP(InvoicesDisplay[[#This Row],[Invoice ID]],InvoicesDetail[],2,0)</f>
        <v>45915</v>
      </c>
      <c r="C19" t="str" cm="1">
        <f t="array" ref="C19">_xlfn.TEXTJOIN(", ",TRUE,_xlfn._xlws.FILTER(Invoices_Detail!$C$2:$C$201,Invoices_Detail!$A$2:$A$201=A19))</f>
        <v>TRX200</v>
      </c>
      <c r="D19" t="str" cm="1">
        <f t="array" ref="D19">_xlfn.TEXTJOIN("; ",TRUE,_xlfn._xlws.FILTER(Invoices_Detail!$D$2:$D$201,Invoices_Detail!$A$2:$A$201=A19))</f>
        <v>Kabel Listrik Roll 50m</v>
      </c>
      <c r="E19" t="str" cm="1">
        <f t="array" ref="E19">_xlfn.TEXTJOIN(" + ",TRUE,_xlfn._xlws.FILTER(Invoices_Detail!$E$2:$E$201,Invoices_Detail!$A$2:$A$201=A19))</f>
        <v>7</v>
      </c>
      <c r="F19" t="str" cm="1">
        <f t="array" ref="F19">_xlfn.TEXTJOIN("; ",TRUE,_xlfn._xlws.FILTER(Invoices_Detail!$F$2:$F$201,Invoices_Detail!$A$2:$A$201=$A19))</f>
        <v>203500</v>
      </c>
      <c r="G19" t="str" cm="1">
        <f t="array" ref="G19">_xlfn.TEXTJOIN(" + ",TRUE,_xlfn._xlws.FILTER(Invoices_Detail!$G$2:$G$201,Invoices_Detail!$A$2:$A$201=$A19))</f>
        <v>1424500</v>
      </c>
      <c r="H19" t="str">
        <f>VLOOKUP(A19,InvoicesDetail[],8,0)</f>
        <v>Unpaid</v>
      </c>
      <c r="I19" t="s">
        <v>113</v>
      </c>
      <c r="J19" s="20"/>
      <c r="K19" s="1"/>
    </row>
    <row r="20" spans="1:11" x14ac:dyDescent="0.25">
      <c r="A20" t="s">
        <v>297</v>
      </c>
      <c r="B20" s="20">
        <f>VLOOKUP(InvoicesDisplay[[#This Row],[Invoice ID]],InvoicesDetail[],2,0)</f>
        <v>45843</v>
      </c>
      <c r="C20" t="str" cm="1">
        <f t="array" ref="C20">_xlfn.TEXTJOIN(", ",TRUE,_xlfn._xlws.FILTER(Invoices_Detail!$C$2:$C$201,Invoices_Detail!$A$2:$A$201=A20))</f>
        <v>TRX011, TRX116</v>
      </c>
      <c r="D20" t="str" cm="1">
        <f t="array" ref="D20">_xlfn.TEXTJOIN("; ",TRUE,_xlfn._xlws.FILTER(Invoices_Detail!$D$2:$D$201,Invoices_Detail!$A$2:$A$201=A20))</f>
        <v>Masker Safety Box (isi 50); Pipa PVC 4 inch (per batang)</v>
      </c>
      <c r="E20" t="str" cm="1">
        <f t="array" ref="E20">_xlfn.TEXTJOIN(" + ",TRUE,_xlfn._xlws.FILTER(Invoices_Detail!$E$2:$E$201,Invoices_Detail!$A$2:$A$201=A20))</f>
        <v>8 + 6</v>
      </c>
      <c r="F20" t="str" cm="1">
        <f t="array" ref="F20">_xlfn.TEXTJOIN("; ",TRUE,_xlfn._xlws.FILTER(Invoices_Detail!$F$2:$F$201,Invoices_Detail!$A$2:$A$201=$A20))</f>
        <v>11500; 260000</v>
      </c>
      <c r="G20" t="str" cm="1">
        <f t="array" ref="G20">_xlfn.TEXTJOIN(" + ",TRUE,_xlfn._xlws.FILTER(Invoices_Detail!$G$2:$G$201,Invoices_Detail!$A$2:$A$201=$A20)) &amp; " = " &amp; SUM(_xlfn._xlws.FILTER(Invoices_Detail!G59:G60,Invoices_Detail!A59:A60=A20))</f>
        <v>92000 + 1560000 = 1652000</v>
      </c>
      <c r="H20" t="str">
        <f>VLOOKUP(A20,InvoicesDetail[],8,0)</f>
        <v>Paid</v>
      </c>
      <c r="I20" t="s">
        <v>63</v>
      </c>
      <c r="J20" s="20"/>
    </row>
    <row r="21" spans="1:11" x14ac:dyDescent="0.25">
      <c r="A21" t="s">
        <v>298</v>
      </c>
      <c r="B21" s="20">
        <f>VLOOKUP(InvoicesDisplay[[#This Row],[Invoice ID]],InvoicesDetail[],2,0)</f>
        <v>45876</v>
      </c>
      <c r="C21" t="str" cm="1">
        <f t="array" ref="C21">_xlfn.TEXTJOIN(", ",TRUE,_xlfn._xlws.FILTER(Invoices_Detail!$C$2:$C$201,Invoices_Detail!$A$2:$A$201=A21))</f>
        <v>TRX001, TRX040, TRX065, TRX179</v>
      </c>
      <c r="D21" t="str" cm="1">
        <f t="array" ref="D21">_xlfn.TEXTJOIN("; ",TRUE,_xlfn._xlws.FILTER(Invoices_Detail!$D$2:$D$201,Invoices_Detail!$A$2:$A$201=A21))</f>
        <v>Gerinda Tangan; Mesin Las Listrik; Helm Proyek; Obeng Set</v>
      </c>
      <c r="E21" t="str" cm="1">
        <f t="array" ref="E21">_xlfn.TEXTJOIN(" + ",TRUE,_xlfn._xlws.FILTER(Invoices_Detail!$E$2:$E$201,Invoices_Detail!$A$2:$A$201=A21))</f>
        <v>20 + 4 + 12 + 4</v>
      </c>
      <c r="F21" t="str" cm="1">
        <f t="array" ref="F21">_xlfn.TEXTJOIN("; ",TRUE,_xlfn._xlws.FILTER(Invoices_Detail!$F$2:$F$201,Invoices_Detail!$A$2:$A$201=$A21))</f>
        <v>465000; 2296000; 50000; 128000</v>
      </c>
      <c r="G21" t="str" cm="1">
        <f t="array" ref="G21">_xlfn.TEXTJOIN(" + ",TRUE,_xlfn._xlws.FILTER(Invoices_Detail!$G$2:$G$201,Invoices_Detail!$A$2:$A$201=$A21)) &amp; " = " &amp; SUM(_xlfn._xlws.FILTER(Invoices_Detail!G61:G64,Invoices_Detail!A61:A64=A21))</f>
        <v>9300000 + 9184000 + 600000 + 512000 = 19596000</v>
      </c>
      <c r="H21" t="str">
        <f>VLOOKUP(A21,InvoicesDetail[],8,0)</f>
        <v>Paid</v>
      </c>
      <c r="I21" t="s">
        <v>64</v>
      </c>
      <c r="J21" s="20"/>
    </row>
    <row r="22" spans="1:11" x14ac:dyDescent="0.25">
      <c r="A22" t="s">
        <v>299</v>
      </c>
      <c r="B22" s="20">
        <f>VLOOKUP(InvoicesDisplay[[#This Row],[Invoice ID]],InvoicesDetail[],2,0)</f>
        <v>45922</v>
      </c>
      <c r="C22" t="str" cm="1">
        <f t="array" ref="C22">_xlfn.TEXTJOIN(", ",TRUE,_xlfn._xlws.FILTER(Invoices_Detail!$C$2:$C$201,Invoices_Detail!$A$2:$A$201=A22))</f>
        <v>TRX117, TRX118, TRX169</v>
      </c>
      <c r="D22" t="str" cm="1">
        <f t="array" ref="D22">_xlfn.TEXTJOIN("; ",TRUE,_xlfn._xlws.FILTER(Invoices_Detail!$D$2:$D$201,Invoices_Detail!$A$2:$A$201=A22))</f>
        <v>Pompa Air Industri; Mesin Las Listrik; Gerinda Tangan</v>
      </c>
      <c r="E22" t="str" cm="1">
        <f t="array" ref="E22">_xlfn.TEXTJOIN(" + ",TRUE,_xlfn._xlws.FILTER(Invoices_Detail!$E$2:$E$201,Invoices_Detail!$A$2:$A$201=A22))</f>
        <v>12 + 19 + 20</v>
      </c>
      <c r="F22" t="str" cm="1">
        <f t="array" ref="F22">_xlfn.TEXTJOIN("; ",TRUE,_xlfn._xlws.FILTER(Invoices_Detail!$F$2:$F$201,Invoices_Detail!$A$2:$A$201=$A22))</f>
        <v>4490000; 2296000; 465000</v>
      </c>
      <c r="G22" t="str" cm="1">
        <f t="array" ref="G22">_xlfn.TEXTJOIN(" + ",TRUE,_xlfn._xlws.FILTER(Invoices_Detail!$G$2:$G$201,Invoices_Detail!$A$2:$A$201=$A22)) &amp; " = " &amp; SUM(_xlfn._xlws.FILTER(Invoices_Detail!G65:G67,Invoices_Detail!A65:A67=A22))</f>
        <v>53880000 + 43624000 + 9300000 = 106804000</v>
      </c>
      <c r="H22" t="str">
        <f>VLOOKUP(A22,InvoicesDetail[],8,0)</f>
        <v>Paid</v>
      </c>
      <c r="I22" t="s">
        <v>59</v>
      </c>
      <c r="J22" s="20"/>
    </row>
    <row r="23" spans="1:11" x14ac:dyDescent="0.25">
      <c r="A23" t="s">
        <v>271</v>
      </c>
      <c r="B23" s="20">
        <f>VLOOKUP(InvoicesDisplay[[#This Row],[Invoice ID]],InvoicesDetail[],2,0)</f>
        <v>45859</v>
      </c>
      <c r="C23" t="str" cm="1">
        <f t="array" ref="C23">_xlfn.TEXTJOIN(", ",TRUE,_xlfn._xlws.FILTER(Invoices_Detail!$C$2:$C$201,Invoices_Detail!$A$2:$A$201=A23))</f>
        <v>TRX041, TRX049, TRX050, TRX069</v>
      </c>
      <c r="D23" t="str" cm="1">
        <f t="array" ref="D23">_xlfn.TEXTJOIN("; ",TRUE,_xlfn._xlws.FILTER(Invoices_Detail!$D$2:$D$201,Invoices_Detail!$A$2:$A$201=A23))</f>
        <v>Cat Minyak 5L; Sarung Tangan Katun; Kabel Listrik Roll 50m; Paku 5cm (1 kg)</v>
      </c>
      <c r="E23" t="str" cm="1">
        <f t="array" ref="E23">_xlfn.TEXTJOIN(" + ",TRUE,_xlfn._xlws.FILTER(Invoices_Detail!$E$2:$E$201,Invoices_Detail!$A$2:$A$201=A23))</f>
        <v>6 + 3 + 4 + 6</v>
      </c>
      <c r="F23" t="str" cm="1">
        <f t="array" ref="F23">_xlfn.TEXTJOIN("; ",TRUE,_xlfn._xlws.FILTER(Invoices_Detail!$F$2:$F$201,Invoices_Detail!$A$2:$A$201=$A23))</f>
        <v>135500; 20000; 203500; 13500</v>
      </c>
      <c r="G23" t="str" cm="1">
        <f t="array" ref="G23">_xlfn.TEXTJOIN(" + ",TRUE,_xlfn._xlws.FILTER(Invoices_Detail!$G$2:$G$201,Invoices_Detail!$A$2:$A$201=$A23)) &amp; " = " &amp; SUM(_xlfn._xlws.FILTER(Invoices_Detail!G68:G71,Invoices_Detail!A68:A71=A23))</f>
        <v>813000 + 60000 + 814000 + 81000 = 1768000</v>
      </c>
      <c r="H23" t="str">
        <f>VLOOKUP(A23,InvoicesDetail[],8,0)</f>
        <v>Unpaid</v>
      </c>
      <c r="I23" t="s">
        <v>63</v>
      </c>
      <c r="J23" s="20"/>
    </row>
    <row r="24" spans="1:11" x14ac:dyDescent="0.25">
      <c r="A24" t="s">
        <v>300</v>
      </c>
      <c r="B24" s="20">
        <f>VLOOKUP(InvoicesDisplay[[#This Row],[Invoice ID]],InvoicesDetail[],2,0)</f>
        <v>45889</v>
      </c>
      <c r="C24" t="str" cm="1">
        <f t="array" ref="C24">_xlfn.TEXTJOIN(", ",TRUE,_xlfn._xlws.FILTER(Invoices_Detail!$C$2:$C$201,Invoices_Detail!$A$2:$A$201=A24))</f>
        <v>TRX089, TRX167, TRX168</v>
      </c>
      <c r="D24" t="str" cm="1">
        <f t="array" ref="D24">_xlfn.TEXTJOIN("; ",TRUE,_xlfn._xlws.FILTER(Invoices_Detail!$D$2:$D$201,Invoices_Detail!$A$2:$A$201=A24))</f>
        <v>Obeng Set; Gerinda Tangan; Paku 5cm (1 kg)</v>
      </c>
      <c r="E24" t="str" cm="1">
        <f t="array" ref="E24">_xlfn.TEXTJOIN(" + ",TRUE,_xlfn._xlws.FILTER(Invoices_Detail!$E$2:$E$201,Invoices_Detail!$A$2:$A$201=A24))</f>
        <v>1 + 18 + 15</v>
      </c>
      <c r="F24" t="str" cm="1">
        <f t="array" ref="F24">_xlfn.TEXTJOIN("; ",TRUE,_xlfn._xlws.FILTER(Invoices_Detail!$F$2:$F$201,Invoices_Detail!$A$2:$A$201=$A24))</f>
        <v>128000; 465000; 13500</v>
      </c>
      <c r="G24" t="str" cm="1">
        <f t="array" ref="G24">_xlfn.TEXTJOIN(" + ",TRUE,_xlfn._xlws.FILTER(Invoices_Detail!$G$2:$G$201,Invoices_Detail!$A$2:$A$201=$A24)) &amp; " = " &amp; SUM(_xlfn._xlws.FILTER(Invoices_Detail!G72:G74,Invoices_Detail!A72:A74=A24))</f>
        <v>128000 + 8370000 + 202500 = 8700500</v>
      </c>
      <c r="H24" t="str">
        <f>VLOOKUP(A24,InvoicesDetail[],8,0)</f>
        <v>Paid</v>
      </c>
      <c r="I24" t="s">
        <v>64</v>
      </c>
      <c r="J24" s="20"/>
    </row>
    <row r="25" spans="1:11" x14ac:dyDescent="0.25">
      <c r="A25" t="s">
        <v>272</v>
      </c>
      <c r="B25" s="20">
        <f>VLOOKUP(InvoicesDisplay[[#This Row],[Invoice ID]],InvoicesDetail[],2,0)</f>
        <v>45902</v>
      </c>
      <c r="C25" t="str" cm="1">
        <f t="array" ref="C25">_xlfn.TEXTJOIN(", ",TRUE,_xlfn._xlws.FILTER(Invoices_Detail!$C$2:$C$201,Invoices_Detail!$A$2:$A$201=A25))</f>
        <v>TRX090, TRX091, TRX095, TRX140</v>
      </c>
      <c r="D25" t="str" cm="1">
        <f t="array" ref="D25">_xlfn.TEXTJOIN("; ",TRUE,_xlfn._xlws.FILTER(Invoices_Detail!$D$2:$D$201,Invoices_Detail!$A$2:$A$201=A25))</f>
        <v>Kabel Listrik Roll 50m; Genset Portable 1000W; Sarung Tangan Katun; Cat Minyak 5L</v>
      </c>
      <c r="E25" t="str" cm="1">
        <f t="array" ref="E25">_xlfn.TEXTJOIN(" + ",TRUE,_xlfn._xlws.FILTER(Invoices_Detail!$E$2:$E$201,Invoices_Detail!$A$2:$A$201=A25))</f>
        <v>1 + 15 + 11 + 18</v>
      </c>
      <c r="F25" t="str" cm="1">
        <f t="array" ref="F25">_xlfn.TEXTJOIN("; ",TRUE,_xlfn._xlws.FILTER(Invoices_Detail!$F$2:$F$201,Invoices_Detail!$A$2:$A$201=$A25))</f>
        <v>203500; 3134000; 20000; 135500</v>
      </c>
      <c r="G25" t="str" cm="1">
        <f t="array" ref="G25">_xlfn.TEXTJOIN(" + ",TRUE,_xlfn._xlws.FILTER(Invoices_Detail!$G$2:$G$201,Invoices_Detail!$A$2:$A$201=$A25)) &amp; " = " &amp; SUM(_xlfn._xlws.FILTER(Invoices_Detail!G75:G78,Invoices_Detail!A75:A78=A25))</f>
        <v>203500 + 47010000 + 220000 + 2439000 = 49872500</v>
      </c>
      <c r="H25" t="str">
        <f>VLOOKUP(A25,InvoicesDetail[],8,0)</f>
        <v>Paid</v>
      </c>
      <c r="I25" t="s">
        <v>66</v>
      </c>
      <c r="J25" s="20"/>
    </row>
    <row r="26" spans="1:11" x14ac:dyDescent="0.25">
      <c r="A26" t="s">
        <v>301</v>
      </c>
      <c r="B26" s="20">
        <f>VLOOKUP(InvoicesDisplay[[#This Row],[Invoice ID]],InvoicesDetail[],2,0)</f>
        <v>45920</v>
      </c>
      <c r="C26" t="str" cm="1">
        <f t="array" ref="C26">_xlfn.TEXTJOIN(", ",TRUE,_xlfn._xlws.FILTER(Invoices_Detail!$C$2:$C$201,Invoices_Detail!$A$2:$A$201=A26))</f>
        <v>TRX039, TRX103, TRX194</v>
      </c>
      <c r="D26" t="str" cm="1">
        <f t="array" ref="D26">_xlfn.TEXTJOIN("; ",TRUE,_xlfn._xlws.FILTER(Invoices_Detail!$D$2:$D$201,Invoices_Detail!$A$2:$A$201=A26))</f>
        <v>Mesin Potong Besi; Mesin Las Listrik; Kabel Listrik Roll 50m</v>
      </c>
      <c r="E26" t="str" cm="1">
        <f t="array" ref="E26">_xlfn.TEXTJOIN(" + ",TRUE,_xlfn._xlws.FILTER(Invoices_Detail!$E$2:$E$201,Invoices_Detail!$A$2:$A$201=A26))</f>
        <v>6 + 10 + 19</v>
      </c>
      <c r="F26" t="str" cm="1">
        <f t="array" ref="F26">_xlfn.TEXTJOIN("; ",TRUE,_xlfn._xlws.FILTER(Invoices_Detail!$F$2:$F$201,Invoices_Detail!$A$2:$A$201=$A26))</f>
        <v>3200000; 2296000; 203500</v>
      </c>
      <c r="G26" t="str" cm="1">
        <f t="array" ref="G26">_xlfn.TEXTJOIN(" + ",TRUE,_xlfn._xlws.FILTER(Invoices_Detail!$G$2:$G$201,Invoices_Detail!$A$2:$A$201=$A26)) &amp; " = " &amp; SUM(_xlfn._xlws.FILTER(Invoices_Detail!G79:G81,Invoices_Detail!A79:A81=A26))</f>
        <v>19200000 + 22960000 + 3866500 = 46026500</v>
      </c>
      <c r="H26" t="str">
        <f>VLOOKUP(A26,InvoicesDetail[],8,0)</f>
        <v>Paid</v>
      </c>
      <c r="I26" t="s">
        <v>63</v>
      </c>
      <c r="J26" s="20"/>
    </row>
    <row r="27" spans="1:11" x14ac:dyDescent="0.25">
      <c r="A27" t="s">
        <v>302</v>
      </c>
      <c r="B27" s="20">
        <f>VLOOKUP(InvoicesDisplay[[#This Row],[Invoice ID]],InvoicesDetail[],2,0)</f>
        <v>45900</v>
      </c>
      <c r="C27" t="str" cm="1">
        <f t="array" ref="C27">_xlfn.TEXTJOIN(", ",TRUE,_xlfn._xlws.FILTER(Invoices_Detail!$C$2:$C$201,Invoices_Detail!$A$2:$A$201=A27))</f>
        <v>TRX105, TRX141, TRX142</v>
      </c>
      <c r="D27" t="str" cm="1">
        <f t="array" ref="D27">_xlfn.TEXTJOIN("; ",TRUE,_xlfn._xlws.FILTER(Invoices_Detail!$D$2:$D$201,Invoices_Detail!$A$2:$A$201=A27))</f>
        <v>Pipa PVC 4 inch (per batang); Rantai Besi 10m; Mesin Las Listrik</v>
      </c>
      <c r="E27" t="str" cm="1">
        <f t="array" ref="E27">_xlfn.TEXTJOIN(" + ",TRUE,_xlfn._xlws.FILTER(Invoices_Detail!$E$2:$E$201,Invoices_Detail!$A$2:$A$201=A27))</f>
        <v>20 + 13 + 7</v>
      </c>
      <c r="F27" t="str" cm="1">
        <f t="array" ref="F27">_xlfn.TEXTJOIN("; ",TRUE,_xlfn._xlws.FILTER(Invoices_Detail!$F$2:$F$201,Invoices_Detail!$A$2:$A$201=$A27))</f>
        <v>260000; 431000; 2296000</v>
      </c>
      <c r="G27" t="str" cm="1">
        <f t="array" ref="G27">_xlfn.TEXTJOIN(" + ",TRUE,_xlfn._xlws.FILTER(Invoices_Detail!$G$2:$G$201,Invoices_Detail!$A$2:$A$201=$A27)) &amp; " = " &amp; SUM(_xlfn._xlws.FILTER(Invoices_Detail!G82:G84,Invoices_Detail!A82:A84=A27))</f>
        <v>5200000 + 5603000 + 16072000 = 26875000</v>
      </c>
      <c r="H27" t="str">
        <f>VLOOKUP(A27,InvoicesDetail[],8,0)</f>
        <v>Paid</v>
      </c>
      <c r="I27" t="s">
        <v>64</v>
      </c>
      <c r="J27" s="20"/>
    </row>
    <row r="28" spans="1:11" x14ac:dyDescent="0.25">
      <c r="A28" t="s">
        <v>273</v>
      </c>
      <c r="B28" s="20">
        <f>VLOOKUP(InvoicesDisplay[[#This Row],[Invoice ID]],InvoicesDetail[],2,0)</f>
        <v>45878</v>
      </c>
      <c r="C28" t="str" cm="1">
        <f t="array" ref="C28">_xlfn.TEXTJOIN(", ",TRUE,_xlfn._xlws.FILTER(Invoices_Detail!$C$2:$C$201,Invoices_Detail!$A$2:$A$201=A28))</f>
        <v>TRX002, TRX004, TRX110</v>
      </c>
      <c r="D28" t="str" cm="1">
        <f t="array" ref="D28">_xlfn.TEXTJOIN("; ",TRUE,_xlfn._xlws.FILTER(Invoices_Detail!$D$2:$D$201,Invoices_Detail!$A$2:$A$201=A28))</f>
        <v>Bor Tangan Listrik; Jaket Safety; Kabel Listrik Roll 50m</v>
      </c>
      <c r="E28" t="str" cm="1">
        <f t="array" ref="E28">_xlfn.TEXTJOIN(" + ",TRUE,_xlfn._xlws.FILTER(Invoices_Detail!$E$2:$E$201,Invoices_Detail!$A$2:$A$201=A28))</f>
        <v>7 + 12 + 19</v>
      </c>
      <c r="F28" t="str" cm="1">
        <f t="array" ref="F28">_xlfn.TEXTJOIN("; ",TRUE,_xlfn._xlws.FILTER(Invoices_Detail!$F$2:$F$201,Invoices_Detail!$A$2:$A$201=$A28))</f>
        <v>335500; 245000; 203500</v>
      </c>
      <c r="G28" t="str" cm="1">
        <f t="array" ref="G28">_xlfn.TEXTJOIN(" + ",TRUE,_xlfn._xlws.FILTER(Invoices_Detail!$G$2:$G$201,Invoices_Detail!$A$2:$A$201=$A28)) &amp; " = " &amp; SUM(_xlfn._xlws.FILTER(Invoices_Detail!G85:G87,Invoices_Detail!A85:A87=A28))</f>
        <v>2348500 + 2940000 + 3866500 = 9155000</v>
      </c>
      <c r="H28" t="str">
        <f>VLOOKUP(A28,InvoicesDetail[],8,0)</f>
        <v>Paid</v>
      </c>
      <c r="I28" t="s">
        <v>62</v>
      </c>
      <c r="J28" s="20"/>
    </row>
    <row r="29" spans="1:11" x14ac:dyDescent="0.25">
      <c r="A29" t="s">
        <v>274</v>
      </c>
      <c r="B29" s="20">
        <f>VLOOKUP(InvoicesDisplay[[#This Row],[Invoice ID]],InvoicesDetail[],2,0)</f>
        <v>45900</v>
      </c>
      <c r="C29" t="str" cm="1">
        <f t="array" ref="C29">_xlfn.TEXTJOIN(", ",TRUE,_xlfn._xlws.FILTER(Invoices_Detail!$C$2:$C$201,Invoices_Detail!$A$2:$A$201=A29))</f>
        <v>TRX028, TRX144, TRX145</v>
      </c>
      <c r="D29" t="str" cm="1">
        <f t="array" ref="D29">_xlfn.TEXTJOIN("; ",TRUE,_xlfn._xlws.FILTER(Invoices_Detail!$D$2:$D$201,Invoices_Detail!$A$2:$A$201=A29))</f>
        <v>Genset Portable 1000W; Kabel Listrik Roll 50m; Sarung Tangan Katun</v>
      </c>
      <c r="E29" t="str" cm="1">
        <f t="array" ref="E29">_xlfn.TEXTJOIN(" + ",TRUE,_xlfn._xlws.FILTER(Invoices_Detail!$E$2:$E$201,Invoices_Detail!$A$2:$A$201=A29))</f>
        <v>12 + 20 + 1</v>
      </c>
      <c r="F29" t="str" cm="1">
        <f t="array" ref="F29">_xlfn.TEXTJOIN("; ",TRUE,_xlfn._xlws.FILTER(Invoices_Detail!$F$2:$F$201,Invoices_Detail!$A$2:$A$201=$A29))</f>
        <v>3134000; 203500; 20000</v>
      </c>
      <c r="G29" t="str" cm="1">
        <f t="array" ref="G29">_xlfn.TEXTJOIN(" + ",TRUE,_xlfn._xlws.FILTER(Invoices_Detail!$G$2:$G$201,Invoices_Detail!$A$2:$A$201=$A29)) &amp; " = " &amp; SUM(_xlfn._xlws.FILTER(Invoices_Detail!G88:G90,Invoices_Detail!A88:A90=A29))</f>
        <v>37608000 + 4070000 + 20000 = 41698000</v>
      </c>
      <c r="H29" t="str">
        <f>VLOOKUP(A29,InvoicesDetail[],8,0)</f>
        <v>Paid</v>
      </c>
      <c r="I29" t="s">
        <v>59</v>
      </c>
      <c r="J29" s="20"/>
    </row>
    <row r="30" spans="1:11" x14ac:dyDescent="0.25">
      <c r="A30" t="s">
        <v>303</v>
      </c>
      <c r="B30" s="20">
        <f>VLOOKUP(InvoicesDisplay[[#This Row],[Invoice ID]],InvoicesDetail[],2,0)</f>
        <v>45893</v>
      </c>
      <c r="C30" t="str" cm="1">
        <f t="array" ref="C30">_xlfn.TEXTJOIN(", ",TRUE,_xlfn._xlws.FILTER(Invoices_Detail!$C$2:$C$201,Invoices_Detail!$A$2:$A$201=A30))</f>
        <v>TRX026, TRX033</v>
      </c>
      <c r="D30" t="str" cm="1">
        <f t="array" ref="D30">_xlfn.TEXTJOIN("; ",TRUE,_xlfn._xlws.FILTER(Invoices_Detail!$D$2:$D$201,Invoices_Detail!$A$2:$A$201=A30))</f>
        <v>Genset Portable 1000W; Bor Tangan Listrik</v>
      </c>
      <c r="E30" t="str" cm="1">
        <f t="array" ref="E30">_xlfn.TEXTJOIN(" + ",TRUE,_xlfn._xlws.FILTER(Invoices_Detail!$E$2:$E$201,Invoices_Detail!$A$2:$A$201=A30))</f>
        <v>3 + 4</v>
      </c>
      <c r="F30" t="str" cm="1">
        <f t="array" ref="F30">_xlfn.TEXTJOIN("; ",TRUE,_xlfn._xlws.FILTER(Invoices_Detail!$F$2:$F$201,Invoices_Detail!$A$2:$A$201=$A30))</f>
        <v>3134000; 335500</v>
      </c>
      <c r="G30" t="str" cm="1">
        <f t="array" ref="G30">_xlfn.TEXTJOIN(" + ",TRUE,_xlfn._xlws.FILTER(Invoices_Detail!$G$2:$G$201,Invoices_Detail!$A$2:$A$201=$A30)) &amp; " = " &amp; SUM(_xlfn._xlws.FILTER(Invoices_Detail!G91:G92,Invoices_Detail!A91:A92=A30))</f>
        <v>9402000 + 1342000 = 10744000</v>
      </c>
      <c r="H30" t="str">
        <f>VLOOKUP(A30,InvoicesDetail[],8,0)</f>
        <v>Paid</v>
      </c>
      <c r="I30" t="s">
        <v>58</v>
      </c>
      <c r="J30" s="20"/>
    </row>
    <row r="31" spans="1:11" x14ac:dyDescent="0.25">
      <c r="A31" t="s">
        <v>275</v>
      </c>
      <c r="B31" s="20">
        <f>VLOOKUP(InvoicesDisplay[[#This Row],[Invoice ID]],InvoicesDetail[],2,0)</f>
        <v>45847</v>
      </c>
      <c r="C31" t="str" cm="1">
        <f t="array" ref="C31">_xlfn.TEXTJOIN(", ",TRUE,_xlfn._xlws.FILTER(Invoices_Detail!$C$2:$C$201,Invoices_Detail!$A$2:$A$201=A31))</f>
        <v>TRX111, TRX112, TRX113, TRX114, TRX115</v>
      </c>
      <c r="D31" t="str" cm="1">
        <f t="array" ref="D31">_xlfn.TEXTJOIN("; ",TRUE,_xlfn._xlws.FILTER(Invoices_Detail!$D$2:$D$201,Invoices_Detail!$A$2:$A$201=A31))</f>
        <v>Bor Tangan Listrik; Jaket Safety; Cat Tembok 1 kg; Cat Minyak 5L; Helm Proyek</v>
      </c>
      <c r="E31" t="str" cm="1">
        <f t="array" ref="E31">_xlfn.TEXTJOIN(" + ",TRUE,_xlfn._xlws.FILTER(Invoices_Detail!$E$2:$E$201,Invoices_Detail!$A$2:$A$201=A31))</f>
        <v>20 + 5 + 9 + 14 + 1</v>
      </c>
      <c r="F31" t="str" cm="1">
        <f t="array" ref="F31">_xlfn.TEXTJOIN("; ",TRUE,_xlfn._xlws.FILTER(Invoices_Detail!$F$2:$F$201,Invoices_Detail!$A$2:$A$201=$A31))</f>
        <v>335500; 245000; 31000; 135500; 50000</v>
      </c>
      <c r="G31" t="str" cm="1">
        <f t="array" ref="G31">_xlfn.TEXTJOIN(" + ",TRUE,_xlfn._xlws.FILTER(Invoices_Detail!$G$2:$G$201,Invoices_Detail!$A$2:$A$201=$A31)) &amp; " = " &amp; SUM(_xlfn._xlws.FILTER(Invoices_Detail!G93:G97,Invoices_Detail!A93:A97=A31))</f>
        <v>6710000 + 1225000 + 279000 + 1897000 + 50000 = 10161000</v>
      </c>
      <c r="H31" t="str">
        <f>VLOOKUP(A31,InvoicesDetail[],8,0)</f>
        <v>Paid</v>
      </c>
      <c r="I31" t="s">
        <v>60</v>
      </c>
      <c r="J31" s="20"/>
      <c r="K31" s="1"/>
    </row>
    <row r="32" spans="1:11" x14ac:dyDescent="0.25">
      <c r="A32" t="s">
        <v>304</v>
      </c>
      <c r="B32" s="20">
        <f>VLOOKUP(InvoicesDisplay[[#This Row],[Invoice ID]],InvoicesDetail[],2,0)</f>
        <v>45908</v>
      </c>
      <c r="C32" t="str" cm="1">
        <f t="array" ref="C32">_xlfn.TEXTJOIN(", ",TRUE,_xlfn._xlws.FILTER(Invoices_Detail!$C$2:$C$201,Invoices_Detail!$A$2:$A$201=A32))</f>
        <v>TRX019, TRX020, TRX163</v>
      </c>
      <c r="D32" t="str" cm="1">
        <f t="array" ref="D32">_xlfn.TEXTJOIN("; ",TRUE,_xlfn._xlws.FILTER(Invoices_Detail!$D$2:$D$201,Invoices_Detail!$A$2:$A$201=A32))</f>
        <v>Helm Proyek; Gerinda Tangan; Lampu Sorot LED 100W</v>
      </c>
      <c r="E32" t="str" cm="1">
        <f t="array" ref="E32">_xlfn.TEXTJOIN(" + ",TRUE,_xlfn._xlws.FILTER(Invoices_Detail!$E$2:$E$201,Invoices_Detail!$A$2:$A$201=A32))</f>
        <v>20 + 18 + 10</v>
      </c>
      <c r="F32" t="str" cm="1">
        <f t="array" ref="F32">_xlfn.TEXTJOIN("; ",TRUE,_xlfn._xlws.FILTER(Invoices_Detail!$F$2:$F$201,Invoices_Detail!$A$2:$A$201=$A32))</f>
        <v>50000; 465000; 237000</v>
      </c>
      <c r="G32" t="str" cm="1">
        <f t="array" ref="G32">_xlfn.TEXTJOIN(" + ",TRUE,_xlfn._xlws.FILTER(Invoices_Detail!$G$2:$G$201,Invoices_Detail!$A$2:$A$201=$A32)) &amp; " = " &amp; SUM(_xlfn._xlws.FILTER(Invoices_Detail!G98:G100,Invoices_Detail!A98:A100=A32))</f>
        <v>1000000 + 8370000 + 2370000 = 11740000</v>
      </c>
      <c r="H32" t="str">
        <f>VLOOKUP(A32,InvoicesDetail[],8,0)</f>
        <v>Unpaid</v>
      </c>
      <c r="I32" t="s">
        <v>60</v>
      </c>
      <c r="J32" s="20"/>
    </row>
    <row r="33" spans="1:11" x14ac:dyDescent="0.25">
      <c r="A33" t="s">
        <v>305</v>
      </c>
      <c r="B33" s="20">
        <f>VLOOKUP(InvoicesDisplay[[#This Row],[Invoice ID]],InvoicesDetail[],2,0)</f>
        <v>45903</v>
      </c>
      <c r="C33" t="str" cm="1">
        <f t="array" ref="C33">_xlfn.TEXTJOIN(", ",TRUE,_xlfn._xlws.FILTER(Invoices_Detail!$C$2:$C$201,Invoices_Detail!$A$2:$A$201=A33))</f>
        <v>TRX016, TRX030, TRX071, TRX107</v>
      </c>
      <c r="D33" t="str" cm="1">
        <f t="array" ref="D33">_xlfn.TEXTJOIN("; ",TRUE,_xlfn._xlws.FILTER(Invoices_Detail!$D$2:$D$201,Invoices_Detail!$A$2:$A$201=A33))</f>
        <v>Gerinda Tangan; Helm Proyek; Pompa Air Industri; Rantai Besi 10m</v>
      </c>
      <c r="E33" t="str" cm="1">
        <f t="array" ref="E33">_xlfn.TEXTJOIN(" + ",TRUE,_xlfn._xlws.FILTER(Invoices_Detail!$E$2:$E$201,Invoices_Detail!$A$2:$A$201=A33))</f>
        <v>3 + 18 + 10 + 1</v>
      </c>
      <c r="F33" t="str" cm="1">
        <f t="array" ref="F33">_xlfn.TEXTJOIN("; ",TRUE,_xlfn._xlws.FILTER(Invoices_Detail!$F$2:$F$201,Invoices_Detail!$A$2:$A$201=$A33))</f>
        <v>465000; 50000; 4490000; 431000</v>
      </c>
      <c r="G33" t="str" cm="1">
        <f t="array" ref="G33">_xlfn.TEXTJOIN(" + ",TRUE,_xlfn._xlws.FILTER(Invoices_Detail!$G$2:$G$201,Invoices_Detail!$A$2:$A$201=$A33)) &amp; " = " &amp; SUM(_xlfn._xlws.FILTER(Invoices_Detail!G101:G104,Invoices_Detail!A101:A104=A33))</f>
        <v>1395000 + 900000 + 44900000 + 431000 = 47626000</v>
      </c>
      <c r="H33" t="str">
        <f>VLOOKUP(A33,InvoicesDetail[],8,0)</f>
        <v>Paid</v>
      </c>
      <c r="I33" t="s">
        <v>59</v>
      </c>
      <c r="J33" s="20"/>
    </row>
    <row r="34" spans="1:11" x14ac:dyDescent="0.25">
      <c r="A34" t="s">
        <v>306</v>
      </c>
      <c r="B34" s="20">
        <f>VLOOKUP(InvoicesDisplay[[#This Row],[Invoice ID]],InvoicesDetail[],2,0)</f>
        <v>45856</v>
      </c>
      <c r="C34" t="str" cm="1">
        <f t="array" ref="C34">_xlfn.TEXTJOIN(", ",TRUE,_xlfn._xlws.FILTER(Invoices_Detail!$C$2:$C$201,Invoices_Detail!$A$2:$A$201=A34))</f>
        <v>TRX027, TRX099, TRX100</v>
      </c>
      <c r="D34" t="str" cm="1">
        <f t="array" ref="D34">_xlfn.TEXTJOIN("; ",TRUE,_xlfn._xlws.FILTER(Invoices_Detail!$D$2:$D$201,Invoices_Detail!$A$2:$A$201=A34))</f>
        <v>Bor Tangan Listrik; Gerinda Tangan; Obeng Set</v>
      </c>
      <c r="E34" t="str" cm="1">
        <f t="array" ref="E34">_xlfn.TEXTJOIN(" + ",TRUE,_xlfn._xlws.FILTER(Invoices_Detail!$E$2:$E$201,Invoices_Detail!$A$2:$A$201=A34))</f>
        <v>10 + 12 + 1</v>
      </c>
      <c r="F34" t="str" cm="1">
        <f t="array" ref="F34">_xlfn.TEXTJOIN("; ",TRUE,_xlfn._xlws.FILTER(Invoices_Detail!$F$2:$F$201,Invoices_Detail!$A$2:$A$201=$A34))</f>
        <v>335500; 465000; 128000</v>
      </c>
      <c r="G34" t="str" cm="1">
        <f t="array" ref="G34">_xlfn.TEXTJOIN(" + ",TRUE,_xlfn._xlws.FILTER(Invoices_Detail!$G$2:$G$201,Invoices_Detail!$A$2:$A$201=$A34)) &amp; " = " &amp; SUM(_xlfn._xlws.FILTER(Invoices_Detail!G105:G107,Invoices_Detail!A105:A107=A34))</f>
        <v>3355000 + 5580000 + 128000 = 9063000</v>
      </c>
      <c r="H34" t="str">
        <f>VLOOKUP(A34,InvoicesDetail[],8,0)</f>
        <v>Unpaid</v>
      </c>
      <c r="I34" t="s">
        <v>58</v>
      </c>
      <c r="J34" s="20"/>
    </row>
    <row r="35" spans="1:11" x14ac:dyDescent="0.25">
      <c r="A35" t="s">
        <v>307</v>
      </c>
      <c r="B35" s="20">
        <f>VLOOKUP(InvoicesDisplay[[#This Row],[Invoice ID]],InvoicesDetail[],2,0)</f>
        <v>45839</v>
      </c>
      <c r="C35" t="str" cm="1">
        <f t="array" ref="C35">_xlfn.TEXTJOIN(", ",TRUE,_xlfn._xlws.FILTER(Invoices_Detail!$C$2:$C$201,Invoices_Detail!$A$2:$A$201=A35))</f>
        <v>TRX083, TRX127, TRX128</v>
      </c>
      <c r="D35" t="str" cm="1">
        <f t="array" ref="D35">_xlfn.TEXTJOIN("; ",TRUE,_xlfn._xlws.FILTER(Invoices_Detail!$D$2:$D$201,Invoices_Detail!$A$2:$A$201=A35))</f>
        <v>Lampu Sorot LED 100W; Paku 5cm (1 kg); Helm Proyek</v>
      </c>
      <c r="E35" t="str" cm="1">
        <f t="array" ref="E35">_xlfn.TEXTJOIN(" + ",TRUE,_xlfn._xlws.FILTER(Invoices_Detail!$E$2:$E$201,Invoices_Detail!$A$2:$A$201=A35))</f>
        <v>18 + 8 + 8</v>
      </c>
      <c r="F35" t="str" cm="1">
        <f t="array" ref="F35">_xlfn.TEXTJOIN("; ",TRUE,_xlfn._xlws.FILTER(Invoices_Detail!$F$2:$F$201,Invoices_Detail!$A$2:$A$201=$A35))</f>
        <v>237000; 13500; 50000</v>
      </c>
      <c r="G35" t="str" cm="1">
        <f t="array" ref="G35">_xlfn.TEXTJOIN(" + ",TRUE,_xlfn._xlws.FILTER(Invoices_Detail!$G$2:$G$201,Invoices_Detail!$A$2:$A$201=$A35)) &amp; " = " &amp; SUM(_xlfn._xlws.FILTER(Invoices_Detail!G108:G110,Invoices_Detail!A108:A110=A35))</f>
        <v>4266000 + 108000 + 400000 = 4774000</v>
      </c>
      <c r="H35" t="str">
        <f>VLOOKUP(A35,InvoicesDetail[],8,0)</f>
        <v>Paid</v>
      </c>
      <c r="I35" t="s">
        <v>65</v>
      </c>
      <c r="J35" s="20"/>
    </row>
    <row r="36" spans="1:11" x14ac:dyDescent="0.25">
      <c r="A36" t="s">
        <v>308</v>
      </c>
      <c r="B36" s="20">
        <f>VLOOKUP(InvoicesDisplay[[#This Row],[Invoice ID]],InvoicesDetail[],2,0)</f>
        <v>45842</v>
      </c>
      <c r="C36" t="str" cm="1">
        <f t="array" ref="C36">_xlfn.TEXTJOIN(", ",TRUE,_xlfn._xlws.FILTER(Invoices_Detail!$C$2:$C$201,Invoices_Detail!$A$2:$A$201=A36))</f>
        <v>TRX021, TRX172</v>
      </c>
      <c r="D36" t="str" cm="1">
        <f t="array" ref="D36">_xlfn.TEXTJOIN("; ",TRUE,_xlfn._xlws.FILTER(Invoices_Detail!$D$2:$D$201,Invoices_Detail!$A$2:$A$201=A36))</f>
        <v>Helm Proyek; Pipa PVC 4 inch (per batang)</v>
      </c>
      <c r="E36" t="str" cm="1">
        <f t="array" ref="E36">_xlfn.TEXTJOIN(" + ",TRUE,_xlfn._xlws.FILTER(Invoices_Detail!$E$2:$E$201,Invoices_Detail!$A$2:$A$201=A36))</f>
        <v>11 + 10</v>
      </c>
      <c r="F36" t="str" cm="1">
        <f t="array" ref="F36">_xlfn.TEXTJOIN("; ",TRUE,_xlfn._xlws.FILTER(Invoices_Detail!$F$2:$F$201,Invoices_Detail!$A$2:$A$201=$A36))</f>
        <v>50000; 260000</v>
      </c>
      <c r="G36" t="str" cm="1">
        <f t="array" ref="G36">_xlfn.TEXTJOIN(" + ",TRUE,_xlfn._xlws.FILTER(Invoices_Detail!$G$2:$G$201,Invoices_Detail!$A$2:$A$201=$A36)) &amp; " = " &amp; SUM(_xlfn._xlws.FILTER(Invoices_Detail!G111:G112,Invoices_Detail!A111:A112=A36))</f>
        <v>550000 + 2600000 = 3150000</v>
      </c>
      <c r="H36" t="str">
        <f>VLOOKUP(A36,InvoicesDetail[],8,0)</f>
        <v>Unpaid</v>
      </c>
      <c r="I36" t="s">
        <v>65</v>
      </c>
      <c r="J36" s="20"/>
    </row>
    <row r="37" spans="1:11" x14ac:dyDescent="0.25">
      <c r="A37" t="s">
        <v>309</v>
      </c>
      <c r="B37" s="20">
        <f>VLOOKUP(InvoicesDisplay[[#This Row],[Invoice ID]],InvoicesDetail[],2,0)</f>
        <v>45920</v>
      </c>
      <c r="C37" t="str" cm="1">
        <f t="array" ref="C37">_xlfn.TEXTJOIN(", ",TRUE,_xlfn._xlws.FILTER(Invoices_Detail!$C$2:$C$201,Invoices_Detail!$A$2:$A$201=A37))</f>
        <v>TRX154, TRX181, TRX189</v>
      </c>
      <c r="D37" t="str" cm="1">
        <f t="array" ref="D37">_xlfn.TEXTJOIN("; ",TRUE,_xlfn._xlws.FILTER(Invoices_Detail!$D$2:$D$201,Invoices_Detail!$A$2:$A$201=A37))</f>
        <v>Helm Proyek; Genset Portable 1000W; Jaket Safety</v>
      </c>
      <c r="E37" t="str" cm="1">
        <f t="array" ref="E37">_xlfn.TEXTJOIN(" + ",TRUE,_xlfn._xlws.FILTER(Invoices_Detail!$E$2:$E$201,Invoices_Detail!$A$2:$A$201=A37))</f>
        <v>3 + 5 + 8</v>
      </c>
      <c r="F37" t="str" cm="1">
        <f t="array" ref="F37">_xlfn.TEXTJOIN("; ",TRUE,_xlfn._xlws.FILTER(Invoices_Detail!$F$2:$F$201,Invoices_Detail!$A$2:$A$201=$A37))</f>
        <v>50000; 3134000; 245000</v>
      </c>
      <c r="G37" t="str" cm="1">
        <f t="array" ref="G37">_xlfn.TEXTJOIN(" + ",TRUE,_xlfn._xlws.FILTER(Invoices_Detail!$G$2:$G$201,Invoices_Detail!$A$2:$A$201=$A37)) &amp; " = " &amp; SUM(_xlfn._xlws.FILTER(Invoices_Detail!G113:G115,Invoices_Detail!A113:A115=A37))</f>
        <v>150000 + 15670000 + 1960000 = 17780000</v>
      </c>
      <c r="H37" t="str">
        <f>VLOOKUP(A37,InvoicesDetail[],8,0)</f>
        <v>Paid</v>
      </c>
      <c r="I37" t="s">
        <v>66</v>
      </c>
      <c r="J37" s="20"/>
    </row>
    <row r="38" spans="1:11" x14ac:dyDescent="0.25">
      <c r="A38" t="s">
        <v>276</v>
      </c>
      <c r="B38" s="20">
        <f>VLOOKUP(InvoicesDisplay[[#This Row],[Invoice ID]],InvoicesDetail[],2,0)</f>
        <v>45849</v>
      </c>
      <c r="C38" t="str" cm="1">
        <f t="array" ref="C38">_xlfn.TEXTJOIN(", ",TRUE,_xlfn._xlws.FILTER(Invoices_Detail!$C$2:$C$201,Invoices_Detail!$A$2:$A$201=A38))</f>
        <v>TRX017, TRX018, TRX153</v>
      </c>
      <c r="D38" t="str" cm="1">
        <f t="array" ref="D38">_xlfn.TEXTJOIN("; ",TRUE,_xlfn._xlws.FILTER(Invoices_Detail!$D$2:$D$201,Invoices_Detail!$A$2:$A$201=A38))</f>
        <v>Cat Minyak 5L; Obeng Set; Pompa Air Industri</v>
      </c>
      <c r="E38" t="str" cm="1">
        <f t="array" ref="E38">_xlfn.TEXTJOIN(" + ",TRUE,_xlfn._xlws.FILTER(Invoices_Detail!$E$2:$E$201,Invoices_Detail!$A$2:$A$201=A38))</f>
        <v>16 + 15 + 7</v>
      </c>
      <c r="F38" t="str" cm="1">
        <f t="array" ref="F38">_xlfn.TEXTJOIN("; ",TRUE,_xlfn._xlws.FILTER(Invoices_Detail!$F$2:$F$201,Invoices_Detail!$A$2:$A$201=$A38))</f>
        <v>135500; 128000; 4490000</v>
      </c>
      <c r="G38" t="str" cm="1">
        <f t="array" ref="G38">_xlfn.TEXTJOIN(" + ",TRUE,_xlfn._xlws.FILTER(Invoices_Detail!$G$2:$G$201,Invoices_Detail!$A$2:$A$201=$A38)) &amp; " = " &amp; SUM(_xlfn._xlws.FILTER(Invoices_Detail!G116:G118,Invoices_Detail!A116:A118=A38))</f>
        <v>2168000 + 1920000 + 31430000 = 35518000</v>
      </c>
      <c r="H38" t="str">
        <f>VLOOKUP(A38,InvoicesDetail[],8,0)</f>
        <v>Paid</v>
      </c>
      <c r="I38" t="s">
        <v>58</v>
      </c>
      <c r="J38" s="20"/>
    </row>
    <row r="39" spans="1:11" x14ac:dyDescent="0.25">
      <c r="A39" t="s">
        <v>277</v>
      </c>
      <c r="B39" s="20">
        <f>VLOOKUP(InvoicesDisplay[[#This Row],[Invoice ID]],InvoicesDetail[],2,0)</f>
        <v>45845</v>
      </c>
      <c r="C39" t="str" cm="1">
        <f t="array" ref="C39">_xlfn.TEXTJOIN(", ",TRUE,_xlfn._xlws.FILTER(Invoices_Detail!$C$2:$C$201,Invoices_Detail!$A$2:$A$201=A39))</f>
        <v>TRX088, TRX164</v>
      </c>
      <c r="D39" t="str" cm="1">
        <f t="array" ref="D39">_xlfn.TEXTJOIN("; ",TRUE,_xlfn._xlws.FILTER(Invoices_Detail!$D$2:$D$201,Invoices_Detail!$A$2:$A$201=A39))</f>
        <v>Lampu Sorot LED 100W; Cat Tembok 1 kg</v>
      </c>
      <c r="E39" t="str" cm="1">
        <f t="array" ref="E39">_xlfn.TEXTJOIN(" + ",TRUE,_xlfn._xlws.FILTER(Invoices_Detail!$E$2:$E$201,Invoices_Detail!$A$2:$A$201=A39))</f>
        <v>5 + 12</v>
      </c>
      <c r="F39" t="str" cm="1">
        <f t="array" ref="F39">_xlfn.TEXTJOIN("; ",TRUE,_xlfn._xlws.FILTER(Invoices_Detail!$F$2:$F$201,Invoices_Detail!$A$2:$A$201=$A39))</f>
        <v>237000; 31000</v>
      </c>
      <c r="G39" t="str" cm="1">
        <f t="array" ref="G39">_xlfn.TEXTJOIN(" + ",TRUE,_xlfn._xlws.FILTER(Invoices_Detail!$G$2:$G$201,Invoices_Detail!$A$2:$A$201=$A39)) &amp; " = " &amp; SUM(_xlfn._xlws.FILTER(Invoices_Detail!G119:G120,Invoices_Detail!A119:A120=A39))</f>
        <v>1185000 + 372000 = 1557000</v>
      </c>
      <c r="H39" t="str">
        <f>VLOOKUP(A39,InvoicesDetail[],8,0)</f>
        <v>Paid</v>
      </c>
      <c r="I39" t="s">
        <v>63</v>
      </c>
      <c r="J39" s="20"/>
    </row>
    <row r="40" spans="1:11" x14ac:dyDescent="0.25">
      <c r="A40" t="s">
        <v>310</v>
      </c>
      <c r="B40" s="20">
        <f>VLOOKUP(InvoicesDisplay[[#This Row],[Invoice ID]],InvoicesDetail[],2,0)</f>
        <v>45897</v>
      </c>
      <c r="C40" t="str" cm="1">
        <f t="array" ref="C40">_xlfn.TEXTJOIN(", ",TRUE,_xlfn._xlws.FILTER(Invoices_Detail!$C$2:$C$201,Invoices_Detail!$A$2:$A$201=A40))</f>
        <v>TRX067, TRX182</v>
      </c>
      <c r="D40" t="str" cm="1">
        <f t="array" ref="D40">_xlfn.TEXTJOIN("; ",TRUE,_xlfn._xlws.FILTER(Invoices_Detail!$D$2:$D$201,Invoices_Detail!$A$2:$A$201=A40))</f>
        <v>Mesin Potong Besi; Rantai Besi 10m</v>
      </c>
      <c r="E40" t="str" cm="1">
        <f t="array" ref="E40">_xlfn.TEXTJOIN(" + ",TRUE,_xlfn._xlws.FILTER(Invoices_Detail!$E$2:$E$201,Invoices_Detail!$A$2:$A$201=A40))</f>
        <v>1 + 12</v>
      </c>
      <c r="F40" t="str" cm="1">
        <f t="array" ref="F40">_xlfn.TEXTJOIN("; ",TRUE,_xlfn._xlws.FILTER(Invoices_Detail!$F$2:$F$201,Invoices_Detail!$A$2:$A$201=$A40))</f>
        <v>3200000; 431000</v>
      </c>
      <c r="G40" t="str" cm="1">
        <f t="array" ref="G40">_xlfn.TEXTJOIN(" + ",TRUE,_xlfn._xlws.FILTER(Invoices_Detail!$G$2:$G$201,Invoices_Detail!$A$2:$A$201=$A40)) &amp; " = " &amp; SUM(_xlfn._xlws.FILTER(Invoices_Detail!G121:G122,Invoices_Detail!A121:A122=A40))</f>
        <v>3200000 + 5172000 = 8372000</v>
      </c>
      <c r="H40" t="str">
        <f>VLOOKUP(A40,InvoicesDetail[],8,0)</f>
        <v>Unpaid</v>
      </c>
      <c r="I40" t="s">
        <v>60</v>
      </c>
      <c r="J40" s="20"/>
      <c r="K40" s="1"/>
    </row>
    <row r="41" spans="1:11" x14ac:dyDescent="0.25">
      <c r="A41" t="s">
        <v>311</v>
      </c>
      <c r="B41" s="20">
        <f>VLOOKUP(InvoicesDisplay[[#This Row],[Invoice ID]],InvoicesDetail[],2,0)</f>
        <v>45916</v>
      </c>
      <c r="C41" t="str" cm="1">
        <f t="array" ref="C41">_xlfn.TEXTJOIN(", ",TRUE,_xlfn._xlws.FILTER(Invoices_Detail!$C$2:$C$201,Invoices_Detail!$A$2:$A$201=A41))</f>
        <v>TRX175</v>
      </c>
      <c r="D41" t="str" cm="1">
        <f t="array" ref="D41">_xlfn.TEXTJOIN("; ",TRUE,_xlfn._xlws.FILTER(Invoices_Detail!$D$2:$D$201,Invoices_Detail!$A$2:$A$201=A41))</f>
        <v>Gerinda Tangan</v>
      </c>
      <c r="E41" t="str" cm="1">
        <f t="array" ref="E41">_xlfn.TEXTJOIN(" + ",TRUE,_xlfn._xlws.FILTER(Invoices_Detail!$E$2:$E$201,Invoices_Detail!$A$2:$A$201=A41))</f>
        <v>18</v>
      </c>
      <c r="F41" t="str" cm="1">
        <f t="array" ref="F41">_xlfn.TEXTJOIN("; ",TRUE,_xlfn._xlws.FILTER(Invoices_Detail!$F$2:$F$201,Invoices_Detail!$A$2:$A$201=$A41))</f>
        <v>465000</v>
      </c>
      <c r="G41" t="str" cm="1">
        <f t="array" ref="G41">_xlfn.TEXTJOIN(" + ",TRUE,_xlfn._xlws.FILTER(Invoices_Detail!$G$2:$G$201,Invoices_Detail!$A$2:$A$201=$A41))</f>
        <v>8370000</v>
      </c>
      <c r="H41" t="str">
        <f>VLOOKUP(A41,InvoicesDetail[],8,0)</f>
        <v>Paid</v>
      </c>
      <c r="I41" t="s">
        <v>65</v>
      </c>
      <c r="J41" s="20"/>
    </row>
    <row r="42" spans="1:11" x14ac:dyDescent="0.25">
      <c r="A42" t="s">
        <v>278</v>
      </c>
      <c r="B42" s="20">
        <f>VLOOKUP(InvoicesDisplay[[#This Row],[Invoice ID]],InvoicesDetail[],2,0)</f>
        <v>45867</v>
      </c>
      <c r="C42" t="str" cm="1">
        <f t="array" ref="C42">_xlfn.TEXTJOIN(", ",TRUE,_xlfn._xlws.FILTER(Invoices_Detail!$C$2:$C$201,Invoices_Detail!$A$2:$A$201=A42))</f>
        <v>TRX022, TRX134, TRX135, TRX155</v>
      </c>
      <c r="D42" t="str" cm="1">
        <f t="array" ref="D42">_xlfn.TEXTJOIN("; ",TRUE,_xlfn._xlws.FILTER(Invoices_Detail!$D$2:$D$201,Invoices_Detail!$A$2:$A$201=A42))</f>
        <v>Pipa PVC 4 inch (per batang); Pompa Air Industri; Mesin Las Listrik; Genset Portable 1000W</v>
      </c>
      <c r="E42" t="str" cm="1">
        <f t="array" ref="E42">_xlfn.TEXTJOIN(" + ",TRUE,_xlfn._xlws.FILTER(Invoices_Detail!$E$2:$E$201,Invoices_Detail!$A$2:$A$201=A42))</f>
        <v>13 + 8 + 4 + 5</v>
      </c>
      <c r="F42" t="str" cm="1">
        <f t="array" ref="F42">_xlfn.TEXTJOIN("; ",TRUE,_xlfn._xlws.FILTER(Invoices_Detail!$F$2:$F$201,Invoices_Detail!$A$2:$A$201=$A42))</f>
        <v>260000; 4490000; 2296000; 3134000</v>
      </c>
      <c r="G42" t="str" cm="1">
        <f t="array" ref="G42">_xlfn.TEXTJOIN(" + ",TRUE,_xlfn._xlws.FILTER(Invoices_Detail!$G$2:$G$201,Invoices_Detail!$A$2:$A$201=$A42)) &amp; " = " &amp; SUM(_xlfn._xlws.FILTER(Invoices_Detail!G124:G127,Invoices_Detail!A124:A127=A42))</f>
        <v>3380000 + 35920000 + 9184000 + 15670000 = 64154000</v>
      </c>
      <c r="H42" t="str">
        <f>VLOOKUP(A42,InvoicesDetail[],8,0)</f>
        <v>Unpaid</v>
      </c>
      <c r="I42" t="s">
        <v>62</v>
      </c>
      <c r="J42" s="20"/>
    </row>
    <row r="43" spans="1:11" x14ac:dyDescent="0.25">
      <c r="A43" t="s">
        <v>312</v>
      </c>
      <c r="B43" s="20">
        <f>VLOOKUP(InvoicesDisplay[[#This Row],[Invoice ID]],InvoicesDetail[],2,0)</f>
        <v>45867</v>
      </c>
      <c r="C43" t="str" cm="1">
        <f t="array" ref="C43">_xlfn.TEXTJOIN(", ",TRUE,_xlfn._xlws.FILTER(Invoices_Detail!$C$2:$C$201,Invoices_Detail!$A$2:$A$201=A43))</f>
        <v>TRX053, TRX054, TRX151</v>
      </c>
      <c r="D43" t="str" cm="1">
        <f t="array" ref="D43">_xlfn.TEXTJOIN("; ",TRUE,_xlfn._xlws.FILTER(Invoices_Detail!$D$2:$D$201,Invoices_Detail!$A$2:$A$201=A43))</f>
        <v>Mesin Las Listrik; Rantai Besi 10m; Jaket Safety</v>
      </c>
      <c r="E43" t="str" cm="1">
        <f t="array" ref="E43">_xlfn.TEXTJOIN(" + ",TRUE,_xlfn._xlws.FILTER(Invoices_Detail!$E$2:$E$201,Invoices_Detail!$A$2:$A$201=A43))</f>
        <v>9 + 11 + 4</v>
      </c>
      <c r="F43" t="str" cm="1">
        <f t="array" ref="F43">_xlfn.TEXTJOIN("; ",TRUE,_xlfn._xlws.FILTER(Invoices_Detail!$F$2:$F$201,Invoices_Detail!$A$2:$A$201=$A43))</f>
        <v>2296000; 431000; 245000</v>
      </c>
      <c r="G43" t="str" cm="1">
        <f t="array" ref="G43">_xlfn.TEXTJOIN(" + ",TRUE,_xlfn._xlws.FILTER(Invoices_Detail!$G$2:$G$201,Invoices_Detail!$A$2:$A$201=$A43)) &amp; " = " &amp; SUM(_xlfn._xlws.FILTER(Invoices_Detail!G128:G130,Invoices_Detail!A128:A130=A43))</f>
        <v>20664000 + 4741000 + 980000 = 26385000</v>
      </c>
      <c r="H43" t="str">
        <f>VLOOKUP(A43,InvoicesDetail[],8,0)</f>
        <v>Paid</v>
      </c>
      <c r="I43" t="s">
        <v>60</v>
      </c>
      <c r="J43" s="20"/>
    </row>
    <row r="44" spans="1:11" x14ac:dyDescent="0.25">
      <c r="A44" t="s">
        <v>313</v>
      </c>
      <c r="B44" s="20">
        <f>VLOOKUP(InvoicesDisplay[[#This Row],[Invoice ID]],InvoicesDetail[],2,0)</f>
        <v>45880</v>
      </c>
      <c r="C44" t="str" cm="1">
        <f t="array" ref="C44">_xlfn.TEXTJOIN(", ",TRUE,_xlfn._xlws.FILTER(Invoices_Detail!$C$2:$C$201,Invoices_Detail!$A$2:$A$201=A44))</f>
        <v>TRX005, TRX025, TRX072, TRX087, TRX126</v>
      </c>
      <c r="D44" t="str" cm="1">
        <f t="array" ref="D44">_xlfn.TEXTJOIN("; ",TRUE,_xlfn._xlws.FILTER(Invoices_Detail!$D$2:$D$201,Invoices_Detail!$A$2:$A$201=A44))</f>
        <v>Pompa Air Industri; Rantai Besi 10m; Tangga Lipat Alumunium; Cat Minyak 5L; Sarung Tangan Katun</v>
      </c>
      <c r="E44" t="str" cm="1">
        <f t="array" ref="E44">_xlfn.TEXTJOIN(" + ",TRUE,_xlfn._xlws.FILTER(Invoices_Detail!$E$2:$E$201,Invoices_Detail!$A$2:$A$201=A44))</f>
        <v>7 + 6 + 12 + 10 + 14</v>
      </c>
      <c r="F44" t="str" cm="1">
        <f t="array" ref="F44">_xlfn.TEXTJOIN("; ",TRUE,_xlfn._xlws.FILTER(Invoices_Detail!$F$2:$F$201,Invoices_Detail!$A$2:$A$201=$A44))</f>
        <v>4490000; 431000; 420000; 135500; 20000</v>
      </c>
      <c r="G44" t="str" cm="1">
        <f t="array" ref="G44">_xlfn.TEXTJOIN(" + ",TRUE,_xlfn._xlws.FILTER(Invoices_Detail!$G$2:$G$201,Invoices_Detail!$A$2:$A$201=$A44)) &amp; " = " &amp; SUM(_xlfn._xlws.FILTER(Invoices_Detail!G131:G135,Invoices_Detail!A131:A135=A44))</f>
        <v>31430000 + 2586000 + 5040000 + 1355000 + 280000 = 40691000</v>
      </c>
      <c r="H44" t="str">
        <f>VLOOKUP(A44,InvoicesDetail[],8,0)</f>
        <v>Unpaid</v>
      </c>
      <c r="I44" t="s">
        <v>65</v>
      </c>
      <c r="J44" s="20"/>
    </row>
    <row r="45" spans="1:11" x14ac:dyDescent="0.25">
      <c r="A45" t="s">
        <v>314</v>
      </c>
      <c r="B45" s="20">
        <f>VLOOKUP(InvoicesDisplay[[#This Row],[Invoice ID]],InvoicesDetail[],2,0)</f>
        <v>45874</v>
      </c>
      <c r="C45" t="str" cm="1">
        <f t="array" ref="C45">_xlfn.TEXTJOIN(", ",TRUE,_xlfn._xlws.FILTER(Invoices_Detail!$C$2:$C$201,Invoices_Detail!$A$2:$A$201=A45))</f>
        <v>TRX068, TRX073, TRX156</v>
      </c>
      <c r="D45" t="str" cm="1">
        <f t="array" ref="D45">_xlfn.TEXTJOIN("; ",TRUE,_xlfn._xlws.FILTER(Invoices_Detail!$D$2:$D$201,Invoices_Detail!$A$2:$A$201=A45))</f>
        <v>Masker Safety Box (isi 50); Sarung Tangan Katun; Bor Tangan Listrik</v>
      </c>
      <c r="E45" t="str" cm="1">
        <f t="array" ref="E45">_xlfn.TEXTJOIN(" + ",TRUE,_xlfn._xlws.FILTER(Invoices_Detail!$E$2:$E$201,Invoices_Detail!$A$2:$A$201=A45))</f>
        <v>16 + 15 + 5</v>
      </c>
      <c r="F45" t="str" cm="1">
        <f t="array" ref="F45">_xlfn.TEXTJOIN("; ",TRUE,_xlfn._xlws.FILTER(Invoices_Detail!$F$2:$F$201,Invoices_Detail!$A$2:$A$201=$A45))</f>
        <v>11500; 20000; 335500</v>
      </c>
      <c r="G45" t="str" cm="1">
        <f t="array" ref="G45">_xlfn.TEXTJOIN(" + ",TRUE,_xlfn._xlws.FILTER(Invoices_Detail!$G$2:$G$201,Invoices_Detail!$A$2:$A$201=$A45)) &amp; " = " &amp; SUM(_xlfn._xlws.FILTER(Invoices_Detail!G136:G138,Invoices_Detail!A136:A138=A45))</f>
        <v>184000 + 300000 + 1677500 = 2161500</v>
      </c>
      <c r="H45" t="str">
        <f>VLOOKUP(A45,InvoicesDetail[],8,0)</f>
        <v>Unpaid</v>
      </c>
      <c r="I45" t="s">
        <v>113</v>
      </c>
      <c r="J45" s="20"/>
    </row>
    <row r="46" spans="1:11" x14ac:dyDescent="0.25">
      <c r="A46" t="s">
        <v>315</v>
      </c>
      <c r="B46" s="20">
        <f>VLOOKUP(InvoicesDisplay[[#This Row],[Invoice ID]],InvoicesDetail[],2,0)</f>
        <v>45843</v>
      </c>
      <c r="C46" t="str" cm="1">
        <f t="array" ref="C46">_xlfn.TEXTJOIN(", ",TRUE,_xlfn._xlws.FILTER(Invoices_Detail!$C$2:$C$201,Invoices_Detail!$A$2:$A$201=A46))</f>
        <v>TRX006, TRX146, TRX176</v>
      </c>
      <c r="D46" t="str" cm="1">
        <f t="array" ref="D46">_xlfn.TEXTJOIN("; ",TRUE,_xlfn._xlws.FILTER(Invoices_Detail!$D$2:$D$201,Invoices_Detail!$A$2:$A$201=A46))</f>
        <v>Rantai Besi 10m; Masker Safety Box (isi 50); Mesin Las Listrik</v>
      </c>
      <c r="E46" t="str" cm="1">
        <f t="array" ref="E46">_xlfn.TEXTJOIN(" + ",TRUE,_xlfn._xlws.FILTER(Invoices_Detail!$E$2:$E$201,Invoices_Detail!$A$2:$A$201=A46))</f>
        <v>14 + 20 + 18</v>
      </c>
      <c r="F46" t="str" cm="1">
        <f t="array" ref="F46">_xlfn.TEXTJOIN("; ",TRUE,_xlfn._xlws.FILTER(Invoices_Detail!$F$2:$F$201,Invoices_Detail!$A$2:$A$201=$A46))</f>
        <v>431000; 11500; 2296000</v>
      </c>
      <c r="G46" t="str" cm="1">
        <f t="array" ref="G46">_xlfn.TEXTJOIN(" + ",TRUE,_xlfn._xlws.FILTER(Invoices_Detail!$G$2:$G$201,Invoices_Detail!$A$2:$A$201=$A46)) &amp; " = " &amp; SUM(_xlfn._xlws.FILTER(Invoices_Detail!G139:G141,Invoices_Detail!A139:A141=A46))</f>
        <v>6034000 + 230000 + 41328000 = 47592000</v>
      </c>
      <c r="H46" t="str">
        <f>VLOOKUP(A46,InvoicesDetail[],8,0)</f>
        <v>Paid</v>
      </c>
      <c r="I46" t="s">
        <v>58</v>
      </c>
      <c r="J46" s="20"/>
    </row>
    <row r="47" spans="1:11" x14ac:dyDescent="0.25">
      <c r="A47" t="s">
        <v>279</v>
      </c>
      <c r="B47" s="20">
        <f>VLOOKUP(InvoicesDisplay[[#This Row],[Invoice ID]],InvoicesDetail[],2,0)</f>
        <v>45897</v>
      </c>
      <c r="C47" t="str" cm="1">
        <f t="array" ref="C47">_xlfn.TEXTJOIN(", ",TRUE,_xlfn._xlws.FILTER(Invoices_Detail!$C$2:$C$201,Invoices_Detail!$A$2:$A$201=A47))</f>
        <v>TRX055, TRX147, TRX148, TRX186</v>
      </c>
      <c r="D47" t="str" cm="1">
        <f t="array" ref="D47">_xlfn.TEXTJOIN("; ",TRUE,_xlfn._xlws.FILTER(Invoices_Detail!$D$2:$D$201,Invoices_Detail!$A$2:$A$201=A47))</f>
        <v>Cat Tembok 1 kg; Sarung Tangan Katun; Helm Proyek; Paku 5cm (1 kg)</v>
      </c>
      <c r="E47" t="str" cm="1">
        <f t="array" ref="E47">_xlfn.TEXTJOIN(" + ",TRUE,_xlfn._xlws.FILTER(Invoices_Detail!$E$2:$E$201,Invoices_Detail!$A$2:$A$201=A47))</f>
        <v>16 + 18 + 5 + 19</v>
      </c>
      <c r="F47" t="str" cm="1">
        <f t="array" ref="F47">_xlfn.TEXTJOIN("; ",TRUE,_xlfn._xlws.FILTER(Invoices_Detail!$F$2:$F$201,Invoices_Detail!$A$2:$A$201=$A47))</f>
        <v>31000; 20000; 50000; 13500</v>
      </c>
      <c r="G47" t="str" cm="1">
        <f t="array" ref="G47">_xlfn.TEXTJOIN(" + ",TRUE,_xlfn._xlws.FILTER(Invoices_Detail!$G$2:$G$201,Invoices_Detail!$A$2:$A$201=$A47)) &amp; " = " &amp; SUM(_xlfn._xlws.FILTER(Invoices_Detail!G142:G145,Invoices_Detail!A142:A145=A47))</f>
        <v>496000 + 360000 + 250000 + 256500 = 1362500</v>
      </c>
      <c r="H47" t="str">
        <f>VLOOKUP(A47,InvoicesDetail[],8,0)</f>
        <v>Paid</v>
      </c>
      <c r="I47" t="s">
        <v>59</v>
      </c>
      <c r="J47" s="20"/>
      <c r="K47" s="1"/>
    </row>
    <row r="48" spans="1:11" x14ac:dyDescent="0.25">
      <c r="A48" t="s">
        <v>316</v>
      </c>
      <c r="B48" s="20">
        <f>VLOOKUP(InvoicesDisplay[[#This Row],[Invoice ID]],InvoicesDetail[],2,0)</f>
        <v>45894</v>
      </c>
      <c r="C48" t="str" cm="1">
        <f t="array" ref="C48">_xlfn.TEXTJOIN(", ",TRUE,_xlfn._xlws.FILTER(Invoices_Detail!$C$2:$C$201,Invoices_Detail!$A$2:$A$201=A48))</f>
        <v>TRX052, TRX074</v>
      </c>
      <c r="D48" t="str" cm="1">
        <f t="array" ref="D48">_xlfn.TEXTJOIN("; ",TRUE,_xlfn._xlws.FILTER(Invoices_Detail!$D$2:$D$201,Invoices_Detail!$A$2:$A$201=A48))</f>
        <v>Bor Tangan Listrik; Rantai Besi 10m</v>
      </c>
      <c r="E48" t="str" cm="1">
        <f t="array" ref="E48">_xlfn.TEXTJOIN(" + ",TRUE,_xlfn._xlws.FILTER(Invoices_Detail!$E$2:$E$201,Invoices_Detail!$A$2:$A$201=A48))</f>
        <v>7 + 17</v>
      </c>
      <c r="F48" t="str" cm="1">
        <f t="array" ref="F48">_xlfn.TEXTJOIN("; ",TRUE,_xlfn._xlws.FILTER(Invoices_Detail!$F$2:$F$201,Invoices_Detail!$A$2:$A$201=$A48))</f>
        <v>335500; 431000</v>
      </c>
      <c r="G48" t="str" cm="1">
        <f t="array" ref="G48">_xlfn.TEXTJOIN(" + ",TRUE,_xlfn._xlws.FILTER(Invoices_Detail!$G$2:$G$201,Invoices_Detail!$A$2:$A$201=$A48)) &amp; " = " &amp; SUM(_xlfn._xlws.FILTER(Invoices_Detail!G146:G147,Invoices_Detail!A146:A147=A48))</f>
        <v>2348500 + 7327000 = 9675500</v>
      </c>
      <c r="H48" t="str">
        <f>VLOOKUP(A48,InvoicesDetail[],8,0)</f>
        <v>Unpaid</v>
      </c>
      <c r="I48" t="s">
        <v>59</v>
      </c>
      <c r="J48" s="20"/>
    </row>
    <row r="49" spans="1:11" x14ac:dyDescent="0.25">
      <c r="A49" t="s">
        <v>317</v>
      </c>
      <c r="B49" s="20">
        <f>VLOOKUP(InvoicesDisplay[[#This Row],[Invoice ID]],InvoicesDetail[],2,0)</f>
        <v>45891</v>
      </c>
      <c r="C49" t="str" cm="1">
        <f t="array" ref="C49">_xlfn.TEXTJOIN(", ",TRUE,_xlfn._xlws.FILTER(Invoices_Detail!$C$2:$C$201,Invoices_Detail!$A$2:$A$201=A49))</f>
        <v>TRX063</v>
      </c>
      <c r="D49" t="str" cm="1">
        <f t="array" ref="D49">_xlfn.TEXTJOIN("; ",TRUE,_xlfn._xlws.FILTER(Invoices_Detail!$D$2:$D$201,Invoices_Detail!$A$2:$A$201=A49))</f>
        <v>Pipa PVC 4 inch (per batang)</v>
      </c>
      <c r="E49" t="str" cm="1">
        <f t="array" ref="E49">_xlfn.TEXTJOIN(" + ",TRUE,_xlfn._xlws.FILTER(Invoices_Detail!$E$2:$E$201,Invoices_Detail!$A$2:$A$201=A49))</f>
        <v>19</v>
      </c>
      <c r="F49" t="str" cm="1">
        <f t="array" ref="F49">_xlfn.TEXTJOIN("; ",TRUE,_xlfn._xlws.FILTER(Invoices_Detail!$F$2:$F$201,Invoices_Detail!$A$2:$A$201=$A49))</f>
        <v>260000</v>
      </c>
      <c r="G49" t="str" cm="1">
        <f t="array" ref="G49">_xlfn.TEXTJOIN(" + ",TRUE,_xlfn._xlws.FILTER(Invoices_Detail!$G$2:$G$201,Invoices_Detail!$A$2:$A$201=$A49))</f>
        <v>4940000</v>
      </c>
      <c r="H49" t="str">
        <f>VLOOKUP(A49,InvoicesDetail[],8,0)</f>
        <v>Unpaid</v>
      </c>
      <c r="I49" t="s">
        <v>62</v>
      </c>
      <c r="J49" s="20"/>
    </row>
    <row r="50" spans="1:11" x14ac:dyDescent="0.25">
      <c r="A50" t="s">
        <v>318</v>
      </c>
      <c r="B50" s="20">
        <f>VLOOKUP(InvoicesDisplay[[#This Row],[Invoice ID]],InvoicesDetail[],2,0)</f>
        <v>45868</v>
      </c>
      <c r="C50" t="str" cm="1">
        <f t="array" ref="C50">_xlfn.TEXTJOIN(", ",TRUE,_xlfn._xlws.FILTER(Invoices_Detail!$C$2:$C$201,Invoices_Detail!$A$2:$A$201=A50))</f>
        <v>TRX009, TRX012, TRX192</v>
      </c>
      <c r="D50" t="str" cm="1">
        <f t="array" ref="D50">_xlfn.TEXTJOIN("; ",TRUE,_xlfn._xlws.FILTER(Invoices_Detail!$D$2:$D$201,Invoices_Detail!$A$2:$A$201=A50))</f>
        <v>Sarung Tangan Katun; Helm Proyek; Pompa Air Industri</v>
      </c>
      <c r="E50" t="str" cm="1">
        <f t="array" ref="E50">_xlfn.TEXTJOIN(" + ",TRUE,_xlfn._xlws.FILTER(Invoices_Detail!$E$2:$E$201,Invoices_Detail!$A$2:$A$201=A50))</f>
        <v>16 + 5 + 1</v>
      </c>
      <c r="F50" t="str" cm="1">
        <f t="array" ref="F50">_xlfn.TEXTJOIN("; ",TRUE,_xlfn._xlws.FILTER(Invoices_Detail!$F$2:$F$201,Invoices_Detail!$A$2:$A$201=$A50))</f>
        <v>20000; 50000; 4490000</v>
      </c>
      <c r="G50" t="str" cm="1">
        <f t="array" ref="G50">_xlfn.TEXTJOIN(" + ",TRUE,_xlfn._xlws.FILTER(Invoices_Detail!$G$2:$G$201,Invoices_Detail!$A$2:$A$201=$A50)) &amp; " = " &amp; SUM(_xlfn._xlws.FILTER(Invoices_Detail!G149:G151,Invoices_Detail!A149:A151=A50))</f>
        <v>320000 + 250000 + 4490000 = 5060000</v>
      </c>
      <c r="H50" t="str">
        <f>VLOOKUP(A50,InvoicesDetail[],8,0)</f>
        <v>Unpaid</v>
      </c>
      <c r="I50" t="s">
        <v>65</v>
      </c>
      <c r="J50" s="20"/>
    </row>
    <row r="51" spans="1:11" x14ac:dyDescent="0.25">
      <c r="A51" t="s">
        <v>319</v>
      </c>
      <c r="B51" s="20">
        <f>VLOOKUP(InvoicesDisplay[[#This Row],[Invoice ID]],InvoicesDetail[],2,0)</f>
        <v>45922</v>
      </c>
      <c r="C51" t="str" cm="1">
        <f t="array" ref="C51">_xlfn.TEXTJOIN(", ",TRUE,_xlfn._xlws.FILTER(Invoices_Detail!$C$2:$C$201,Invoices_Detail!$A$2:$A$201=A51))</f>
        <v>TRX108, TRX177</v>
      </c>
      <c r="D51" t="str" cm="1">
        <f t="array" ref="D51">_xlfn.TEXTJOIN("; ",TRUE,_xlfn._xlws.FILTER(Invoices_Detail!$D$2:$D$201,Invoices_Detail!$A$2:$A$201=A51))</f>
        <v>Cat Minyak 5L; Mesin Potong Besi</v>
      </c>
      <c r="E51" t="str" cm="1">
        <f t="array" ref="E51">_xlfn.TEXTJOIN(" + ",TRUE,_xlfn._xlws.FILTER(Invoices_Detail!$E$2:$E$201,Invoices_Detail!$A$2:$A$201=A51))</f>
        <v>7 + 7</v>
      </c>
      <c r="F51" t="str" cm="1">
        <f t="array" ref="F51">_xlfn.TEXTJOIN("; ",TRUE,_xlfn._xlws.FILTER(Invoices_Detail!$F$2:$F$201,Invoices_Detail!$A$2:$A$201=$A51))</f>
        <v>135500; 3200000</v>
      </c>
      <c r="G51" t="str" cm="1">
        <f t="array" ref="G51">_xlfn.TEXTJOIN(" + ",TRUE,_xlfn._xlws.FILTER(Invoices_Detail!$G$2:$G$201,Invoices_Detail!$A$2:$A$201=$A51)) &amp; " = " &amp; SUM(_xlfn._xlws.FILTER(Invoices_Detail!G152:G153,Invoices_Detail!A152:A153=A51))</f>
        <v>948500 + 22400000 = 23348500</v>
      </c>
      <c r="H51" t="str">
        <f>VLOOKUP(A51,InvoicesDetail[],8,0)</f>
        <v>Paid</v>
      </c>
      <c r="I51" t="s">
        <v>60</v>
      </c>
      <c r="J51" s="20"/>
    </row>
    <row r="52" spans="1:11" x14ac:dyDescent="0.25">
      <c r="A52" t="s">
        <v>320</v>
      </c>
      <c r="B52" s="20">
        <f>VLOOKUP(InvoicesDisplay[[#This Row],[Invoice ID]],InvoicesDetail[],2,0)</f>
        <v>45880</v>
      </c>
      <c r="C52" t="str" cm="1">
        <f t="array" ref="C52">_xlfn.TEXTJOIN(", ",TRUE,_xlfn._xlws.FILTER(Invoices_Detail!$C$2:$C$201,Invoices_Detail!$A$2:$A$201=A52))</f>
        <v>TRX070, TRX078, TRX149</v>
      </c>
      <c r="D52" t="str" cm="1">
        <f t="array" ref="D52">_xlfn.TEXTJOIN("; ",TRUE,_xlfn._xlws.FILTER(Invoices_Detail!$D$2:$D$201,Invoices_Detail!$A$2:$A$201=A52))</f>
        <v>Obeng Set; Pipa PVC 4 inch (per batang); Mesin Las Listrik</v>
      </c>
      <c r="E52" t="str" cm="1">
        <f t="array" ref="E52">_xlfn.TEXTJOIN(" + ",TRUE,_xlfn._xlws.FILTER(Invoices_Detail!$E$2:$E$201,Invoices_Detail!$A$2:$A$201=A52))</f>
        <v>10 + 6 + 8</v>
      </c>
      <c r="F52" t="str" cm="1">
        <f t="array" ref="F52">_xlfn.TEXTJOIN("; ",TRUE,_xlfn._xlws.FILTER(Invoices_Detail!$F$2:$F$201,Invoices_Detail!$A$2:$A$201=$A52))</f>
        <v>128000; 260000; 2296000</v>
      </c>
      <c r="G52" t="str" cm="1">
        <f t="array" ref="G52">_xlfn.TEXTJOIN(" + ",TRUE,_xlfn._xlws.FILTER(Invoices_Detail!$G$2:$G$201,Invoices_Detail!$A$2:$A$201=$A52)) &amp; " = " &amp; SUM(_xlfn._xlws.FILTER(Invoices_Detail!G154:G156,Invoices_Detail!A154:A156=A52))</f>
        <v>1280000 + 1560000 + 18368000 = 21208000</v>
      </c>
      <c r="H52" t="str">
        <f>VLOOKUP(A52,InvoicesDetail[],8,0)</f>
        <v>Unpaid</v>
      </c>
      <c r="I52" t="s">
        <v>59</v>
      </c>
      <c r="J52" s="20"/>
      <c r="K52" s="1"/>
    </row>
    <row r="53" spans="1:11" x14ac:dyDescent="0.25">
      <c r="A53" t="s">
        <v>321</v>
      </c>
      <c r="B53" s="20">
        <f>VLOOKUP(InvoicesDisplay[[#This Row],[Invoice ID]],InvoicesDetail[],2,0)</f>
        <v>45844</v>
      </c>
      <c r="C53" t="str" cm="1">
        <f t="array" ref="C53">_xlfn.TEXTJOIN(", ",TRUE,_xlfn._xlws.FILTER(Invoices_Detail!$C$2:$C$201,Invoices_Detail!$A$2:$A$201=A53))</f>
        <v>TRX064, TRX137</v>
      </c>
      <c r="D53" t="str" cm="1">
        <f t="array" ref="D53">_xlfn.TEXTJOIN("; ",TRUE,_xlfn._xlws.FILTER(Invoices_Detail!$D$2:$D$201,Invoices_Detail!$A$2:$A$201=A53))</f>
        <v>Tangga Lipat Alumunium; Sarung Tangan Katun</v>
      </c>
      <c r="E53" t="str" cm="1">
        <f t="array" ref="E53">_xlfn.TEXTJOIN(" + ",TRUE,_xlfn._xlws.FILTER(Invoices_Detail!$E$2:$E$201,Invoices_Detail!$A$2:$A$201=A53))</f>
        <v>11 + 5</v>
      </c>
      <c r="F53" t="str" cm="1">
        <f t="array" ref="F53">_xlfn.TEXTJOIN("; ",TRUE,_xlfn._xlws.FILTER(Invoices_Detail!$F$2:$F$201,Invoices_Detail!$A$2:$A$201=$A53))</f>
        <v>420000; 20000</v>
      </c>
      <c r="G53" t="str" cm="1">
        <f t="array" ref="G53">_xlfn.TEXTJOIN(" + ",TRUE,_xlfn._xlws.FILTER(Invoices_Detail!$G$2:$G$201,Invoices_Detail!$A$2:$A$201=$A53)) &amp; " = " &amp; SUM(_xlfn._xlws.FILTER(Invoices_Detail!G157:G158,Invoices_Detail!A157:A158=A53))</f>
        <v>4620000 + 100000 = 4720000</v>
      </c>
      <c r="H53" t="str">
        <f>VLOOKUP(A53,InvoicesDetail[],8,0)</f>
        <v>Paid</v>
      </c>
      <c r="I53" t="s">
        <v>62</v>
      </c>
      <c r="J53" s="20"/>
    </row>
    <row r="54" spans="1:11" x14ac:dyDescent="0.25">
      <c r="A54" t="s">
        <v>322</v>
      </c>
      <c r="B54" s="20">
        <f>VLOOKUP(InvoicesDisplay[[#This Row],[Invoice ID]],InvoicesDetail[],2,0)</f>
        <v>45876</v>
      </c>
      <c r="C54" t="str" cm="1">
        <f t="array" ref="C54">_xlfn.TEXTJOIN(", ",TRUE,_xlfn._xlws.FILTER(Invoices_Detail!$C$2:$C$201,Invoices_Detail!$A$2:$A$201=A54))</f>
        <v>TRX077, TRX098, TRX178</v>
      </c>
      <c r="D54" t="str" cm="1">
        <f t="array" ref="D54">_xlfn.TEXTJOIN("; ",TRUE,_xlfn._xlws.FILTER(Invoices_Detail!$D$2:$D$201,Invoices_Detail!$A$2:$A$201=A54))</f>
        <v>Pipa PVC 4 inch (per batang); Drum Solar 200L; Cat Tembok 1 kg</v>
      </c>
      <c r="E54" t="str" cm="1">
        <f t="array" ref="E54">_xlfn.TEXTJOIN(" + ",TRUE,_xlfn._xlws.FILTER(Invoices_Detail!$E$2:$E$201,Invoices_Detail!$A$2:$A$201=A54))</f>
        <v>4 + 10 + 18</v>
      </c>
      <c r="F54" t="str" cm="1">
        <f t="array" ref="F54">_xlfn.TEXTJOIN("; ",TRUE,_xlfn._xlws.FILTER(Invoices_Detail!$F$2:$F$201,Invoices_Detail!$A$2:$A$201=$A54))</f>
        <v>260000; 1060000; 31000</v>
      </c>
      <c r="G54" t="str" cm="1">
        <f t="array" ref="G54">_xlfn.TEXTJOIN(" + ",TRUE,_xlfn._xlws.FILTER(Invoices_Detail!$G$2:$G$201,Invoices_Detail!$A$2:$A$201=$A54)) &amp; " = " &amp; SUM(_xlfn._xlws.FILTER(Invoices_Detail!G159:G161,Invoices_Detail!A159:A161=A54))</f>
        <v>1040000 + 10600000 + 558000 = 12198000</v>
      </c>
      <c r="H54" t="str">
        <f>VLOOKUP(A54,InvoicesDetail[],8,0)</f>
        <v>Unpaid</v>
      </c>
      <c r="I54" t="s">
        <v>113</v>
      </c>
      <c r="J54" s="20"/>
    </row>
    <row r="55" spans="1:11" x14ac:dyDescent="0.25">
      <c r="A55" t="s">
        <v>323</v>
      </c>
      <c r="B55" s="20">
        <f>VLOOKUP(InvoicesDisplay[[#This Row],[Invoice ID]],InvoicesDetail[],2,0)</f>
        <v>45905</v>
      </c>
      <c r="C55" t="str" cm="1">
        <f t="array" ref="C55">_xlfn.TEXTJOIN(", ",TRUE,_xlfn._xlws.FILTER(Invoices_Detail!$C$2:$C$201,Invoices_Detail!$A$2:$A$201=A55))</f>
        <v>TRX042, TRX076, TRX157</v>
      </c>
      <c r="D55" t="str" cm="1">
        <f t="array" ref="D55">_xlfn.TEXTJOIN("; ",TRUE,_xlfn._xlws.FILTER(Invoices_Detail!$D$2:$D$201,Invoices_Detail!$A$2:$A$201=A55))</f>
        <v>Kabel Listrik Roll 50m; Pipa PVC 4 inch (per batang); Sarung Tangan Katun</v>
      </c>
      <c r="E55" t="str" cm="1">
        <f t="array" ref="E55">_xlfn.TEXTJOIN(" + ",TRUE,_xlfn._xlws.FILTER(Invoices_Detail!$E$2:$E$201,Invoices_Detail!$A$2:$A$201=A55))</f>
        <v>3 + 10 + 12</v>
      </c>
      <c r="F55" t="str" cm="1">
        <f t="array" ref="F55">_xlfn.TEXTJOIN("; ",TRUE,_xlfn._xlws.FILTER(Invoices_Detail!$F$2:$F$201,Invoices_Detail!$A$2:$A$201=$A55))</f>
        <v>203500; 260000; 20000</v>
      </c>
      <c r="G55" t="str" cm="1">
        <f t="array" ref="G55">_xlfn.TEXTJOIN(" + ",TRUE,_xlfn._xlws.FILTER(Invoices_Detail!$G$2:$G$201,Invoices_Detail!$A$2:$A$201=$A55)) &amp; " = " &amp; SUM(_xlfn._xlws.FILTER(Invoices_Detail!G162:G164,Invoices_Detail!A162:A164=A55))</f>
        <v>610500 + 2600000 + 240000 = 3450500</v>
      </c>
      <c r="H55" t="str">
        <f>VLOOKUP(A55,InvoicesDetail[],8,0)</f>
        <v>Paid</v>
      </c>
      <c r="I55" t="s">
        <v>58</v>
      </c>
      <c r="J55" s="20"/>
      <c r="K55" s="1"/>
    </row>
    <row r="56" spans="1:11" x14ac:dyDescent="0.25">
      <c r="A56" t="s">
        <v>324</v>
      </c>
      <c r="B56" s="20">
        <f>VLOOKUP(InvoicesDisplay[[#This Row],[Invoice ID]],InvoicesDetail[],2,0)</f>
        <v>45840</v>
      </c>
      <c r="C56" t="str" cm="1">
        <f t="array" ref="C56">_xlfn.TEXTJOIN(", ",TRUE,_xlfn._xlws.FILTER(Invoices_Detail!$C$2:$C$201,Invoices_Detail!$A$2:$A$201=A56))</f>
        <v>TRX162, TRX196</v>
      </c>
      <c r="D56" t="str" cm="1">
        <f t="array" ref="D56">_xlfn.TEXTJOIN("; ",TRUE,_xlfn._xlws.FILTER(Invoices_Detail!$D$2:$D$201,Invoices_Detail!$A$2:$A$201=A56))</f>
        <v>Mesin Potong Besi; Kabel Listrik Roll 50m</v>
      </c>
      <c r="E56" t="str" cm="1">
        <f t="array" ref="E56">_xlfn.TEXTJOIN(" + ",TRUE,_xlfn._xlws.FILTER(Invoices_Detail!$E$2:$E$201,Invoices_Detail!$A$2:$A$201=A56))</f>
        <v>7 + 11</v>
      </c>
      <c r="F56" t="str" cm="1">
        <f t="array" ref="F56">_xlfn.TEXTJOIN("; ",TRUE,_xlfn._xlws.FILTER(Invoices_Detail!$F$2:$F$201,Invoices_Detail!$A$2:$A$201=$A56))</f>
        <v>3200000; 203500</v>
      </c>
      <c r="G56" t="str" cm="1">
        <f t="array" ref="G56">_xlfn.TEXTJOIN(" + ",TRUE,_xlfn._xlws.FILTER(Invoices_Detail!$G$2:$G$201,Invoices_Detail!$A$2:$A$201=$A56)) &amp; " = " &amp; SUM(_xlfn._xlws.FILTER(Invoices_Detail!G165:G166,Invoices_Detail!A165:A166=A56))</f>
        <v>22400000 + 2238500 = 24638500</v>
      </c>
      <c r="H56" t="str">
        <f>VLOOKUP(A56,InvoicesDetail[],8,0)</f>
        <v>Paid</v>
      </c>
      <c r="I56" t="s">
        <v>113</v>
      </c>
      <c r="J56" s="20"/>
    </row>
    <row r="57" spans="1:11" x14ac:dyDescent="0.25">
      <c r="A57" t="s">
        <v>325</v>
      </c>
      <c r="B57" s="20">
        <f>VLOOKUP(InvoicesDisplay[[#This Row],[Invoice ID]],InvoicesDetail[],2,0)</f>
        <v>45851</v>
      </c>
      <c r="C57" t="str" cm="1">
        <f t="array" ref="C57">_xlfn.TEXTJOIN(", ",TRUE,_xlfn._xlws.FILTER(Invoices_Detail!$C$2:$C$201,Invoices_Detail!$A$2:$A$201=A57))</f>
        <v>TRX044, TRX045, TRX046, TRX047, TRX184</v>
      </c>
      <c r="D57" t="str" cm="1">
        <f t="array" ref="D57">_xlfn.TEXTJOIN("; ",TRUE,_xlfn._xlws.FILTER(Invoices_Detail!$D$2:$D$201,Invoices_Detail!$A$2:$A$201=A57))</f>
        <v>Tangga Lipat Alumunium; Cat Minyak 5L; Lampu Sorot LED 100W; Sarung Tangan Katun; Obeng Set</v>
      </c>
      <c r="E57" t="str" cm="1">
        <f t="array" ref="E57">_xlfn.TEXTJOIN(" + ",TRUE,_xlfn._xlws.FILTER(Invoices_Detail!$E$2:$E$201,Invoices_Detail!$A$2:$A$201=A57))</f>
        <v>9 + 15 + 5 + 10 + 10</v>
      </c>
      <c r="F57" t="str" cm="1">
        <f t="array" ref="F57">_xlfn.TEXTJOIN("; ",TRUE,_xlfn._xlws.FILTER(Invoices_Detail!$F$2:$F$201,Invoices_Detail!$A$2:$A$201=$A57))</f>
        <v>420000; 135500; 237000; 20000; 128000</v>
      </c>
      <c r="G57" t="str" cm="1">
        <f t="array" ref="G57">_xlfn.TEXTJOIN(" + ",TRUE,_xlfn._xlws.FILTER(Invoices_Detail!$G$2:$G$201,Invoices_Detail!$A$2:$A$201=$A57)) &amp; " = " &amp; SUM(_xlfn._xlws.FILTER(Invoices_Detail!G167:G171,Invoices_Detail!A167:A171=A57))</f>
        <v>3780000 + 2032500 + 1185000 + 200000 + 1280000 = 8477500</v>
      </c>
      <c r="H57" t="str">
        <f>VLOOKUP(A57,InvoicesDetail[],8,0)</f>
        <v>Unpaid</v>
      </c>
      <c r="I57" t="s">
        <v>66</v>
      </c>
      <c r="J57" s="20"/>
    </row>
    <row r="58" spans="1:11" x14ac:dyDescent="0.25">
      <c r="A58" t="s">
        <v>326</v>
      </c>
      <c r="B58" s="20">
        <f>VLOOKUP(InvoicesDisplay[[#This Row],[Invoice ID]],InvoicesDetail[],2,0)</f>
        <v>45859</v>
      </c>
      <c r="C58" t="str" cm="1">
        <f t="array" ref="C58">_xlfn.TEXTJOIN(", ",TRUE,_xlfn._xlws.FILTER(Invoices_Detail!$C$2:$C$201,Invoices_Detail!$A$2:$A$201=A58))</f>
        <v>TRX007, TRX120</v>
      </c>
      <c r="D58" t="str" cm="1">
        <f t="array" ref="D58">_xlfn.TEXTJOIN("; ",TRUE,_xlfn._xlws.FILTER(Invoices_Detail!$D$2:$D$201,Invoices_Detail!$A$2:$A$201=A58))</f>
        <v>Genset Portable 1000W; Cat Tembok 1 kg</v>
      </c>
      <c r="E58" t="str" cm="1">
        <f t="array" ref="E58">_xlfn.TEXTJOIN(" + ",TRUE,_xlfn._xlws.FILTER(Invoices_Detail!$E$2:$E$201,Invoices_Detail!$A$2:$A$201=A58))</f>
        <v>5 + 10</v>
      </c>
      <c r="F58" t="str" cm="1">
        <f t="array" ref="F58">_xlfn.TEXTJOIN("; ",TRUE,_xlfn._xlws.FILTER(Invoices_Detail!$F$2:$F$201,Invoices_Detail!$A$2:$A$201=$A58))</f>
        <v>3134000; 31000</v>
      </c>
      <c r="G58" t="str" cm="1">
        <f t="array" ref="G58">_xlfn.TEXTJOIN(" + ",TRUE,_xlfn._xlws.FILTER(Invoices_Detail!$G$2:$G$201,Invoices_Detail!$A$2:$A$201=$A58)) &amp; " = " &amp; SUM(_xlfn._xlws.FILTER(Invoices_Detail!G172:G173,Invoices_Detail!A172:A173=A58))</f>
        <v>15670000 + 310000 = 15980000</v>
      </c>
      <c r="H58" t="str">
        <f>VLOOKUP(A58,InvoicesDetail[],8,0)</f>
        <v>Unpaid</v>
      </c>
      <c r="I58" t="s">
        <v>65</v>
      </c>
      <c r="J58" s="20"/>
    </row>
    <row r="59" spans="1:11" x14ac:dyDescent="0.25">
      <c r="A59" t="s">
        <v>327</v>
      </c>
      <c r="B59" s="20">
        <f>VLOOKUP(InvoicesDisplay[[#This Row],[Invoice ID]],InvoicesDetail[],2,0)</f>
        <v>45898</v>
      </c>
      <c r="C59" t="str" cm="1">
        <f t="array" ref="C59">_xlfn.TEXTJOIN(", ",TRUE,_xlfn._xlws.FILTER(Invoices_Detail!$C$2:$C$201,Invoices_Detail!$A$2:$A$201=A59))</f>
        <v>TRX093, TRX119, TRX161</v>
      </c>
      <c r="D59" t="str" cm="1">
        <f t="array" ref="D59">_xlfn.TEXTJOIN("; ",TRUE,_xlfn._xlws.FILTER(Invoices_Detail!$D$2:$D$201,Invoices_Detail!$A$2:$A$201=A59))</f>
        <v>Paku 5cm (1 kg); Masker Safety Box (isi 50); Mesin Potong Besi</v>
      </c>
      <c r="E59" t="str" cm="1">
        <f t="array" ref="E59">_xlfn.TEXTJOIN(" + ",TRUE,_xlfn._xlws.FILTER(Invoices_Detail!$E$2:$E$201,Invoices_Detail!$A$2:$A$201=A59))</f>
        <v>10 + 4 + 9</v>
      </c>
      <c r="F59" t="str" cm="1">
        <f t="array" ref="F59">_xlfn.TEXTJOIN("; ",TRUE,_xlfn._xlws.FILTER(Invoices_Detail!$F$2:$F$201,Invoices_Detail!$A$2:$A$201=$A59))</f>
        <v>13500; 11500; 3200000</v>
      </c>
      <c r="G59" t="str" cm="1">
        <f t="array" ref="G59">_xlfn.TEXTJOIN(" + ",TRUE,_xlfn._xlws.FILTER(Invoices_Detail!$G$2:$G$201,Invoices_Detail!$A$2:$A$201=$A59)) &amp; " = " &amp; SUM(_xlfn._xlws.FILTER(Invoices_Detail!G174:G176,Invoices_Detail!A174:A176=A59))</f>
        <v>135000 + 46000 + 28800000 = 28981000</v>
      </c>
      <c r="H59" t="str">
        <f>VLOOKUP(A59,InvoicesDetail[],8,0)</f>
        <v>Unpaid</v>
      </c>
      <c r="I59" t="s">
        <v>58</v>
      </c>
      <c r="J59" s="20"/>
    </row>
    <row r="60" spans="1:11" x14ac:dyDescent="0.25">
      <c r="A60" t="s">
        <v>328</v>
      </c>
      <c r="B60" s="20">
        <f>VLOOKUP(InvoicesDisplay[[#This Row],[Invoice ID]],InvoicesDetail[],2,0)</f>
        <v>45888</v>
      </c>
      <c r="C60" t="str" cm="1">
        <f t="array" ref="C60">_xlfn.TEXTJOIN(", ",TRUE,_xlfn._xlws.FILTER(Invoices_Detail!$C$2:$C$201,Invoices_Detail!$A$2:$A$201=A60))</f>
        <v>TRX010, TRX032, TRX043, TRX183</v>
      </c>
      <c r="D60" t="str" cm="1">
        <f t="array" ref="D60">_xlfn.TEXTJOIN("; ",TRUE,_xlfn._xlws.FILTER(Invoices_Detail!$D$2:$D$201,Invoices_Detail!$A$2:$A$201=A60))</f>
        <v>Mesin Potong Besi; Pompa Air Industri; Cat Tembok 1 kg; Genset Portable 1000W</v>
      </c>
      <c r="E60" t="str" cm="1">
        <f t="array" ref="E60">_xlfn.TEXTJOIN(" + ",TRUE,_xlfn._xlws.FILTER(Invoices_Detail!$E$2:$E$201,Invoices_Detail!$A$2:$A$201=A60))</f>
        <v>6 + 10 + 5 + 5</v>
      </c>
      <c r="F60" t="str" cm="1">
        <f t="array" ref="F60">_xlfn.TEXTJOIN("; ",TRUE,_xlfn._xlws.FILTER(Invoices_Detail!$F$2:$F$201,Invoices_Detail!$A$2:$A$201=$A60))</f>
        <v>3200000; 4490000; 31000; 3134000</v>
      </c>
      <c r="G60" t="str" cm="1">
        <f t="array" ref="G60">_xlfn.TEXTJOIN(" + ",TRUE,_xlfn._xlws.FILTER(Invoices_Detail!$G$2:$G$201,Invoices_Detail!$A$2:$A$201=$A60)) &amp; " = " &amp; SUM(_xlfn._xlws.FILTER(Invoices_Detail!G177:G180,Invoices_Detail!A177:A180=A60))</f>
        <v>19200000 + 44900000 + 155000 + 15670000 = 79925000</v>
      </c>
      <c r="H60" t="str">
        <f>VLOOKUP(A60,InvoicesDetail[],8,0)</f>
        <v>Unpaid</v>
      </c>
      <c r="I60" t="s">
        <v>58</v>
      </c>
      <c r="J60" s="20"/>
    </row>
    <row r="61" spans="1:11" x14ac:dyDescent="0.25">
      <c r="A61" t="s">
        <v>329</v>
      </c>
      <c r="B61" s="20">
        <f>VLOOKUP(InvoicesDisplay[[#This Row],[Invoice ID]],InvoicesDetail[],2,0)</f>
        <v>45907</v>
      </c>
      <c r="C61" t="str" cm="1">
        <f t="array" ref="C61">_xlfn.TEXTJOIN(", ",TRUE,_xlfn._xlws.FILTER(Invoices_Detail!$C$2:$C$201,Invoices_Detail!$A$2:$A$201=A61))</f>
        <v>TRX092, TRX096, TRX170</v>
      </c>
      <c r="D61" t="str" cm="1">
        <f t="array" ref="D61">_xlfn.TEXTJOIN("; ",TRUE,_xlfn._xlws.FILTER(Invoices_Detail!$D$2:$D$201,Invoices_Detail!$A$2:$A$201=A61))</f>
        <v>Pompa Air Industri; Tangga Lipat Alumunium; Bor Tangan Listrik</v>
      </c>
      <c r="E61" t="str" cm="1">
        <f t="array" ref="E61">_xlfn.TEXTJOIN(" + ",TRUE,_xlfn._xlws.FILTER(Invoices_Detail!$E$2:$E$201,Invoices_Detail!$A$2:$A$201=A61))</f>
        <v>13 + 16 + 10</v>
      </c>
      <c r="F61" t="str" cm="1">
        <f t="array" ref="F61">_xlfn.TEXTJOIN("; ",TRUE,_xlfn._xlws.FILTER(Invoices_Detail!$F$2:$F$201,Invoices_Detail!$A$2:$A$201=$A61))</f>
        <v>4490000; 420000; 335500</v>
      </c>
      <c r="G61" t="str" cm="1">
        <f t="array" ref="G61">_xlfn.TEXTJOIN(" + ",TRUE,_xlfn._xlws.FILTER(Invoices_Detail!$G$2:$G$201,Invoices_Detail!$A$2:$A$201=$A61)) &amp; " = " &amp; SUM(_xlfn._xlws.FILTER(Invoices_Detail!G181:G183,Invoices_Detail!A181:A183=A61))</f>
        <v>58370000 + 6720000 + 3355000 = 68445000</v>
      </c>
      <c r="H61" t="str">
        <f>VLOOKUP(A61,InvoicesDetail[],8,0)</f>
        <v>Paid</v>
      </c>
      <c r="I61" t="s">
        <v>113</v>
      </c>
      <c r="J61" s="20"/>
    </row>
    <row r="62" spans="1:11" x14ac:dyDescent="0.25">
      <c r="A62" t="s">
        <v>330</v>
      </c>
      <c r="B62" s="20">
        <f>VLOOKUP(InvoicesDisplay[[#This Row],[Invoice ID]],InvoicesDetail[],2,0)</f>
        <v>45883</v>
      </c>
      <c r="C62" t="str" cm="1">
        <f t="array" ref="C62">_xlfn.TEXTJOIN(", ",TRUE,_xlfn._xlws.FILTER(Invoices_Detail!$C$2:$C$201,Invoices_Detail!$A$2:$A$201=A62))</f>
        <v>TRX075, TRX122</v>
      </c>
      <c r="D62" t="str" cm="1">
        <f t="array" ref="D62">_xlfn.TEXTJOIN("; ",TRUE,_xlfn._xlws.FILTER(Invoices_Detail!$D$2:$D$201,Invoices_Detail!$A$2:$A$201=A62))</f>
        <v>Kabel Listrik Roll 50m; Pompa Air Industri</v>
      </c>
      <c r="E62" t="str" cm="1">
        <f t="array" ref="E62">_xlfn.TEXTJOIN(" + ",TRUE,_xlfn._xlws.FILTER(Invoices_Detail!$E$2:$E$201,Invoices_Detail!$A$2:$A$201=A62))</f>
        <v>17 + 12</v>
      </c>
      <c r="F62" t="str" cm="1">
        <f t="array" ref="F62">_xlfn.TEXTJOIN("; ",TRUE,_xlfn._xlws.FILTER(Invoices_Detail!$F$2:$F$201,Invoices_Detail!$A$2:$A$201=$A62))</f>
        <v>203500; 4490000</v>
      </c>
      <c r="G62" t="str" cm="1">
        <f t="array" ref="G62">_xlfn.TEXTJOIN(" + ",TRUE,_xlfn._xlws.FILTER(Invoices_Detail!$G$2:$G$201,Invoices_Detail!$A$2:$A$201=$A62)) &amp; " = " &amp; SUM(_xlfn._xlws.FILTER(Invoices_Detail!G184:G185,Invoices_Detail!A184:A185=A62))</f>
        <v>3459500 + 53880000 = 57339500</v>
      </c>
      <c r="H62" t="str">
        <f>VLOOKUP(A62,InvoicesDetail[],8,0)</f>
        <v>Paid</v>
      </c>
      <c r="I62" t="s">
        <v>62</v>
      </c>
      <c r="J62" s="20"/>
    </row>
    <row r="63" spans="1:11" x14ac:dyDescent="0.25">
      <c r="A63" t="s">
        <v>331</v>
      </c>
      <c r="B63" s="20">
        <f>VLOOKUP(InvoicesDisplay[[#This Row],[Invoice ID]],InvoicesDetail[],2,0)</f>
        <v>45849</v>
      </c>
      <c r="C63" t="str" cm="1">
        <f t="array" ref="C63">_xlfn.TEXTJOIN(", ",TRUE,_xlfn._xlws.FILTER(Invoices_Detail!$C$2:$C$201,Invoices_Detail!$A$2:$A$201=A63))</f>
        <v>TRX187, TRX188</v>
      </c>
      <c r="D63" t="str" cm="1">
        <f t="array" ref="D63">_xlfn.TEXTJOIN("; ",TRUE,_xlfn._xlws.FILTER(Invoices_Detail!$D$2:$D$201,Invoices_Detail!$A$2:$A$201=A63))</f>
        <v>Mesin Las Listrik; Jaket Safety</v>
      </c>
      <c r="E63" t="str" cm="1">
        <f t="array" ref="E63">_xlfn.TEXTJOIN(" + ",TRUE,_xlfn._xlws.FILTER(Invoices_Detail!$E$2:$E$201,Invoices_Detail!$A$2:$A$201=A63))</f>
        <v>1 + 3</v>
      </c>
      <c r="F63" t="str" cm="1">
        <f t="array" ref="F63">_xlfn.TEXTJOIN("; ",TRUE,_xlfn._xlws.FILTER(Invoices_Detail!$F$2:$F$201,Invoices_Detail!$A$2:$A$201=$A63))</f>
        <v>2296000; 245000</v>
      </c>
      <c r="G63" t="str" cm="1">
        <f t="array" ref="G63">_xlfn.TEXTJOIN(" + ",TRUE,_xlfn._xlws.FILTER(Invoices_Detail!$G$2:$G$201,Invoices_Detail!$A$2:$A$201=$A63)) &amp; " = " &amp; SUM(_xlfn._xlws.FILTER(Invoices_Detail!G186:G187,Invoices_Detail!A186:A187=A63))</f>
        <v>2296000 + 735000 = 3031000</v>
      </c>
      <c r="H63" t="str">
        <f>VLOOKUP(A63,InvoicesDetail[],8,0)</f>
        <v>Paid</v>
      </c>
      <c r="I63" t="s">
        <v>66</v>
      </c>
      <c r="J63" s="20"/>
    </row>
    <row r="64" spans="1:11" x14ac:dyDescent="0.25">
      <c r="A64" t="s">
        <v>332</v>
      </c>
      <c r="B64" s="20">
        <f>VLOOKUP(InvoicesDisplay[[#This Row],[Invoice ID]],InvoicesDetail[],2,0)</f>
        <v>45876</v>
      </c>
      <c r="C64" t="str" cm="1">
        <f t="array" ref="C64">_xlfn.TEXTJOIN(", ",TRUE,_xlfn._xlws.FILTER(Invoices_Detail!$C$2:$C$201,Invoices_Detail!$A$2:$A$201=A64))</f>
        <v>TRX132, TRX171</v>
      </c>
      <c r="D64" t="str" cm="1">
        <f t="array" ref="D64">_xlfn.TEXTJOIN("; ",TRUE,_xlfn._xlws.FILTER(Invoices_Detail!$D$2:$D$201,Invoices_Detail!$A$2:$A$201=A64))</f>
        <v>Cat Minyak 5L; Paku 5cm (1 kg)</v>
      </c>
      <c r="E64" t="str" cm="1">
        <f t="array" ref="E64">_xlfn.TEXTJOIN(" + ",TRUE,_xlfn._xlws.FILTER(Invoices_Detail!$E$2:$E$201,Invoices_Detail!$A$2:$A$201=A64))</f>
        <v>3 + 15</v>
      </c>
      <c r="F64" t="str" cm="1">
        <f t="array" ref="F64">_xlfn.TEXTJOIN("; ",TRUE,_xlfn._xlws.FILTER(Invoices_Detail!$F$2:$F$201,Invoices_Detail!$A$2:$A$201=$A64))</f>
        <v>135500; 13500</v>
      </c>
      <c r="G64" t="str" cm="1">
        <f t="array" ref="G64">_xlfn.TEXTJOIN(" + ",TRUE,_xlfn._xlws.FILTER(Invoices_Detail!$G$2:$G$201,Invoices_Detail!$A$2:$A$201=$A64)) &amp; " = " &amp; SUM(_xlfn._xlws.FILTER(Invoices_Detail!G188:G189,Invoices_Detail!A188:A189=A64))</f>
        <v>406500 + 202500 = 609000</v>
      </c>
      <c r="H64" t="str">
        <f>VLOOKUP(A64,InvoicesDetail[],8,0)</f>
        <v>Unpaid</v>
      </c>
      <c r="I64" t="s">
        <v>63</v>
      </c>
      <c r="J64" s="20"/>
    </row>
    <row r="65" spans="1:11" x14ac:dyDescent="0.25">
      <c r="A65" t="s">
        <v>333</v>
      </c>
      <c r="B65" s="20">
        <f>VLOOKUP(InvoicesDisplay[[#This Row],[Invoice ID]],InvoicesDetail[],2,0)</f>
        <v>45849</v>
      </c>
      <c r="C65" t="str" cm="1">
        <f t="array" ref="C65">_xlfn.TEXTJOIN(", ",TRUE,_xlfn._xlws.FILTER(Invoices_Detail!$C$2:$C$201,Invoices_Detail!$A$2:$A$201=A65))</f>
        <v>TRX190, TRX191</v>
      </c>
      <c r="D65" t="str" cm="1">
        <f t="array" ref="D65">_xlfn.TEXTJOIN("; ",TRUE,_xlfn._xlws.FILTER(Invoices_Detail!$D$2:$D$201,Invoices_Detail!$A$2:$A$201=A65))</f>
        <v>Obeng Set; Gerinda Tangan</v>
      </c>
      <c r="E65" t="str" cm="1">
        <f t="array" ref="E65">_xlfn.TEXTJOIN(" + ",TRUE,_xlfn._xlws.FILTER(Invoices_Detail!$E$2:$E$201,Invoices_Detail!$A$2:$A$201=A65))</f>
        <v>9 + 18</v>
      </c>
      <c r="F65" t="str" cm="1">
        <f t="array" ref="F65">_xlfn.TEXTJOIN("; ",TRUE,_xlfn._xlws.FILTER(Invoices_Detail!$F$2:$F$201,Invoices_Detail!$A$2:$A$201=$A65))</f>
        <v>128000; 465000</v>
      </c>
      <c r="G65" t="str" cm="1">
        <f t="array" ref="G65">_xlfn.TEXTJOIN(" + ",TRUE,_xlfn._xlws.FILTER(Invoices_Detail!$G$2:$G$201,Invoices_Detail!$A$2:$A$201=$A65)) &amp; " = " &amp; SUM(_xlfn._xlws.FILTER(Invoices_Detail!G190:G191,Invoices_Detail!A190:A191=A65))</f>
        <v>1152000 + 8370000 = 9522000</v>
      </c>
      <c r="H65" t="str">
        <f>VLOOKUP(A65,InvoicesDetail[],8,0)</f>
        <v>Paid</v>
      </c>
      <c r="I65" t="s">
        <v>65</v>
      </c>
      <c r="J65" s="20"/>
      <c r="K65" s="1"/>
    </row>
    <row r="66" spans="1:11" x14ac:dyDescent="0.25">
      <c r="A66" t="s">
        <v>334</v>
      </c>
      <c r="B66" s="20">
        <f>VLOOKUP(InvoicesDisplay[[#This Row],[Invoice ID]],InvoicesDetail[],2,0)</f>
        <v>45871</v>
      </c>
      <c r="C66" t="str" cm="1">
        <f t="array" ref="C66">_xlfn.TEXTJOIN(", ",TRUE,_xlfn._xlws.FILTER(Invoices_Detail!$C$2:$C$201,Invoices_Detail!$A$2:$A$201=A66))</f>
        <v>TRX129, TRX131, TRX180</v>
      </c>
      <c r="D66" t="str" cm="1">
        <f t="array" ref="D66">_xlfn.TEXTJOIN("; ",TRUE,_xlfn._xlws.FILTER(Invoices_Detail!$D$2:$D$201,Invoices_Detail!$A$2:$A$201=A66))</f>
        <v>Gerinda Tangan; Bor Tangan Listrik; Pompa Air Industri</v>
      </c>
      <c r="E66" t="str" cm="1">
        <f t="array" ref="E66">_xlfn.TEXTJOIN(" + ",TRUE,_xlfn._xlws.FILTER(Invoices_Detail!$E$2:$E$201,Invoices_Detail!$A$2:$A$201=A66))</f>
        <v>20 + 16 + 8</v>
      </c>
      <c r="F66" t="str" cm="1">
        <f t="array" ref="F66">_xlfn.TEXTJOIN("; ",TRUE,_xlfn._xlws.FILTER(Invoices_Detail!$F$2:$F$201,Invoices_Detail!$A$2:$A$201=$A66))</f>
        <v>465000; 335500; 4490000</v>
      </c>
      <c r="G66" t="str" cm="1">
        <f t="array" ref="G66">_xlfn.TEXTJOIN(" + ",TRUE,_xlfn._xlws.FILTER(Invoices_Detail!$G$2:$G$201,Invoices_Detail!$A$2:$A$201=$A66)) &amp; " = " &amp; SUM(_xlfn._xlws.FILTER(Invoices_Detail!G192:G194,Invoices_Detail!A192:A194=A66))</f>
        <v>9300000 + 5368000 + 35920000 = 50588000</v>
      </c>
      <c r="H66" t="str">
        <f>VLOOKUP(A66,InvoicesDetail[],8,0)</f>
        <v>Unpaid</v>
      </c>
      <c r="I66" t="s">
        <v>60</v>
      </c>
      <c r="J66" s="20"/>
    </row>
    <row r="67" spans="1:11" x14ac:dyDescent="0.25">
      <c r="A67" t="s">
        <v>335</v>
      </c>
      <c r="B67" s="20">
        <f>VLOOKUP(InvoicesDisplay[[#This Row],[Invoice ID]],InvoicesDetail[],2,0)</f>
        <v>45846</v>
      </c>
      <c r="C67" t="str" cm="1">
        <f t="array" ref="C67">_xlfn.TEXTJOIN(", ",TRUE,_xlfn._xlws.FILTER(Invoices_Detail!$C$2:$C$201,Invoices_Detail!$A$2:$A$201=A67))</f>
        <v>TRX104</v>
      </c>
      <c r="D67" t="str" cm="1">
        <f t="array" ref="D67">_xlfn.TEXTJOIN("; ",TRUE,_xlfn._xlws.FILTER(Invoices_Detail!$D$2:$D$201,Invoices_Detail!$A$2:$A$201=A67))</f>
        <v>Sarung Tangan Katun</v>
      </c>
      <c r="E67" t="str" cm="1">
        <f t="array" ref="E67">_xlfn.TEXTJOIN(" + ",TRUE,_xlfn._xlws.FILTER(Invoices_Detail!$E$2:$E$201,Invoices_Detail!$A$2:$A$201=A67))</f>
        <v>17</v>
      </c>
      <c r="F67" t="str" cm="1">
        <f t="array" ref="F67">_xlfn.TEXTJOIN("; ",TRUE,_xlfn._xlws.FILTER(Invoices_Detail!$F$2:$F$201,Invoices_Detail!$A$2:$A$201=$A67))</f>
        <v>20000</v>
      </c>
      <c r="G67" t="str" cm="1">
        <f t="array" ref="G67">_xlfn.TEXTJOIN(" + ",TRUE,_xlfn._xlws.FILTER(Invoices_Detail!$G$2:$G$201,Invoices_Detail!$A$2:$A$201=$A67))</f>
        <v>340000</v>
      </c>
      <c r="H67" t="str">
        <f>VLOOKUP(A67,InvoicesDetail[],8,0)</f>
        <v>Paid</v>
      </c>
      <c r="I67" t="s">
        <v>63</v>
      </c>
      <c r="J67" s="20"/>
    </row>
    <row r="68" spans="1:11" x14ac:dyDescent="0.25">
      <c r="A68" t="s">
        <v>336</v>
      </c>
      <c r="B68" s="20">
        <f>VLOOKUP(InvoicesDisplay[[#This Row],[Invoice ID]],InvoicesDetail[],2,0)</f>
        <v>45902</v>
      </c>
      <c r="C68" t="str" cm="1">
        <f t="array" ref="C68">_xlfn.TEXTJOIN(", ",TRUE,_xlfn._xlws.FILTER(Invoices_Detail!$C$2:$C$201,Invoices_Detail!$A$2:$A$201=A68))</f>
        <v>TRX003, TRX124</v>
      </c>
      <c r="D68" t="str" cm="1">
        <f t="array" ref="D68">_xlfn.TEXTJOIN("; ",TRUE,_xlfn._xlws.FILTER(Invoices_Detail!$D$2:$D$201,Invoices_Detail!$A$2:$A$201=A68))</f>
        <v>Obeng Set; Drum Solar 200L</v>
      </c>
      <c r="E68" t="str" cm="1">
        <f t="array" ref="E68">_xlfn.TEXTJOIN(" + ",TRUE,_xlfn._xlws.FILTER(Invoices_Detail!$E$2:$E$201,Invoices_Detail!$A$2:$A$201=A68))</f>
        <v>8 + 17</v>
      </c>
      <c r="F68" t="str" cm="1">
        <f t="array" ref="F68">_xlfn.TEXTJOIN("; ",TRUE,_xlfn._xlws.FILTER(Invoices_Detail!$F$2:$F$201,Invoices_Detail!$A$2:$A$201=$A68))</f>
        <v>128000; 1060000</v>
      </c>
      <c r="G68" t="str" cm="1">
        <f t="array" ref="G68">_xlfn.TEXTJOIN(" + ",TRUE,_xlfn._xlws.FILTER(Invoices_Detail!$G$2:$G$201,Invoices_Detail!$A$2:$A$201=$A68)) &amp; " = " &amp; SUM(_xlfn._xlws.FILTER(Invoices_Detail!G196:G197,Invoices_Detail!A196:A197=A68))</f>
        <v>1024000 + 18020000 = 19044000</v>
      </c>
      <c r="H68" t="str">
        <f>VLOOKUP(A68,InvoicesDetail[],8,0)</f>
        <v>Paid</v>
      </c>
      <c r="I68" t="s">
        <v>113</v>
      </c>
      <c r="J68" s="20"/>
    </row>
    <row r="69" spans="1:11" x14ac:dyDescent="0.25">
      <c r="A69" t="s">
        <v>337</v>
      </c>
      <c r="B69" s="20">
        <f>VLOOKUP(InvoicesDisplay[[#This Row],[Invoice ID]],InvoicesDetail[],2,0)</f>
        <v>45901</v>
      </c>
      <c r="C69" t="str" cm="1">
        <f t="array" ref="C69">_xlfn.TEXTJOIN(", ",TRUE,_xlfn._xlws.FILTER(Invoices_Detail!$C$2:$C$201,Invoices_Detail!$A$2:$A$201=A69))</f>
        <v>TRX199</v>
      </c>
      <c r="D69" t="str" cm="1">
        <f t="array" ref="D69">_xlfn.TEXTJOIN("; ",TRUE,_xlfn._xlws.FILTER(Invoices_Detail!$D$2:$D$201,Invoices_Detail!$A$2:$A$201=A69))</f>
        <v>Tangga Lipat Alumunium</v>
      </c>
      <c r="E69" t="str" cm="1">
        <f t="array" ref="E69">_xlfn.TEXTJOIN(" + ",TRUE,_xlfn._xlws.FILTER(Invoices_Detail!$E$2:$E$201,Invoices_Detail!$A$2:$A$201=A69))</f>
        <v>10</v>
      </c>
      <c r="F69" t="str" cm="1">
        <f t="array" ref="F69">_xlfn.TEXTJOIN("; ",TRUE,_xlfn._xlws.FILTER(Invoices_Detail!$F$2:$F$201,Invoices_Detail!$A$2:$A$201=$A69))</f>
        <v>420000</v>
      </c>
      <c r="G69" t="str" cm="1">
        <f t="array" ref="G69">_xlfn.TEXTJOIN(" + ",TRUE,_xlfn._xlws.FILTER(Invoices_Detail!$G$2:$G$201,Invoices_Detail!$A$2:$A$201=$A69))</f>
        <v>4200000</v>
      </c>
      <c r="H69" t="str">
        <f>VLOOKUP(A69,InvoicesDetail[],8,0)</f>
        <v>Paid</v>
      </c>
      <c r="I69" t="s">
        <v>113</v>
      </c>
      <c r="J69" s="20"/>
    </row>
    <row r="70" spans="1:11" x14ac:dyDescent="0.25">
      <c r="A70" t="s">
        <v>338</v>
      </c>
      <c r="B70" s="20">
        <f>VLOOKUP(InvoicesDisplay[[#This Row],[Invoice ID]],InvoicesDetail[],2,0)</f>
        <v>45851</v>
      </c>
      <c r="C70" t="str" cm="1">
        <f t="array" ref="C70">_xlfn.TEXTJOIN(", ",TRUE,_xlfn._xlws.FILTER(Invoices_Detail!$C$2:$C$201,Invoices_Detail!$A$2:$A$201=A70))</f>
        <v>TRX086, TRX139</v>
      </c>
      <c r="D70" t="str" cm="1">
        <f t="array" ref="D70">_xlfn.TEXTJOIN("; ",TRUE,_xlfn._xlws.FILTER(Invoices_Detail!$D$2:$D$201,Invoices_Detail!$A$2:$A$201=A70))</f>
        <v>Paku 5cm (1 kg); Genset Portable 1000W</v>
      </c>
      <c r="E70" t="str" cm="1">
        <f t="array" ref="E70">_xlfn.TEXTJOIN(" + ",TRUE,_xlfn._xlws.FILTER(Invoices_Detail!$E$2:$E$201,Invoices_Detail!$A$2:$A$201=A70))</f>
        <v>18 + 7</v>
      </c>
      <c r="F70" t="str" cm="1">
        <f t="array" ref="F70">_xlfn.TEXTJOIN("; ",TRUE,_xlfn._xlws.FILTER(Invoices_Detail!$F$2:$F$201,Invoices_Detail!$A$2:$A$201=$A70))</f>
        <v>13500; 3134000</v>
      </c>
      <c r="G70" t="str" cm="1">
        <f t="array" ref="G70">_xlfn.TEXTJOIN(" + ",TRUE,_xlfn._xlws.FILTER(Invoices_Detail!$G$2:$G$201,Invoices_Detail!$A$2:$A$201=$A70)) &amp; " = " &amp; SUM(_xlfn._xlws.FILTER(Invoices_Detail!G199:G200,Invoices_Detail!A199:A200=A70))</f>
        <v>243000 + 21938000 = 22181000</v>
      </c>
      <c r="H70" t="str">
        <f>VLOOKUP(A70,InvoicesDetail[],8,0)</f>
        <v>Paid</v>
      </c>
      <c r="I70" t="s">
        <v>59</v>
      </c>
      <c r="J70" s="20"/>
    </row>
    <row r="71" spans="1:11" x14ac:dyDescent="0.25">
      <c r="A71" t="s">
        <v>339</v>
      </c>
      <c r="B71" s="20">
        <f>VLOOKUP(InvoicesDisplay[[#This Row],[Invoice ID]],InvoicesDetail[],2,0)</f>
        <v>45875</v>
      </c>
      <c r="C71" t="str" cm="1">
        <f t="array" ref="C71">_xlfn.TEXTJOIN(", ",TRUE,_xlfn._xlws.FILTER(Invoices_Detail!$C$2:$C$201,Invoices_Detail!$A$2:$A$201=A71))</f>
        <v>TRX193</v>
      </c>
      <c r="D71" t="str" cm="1">
        <f t="array" ref="D71">_xlfn.TEXTJOIN("; ",TRUE,_xlfn._xlws.FILTER(Invoices_Detail!$D$2:$D$201,Invoices_Detail!$A$2:$A$201=A71))</f>
        <v>Bor Tangan Listrik</v>
      </c>
      <c r="E71" t="str" cm="1">
        <f t="array" ref="E71">_xlfn.TEXTJOIN(" + ",TRUE,_xlfn._xlws.FILTER(Invoices_Detail!$E$2:$E$201,Invoices_Detail!$A$2:$A$201=A71))</f>
        <v>6</v>
      </c>
      <c r="F71" t="str" cm="1">
        <f t="array" ref="F71">_xlfn.TEXTJOIN("; ",TRUE,_xlfn._xlws.FILTER(Invoices_Detail!$F$2:$F$201,Invoices_Detail!$A$2:$A$201=$A71))</f>
        <v>335500</v>
      </c>
      <c r="G71" t="str" cm="1">
        <f t="array" ref="G71">_xlfn.TEXTJOIN(" + ",TRUE,_xlfn._xlws.FILTER(Invoices_Detail!$G$2:$G$201,Invoices_Detail!$A$2:$A$201=$A71))</f>
        <v>2013000</v>
      </c>
      <c r="H71" t="str">
        <f>VLOOKUP(A71,InvoicesDetail[],8,0)</f>
        <v>Paid</v>
      </c>
      <c r="I71" t="s">
        <v>62</v>
      </c>
      <c r="J71" s="20"/>
    </row>
    <row r="72" spans="1:11" x14ac:dyDescent="0.25">
      <c r="J72" s="20"/>
    </row>
    <row r="73" spans="1:11" x14ac:dyDescent="0.25">
      <c r="J73" s="20"/>
    </row>
    <row r="74" spans="1:11" x14ac:dyDescent="0.25">
      <c r="J74" s="20"/>
    </row>
    <row r="75" spans="1:11" x14ac:dyDescent="0.25">
      <c r="J75" s="20"/>
      <c r="K75" s="1"/>
    </row>
    <row r="76" spans="1:11" x14ac:dyDescent="0.25">
      <c r="J76" s="20"/>
    </row>
    <row r="77" spans="1:11" x14ac:dyDescent="0.25">
      <c r="J77" s="20"/>
    </row>
    <row r="78" spans="1:11" x14ac:dyDescent="0.25">
      <c r="J78" s="20"/>
    </row>
    <row r="79" spans="1:11" x14ac:dyDescent="0.25">
      <c r="J79" s="20"/>
    </row>
    <row r="80" spans="1:11" x14ac:dyDescent="0.25">
      <c r="J80" s="20"/>
    </row>
    <row r="81" spans="10:11" x14ac:dyDescent="0.25">
      <c r="J81" s="20"/>
    </row>
    <row r="82" spans="10:11" x14ac:dyDescent="0.25">
      <c r="J82" s="20"/>
      <c r="K82" s="1"/>
    </row>
    <row r="83" spans="10:11" x14ac:dyDescent="0.25">
      <c r="J83" s="20"/>
    </row>
    <row r="84" spans="10:11" x14ac:dyDescent="0.25">
      <c r="J84" s="20"/>
    </row>
    <row r="85" spans="10:11" x14ac:dyDescent="0.25">
      <c r="J85" s="20"/>
    </row>
    <row r="86" spans="10:11" x14ac:dyDescent="0.25">
      <c r="J86" s="20"/>
    </row>
    <row r="87" spans="10:11" x14ac:dyDescent="0.25">
      <c r="J87" s="20"/>
    </row>
    <row r="88" spans="10:11" x14ac:dyDescent="0.25">
      <c r="J88" s="20"/>
      <c r="K88" s="1"/>
    </row>
    <row r="89" spans="10:11" x14ac:dyDescent="0.25">
      <c r="J89" s="20"/>
    </row>
    <row r="90" spans="10:11" x14ac:dyDescent="0.25">
      <c r="J90" s="20"/>
    </row>
    <row r="91" spans="10:11" x14ac:dyDescent="0.25">
      <c r="J91" s="20"/>
      <c r="K91" s="1"/>
    </row>
    <row r="92" spans="10:11" x14ac:dyDescent="0.25">
      <c r="J92" s="20"/>
    </row>
    <row r="93" spans="10:11" x14ac:dyDescent="0.25">
      <c r="J93" s="20"/>
    </row>
    <row r="94" spans="10:11" x14ac:dyDescent="0.25">
      <c r="J94" s="20"/>
    </row>
    <row r="95" spans="10:11" x14ac:dyDescent="0.25">
      <c r="J95" s="20"/>
    </row>
    <row r="96" spans="10:11" x14ac:dyDescent="0.25">
      <c r="J96" s="20"/>
    </row>
    <row r="97" spans="10:11" x14ac:dyDescent="0.25">
      <c r="J97" s="20"/>
    </row>
    <row r="98" spans="10:11" x14ac:dyDescent="0.25">
      <c r="J98" s="20"/>
    </row>
    <row r="99" spans="10:11" x14ac:dyDescent="0.25">
      <c r="J99" s="20"/>
    </row>
    <row r="100" spans="10:11" x14ac:dyDescent="0.25">
      <c r="J100" s="20"/>
    </row>
    <row r="101" spans="10:11" x14ac:dyDescent="0.25">
      <c r="J101" s="20"/>
    </row>
    <row r="102" spans="10:11" x14ac:dyDescent="0.25">
      <c r="J102" s="20"/>
    </row>
    <row r="103" spans="10:11" x14ac:dyDescent="0.25">
      <c r="J103" s="20"/>
    </row>
    <row r="104" spans="10:11" x14ac:dyDescent="0.25">
      <c r="J104" s="20"/>
    </row>
    <row r="105" spans="10:11" x14ac:dyDescent="0.25">
      <c r="J105" s="20"/>
    </row>
    <row r="106" spans="10:11" x14ac:dyDescent="0.25">
      <c r="J106" s="20"/>
    </row>
    <row r="107" spans="10:11" x14ac:dyDescent="0.25">
      <c r="J107" s="20"/>
    </row>
    <row r="108" spans="10:11" x14ac:dyDescent="0.25">
      <c r="J108" s="20"/>
    </row>
    <row r="109" spans="10:11" x14ac:dyDescent="0.25">
      <c r="J109" s="20"/>
    </row>
    <row r="110" spans="10:11" x14ac:dyDescent="0.25">
      <c r="J110" s="20"/>
    </row>
    <row r="111" spans="10:11" x14ac:dyDescent="0.25">
      <c r="J111" s="20"/>
      <c r="K111" s="1"/>
    </row>
    <row r="112" spans="10:11" x14ac:dyDescent="0.25">
      <c r="J112" s="20"/>
    </row>
    <row r="113" spans="10:11" x14ac:dyDescent="0.25">
      <c r="J113" s="20"/>
      <c r="K113" s="1"/>
    </row>
    <row r="114" spans="10:11" x14ac:dyDescent="0.25">
      <c r="J114" s="20"/>
    </row>
    <row r="115" spans="10:11" x14ac:dyDescent="0.25">
      <c r="J115" s="20"/>
    </row>
    <row r="116" spans="10:11" x14ac:dyDescent="0.25">
      <c r="J116" s="20"/>
    </row>
    <row r="117" spans="10:11" x14ac:dyDescent="0.25">
      <c r="J117" s="20"/>
    </row>
    <row r="118" spans="10:11" x14ac:dyDescent="0.25">
      <c r="J118" s="20"/>
    </row>
    <row r="119" spans="10:11" x14ac:dyDescent="0.25">
      <c r="J119" s="20"/>
    </row>
    <row r="120" spans="10:11" x14ac:dyDescent="0.25">
      <c r="J120" s="20"/>
    </row>
    <row r="121" spans="10:11" x14ac:dyDescent="0.25">
      <c r="J121" s="20"/>
    </row>
    <row r="122" spans="10:11" x14ac:dyDescent="0.25">
      <c r="J122" s="20"/>
    </row>
    <row r="123" spans="10:11" x14ac:dyDescent="0.25">
      <c r="J123" s="20"/>
    </row>
    <row r="124" spans="10:11" x14ac:dyDescent="0.25">
      <c r="J124" s="20"/>
    </row>
    <row r="125" spans="10:11" x14ac:dyDescent="0.25">
      <c r="J125" s="20"/>
    </row>
    <row r="126" spans="10:11" x14ac:dyDescent="0.25">
      <c r="J126" s="20"/>
    </row>
    <row r="127" spans="10:11" x14ac:dyDescent="0.25">
      <c r="J127" s="20"/>
    </row>
    <row r="128" spans="10:11" x14ac:dyDescent="0.25">
      <c r="J128" s="20"/>
    </row>
    <row r="129" spans="10:11" x14ac:dyDescent="0.25">
      <c r="J129" s="20"/>
    </row>
    <row r="130" spans="10:11" x14ac:dyDescent="0.25">
      <c r="J130" s="20"/>
    </row>
    <row r="131" spans="10:11" x14ac:dyDescent="0.25">
      <c r="J131" s="20"/>
    </row>
    <row r="132" spans="10:11" x14ac:dyDescent="0.25">
      <c r="J132" s="20"/>
    </row>
    <row r="133" spans="10:11" x14ac:dyDescent="0.25">
      <c r="J133" s="20"/>
    </row>
    <row r="134" spans="10:11" x14ac:dyDescent="0.25">
      <c r="J134" s="20"/>
    </row>
    <row r="135" spans="10:11" x14ac:dyDescent="0.25">
      <c r="J135" s="20"/>
    </row>
    <row r="136" spans="10:11" x14ac:dyDescent="0.25">
      <c r="J136" s="20"/>
    </row>
    <row r="137" spans="10:11" x14ac:dyDescent="0.25">
      <c r="J137" s="20"/>
    </row>
    <row r="138" spans="10:11" x14ac:dyDescent="0.25">
      <c r="J138" s="20"/>
    </row>
    <row r="139" spans="10:11" x14ac:dyDescent="0.25">
      <c r="J139" s="20"/>
    </row>
    <row r="140" spans="10:11" x14ac:dyDescent="0.25">
      <c r="J140" s="20"/>
    </row>
    <row r="141" spans="10:11" x14ac:dyDescent="0.25">
      <c r="J141" s="20"/>
    </row>
    <row r="142" spans="10:11" x14ac:dyDescent="0.25">
      <c r="J142" s="20"/>
      <c r="K142" s="1"/>
    </row>
    <row r="143" spans="10:11" x14ac:dyDescent="0.25">
      <c r="J143" s="20"/>
    </row>
    <row r="144" spans="10:11" x14ac:dyDescent="0.25">
      <c r="J144" s="20"/>
    </row>
    <row r="145" spans="10:11" x14ac:dyDescent="0.25">
      <c r="J145" s="20"/>
    </row>
    <row r="146" spans="10:11" x14ac:dyDescent="0.25">
      <c r="J146" s="20"/>
    </row>
    <row r="147" spans="10:11" x14ac:dyDescent="0.25">
      <c r="J147" s="20"/>
    </row>
    <row r="148" spans="10:11" x14ac:dyDescent="0.25">
      <c r="J148" s="20"/>
    </row>
    <row r="149" spans="10:11" x14ac:dyDescent="0.25">
      <c r="J149" s="20"/>
      <c r="K149" s="1"/>
    </row>
    <row r="150" spans="10:11" x14ac:dyDescent="0.25">
      <c r="J150" s="20"/>
    </row>
    <row r="151" spans="10:11" x14ac:dyDescent="0.25">
      <c r="J151" s="20"/>
    </row>
    <row r="152" spans="10:11" x14ac:dyDescent="0.25">
      <c r="J152" s="20"/>
    </row>
    <row r="153" spans="10:11" x14ac:dyDescent="0.25">
      <c r="J153" s="20"/>
    </row>
    <row r="154" spans="10:11" x14ac:dyDescent="0.25">
      <c r="J154" s="20"/>
    </row>
    <row r="155" spans="10:11" x14ac:dyDescent="0.25">
      <c r="J155" s="20"/>
    </row>
    <row r="156" spans="10:11" x14ac:dyDescent="0.25">
      <c r="J156" s="20"/>
    </row>
    <row r="157" spans="10:11" x14ac:dyDescent="0.25">
      <c r="J157" s="20"/>
    </row>
    <row r="158" spans="10:11" x14ac:dyDescent="0.25">
      <c r="J158" s="20"/>
    </row>
    <row r="159" spans="10:11" x14ac:dyDescent="0.25">
      <c r="J159" s="20"/>
      <c r="K159" s="1"/>
    </row>
    <row r="160" spans="10:11" x14ac:dyDescent="0.25">
      <c r="J160" s="20"/>
    </row>
    <row r="161" spans="10:11" x14ac:dyDescent="0.25">
      <c r="J161" s="20"/>
    </row>
    <row r="162" spans="10:11" x14ac:dyDescent="0.25">
      <c r="J162" s="20"/>
    </row>
    <row r="163" spans="10:11" x14ac:dyDescent="0.25">
      <c r="J163" s="20"/>
    </row>
    <row r="164" spans="10:11" x14ac:dyDescent="0.25">
      <c r="J164" s="20"/>
    </row>
    <row r="165" spans="10:11" x14ac:dyDescent="0.25">
      <c r="J165" s="20"/>
      <c r="K165" s="1"/>
    </row>
    <row r="166" spans="10:11" x14ac:dyDescent="0.25">
      <c r="J166" s="20"/>
    </row>
    <row r="167" spans="10:11" x14ac:dyDescent="0.25">
      <c r="J167" s="20"/>
      <c r="K167" s="1"/>
    </row>
    <row r="168" spans="10:11" x14ac:dyDescent="0.25">
      <c r="J168" s="20"/>
    </row>
    <row r="169" spans="10:11" x14ac:dyDescent="0.25">
      <c r="J169" s="20"/>
    </row>
    <row r="170" spans="10:11" x14ac:dyDescent="0.25">
      <c r="J170" s="20"/>
    </row>
    <row r="171" spans="10:11" x14ac:dyDescent="0.25">
      <c r="J171" s="20"/>
    </row>
    <row r="172" spans="10:11" x14ac:dyDescent="0.25">
      <c r="J172" s="20"/>
      <c r="K172" s="1"/>
    </row>
    <row r="173" spans="10:11" x14ac:dyDescent="0.25">
      <c r="J173" s="20"/>
    </row>
    <row r="174" spans="10:11" x14ac:dyDescent="0.25">
      <c r="J174" s="20"/>
    </row>
    <row r="175" spans="10:11" x14ac:dyDescent="0.25">
      <c r="J175" s="20"/>
    </row>
    <row r="176" spans="10:11" x14ac:dyDescent="0.25">
      <c r="J176" s="20"/>
    </row>
    <row r="177" spans="10:11" x14ac:dyDescent="0.25">
      <c r="J177" s="20"/>
    </row>
    <row r="178" spans="10:11" x14ac:dyDescent="0.25">
      <c r="J178" s="20"/>
    </row>
    <row r="179" spans="10:11" x14ac:dyDescent="0.25">
      <c r="J179" s="20"/>
    </row>
    <row r="180" spans="10:11" x14ac:dyDescent="0.25">
      <c r="J180" s="20"/>
    </row>
    <row r="181" spans="10:11" x14ac:dyDescent="0.25">
      <c r="J181" s="20"/>
      <c r="K181" s="1"/>
    </row>
    <row r="182" spans="10:11" x14ac:dyDescent="0.25">
      <c r="J182" s="20"/>
    </row>
    <row r="183" spans="10:11" x14ac:dyDescent="0.25">
      <c r="J183" s="20"/>
    </row>
    <row r="184" spans="10:11" x14ac:dyDescent="0.25">
      <c r="J184" s="20"/>
    </row>
    <row r="185" spans="10:11" x14ac:dyDescent="0.25">
      <c r="J185" s="20"/>
    </row>
    <row r="186" spans="10:11" x14ac:dyDescent="0.25">
      <c r="J186" s="20"/>
    </row>
    <row r="187" spans="10:11" x14ac:dyDescent="0.25">
      <c r="J187" s="20"/>
    </row>
    <row r="188" spans="10:11" x14ac:dyDescent="0.25">
      <c r="J188" s="20"/>
    </row>
    <row r="189" spans="10:11" x14ac:dyDescent="0.25">
      <c r="J189" s="20"/>
    </row>
    <row r="190" spans="10:11" x14ac:dyDescent="0.25">
      <c r="J190" s="20"/>
    </row>
    <row r="191" spans="10:11" x14ac:dyDescent="0.25">
      <c r="J191" s="20"/>
    </row>
    <row r="192" spans="10:11" x14ac:dyDescent="0.25">
      <c r="J192" s="20"/>
    </row>
    <row r="193" spans="10:10" x14ac:dyDescent="0.25">
      <c r="J193" s="20"/>
    </row>
    <row r="194" spans="10:10" x14ac:dyDescent="0.25">
      <c r="J194" s="20"/>
    </row>
    <row r="195" spans="10:10" x14ac:dyDescent="0.25">
      <c r="J195" s="20"/>
    </row>
    <row r="196" spans="10:10" x14ac:dyDescent="0.25">
      <c r="J196" s="20"/>
    </row>
    <row r="197" spans="10:10" x14ac:dyDescent="0.25">
      <c r="J197" s="20"/>
    </row>
    <row r="198" spans="10:10" x14ac:dyDescent="0.25">
      <c r="J198" s="20"/>
    </row>
    <row r="199" spans="10:10" x14ac:dyDescent="0.25">
      <c r="J199" s="20"/>
    </row>
    <row r="200" spans="10:10" x14ac:dyDescent="0.25">
      <c r="J200" s="20"/>
    </row>
    <row r="201" spans="10:10" x14ac:dyDescent="0.25">
      <c r="J201" s="20"/>
    </row>
  </sheetData>
  <conditionalFormatting sqref="K2:K201">
    <cfRule type="duplicateValues" dxfId="3" priority="1"/>
  </conditionalFormatting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8199D6-82DB-4B1E-8F4C-CCCF6D0BCF01}">
  <sheetPr>
    <pageSetUpPr fitToPage="1"/>
  </sheetPr>
  <dimension ref="A1:J21"/>
  <sheetViews>
    <sheetView topLeftCell="C1" zoomScale="80" zoomScaleNormal="80" workbookViewId="0">
      <selection activeCell="K7" sqref="K7"/>
    </sheetView>
  </sheetViews>
  <sheetFormatPr defaultRowHeight="15" x14ac:dyDescent="0.25"/>
  <cols>
    <col min="1" max="1" width="10.7109375" bestFit="1" customWidth="1"/>
    <col min="2" max="2" width="15.7109375" customWidth="1"/>
    <col min="3" max="3" width="12.85546875" customWidth="1"/>
    <col min="4" max="4" width="11" bestFit="1" customWidth="1"/>
    <col min="5" max="5" width="12.85546875" customWidth="1"/>
    <col min="6" max="6" width="15.85546875" bestFit="1" customWidth="1"/>
    <col min="7" max="7" width="16.28515625" bestFit="1" customWidth="1"/>
    <col min="8" max="8" width="10.5703125" bestFit="1" customWidth="1"/>
    <col min="9" max="9" width="12.7109375" bestFit="1" customWidth="1"/>
    <col min="10" max="10" width="14.5703125" customWidth="1"/>
  </cols>
  <sheetData>
    <row r="1" spans="1:10" s="29" customFormat="1" ht="15.75" thickBot="1" x14ac:dyDescent="0.3">
      <c r="A1" s="26" t="s">
        <v>36</v>
      </c>
      <c r="B1" s="27" t="s">
        <v>350</v>
      </c>
      <c r="C1" s="27" t="s">
        <v>351</v>
      </c>
      <c r="D1" s="27" t="s">
        <v>340</v>
      </c>
      <c r="E1" s="27" t="s">
        <v>341</v>
      </c>
      <c r="F1" s="27" t="s">
        <v>342</v>
      </c>
      <c r="G1" s="27" t="s">
        <v>343</v>
      </c>
      <c r="H1" s="27" t="s">
        <v>344</v>
      </c>
      <c r="I1" s="28" t="s">
        <v>352</v>
      </c>
      <c r="J1" s="28" t="s">
        <v>367</v>
      </c>
    </row>
    <row r="2" spans="1:10" ht="16.5" thickTop="1" thickBot="1" x14ac:dyDescent="0.3">
      <c r="A2" s="6" t="s">
        <v>52</v>
      </c>
      <c r="B2" s="23" t="s">
        <v>0</v>
      </c>
      <c r="C2" s="23" t="str">
        <f>VLOOKUP(B2,Items!$B$2:$C$21,2,0)</f>
        <v>Material Bangunan</v>
      </c>
      <c r="D2" s="7">
        <f>SUMIFS(Transactions[Qty], Transactions[Item ID],StockReport[[#This Row],[Item ID]], Transactions[Type],"IN")</f>
        <v>84</v>
      </c>
      <c r="E2" s="7">
        <f>SUMIFS(Transactions[Qty], Transactions[Item ID],StockReport[[#This Row],[Item ID]], Transactions[Type],"OUT")</f>
        <v>34</v>
      </c>
      <c r="F2" s="7">
        <f>Items[[#This Row],[Stock]]+StockReport[[#This Row],[Total IN]]-StockReport[[#This Row],[Total OUT]]</f>
        <v>317</v>
      </c>
      <c r="G2" s="7">
        <f>VLOOKUP(StockReport[[#This Row],[Item ID]],Items[],7,0)</f>
        <v>35</v>
      </c>
      <c r="H2" s="7" t="str">
        <f>IF(StockReport[[#This Row],[Current Stock]]&lt;StockReport[[#This Row],[Reorder Level]], "Low Stock", "OK")</f>
        <v>OK</v>
      </c>
      <c r="I2" s="16">
        <f>VLOOKUP(StockReport[[#This Row],[Item ID]],Items[],5,0)</f>
        <v>13500</v>
      </c>
      <c r="J2" s="16">
        <f>StockReport[[#This Row],[Current Stock]]*StockReport[[#This Row],[Unit Price]]</f>
        <v>4279500</v>
      </c>
    </row>
    <row r="3" spans="1:10" ht="31.5" thickTop="1" thickBot="1" x14ac:dyDescent="0.3">
      <c r="A3" s="8" t="s">
        <v>38</v>
      </c>
      <c r="B3" s="24" t="s">
        <v>3</v>
      </c>
      <c r="C3" s="23" t="str">
        <f>VLOOKUP(B3,Items!$B$2:$C$21,2,0)</f>
        <v>Alat Pelindung</v>
      </c>
      <c r="D3" s="7">
        <f>SUMIFS(Transactions[Qty], Transactions[Item ID],StockReport[[#This Row],[Item ID]], Transactions[Type],"IN")</f>
        <v>77</v>
      </c>
      <c r="E3" s="5">
        <f>SUMIFS(Transactions[Qty], Transactions[Item ID],StockReport[[#This Row],[Item ID]], Transactions[Type],"OUT")</f>
        <v>69</v>
      </c>
      <c r="F3" s="7">
        <f>Items[[#This Row],[Stock]]+StockReport[[#This Row],[Total IN]]-StockReport[[#This Row],[Total OUT]]</f>
        <v>277</v>
      </c>
      <c r="G3" s="7">
        <f>VLOOKUP(StockReport[[#This Row],[Item ID]],Items[],7,0)</f>
        <v>15</v>
      </c>
      <c r="H3" s="5" t="str">
        <f>IF(StockReport[[#This Row],[Current Stock]]&lt;StockReport[[#This Row],[Reorder Level]], "Low Stock", "OK")</f>
        <v>OK</v>
      </c>
      <c r="I3" s="16">
        <f>VLOOKUP(StockReport[[#This Row],[Item ID]],Items[],5,0)</f>
        <v>20000</v>
      </c>
      <c r="J3" s="16">
        <f>StockReport[[#This Row],[Current Stock]]*StockReport[[#This Row],[Unit Price]]</f>
        <v>5540000</v>
      </c>
    </row>
    <row r="4" spans="1:10" ht="31.5" thickTop="1" thickBot="1" x14ac:dyDescent="0.3">
      <c r="A4" s="9" t="s">
        <v>46</v>
      </c>
      <c r="B4" s="25" t="s">
        <v>5</v>
      </c>
      <c r="C4" s="23" t="str">
        <f>VLOOKUP(B4,Items!$B$2:$C$21,2,0)</f>
        <v>Alat Pelindung</v>
      </c>
      <c r="D4" s="7">
        <f>SUMIFS(Transactions[Qty], Transactions[Item ID],StockReport[[#This Row],[Item ID]], Transactions[Type],"IN")</f>
        <v>4</v>
      </c>
      <c r="E4" s="10">
        <f>SUMIFS(Transactions[Qty], Transactions[Item ID],StockReport[[#This Row],[Item ID]], Transactions[Type],"OUT")</f>
        <v>44</v>
      </c>
      <c r="F4" s="7">
        <f>Items[[#This Row],[Stock]]+StockReport[[#This Row],[Total IN]]-StockReport[[#This Row],[Total OUT]]</f>
        <v>16</v>
      </c>
      <c r="G4" s="7">
        <f>VLOOKUP(StockReport[[#This Row],[Item ID]],Items[],7,0)</f>
        <v>45</v>
      </c>
      <c r="H4" s="10" t="str">
        <f>IF(StockReport[[#This Row],[Current Stock]]&lt;StockReport[[#This Row],[Reorder Level]], "Low Stock", "OK")</f>
        <v>Low Stock</v>
      </c>
      <c r="I4" s="16">
        <f>VLOOKUP(StockReport[[#This Row],[Item ID]],Items[],5,0)</f>
        <v>11500</v>
      </c>
      <c r="J4" s="16">
        <f>StockReport[[#This Row],[Current Stock]]*StockReport[[#This Row],[Unit Price]]</f>
        <v>184000</v>
      </c>
    </row>
    <row r="5" spans="1:10" ht="16.5" thickTop="1" thickBot="1" x14ac:dyDescent="0.3">
      <c r="A5" s="8" t="s">
        <v>49</v>
      </c>
      <c r="B5" s="24" t="s">
        <v>8</v>
      </c>
      <c r="C5" s="23" t="str">
        <f>VLOOKUP(B5,Items!$B$2:$C$21,2,0)</f>
        <v>Material Bangunan</v>
      </c>
      <c r="D5" s="7">
        <f>SUMIFS(Transactions[Qty], Transactions[Item ID],StockReport[[#This Row],[Item ID]], Transactions[Type],"IN")</f>
        <v>53</v>
      </c>
      <c r="E5" s="5">
        <f>SUMIFS(Transactions[Qty], Transactions[Item ID],StockReport[[#This Row],[Item ID]], Transactions[Type],"OUT")</f>
        <v>63</v>
      </c>
      <c r="F5" s="7">
        <f>Items[[#This Row],[Stock]]+StockReport[[#This Row],[Total IN]]-StockReport[[#This Row],[Total OUT]]</f>
        <v>94</v>
      </c>
      <c r="G5" s="7">
        <f>VLOOKUP(StockReport[[#This Row],[Item ID]],Items[],7,0)</f>
        <v>23</v>
      </c>
      <c r="H5" s="5" t="str">
        <f>IF(StockReport[[#This Row],[Current Stock]]&lt;StockReport[[#This Row],[Reorder Level]], "Low Stock", "OK")</f>
        <v>OK</v>
      </c>
      <c r="I5" s="16">
        <f>VLOOKUP(StockReport[[#This Row],[Item ID]],Items[],5,0)</f>
        <v>31000</v>
      </c>
      <c r="J5" s="16">
        <f>StockReport[[#This Row],[Current Stock]]*StockReport[[#This Row],[Unit Price]]</f>
        <v>2914000</v>
      </c>
    </row>
    <row r="6" spans="1:10" ht="16.5" thickTop="1" thickBot="1" x14ac:dyDescent="0.3">
      <c r="A6" s="9" t="s">
        <v>45</v>
      </c>
      <c r="B6" s="25" t="s">
        <v>10</v>
      </c>
      <c r="C6" s="23" t="str">
        <f>VLOOKUP(B6,Items!$B$2:$C$21,2,0)</f>
        <v>Alat Pelindung</v>
      </c>
      <c r="D6" s="7">
        <f>SUMIFS(Transactions[Qty], Transactions[Item ID],StockReport[[#This Row],[Item ID]], Transactions[Type],"IN")</f>
        <v>76</v>
      </c>
      <c r="E6" s="10">
        <f>SUMIFS(Transactions[Qty], Transactions[Item ID],StockReport[[#This Row],[Item ID]], Transactions[Type],"OUT")</f>
        <v>40</v>
      </c>
      <c r="F6" s="7">
        <f>Items[[#This Row],[Stock]]+StockReport[[#This Row],[Total IN]]-StockReport[[#This Row],[Total OUT]]</f>
        <v>157</v>
      </c>
      <c r="G6" s="7">
        <f>VLOOKUP(StockReport[[#This Row],[Item ID]],Items[],7,0)</f>
        <v>40</v>
      </c>
      <c r="H6" s="10" t="str">
        <f>IF(StockReport[[#This Row],[Current Stock]]&lt;StockReport[[#This Row],[Reorder Level]], "Low Stock", "OK")</f>
        <v>OK</v>
      </c>
      <c r="I6" s="16">
        <f>VLOOKUP(StockReport[[#This Row],[Item ID]],Items[],5,0)</f>
        <v>50000</v>
      </c>
      <c r="J6" s="16">
        <f>StockReport[[#This Row],[Current Stock]]*StockReport[[#This Row],[Unit Price]]</f>
        <v>7850000</v>
      </c>
    </row>
    <row r="7" spans="1:10" ht="16.5" thickTop="1" thickBot="1" x14ac:dyDescent="0.3">
      <c r="A7" s="8" t="s">
        <v>54</v>
      </c>
      <c r="B7" s="24" t="s">
        <v>13</v>
      </c>
      <c r="C7" s="23" t="str">
        <f>VLOOKUP(B7,Items!$B$2:$C$21,2,0)</f>
        <v>Peralatan &amp; Mesin</v>
      </c>
      <c r="D7" s="7">
        <f>SUMIFS(Transactions[Qty], Transactions[Item ID],StockReport[[#This Row],[Item ID]], Transactions[Type],"IN")</f>
        <v>44</v>
      </c>
      <c r="E7" s="5">
        <f>SUMIFS(Transactions[Qty], Transactions[Item ID],StockReport[[#This Row],[Item ID]], Transactions[Type],"OUT")</f>
        <v>49</v>
      </c>
      <c r="F7" s="7">
        <f>Items[[#This Row],[Stock]]+StockReport[[#This Row],[Total IN]]-StockReport[[#This Row],[Total OUT]]</f>
        <v>31</v>
      </c>
      <c r="G7" s="7">
        <f>VLOOKUP(StockReport[[#This Row],[Item ID]],Items[],7,0)</f>
        <v>40</v>
      </c>
      <c r="H7" s="5" t="str">
        <f>IF(StockReport[[#This Row],[Current Stock]]&lt;StockReport[[#This Row],[Reorder Level]], "Low Stock", "OK")</f>
        <v>Low Stock</v>
      </c>
      <c r="I7" s="16">
        <f>VLOOKUP(StockReport[[#This Row],[Item ID]],Items[],5,0)</f>
        <v>128000</v>
      </c>
      <c r="J7" s="16">
        <f>StockReport[[#This Row],[Current Stock]]*StockReport[[#This Row],[Unit Price]]</f>
        <v>3968000</v>
      </c>
    </row>
    <row r="8" spans="1:10" ht="31.5" thickTop="1" thickBot="1" x14ac:dyDescent="0.3">
      <c r="A8" s="9" t="s">
        <v>40</v>
      </c>
      <c r="B8" s="25" t="s">
        <v>15</v>
      </c>
      <c r="C8" s="23" t="str">
        <f>VLOOKUP(B8,Items!$B$2:$C$21,2,0)</f>
        <v>Peralatan &amp; Mesin</v>
      </c>
      <c r="D8" s="7">
        <f>SUMIFS(Transactions[Qty], Transactions[Item ID],StockReport[[#This Row],[Item ID]], Transactions[Type],"IN")</f>
        <v>43</v>
      </c>
      <c r="E8" s="10">
        <f>SUMIFS(Transactions[Qty], Transactions[Item ID],StockReport[[#This Row],[Item ID]], Transactions[Type],"OUT")</f>
        <v>62</v>
      </c>
      <c r="F8" s="7">
        <f>Items[[#This Row],[Stock]]+StockReport[[#This Row],[Total IN]]-StockReport[[#This Row],[Total OUT]]</f>
        <v>225</v>
      </c>
      <c r="G8" s="7">
        <f>VLOOKUP(StockReport[[#This Row],[Item ID]],Items[],7,0)</f>
        <v>16</v>
      </c>
      <c r="H8" s="10" t="str">
        <f>IF(StockReport[[#This Row],[Current Stock]]&lt;StockReport[[#This Row],[Reorder Level]], "Low Stock", "OK")</f>
        <v>OK</v>
      </c>
      <c r="I8" s="16">
        <f>VLOOKUP(StockReport[[#This Row],[Item ID]],Items[],5,0)</f>
        <v>335500</v>
      </c>
      <c r="J8" s="16">
        <f>StockReport[[#This Row],[Current Stock]]*StockReport[[#This Row],[Unit Price]]</f>
        <v>75487500</v>
      </c>
    </row>
    <row r="9" spans="1:10" ht="31.5" thickTop="1" thickBot="1" x14ac:dyDescent="0.3">
      <c r="A9" s="8" t="s">
        <v>41</v>
      </c>
      <c r="B9" s="24" t="s">
        <v>18</v>
      </c>
      <c r="C9" s="23" t="str">
        <f>VLOOKUP(B9,Items!$B$2:$C$21,2,0)</f>
        <v>Peralatan &amp; Mesin</v>
      </c>
      <c r="D9" s="7">
        <f>SUMIFS(Transactions[Qty], Transactions[Item ID],StockReport[[#This Row],[Item ID]], Transactions[Type],"IN")</f>
        <v>21</v>
      </c>
      <c r="E9" s="5">
        <f>SUMIFS(Transactions[Qty], Transactions[Item ID],StockReport[[#This Row],[Item ID]], Transactions[Type],"OUT")</f>
        <v>37</v>
      </c>
      <c r="F9" s="7">
        <f>Items[[#This Row],[Stock]]+StockReport[[#This Row],[Total IN]]-StockReport[[#This Row],[Total OUT]]</f>
        <v>87</v>
      </c>
      <c r="G9" s="7">
        <f>VLOOKUP(StockReport[[#This Row],[Item ID]],Items[],7,0)</f>
        <v>41</v>
      </c>
      <c r="H9" s="5" t="str">
        <f>IF(StockReport[[#This Row],[Current Stock]]&lt;StockReport[[#This Row],[Reorder Level]], "Low Stock", "OK")</f>
        <v>OK</v>
      </c>
      <c r="I9" s="16">
        <f>VLOOKUP(StockReport[[#This Row],[Item ID]],Items[],5,0)</f>
        <v>420000</v>
      </c>
      <c r="J9" s="16">
        <f>StockReport[[#This Row],[Current Stock]]*StockReport[[#This Row],[Unit Price]]</f>
        <v>36540000</v>
      </c>
    </row>
    <row r="10" spans="1:10" ht="31.5" thickTop="1" thickBot="1" x14ac:dyDescent="0.3">
      <c r="A10" s="9" t="s">
        <v>42</v>
      </c>
      <c r="B10" s="25" t="s">
        <v>20</v>
      </c>
      <c r="C10" s="23" t="str">
        <f>VLOOKUP(B10,Items!$B$2:$C$21,2,0)</f>
        <v>Material Bangunan</v>
      </c>
      <c r="D10" s="7">
        <f>SUMIFS(Transactions[Qty], Transactions[Item ID],StockReport[[#This Row],[Item ID]], Transactions[Type],"IN")</f>
        <v>61</v>
      </c>
      <c r="E10" s="10">
        <f>SUMIFS(Transactions[Qty], Transactions[Item ID],StockReport[[#This Row],[Item ID]], Transactions[Type],"OUT")</f>
        <v>79</v>
      </c>
      <c r="F10" s="7">
        <f>Items[[#This Row],[Stock]]+StockReport[[#This Row],[Total IN]]-StockReport[[#This Row],[Total OUT]]</f>
        <v>64</v>
      </c>
      <c r="G10" s="7">
        <f>VLOOKUP(StockReport[[#This Row],[Item ID]],Items[],7,0)</f>
        <v>44</v>
      </c>
      <c r="H10" s="10" t="str">
        <f>IF(StockReport[[#This Row],[Current Stock]]&lt;StockReport[[#This Row],[Reorder Level]], "Low Stock", "OK")</f>
        <v>OK</v>
      </c>
      <c r="I10" s="16">
        <f>VLOOKUP(StockReport[[#This Row],[Item ID]],Items[],5,0)</f>
        <v>260000</v>
      </c>
      <c r="J10" s="16">
        <f>StockReport[[#This Row],[Current Stock]]*StockReport[[#This Row],[Unit Price]]</f>
        <v>16640000</v>
      </c>
    </row>
    <row r="11" spans="1:10" ht="16.5" thickTop="1" thickBot="1" x14ac:dyDescent="0.3">
      <c r="A11" s="8" t="s">
        <v>47</v>
      </c>
      <c r="B11" s="24" t="s">
        <v>22</v>
      </c>
      <c r="C11" s="23" t="str">
        <f>VLOOKUP(B11,Items!$B$2:$C$21,2,0)</f>
        <v>Alat Pelindung</v>
      </c>
      <c r="D11" s="7">
        <f>SUMIFS(Transactions[Qty], Transactions[Item ID],StockReport[[#This Row],[Item ID]], Transactions[Type],"IN")</f>
        <v>0</v>
      </c>
      <c r="E11" s="5">
        <f>SUMIFS(Transactions[Qty], Transactions[Item ID],StockReport[[#This Row],[Item ID]], Transactions[Type],"OUT")</f>
        <v>57</v>
      </c>
      <c r="F11" s="7">
        <f>Items[[#This Row],[Stock]]+StockReport[[#This Row],[Total IN]]-StockReport[[#This Row],[Total OUT]]</f>
        <v>173</v>
      </c>
      <c r="G11" s="7">
        <f>VLOOKUP(StockReport[[#This Row],[Item ID]],Items[],7,0)</f>
        <v>42</v>
      </c>
      <c r="H11" s="5" t="str">
        <f>IF(StockReport[[#This Row],[Current Stock]]&lt;StockReport[[#This Row],[Reorder Level]], "Low Stock", "OK")</f>
        <v>OK</v>
      </c>
      <c r="I11" s="16">
        <f>VLOOKUP(StockReport[[#This Row],[Item ID]],Items[],5,0)</f>
        <v>245000</v>
      </c>
      <c r="J11" s="16">
        <f>StockReport[[#This Row],[Current Stock]]*StockReport[[#This Row],[Unit Price]]</f>
        <v>42385000</v>
      </c>
    </row>
    <row r="12" spans="1:10" ht="31.5" thickTop="1" thickBot="1" x14ac:dyDescent="0.3">
      <c r="A12" s="9" t="s">
        <v>51</v>
      </c>
      <c r="B12" s="25" t="s">
        <v>23</v>
      </c>
      <c r="C12" s="23" t="str">
        <f>VLOOKUP(B12,Items!$B$2:$C$21,2,0)</f>
        <v>Elektrikal</v>
      </c>
      <c r="D12" s="7">
        <f>SUMIFS(Transactions[Qty], Transactions[Item ID],StockReport[[#This Row],[Item ID]], Transactions[Type],"IN")</f>
        <v>13</v>
      </c>
      <c r="E12" s="10">
        <f>SUMIFS(Transactions[Qty], Transactions[Item ID],StockReport[[#This Row],[Item ID]], Transactions[Type],"OUT")</f>
        <v>48</v>
      </c>
      <c r="F12" s="7">
        <f>Items[[#This Row],[Stock]]+StockReport[[#This Row],[Total IN]]-StockReport[[#This Row],[Total OUT]]</f>
        <v>146</v>
      </c>
      <c r="G12" s="7">
        <f>VLOOKUP(StockReport[[#This Row],[Item ID]],Items[],7,0)</f>
        <v>37</v>
      </c>
      <c r="H12" s="10" t="str">
        <f>IF(StockReport[[#This Row],[Current Stock]]&lt;StockReport[[#This Row],[Reorder Level]], "Low Stock", "OK")</f>
        <v>OK</v>
      </c>
      <c r="I12" s="16">
        <f>VLOOKUP(StockReport[[#This Row],[Item ID]],Items[],5,0)</f>
        <v>237000</v>
      </c>
      <c r="J12" s="16">
        <f>StockReport[[#This Row],[Current Stock]]*StockReport[[#This Row],[Unit Price]]</f>
        <v>34602000</v>
      </c>
    </row>
    <row r="13" spans="1:10" ht="31.5" thickTop="1" thickBot="1" x14ac:dyDescent="0.3">
      <c r="A13" s="8" t="s">
        <v>39</v>
      </c>
      <c r="B13" s="24" t="s">
        <v>25</v>
      </c>
      <c r="C13" s="23" t="str">
        <f>VLOOKUP(B13,Items!$B$2:$C$21,2,0)</f>
        <v>Elektrikal</v>
      </c>
      <c r="D13" s="7">
        <f>SUMIFS(Transactions[Qty], Transactions[Item ID],StockReport[[#This Row],[Item ID]], Transactions[Type],"IN")</f>
        <v>31</v>
      </c>
      <c r="E13" s="5">
        <f>SUMIFS(Transactions[Qty], Transactions[Item ID],StockReport[[#This Row],[Item ID]], Transactions[Type],"OUT")</f>
        <v>95</v>
      </c>
      <c r="F13" s="7">
        <f>Items[[#This Row],[Stock]]+StockReport[[#This Row],[Total IN]]-StockReport[[#This Row],[Total OUT]]</f>
        <v>19</v>
      </c>
      <c r="G13" s="7">
        <f>VLOOKUP(StockReport[[#This Row],[Item ID]],Items[],7,0)</f>
        <v>19</v>
      </c>
      <c r="H13" s="5" t="str">
        <f>IF(StockReport[[#This Row],[Current Stock]]&lt;StockReport[[#This Row],[Reorder Level]], "Low Stock", "OK")</f>
        <v>OK</v>
      </c>
      <c r="I13" s="16">
        <f>VLOOKUP(StockReport[[#This Row],[Item ID]],Items[],5,0)</f>
        <v>203500</v>
      </c>
      <c r="J13" s="16">
        <f>StockReport[[#This Row],[Current Stock]]*StockReport[[#This Row],[Unit Price]]</f>
        <v>3866500</v>
      </c>
    </row>
    <row r="14" spans="1:10" ht="16.5" thickTop="1" thickBot="1" x14ac:dyDescent="0.3">
      <c r="A14" s="9" t="s">
        <v>56</v>
      </c>
      <c r="B14" s="25" t="s">
        <v>27</v>
      </c>
      <c r="C14" s="23" t="str">
        <f>VLOOKUP(B14,Items!$B$2:$C$21,2,0)</f>
        <v>Material Bangunan</v>
      </c>
      <c r="D14" s="7">
        <f>SUMIFS(Transactions[Qty], Transactions[Item ID],StockReport[[#This Row],[Item ID]], Transactions[Type],"IN")</f>
        <v>48</v>
      </c>
      <c r="E14" s="10">
        <f>SUMIFS(Transactions[Qty], Transactions[Item ID],StockReport[[#This Row],[Item ID]], Transactions[Type],"OUT")</f>
        <v>80</v>
      </c>
      <c r="F14" s="7">
        <f>Items[[#This Row],[Stock]]+StockReport[[#This Row],[Total IN]]-StockReport[[#This Row],[Total OUT]]</f>
        <v>111</v>
      </c>
      <c r="G14" s="7">
        <f>VLOOKUP(StockReport[[#This Row],[Item ID]],Items[],7,0)</f>
        <v>31</v>
      </c>
      <c r="H14" s="10" t="str">
        <f>IF(StockReport[[#This Row],[Current Stock]]&lt;StockReport[[#This Row],[Reorder Level]], "Low Stock", "OK")</f>
        <v>OK</v>
      </c>
      <c r="I14" s="16">
        <f>VLOOKUP(StockReport[[#This Row],[Item ID]],Items[],5,0)</f>
        <v>135500</v>
      </c>
      <c r="J14" s="16">
        <f>StockReport[[#This Row],[Current Stock]]*StockReport[[#This Row],[Unit Price]]</f>
        <v>15040500</v>
      </c>
    </row>
    <row r="15" spans="1:10" ht="16.5" thickTop="1" thickBot="1" x14ac:dyDescent="0.3">
      <c r="A15" s="8" t="s">
        <v>50</v>
      </c>
      <c r="B15" s="24" t="s">
        <v>28</v>
      </c>
      <c r="C15" s="23" t="str">
        <f>VLOOKUP(B15,Items!$B$2:$C$21,2,0)</f>
        <v>Material Bangunan</v>
      </c>
      <c r="D15" s="7">
        <f>SUMIFS(Transactions[Qty], Transactions[Item ID],StockReport[[#This Row],[Item ID]], Transactions[Type],"IN")</f>
        <v>20</v>
      </c>
      <c r="E15" s="5">
        <f>SUMIFS(Transactions[Qty], Transactions[Item ID],StockReport[[#This Row],[Item ID]], Transactions[Type],"OUT")</f>
        <v>68</v>
      </c>
      <c r="F15" s="7">
        <f>Items[[#This Row],[Stock]]+StockReport[[#This Row],[Total IN]]-StockReport[[#This Row],[Total OUT]]</f>
        <v>52</v>
      </c>
      <c r="G15" s="7">
        <f>VLOOKUP(StockReport[[#This Row],[Item ID]],Items[],7,0)</f>
        <v>10</v>
      </c>
      <c r="H15" s="5" t="str">
        <f>IF(StockReport[[#This Row],[Current Stock]]&lt;StockReport[[#This Row],[Reorder Level]], "Low Stock", "OK")</f>
        <v>OK</v>
      </c>
      <c r="I15" s="16">
        <f>VLOOKUP(StockReport[[#This Row],[Item ID]],Items[],5,0)</f>
        <v>431000</v>
      </c>
      <c r="J15" s="16">
        <f>StockReport[[#This Row],[Current Stock]]*StockReport[[#This Row],[Unit Price]]</f>
        <v>22412000</v>
      </c>
    </row>
    <row r="16" spans="1:10" ht="16.5" thickTop="1" thickBot="1" x14ac:dyDescent="0.3">
      <c r="A16" s="9" t="s">
        <v>48</v>
      </c>
      <c r="B16" s="25" t="s">
        <v>29</v>
      </c>
      <c r="C16" s="23" t="str">
        <f>VLOOKUP(B16,Items!$B$2:$C$21,2,0)</f>
        <v>Peralatan &amp; Mesin</v>
      </c>
      <c r="D16" s="7">
        <f>SUMIFS(Transactions[Qty], Transactions[Item ID],StockReport[[#This Row],[Item ID]], Transactions[Type],"IN")</f>
        <v>94</v>
      </c>
      <c r="E16" s="10">
        <f>SUMIFS(Transactions[Qty], Transactions[Item ID],StockReport[[#This Row],[Item ID]], Transactions[Type],"OUT")</f>
        <v>94</v>
      </c>
      <c r="F16" s="7">
        <f>Items[[#This Row],[Stock]]+StockReport[[#This Row],[Total IN]]-StockReport[[#This Row],[Total OUT]]</f>
        <v>166</v>
      </c>
      <c r="G16" s="7">
        <f>VLOOKUP(StockReport[[#This Row],[Item ID]],Items[],7,0)</f>
        <v>24</v>
      </c>
      <c r="H16" s="10" t="str">
        <f>IF(StockReport[[#This Row],[Current Stock]]&lt;StockReport[[#This Row],[Reorder Level]], "Low Stock", "OK")</f>
        <v>OK</v>
      </c>
      <c r="I16" s="16">
        <f>VLOOKUP(StockReport[[#This Row],[Item ID]],Items[],5,0)</f>
        <v>465000</v>
      </c>
      <c r="J16" s="16">
        <f>StockReport[[#This Row],[Current Stock]]*StockReport[[#This Row],[Unit Price]]</f>
        <v>77190000</v>
      </c>
    </row>
    <row r="17" spans="1:10" ht="31.5" thickTop="1" thickBot="1" x14ac:dyDescent="0.3">
      <c r="A17" s="8" t="s">
        <v>55</v>
      </c>
      <c r="B17" s="24" t="s">
        <v>30</v>
      </c>
      <c r="C17" s="23" t="str">
        <f>VLOOKUP(B17,Items!$B$2:$C$21,2,0)</f>
        <v>Peralatan &amp; Mesin</v>
      </c>
      <c r="D17" s="7">
        <f>SUMIFS(Transactions[Qty], Transactions[Item ID],StockReport[[#This Row],[Item ID]], Transactions[Type],"IN")</f>
        <v>48</v>
      </c>
      <c r="E17" s="5">
        <f>SUMIFS(Transactions[Qty], Transactions[Item ID],StockReport[[#This Row],[Item ID]], Transactions[Type],"OUT")</f>
        <v>35</v>
      </c>
      <c r="F17" s="7">
        <f>Items[[#This Row],[Stock]]+StockReport[[#This Row],[Total IN]]-StockReport[[#This Row],[Total OUT]]</f>
        <v>213</v>
      </c>
      <c r="G17" s="7">
        <f>VLOOKUP(StockReport[[#This Row],[Item ID]],Items[],7,0)</f>
        <v>14</v>
      </c>
      <c r="H17" s="5" t="str">
        <f>IF(StockReport[[#This Row],[Current Stock]]&lt;StockReport[[#This Row],[Reorder Level]], "Low Stock", "OK")</f>
        <v>OK</v>
      </c>
      <c r="I17" s="16">
        <f>VLOOKUP(StockReport[[#This Row],[Item ID]],Items[],5,0)</f>
        <v>3134000</v>
      </c>
      <c r="J17" s="16">
        <f>StockReport[[#This Row],[Current Stock]]*StockReport[[#This Row],[Unit Price]]</f>
        <v>667542000</v>
      </c>
    </row>
    <row r="18" spans="1:10" ht="31.5" thickTop="1" thickBot="1" x14ac:dyDescent="0.3">
      <c r="A18" s="9" t="s">
        <v>37</v>
      </c>
      <c r="B18" s="25" t="s">
        <v>31</v>
      </c>
      <c r="C18" s="23" t="str">
        <f>VLOOKUP(B18,Items!$B$2:$C$21,2,0)</f>
        <v>Peralatan &amp; Mesin</v>
      </c>
      <c r="D18" s="7">
        <f>SUMIFS(Transactions[Qty], Transactions[Item ID],StockReport[[#This Row],[Item ID]], Transactions[Type],"IN")</f>
        <v>24</v>
      </c>
      <c r="E18" s="10">
        <f>SUMIFS(Transactions[Qty], Transactions[Item ID],StockReport[[#This Row],[Item ID]], Transactions[Type],"OUT")</f>
        <v>14</v>
      </c>
      <c r="F18" s="7">
        <f>Items[[#This Row],[Stock]]+StockReport[[#This Row],[Total IN]]-StockReport[[#This Row],[Total OUT]]</f>
        <v>130</v>
      </c>
      <c r="G18" s="7">
        <f>VLOOKUP(StockReport[[#This Row],[Item ID]],Items[],7,0)</f>
        <v>20</v>
      </c>
      <c r="H18" s="10" t="str">
        <f>IF(StockReport[[#This Row],[Current Stock]]&lt;StockReport[[#This Row],[Reorder Level]], "Low Stock", "OK")</f>
        <v>OK</v>
      </c>
      <c r="I18" s="16">
        <f>VLOOKUP(StockReport[[#This Row],[Item ID]],Items[],5,0)</f>
        <v>3200000</v>
      </c>
      <c r="J18" s="16">
        <f>StockReport[[#This Row],[Current Stock]]*StockReport[[#This Row],[Unit Price]]</f>
        <v>416000000</v>
      </c>
    </row>
    <row r="19" spans="1:10" ht="31.5" thickTop="1" thickBot="1" x14ac:dyDescent="0.3">
      <c r="A19" s="8" t="s">
        <v>44</v>
      </c>
      <c r="B19" s="24" t="s">
        <v>32</v>
      </c>
      <c r="C19" s="23" t="str">
        <f>VLOOKUP(B19,Items!$B$2:$C$21,2,0)</f>
        <v>Peralatan &amp; Mesin</v>
      </c>
      <c r="D19" s="7">
        <f>SUMIFS(Transactions[Qty], Transactions[Item ID],StockReport[[#This Row],[Item ID]], Transactions[Type],"IN")</f>
        <v>33</v>
      </c>
      <c r="E19" s="5">
        <f>SUMIFS(Transactions[Qty], Transactions[Item ID],StockReport[[#This Row],[Item ID]], Transactions[Type],"OUT")</f>
        <v>77</v>
      </c>
      <c r="F19" s="7">
        <f>Items[[#This Row],[Stock]]+StockReport[[#This Row],[Total IN]]-StockReport[[#This Row],[Total OUT]]</f>
        <v>250</v>
      </c>
      <c r="G19" s="7">
        <f>VLOOKUP(StockReport[[#This Row],[Item ID]],Items[],7,0)</f>
        <v>36</v>
      </c>
      <c r="H19" s="5" t="str">
        <f>IF(StockReport[[#This Row],[Current Stock]]&lt;StockReport[[#This Row],[Reorder Level]], "Low Stock", "OK")</f>
        <v>OK</v>
      </c>
      <c r="I19" s="16">
        <f>VLOOKUP(StockReport[[#This Row],[Item ID]],Items[],5,0)</f>
        <v>4490000</v>
      </c>
      <c r="J19" s="16">
        <f>StockReport[[#This Row],[Current Stock]]*StockReport[[#This Row],[Unit Price]]</f>
        <v>1122500000</v>
      </c>
    </row>
    <row r="20" spans="1:10" ht="31.5" thickTop="1" thickBot="1" x14ac:dyDescent="0.3">
      <c r="A20" s="9" t="s">
        <v>43</v>
      </c>
      <c r="B20" s="25" t="s">
        <v>34</v>
      </c>
      <c r="C20" s="23" t="str">
        <f>VLOOKUP(B20,Items!$B$2:$C$21,2,0)</f>
        <v>Bahan Cair / Bahan Bakar</v>
      </c>
      <c r="D20" s="7">
        <f>SUMIFS(Transactions[Qty], Transactions[Item ID],StockReport[[#This Row],[Item ID]], Transactions[Type],"IN")</f>
        <v>15</v>
      </c>
      <c r="E20" s="10">
        <f>SUMIFS(Transactions[Qty], Transactions[Item ID],StockReport[[#This Row],[Item ID]], Transactions[Type],"OUT")</f>
        <v>53</v>
      </c>
      <c r="F20" s="7">
        <f>Items[[#This Row],[Stock]]+StockReport[[#This Row],[Total IN]]-StockReport[[#This Row],[Total OUT]]</f>
        <v>108</v>
      </c>
      <c r="G20" s="7">
        <f>VLOOKUP(StockReport[[#This Row],[Item ID]],Items[],7,0)</f>
        <v>37</v>
      </c>
      <c r="H20" s="10" t="str">
        <f>IF(StockReport[[#This Row],[Current Stock]]&lt;StockReport[[#This Row],[Reorder Level]], "Low Stock", "OK")</f>
        <v>OK</v>
      </c>
      <c r="I20" s="16">
        <f>VLOOKUP(StockReport[[#This Row],[Item ID]],Items[],5,0)</f>
        <v>1060000</v>
      </c>
      <c r="J20" s="16">
        <f>StockReport[[#This Row],[Current Stock]]*StockReport[[#This Row],[Unit Price]]</f>
        <v>114480000</v>
      </c>
    </row>
    <row r="21" spans="1:10" ht="30.75" thickTop="1" x14ac:dyDescent="0.25">
      <c r="A21" s="8" t="s">
        <v>53</v>
      </c>
      <c r="B21" s="24" t="s">
        <v>35</v>
      </c>
      <c r="C21" s="23" t="str">
        <f>VLOOKUP(B21,Items!$B$2:$C$21,2,0)</f>
        <v>Peralatan &amp; Mesin</v>
      </c>
      <c r="D21" s="7">
        <f>SUMIFS(Transactions[Qty], Transactions[Item ID],StockReport[[#This Row],[Item ID]], Transactions[Type],"IN")</f>
        <v>45</v>
      </c>
      <c r="E21" s="5">
        <f>SUMIFS(Transactions[Qty], Transactions[Item ID],StockReport[[#This Row],[Item ID]], Transactions[Type],"OUT")</f>
        <v>54</v>
      </c>
      <c r="F21" s="7">
        <f>Items[[#This Row],[Stock]]+StockReport[[#This Row],[Total IN]]-StockReport[[#This Row],[Total OUT]]</f>
        <v>207</v>
      </c>
      <c r="G21" s="7">
        <f>VLOOKUP(StockReport[[#This Row],[Item ID]],Items[],7,0)</f>
        <v>13</v>
      </c>
      <c r="H21" s="5" t="str">
        <f>IF(StockReport[[#This Row],[Current Stock]]&lt;StockReport[[#This Row],[Reorder Level]], "Low Stock", "OK")</f>
        <v>OK</v>
      </c>
      <c r="I21" s="16">
        <f>VLOOKUP(StockReport[[#This Row],[Item ID]],Items[],5,0)</f>
        <v>2296000</v>
      </c>
      <c r="J21" s="16">
        <f>StockReport[[#This Row],[Current Stock]]*StockReport[[#This Row],[Unit Price]]</f>
        <v>475272000</v>
      </c>
    </row>
  </sheetData>
  <conditionalFormatting sqref="A2:E21 G2:H21">
    <cfRule type="expression" dxfId="2" priority="8">
      <formula>$H2="Low Stock"</formula>
    </cfRule>
  </conditionalFormatting>
  <conditionalFormatting sqref="F2:F21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  <cfRule type="colorScale" priority="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F22:F1048576">
    <cfRule type="expression" dxfId="1" priority="10">
      <formula>"F2&lt;G2"</formula>
    </cfRule>
  </conditionalFormatting>
  <conditionalFormatting sqref="J2:J21">
    <cfRule type="colorScale" priority="2">
      <colorScale>
        <cfvo type="min"/>
        <cfvo type="percentile" val="50"/>
        <cfvo type="max"/>
        <color theme="4" tint="0.39997558519241921"/>
        <color rgb="FFCC99FF"/>
        <color rgb="FFFF7C80"/>
      </colorScale>
    </cfRule>
  </conditionalFormatting>
  <pageMargins left="0.13541666666666666" right="0.52083333333333337" top="0.75" bottom="0.75" header="0.3" footer="0.3"/>
  <pageSetup scale="99" orientation="landscape" r:id="rId1"/>
  <tableParts count="1">
    <tablePart r:id="rId2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15523B-819E-4373-B18E-1AB8585B006D}">
  <dimension ref="A1:D63"/>
  <sheetViews>
    <sheetView topLeftCell="A46" zoomScale="85" zoomScaleNormal="85" workbookViewId="0">
      <selection activeCell="N62" sqref="N62"/>
    </sheetView>
  </sheetViews>
  <sheetFormatPr defaultRowHeight="15" x14ac:dyDescent="0.25"/>
  <cols>
    <col min="1" max="1" width="20.28515625" customWidth="1"/>
    <col min="2" max="2" width="14.5703125" customWidth="1"/>
    <col min="3" max="3" width="8.140625" customWidth="1"/>
    <col min="4" max="4" width="10.42578125" customWidth="1"/>
  </cols>
  <sheetData>
    <row r="1" spans="1:2" x14ac:dyDescent="0.25">
      <c r="A1" s="11" t="s">
        <v>344</v>
      </c>
      <c r="B1" t="s">
        <v>359</v>
      </c>
    </row>
    <row r="3" spans="1:2" x14ac:dyDescent="0.25">
      <c r="A3" s="11" t="s">
        <v>356</v>
      </c>
      <c r="B3" t="s">
        <v>358</v>
      </c>
    </row>
    <row r="4" spans="1:2" x14ac:dyDescent="0.25">
      <c r="A4" s="12" t="s">
        <v>1</v>
      </c>
      <c r="B4">
        <v>1</v>
      </c>
    </row>
    <row r="5" spans="1:2" x14ac:dyDescent="0.25">
      <c r="A5" s="12" t="s">
        <v>16</v>
      </c>
      <c r="B5">
        <v>1</v>
      </c>
    </row>
    <row r="6" spans="1:2" x14ac:dyDescent="0.25">
      <c r="A6" s="12" t="s">
        <v>357</v>
      </c>
      <c r="B6">
        <v>2</v>
      </c>
    </row>
    <row r="19" spans="1:4" x14ac:dyDescent="0.25">
      <c r="A19" s="11" t="s">
        <v>381</v>
      </c>
      <c r="B19" s="11" t="s">
        <v>366</v>
      </c>
    </row>
    <row r="20" spans="1:4" x14ac:dyDescent="0.25">
      <c r="A20" s="11" t="s">
        <v>356</v>
      </c>
      <c r="B20" t="s">
        <v>348</v>
      </c>
      <c r="C20" t="s">
        <v>347</v>
      </c>
      <c r="D20" t="s">
        <v>357</v>
      </c>
    </row>
    <row r="21" spans="1:4" x14ac:dyDescent="0.25">
      <c r="A21" s="12" t="s">
        <v>378</v>
      </c>
      <c r="B21">
        <v>302</v>
      </c>
      <c r="C21">
        <v>411</v>
      </c>
      <c r="D21">
        <v>713</v>
      </c>
    </row>
    <row r="22" spans="1:4" x14ac:dyDescent="0.25">
      <c r="A22" s="12" t="s">
        <v>379</v>
      </c>
      <c r="B22">
        <v>262</v>
      </c>
      <c r="C22">
        <v>354</v>
      </c>
      <c r="D22">
        <v>616</v>
      </c>
    </row>
    <row r="23" spans="1:4" x14ac:dyDescent="0.25">
      <c r="A23" s="12" t="s">
        <v>380</v>
      </c>
      <c r="B23">
        <v>270</v>
      </c>
      <c r="C23">
        <v>387</v>
      </c>
      <c r="D23">
        <v>657</v>
      </c>
    </row>
    <row r="24" spans="1:4" x14ac:dyDescent="0.25">
      <c r="A24" s="12" t="s">
        <v>357</v>
      </c>
      <c r="B24">
        <v>834</v>
      </c>
      <c r="C24">
        <v>1152</v>
      </c>
      <c r="D24">
        <v>1986</v>
      </c>
    </row>
    <row r="38" spans="1:4" x14ac:dyDescent="0.25">
      <c r="A38" s="11" t="s">
        <v>381</v>
      </c>
      <c r="B38" s="11" t="s">
        <v>366</v>
      </c>
    </row>
    <row r="39" spans="1:4" x14ac:dyDescent="0.25">
      <c r="A39" s="11" t="s">
        <v>356</v>
      </c>
      <c r="B39" t="s">
        <v>348</v>
      </c>
      <c r="C39" t="s">
        <v>347</v>
      </c>
      <c r="D39" t="s">
        <v>357</v>
      </c>
    </row>
    <row r="40" spans="1:4" x14ac:dyDescent="0.25">
      <c r="A40" s="12" t="s">
        <v>383</v>
      </c>
      <c r="B40">
        <v>302</v>
      </c>
      <c r="C40">
        <v>411</v>
      </c>
      <c r="D40">
        <v>713</v>
      </c>
    </row>
    <row r="41" spans="1:4" x14ac:dyDescent="0.25">
      <c r="A41" s="12" t="s">
        <v>382</v>
      </c>
      <c r="B41">
        <v>262</v>
      </c>
      <c r="C41">
        <v>354</v>
      </c>
      <c r="D41">
        <v>616</v>
      </c>
    </row>
    <row r="42" spans="1:4" x14ac:dyDescent="0.25">
      <c r="A42" s="12" t="s">
        <v>384</v>
      </c>
      <c r="B42">
        <v>270</v>
      </c>
      <c r="C42">
        <v>387</v>
      </c>
      <c r="D42">
        <v>657</v>
      </c>
    </row>
    <row r="43" spans="1:4" x14ac:dyDescent="0.25">
      <c r="A43" s="12" t="s">
        <v>357</v>
      </c>
      <c r="B43">
        <v>834</v>
      </c>
      <c r="C43">
        <v>1152</v>
      </c>
      <c r="D43">
        <v>1986</v>
      </c>
    </row>
    <row r="55" spans="1:2" x14ac:dyDescent="0.25">
      <c r="A55" s="11" t="s">
        <v>346</v>
      </c>
      <c r="B55" t="s">
        <v>347</v>
      </c>
    </row>
    <row r="57" spans="1:2" x14ac:dyDescent="0.25">
      <c r="A57" s="11" t="s">
        <v>356</v>
      </c>
      <c r="B57" t="s">
        <v>381</v>
      </c>
    </row>
    <row r="58" spans="1:2" x14ac:dyDescent="0.25">
      <c r="A58" s="12" t="s">
        <v>25</v>
      </c>
      <c r="B58">
        <v>95</v>
      </c>
    </row>
    <row r="59" spans="1:2" x14ac:dyDescent="0.25">
      <c r="A59" s="12" t="s">
        <v>29</v>
      </c>
      <c r="B59">
        <v>94</v>
      </c>
    </row>
    <row r="60" spans="1:2" x14ac:dyDescent="0.25">
      <c r="A60" s="12" t="s">
        <v>27</v>
      </c>
      <c r="B60">
        <v>80</v>
      </c>
    </row>
    <row r="61" spans="1:2" x14ac:dyDescent="0.25">
      <c r="A61" s="12" t="s">
        <v>20</v>
      </c>
      <c r="B61">
        <v>79</v>
      </c>
    </row>
    <row r="62" spans="1:2" x14ac:dyDescent="0.25">
      <c r="A62" s="12" t="s">
        <v>32</v>
      </c>
      <c r="B62">
        <v>77</v>
      </c>
    </row>
    <row r="63" spans="1:2" x14ac:dyDescent="0.25">
      <c r="A63" s="12" t="s">
        <v>357</v>
      </c>
      <c r="B63">
        <v>425</v>
      </c>
    </row>
  </sheetData>
  <pageMargins left="0.7" right="0.7" top="0.75" bottom="0.75" header="0.3" footer="0.3"/>
  <pageSetup orientation="landscape" r:id="rId5"/>
  <drawing r:id="rId6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D7CAFE-7C66-4C90-AA42-A5B997329DA0}">
  <dimension ref="A1:G71"/>
  <sheetViews>
    <sheetView tabSelected="1" zoomScale="90" zoomScaleNormal="90" workbookViewId="0">
      <selection activeCell="H18" sqref="H18"/>
    </sheetView>
  </sheetViews>
  <sheetFormatPr defaultRowHeight="15" x14ac:dyDescent="0.25"/>
  <cols>
    <col min="1" max="1" width="11.85546875" customWidth="1"/>
    <col min="2" max="2" width="10.7109375" bestFit="1" customWidth="1"/>
    <col min="3" max="3" width="14.42578125" customWidth="1"/>
    <col min="4" max="4" width="20.42578125" customWidth="1"/>
    <col min="5" max="5" width="18.140625" bestFit="1" customWidth="1"/>
    <col min="6" max="6" width="9.5703125" bestFit="1" customWidth="1"/>
    <col min="7" max="7" width="20.7109375" bestFit="1" customWidth="1"/>
  </cols>
  <sheetData>
    <row r="1" spans="1:7" x14ac:dyDescent="0.25">
      <c r="A1" t="s">
        <v>68</v>
      </c>
      <c r="B1" t="s">
        <v>353</v>
      </c>
      <c r="C1" t="s">
        <v>360</v>
      </c>
      <c r="D1" t="s">
        <v>341</v>
      </c>
      <c r="E1" t="s">
        <v>362</v>
      </c>
      <c r="F1" t="s">
        <v>361</v>
      </c>
      <c r="G1" t="s">
        <v>386</v>
      </c>
    </row>
    <row r="2" spans="1:7" x14ac:dyDescent="0.25">
      <c r="A2" t="s">
        <v>280</v>
      </c>
      <c r="B2" s="20">
        <f>VLOOKUP(InvoicesDisplay[[#This Row],[Invoice ID]],InvoicesDisplay[],2,0)</f>
        <v>45913</v>
      </c>
      <c r="C2" s="13">
        <f>SUMIFS(InvoicesDetail[Line Total], InvoicesDetail[Invoice ID], InvoiceSummary[[#This Row],[Invoice ID]])</f>
        <v>3509000</v>
      </c>
      <c r="D2" s="13">
        <f>SUMIFS(InvoicesDetail[Line Total],InvoicesDetail[Invoice ID],InvoiceSummary[[#This Row],[Invoice ID]],InvoicesDetail[Type (kolom helper)],"OUT")</f>
        <v>3509000</v>
      </c>
      <c r="E2" t="str">
        <f>VLOOKUP(InvoiceSummary[[#This Row],[Invoice ID]],InvoicesDetail[],8,0)</f>
        <v>Unpaid</v>
      </c>
      <c r="F2" t="str">
        <f>IF(InvoiceSummary[[#This Row],[Total Invoice]]=InvoiceSummary[[#This Row],[Total OUT]], "OK", "Mismatch")</f>
        <v>OK</v>
      </c>
      <c r="G2" s="22">
        <f>InvoiceSummary[[#This Row],[Total Invoice]]-InvoiceSummary[[#This Row],[Total OUT]]</f>
        <v>0</v>
      </c>
    </row>
    <row r="3" spans="1:7" x14ac:dyDescent="0.25">
      <c r="A3" t="s">
        <v>281</v>
      </c>
      <c r="B3" s="20">
        <f>VLOOKUP(InvoicesDisplay[[#This Row],[Invoice ID]],InvoicesDisplay[],2,0)</f>
        <v>45907</v>
      </c>
      <c r="C3" s="13">
        <f>SUMIFS(InvoicesDetail[Line Total], InvoicesDetail[Invoice ID], InvoiceSummary[[#This Row],[Invoice ID]])</f>
        <v>12756500</v>
      </c>
      <c r="D3" s="13">
        <f>SUMIFS(InvoicesDetail[Line Total],InvoicesDetail[Invoice ID],InvoiceSummary[[#This Row],[Invoice ID]],InvoicesDetail[Type (kolom helper)],"OUT")</f>
        <v>12486500</v>
      </c>
      <c r="E3" t="str">
        <f>VLOOKUP(InvoiceSummary[[#This Row],[Invoice ID]],InvoicesDetail[],8,0)</f>
        <v>Unpaid</v>
      </c>
      <c r="F3" t="str">
        <f>IF(InvoiceSummary[[#This Row],[Total Invoice]]=InvoiceSummary[[#This Row],[Total OUT]], "OK", "Mismatch")</f>
        <v>Mismatch</v>
      </c>
      <c r="G3" s="22">
        <f>InvoiceSummary[[#This Row],[Total Invoice]]-InvoiceSummary[[#This Row],[Total OUT]]</f>
        <v>270000</v>
      </c>
    </row>
    <row r="4" spans="1:7" x14ac:dyDescent="0.25">
      <c r="A4" t="s">
        <v>282</v>
      </c>
      <c r="B4" s="20">
        <f>VLOOKUP(InvoicesDisplay[[#This Row],[Invoice ID]],InvoicesDisplay[],2,0)</f>
        <v>45855</v>
      </c>
      <c r="C4" s="13">
        <f>SUMIFS(InvoicesDetail[Line Total], InvoicesDetail[Invoice ID], InvoiceSummary[[#This Row],[Invoice ID]])</f>
        <v>6415500</v>
      </c>
      <c r="D4" s="13">
        <f>SUMIFS(InvoicesDetail[Line Total],InvoicesDetail[Invoice ID],InvoiceSummary[[#This Row],[Invoice ID]],InvoicesDetail[Type (kolom helper)],"OUT")</f>
        <v>5391500</v>
      </c>
      <c r="E4" t="str">
        <f>VLOOKUP(InvoiceSummary[[#This Row],[Invoice ID]],InvoicesDetail[],8,0)</f>
        <v>Paid</v>
      </c>
      <c r="F4" t="str">
        <f>IF(InvoiceSummary[[#This Row],[Total Invoice]]=InvoiceSummary[[#This Row],[Total OUT]], "OK", "Mismatch")</f>
        <v>Mismatch</v>
      </c>
      <c r="G4" s="22">
        <f>InvoiceSummary[[#This Row],[Total Invoice]]-InvoiceSummary[[#This Row],[Total OUT]]</f>
        <v>1024000</v>
      </c>
    </row>
    <row r="5" spans="1:7" x14ac:dyDescent="0.25">
      <c r="A5" t="s">
        <v>283</v>
      </c>
      <c r="B5" s="20">
        <f>VLOOKUP(InvoicesDisplay[[#This Row],[Invoice ID]],InvoicesDisplay[],2,0)</f>
        <v>45906</v>
      </c>
      <c r="C5" s="13">
        <f>SUMIFS(InvoicesDetail[Line Total], InvoicesDetail[Invoice ID], InvoiceSummary[[#This Row],[Invoice ID]])</f>
        <v>7113000</v>
      </c>
      <c r="D5" s="13">
        <f>SUMIFS(InvoicesDetail[Line Total],InvoicesDetail[Invoice ID],InvoiceSummary[[#This Row],[Invoice ID]],InvoicesDetail[Type (kolom helper)],"OUT")</f>
        <v>7113000</v>
      </c>
      <c r="E5" t="str">
        <f>VLOOKUP(InvoiceSummary[[#This Row],[Invoice ID]],InvoicesDetail[],8,0)</f>
        <v>Paid</v>
      </c>
      <c r="F5" t="str">
        <f>IF(InvoiceSummary[[#This Row],[Total Invoice]]=InvoiceSummary[[#This Row],[Total OUT]], "OK", "Mismatch")</f>
        <v>OK</v>
      </c>
      <c r="G5" s="22">
        <f>InvoiceSummary[[#This Row],[Total Invoice]]-InvoiceSummary[[#This Row],[Total OUT]]</f>
        <v>0</v>
      </c>
    </row>
    <row r="6" spans="1:7" x14ac:dyDescent="0.25">
      <c r="A6" t="s">
        <v>284</v>
      </c>
      <c r="B6" s="20">
        <f>VLOOKUP(InvoicesDisplay[[#This Row],[Invoice ID]],InvoicesDisplay[],2,0)</f>
        <v>45920</v>
      </c>
      <c r="C6" s="13">
        <f>SUMIFS(InvoicesDetail[Line Total], InvoicesDetail[Invoice ID], InvoiceSummary[[#This Row],[Invoice ID]])</f>
        <v>51394500</v>
      </c>
      <c r="D6" s="13">
        <f>SUMIFS(InvoicesDetail[Line Total],InvoicesDetail[Invoice ID],InvoiceSummary[[#This Row],[Invoice ID]],InvoicesDetail[Type (kolom helper)],"OUT")</f>
        <v>0</v>
      </c>
      <c r="E6" t="str">
        <f>VLOOKUP(InvoiceSummary[[#This Row],[Invoice ID]],InvoicesDetail[],8,0)</f>
        <v>Unpaid</v>
      </c>
      <c r="F6" t="str">
        <f>IF(InvoiceSummary[[#This Row],[Total Invoice]]=InvoiceSummary[[#This Row],[Total OUT]], "OK", "Mismatch")</f>
        <v>Mismatch</v>
      </c>
      <c r="G6" s="22">
        <f>InvoiceSummary[[#This Row],[Total Invoice]]-InvoiceSummary[[#This Row],[Total OUT]]</f>
        <v>51394500</v>
      </c>
    </row>
    <row r="7" spans="1:7" x14ac:dyDescent="0.25">
      <c r="A7" t="s">
        <v>285</v>
      </c>
      <c r="B7" s="20">
        <f>VLOOKUP(InvoicesDisplay[[#This Row],[Invoice ID]],InvoicesDisplay[],2,0)</f>
        <v>45857</v>
      </c>
      <c r="C7" s="13">
        <f>SUMIFS(InvoicesDetail[Line Total], InvoicesDetail[Invoice ID], InvoiceSummary[[#This Row],[Invoice ID]])</f>
        <v>1164000</v>
      </c>
      <c r="D7" s="13">
        <f>SUMIFS(InvoicesDetail[Line Total],InvoicesDetail[Invoice ID],InvoiceSummary[[#This Row],[Invoice ID]],InvoicesDetail[Type (kolom helper)],"OUT")</f>
        <v>350000</v>
      </c>
      <c r="E7" t="str">
        <f>VLOOKUP(InvoiceSummary[[#This Row],[Invoice ID]],InvoicesDetail[],8,0)</f>
        <v>Unpaid</v>
      </c>
      <c r="F7" t="str">
        <f>IF(InvoiceSummary[[#This Row],[Total Invoice]]=InvoiceSummary[[#This Row],[Total OUT]], "OK", "Mismatch")</f>
        <v>Mismatch</v>
      </c>
      <c r="G7" s="22">
        <f>InvoiceSummary[[#This Row],[Total Invoice]]-InvoiceSummary[[#This Row],[Total OUT]]</f>
        <v>814000</v>
      </c>
    </row>
    <row r="8" spans="1:7" x14ac:dyDescent="0.25">
      <c r="A8" t="s">
        <v>286</v>
      </c>
      <c r="B8" s="20">
        <f>VLOOKUP(InvoicesDisplay[[#This Row],[Invoice ID]],InvoicesDisplay[],2,0)</f>
        <v>45919</v>
      </c>
      <c r="C8" s="13">
        <f>SUMIFS(InvoicesDetail[Line Total], InvoicesDetail[Invoice ID], InvoiceSummary[[#This Row],[Invoice ID]])</f>
        <v>6676000</v>
      </c>
      <c r="D8" s="13">
        <f>SUMIFS(InvoicesDetail[Line Total],InvoicesDetail[Invoice ID],InvoiceSummary[[#This Row],[Invoice ID]],InvoicesDetail[Type (kolom helper)],"OUT")</f>
        <v>620000</v>
      </c>
      <c r="E8" t="str">
        <f>VLOOKUP(InvoiceSummary[[#This Row],[Invoice ID]],InvoicesDetail[],8,0)</f>
        <v>Paid</v>
      </c>
      <c r="F8" t="str">
        <f>IF(InvoiceSummary[[#This Row],[Total Invoice]]=InvoiceSummary[[#This Row],[Total OUT]], "OK", "Mismatch")</f>
        <v>Mismatch</v>
      </c>
      <c r="G8" s="22">
        <f>InvoiceSummary[[#This Row],[Total Invoice]]-InvoiceSummary[[#This Row],[Total OUT]]</f>
        <v>6056000</v>
      </c>
    </row>
    <row r="9" spans="1:7" x14ac:dyDescent="0.25">
      <c r="A9" t="s">
        <v>287</v>
      </c>
      <c r="B9" s="20">
        <f>VLOOKUP(InvoicesDisplay[[#This Row],[Invoice ID]],InvoicesDisplay[],2,0)</f>
        <v>45863</v>
      </c>
      <c r="C9" s="13">
        <f>SUMIFS(InvoicesDetail[Line Total], InvoicesDetail[Invoice ID], InvoiceSummary[[#This Row],[Invoice ID]])</f>
        <v>10752000</v>
      </c>
      <c r="D9" s="13">
        <f>SUMIFS(InvoicesDetail[Line Total],InvoicesDetail[Invoice ID],InvoiceSummary[[#This Row],[Invoice ID]],InvoicesDetail[Type (kolom helper)],"OUT")</f>
        <v>10442000</v>
      </c>
      <c r="E9" t="str">
        <f>VLOOKUP(InvoiceSummary[[#This Row],[Invoice ID]],InvoicesDetail[],8,0)</f>
        <v>Unpaid</v>
      </c>
      <c r="F9" t="str">
        <f>IF(InvoiceSummary[[#This Row],[Total Invoice]]=InvoiceSummary[[#This Row],[Total OUT]], "OK", "Mismatch")</f>
        <v>Mismatch</v>
      </c>
      <c r="G9" s="22">
        <f>InvoiceSummary[[#This Row],[Total Invoice]]-InvoiceSummary[[#This Row],[Total OUT]]</f>
        <v>310000</v>
      </c>
    </row>
    <row r="10" spans="1:7" x14ac:dyDescent="0.25">
      <c r="A10" t="s">
        <v>270</v>
      </c>
      <c r="B10" s="20">
        <f>VLOOKUP(InvoicesDisplay[[#This Row],[Invoice ID]],InvoicesDisplay[],2,0)</f>
        <v>45846</v>
      </c>
      <c r="C10" s="13">
        <f>SUMIFS(InvoicesDetail[Line Total], InvoicesDetail[Invoice ID], InvoiceSummary[[#This Row],[Invoice ID]])</f>
        <v>12545000</v>
      </c>
      <c r="D10" s="13">
        <f>SUMIFS(InvoicesDetail[Line Total],InvoicesDetail[Invoice ID],InvoiceSummary[[#This Row],[Invoice ID]],InvoicesDetail[Type (kolom helper)],"OUT")</f>
        <v>3355000</v>
      </c>
      <c r="E10" t="str">
        <f>VLOOKUP(InvoiceSummary[[#This Row],[Invoice ID]],InvoicesDetail[],8,0)</f>
        <v>Paid</v>
      </c>
      <c r="F10" t="str">
        <f>IF(InvoiceSummary[[#This Row],[Total Invoice]]=InvoiceSummary[[#This Row],[Total OUT]], "OK", "Mismatch")</f>
        <v>Mismatch</v>
      </c>
      <c r="G10" s="22">
        <f>InvoiceSummary[[#This Row],[Total Invoice]]-InvoiceSummary[[#This Row],[Total OUT]]</f>
        <v>9190000</v>
      </c>
    </row>
    <row r="11" spans="1:7" x14ac:dyDescent="0.25">
      <c r="A11" t="s">
        <v>288</v>
      </c>
      <c r="B11" s="20">
        <f>VLOOKUP(InvoicesDisplay[[#This Row],[Invoice ID]],InvoicesDisplay[],2,0)</f>
        <v>45904</v>
      </c>
      <c r="C11" s="13">
        <f>SUMIFS(InvoicesDetail[Line Total], InvoicesDetail[Invoice ID], InvoiceSummary[[#This Row],[Invoice ID]])</f>
        <v>5599500</v>
      </c>
      <c r="D11" s="13">
        <f>SUMIFS(InvoicesDetail[Line Total],InvoicesDetail[Invoice ID],InvoiceSummary[[#This Row],[Invoice ID]],InvoicesDetail[Type (kolom helper)],"OUT")</f>
        <v>3703500</v>
      </c>
      <c r="E11" t="str">
        <f>VLOOKUP(InvoiceSummary[[#This Row],[Invoice ID]],InvoicesDetail[],8,0)</f>
        <v>Unpaid</v>
      </c>
      <c r="F11" t="str">
        <f>IF(InvoiceSummary[[#This Row],[Total Invoice]]=InvoiceSummary[[#This Row],[Total OUT]], "OK", "Mismatch")</f>
        <v>Mismatch</v>
      </c>
      <c r="G11" s="22">
        <f>InvoiceSummary[[#This Row],[Total Invoice]]-InvoiceSummary[[#This Row],[Total OUT]]</f>
        <v>1896000</v>
      </c>
    </row>
    <row r="12" spans="1:7" x14ac:dyDescent="0.25">
      <c r="A12" t="s">
        <v>289</v>
      </c>
      <c r="B12" s="20">
        <f>VLOOKUP(InvoicesDisplay[[#This Row],[Invoice ID]],InvoicesDisplay[],2,0)</f>
        <v>45867</v>
      </c>
      <c r="C12" s="13">
        <f>SUMIFS(InvoicesDetail[Line Total], InvoicesDetail[Invoice ID], InvoiceSummary[[#This Row],[Invoice ID]])</f>
        <v>2980000</v>
      </c>
      <c r="D12" s="13">
        <f>SUMIFS(InvoicesDetail[Line Total],InvoicesDetail[Invoice ID],InvoiceSummary[[#This Row],[Invoice ID]],InvoicesDetail[Type (kolom helper)],"OUT")</f>
        <v>1896000</v>
      </c>
      <c r="E12" t="str">
        <f>VLOOKUP(InvoiceSummary[[#This Row],[Invoice ID]],InvoicesDetail[],8,0)</f>
        <v>Unpaid</v>
      </c>
      <c r="F12" t="str">
        <f>IF(InvoiceSummary[[#This Row],[Total Invoice]]=InvoiceSummary[[#This Row],[Total OUT]], "OK", "Mismatch")</f>
        <v>Mismatch</v>
      </c>
      <c r="G12" s="22">
        <f>InvoiceSummary[[#This Row],[Total Invoice]]-InvoiceSummary[[#This Row],[Total OUT]]</f>
        <v>1084000</v>
      </c>
    </row>
    <row r="13" spans="1:7" x14ac:dyDescent="0.25">
      <c r="A13" t="s">
        <v>290</v>
      </c>
      <c r="B13" s="20">
        <f>VLOOKUP(InvoicesDisplay[[#This Row],[Invoice ID]],InvoicesDisplay[],2,0)</f>
        <v>45905</v>
      </c>
      <c r="C13" s="13">
        <f>SUMIFS(InvoicesDetail[Line Total], InvoicesDetail[Invoice ID], InvoiceSummary[[#This Row],[Invoice ID]])</f>
        <v>24561000</v>
      </c>
      <c r="D13" s="13">
        <f>SUMIFS(InvoicesDetail[Line Total],InvoicesDetail[Invoice ID],InvoiceSummary[[#This Row],[Invoice ID]],InvoicesDetail[Type (kolom helper)],"OUT")</f>
        <v>8630000</v>
      </c>
      <c r="E13" t="str">
        <f>VLOOKUP(InvoiceSummary[[#This Row],[Invoice ID]],InvoicesDetail[],8,0)</f>
        <v>Unpaid</v>
      </c>
      <c r="F13" t="str">
        <f>IF(InvoiceSummary[[#This Row],[Total Invoice]]=InvoiceSummary[[#This Row],[Total OUT]], "OK", "Mismatch")</f>
        <v>Mismatch</v>
      </c>
      <c r="G13" s="22">
        <f>InvoiceSummary[[#This Row],[Total Invoice]]-InvoiceSummary[[#This Row],[Total OUT]]</f>
        <v>15931000</v>
      </c>
    </row>
    <row r="14" spans="1:7" x14ac:dyDescent="0.25">
      <c r="A14" t="s">
        <v>291</v>
      </c>
      <c r="B14" s="20">
        <f>VLOOKUP(InvoicesDisplay[[#This Row],[Invoice ID]],InvoicesDisplay[],2,0)</f>
        <v>45879</v>
      </c>
      <c r="C14" s="13">
        <f>SUMIFS(InvoicesDetail[Line Total], InvoicesDetail[Invoice ID], InvoiceSummary[[#This Row],[Invoice ID]])</f>
        <v>3133500</v>
      </c>
      <c r="D14" s="13">
        <f>SUMIFS(InvoicesDetail[Line Total],InvoicesDetail[Invoice ID],InvoiceSummary[[#This Row],[Invoice ID]],InvoicesDetail[Type (kolom helper)],"OUT")</f>
        <v>1263500</v>
      </c>
      <c r="E14" t="str">
        <f>VLOOKUP(InvoiceSummary[[#This Row],[Invoice ID]],InvoicesDetail[],8,0)</f>
        <v>Paid</v>
      </c>
      <c r="F14" t="str">
        <f>IF(InvoiceSummary[[#This Row],[Total Invoice]]=InvoiceSummary[[#This Row],[Total OUT]], "OK", "Mismatch")</f>
        <v>Mismatch</v>
      </c>
      <c r="G14" s="22">
        <f>InvoiceSummary[[#This Row],[Total Invoice]]-InvoiceSummary[[#This Row],[Total OUT]]</f>
        <v>1870000</v>
      </c>
    </row>
    <row r="15" spans="1:7" x14ac:dyDescent="0.25">
      <c r="A15" t="s">
        <v>292</v>
      </c>
      <c r="B15" s="20">
        <f>VLOOKUP(InvoicesDisplay[[#This Row],[Invoice ID]],InvoicesDisplay[],2,0)</f>
        <v>45912</v>
      </c>
      <c r="C15" s="13">
        <f>SUMIFS(InvoicesDetail[Line Total], InvoicesDetail[Invoice ID], InvoiceSummary[[#This Row],[Invoice ID]])</f>
        <v>90316000</v>
      </c>
      <c r="D15" s="13">
        <f>SUMIFS(InvoicesDetail[Line Total],InvoicesDetail[Invoice ID],InvoiceSummary[[#This Row],[Invoice ID]],InvoicesDetail[Type (kolom helper)],"OUT")</f>
        <v>62110000</v>
      </c>
      <c r="E15" t="str">
        <f>VLOOKUP(InvoiceSummary[[#This Row],[Invoice ID]],InvoicesDetail[],8,0)</f>
        <v>Paid</v>
      </c>
      <c r="F15" t="str">
        <f>IF(InvoiceSummary[[#This Row],[Total Invoice]]=InvoiceSummary[[#This Row],[Total OUT]], "OK", "Mismatch")</f>
        <v>Mismatch</v>
      </c>
      <c r="G15" s="22">
        <f>InvoiceSummary[[#This Row],[Total Invoice]]-InvoiceSummary[[#This Row],[Total OUT]]</f>
        <v>28206000</v>
      </c>
    </row>
    <row r="16" spans="1:7" x14ac:dyDescent="0.25">
      <c r="A16" t="s">
        <v>293</v>
      </c>
      <c r="B16" s="20">
        <f>VLOOKUP(InvoicesDisplay[[#This Row],[Invoice ID]],InvoicesDisplay[],2,0)</f>
        <v>45895</v>
      </c>
      <c r="C16" s="13">
        <f>SUMIFS(InvoicesDetail[Line Total], InvoicesDetail[Invoice ID], InvoiceSummary[[#This Row],[Invoice ID]])</f>
        <v>34250000</v>
      </c>
      <c r="D16" s="13">
        <f>SUMIFS(InvoicesDetail[Line Total],InvoicesDetail[Invoice ID],InvoiceSummary[[#This Row],[Invoice ID]],InvoicesDetail[Type (kolom helper)],"OUT")</f>
        <v>12724000</v>
      </c>
      <c r="E16" t="str">
        <f>VLOOKUP(InvoiceSummary[[#This Row],[Invoice ID]],InvoicesDetail[],8,0)</f>
        <v>Unpaid</v>
      </c>
      <c r="F16" t="str">
        <f>IF(InvoiceSummary[[#This Row],[Total Invoice]]=InvoiceSummary[[#This Row],[Total OUT]], "OK", "Mismatch")</f>
        <v>Mismatch</v>
      </c>
      <c r="G16" s="22">
        <f>InvoiceSummary[[#This Row],[Total Invoice]]-InvoiceSummary[[#This Row],[Total OUT]]</f>
        <v>21526000</v>
      </c>
    </row>
    <row r="17" spans="1:7" x14ac:dyDescent="0.25">
      <c r="A17" t="s">
        <v>294</v>
      </c>
      <c r="B17" s="20">
        <f>VLOOKUP(InvoicesDisplay[[#This Row],[Invoice ID]],InvoicesDisplay[],2,0)</f>
        <v>45921</v>
      </c>
      <c r="C17" s="13">
        <f>SUMIFS(InvoicesDetail[Line Total], InvoicesDetail[Invoice ID], InvoiceSummary[[#This Row],[Invoice ID]])</f>
        <v>5428000</v>
      </c>
      <c r="D17" s="13">
        <f>SUMIFS(InvoicesDetail[Line Total],InvoicesDetail[Invoice ID],InvoiceSummary[[#This Row],[Invoice ID]],InvoicesDetail[Type (kolom helper)],"OUT")</f>
        <v>2296000</v>
      </c>
      <c r="E17" t="str">
        <f>VLOOKUP(InvoiceSummary[[#This Row],[Invoice ID]],InvoicesDetail[],8,0)</f>
        <v>Unpaid</v>
      </c>
      <c r="F17" t="str">
        <f>IF(InvoiceSummary[[#This Row],[Total Invoice]]=InvoiceSummary[[#This Row],[Total OUT]], "OK", "Mismatch")</f>
        <v>Mismatch</v>
      </c>
      <c r="G17" s="22">
        <f>InvoiceSummary[[#This Row],[Total Invoice]]-InvoiceSummary[[#This Row],[Total OUT]]</f>
        <v>3132000</v>
      </c>
    </row>
    <row r="18" spans="1:7" x14ac:dyDescent="0.25">
      <c r="A18" t="s">
        <v>295</v>
      </c>
      <c r="B18" s="20">
        <f>VLOOKUP(InvoicesDisplay[[#This Row],[Invoice ID]],InvoicesDisplay[],2,0)</f>
        <v>45844</v>
      </c>
      <c r="C18" s="13">
        <f>SUMIFS(InvoicesDetail[Line Total], InvoicesDetail[Invoice ID], InvoiceSummary[[#This Row],[Invoice ID]])</f>
        <v>70832000</v>
      </c>
      <c r="D18" s="13">
        <f>SUMIFS(InvoicesDetail[Line Total],InvoicesDetail[Invoice ID],InvoiceSummary[[#This Row],[Invoice ID]],InvoicesDetail[Type (kolom helper)],"OUT")</f>
        <v>8370000</v>
      </c>
      <c r="E18" t="str">
        <f>VLOOKUP(InvoiceSummary[[#This Row],[Invoice ID]],InvoicesDetail[],8,0)</f>
        <v>Paid</v>
      </c>
      <c r="F18" t="str">
        <f>IF(InvoiceSummary[[#This Row],[Total Invoice]]=InvoiceSummary[[#This Row],[Total OUT]], "OK", "Mismatch")</f>
        <v>Mismatch</v>
      </c>
      <c r="G18" s="22">
        <f>InvoiceSummary[[#This Row],[Total Invoice]]-InvoiceSummary[[#This Row],[Total OUT]]</f>
        <v>62462000</v>
      </c>
    </row>
    <row r="19" spans="1:7" x14ac:dyDescent="0.25">
      <c r="A19" t="s">
        <v>296</v>
      </c>
      <c r="B19" s="20">
        <f>VLOOKUP(InvoicesDisplay[[#This Row],[Invoice ID]],InvoicesDisplay[],2,0)</f>
        <v>45915</v>
      </c>
      <c r="C19" s="13">
        <f>SUMIFS(InvoicesDetail[Line Total], InvoicesDetail[Invoice ID], InvoiceSummary[[#This Row],[Invoice ID]])</f>
        <v>1424500</v>
      </c>
      <c r="D19" s="13">
        <f>SUMIFS(InvoicesDetail[Line Total],InvoicesDetail[Invoice ID],InvoiceSummary[[#This Row],[Invoice ID]],InvoicesDetail[Type (kolom helper)],"OUT")</f>
        <v>1424500</v>
      </c>
      <c r="E19" t="str">
        <f>VLOOKUP(InvoiceSummary[[#This Row],[Invoice ID]],InvoicesDetail[],8,0)</f>
        <v>Unpaid</v>
      </c>
      <c r="F19" t="str">
        <f>IF(InvoiceSummary[[#This Row],[Total Invoice]]=InvoiceSummary[[#This Row],[Total OUT]], "OK", "Mismatch")</f>
        <v>OK</v>
      </c>
      <c r="G19" s="22">
        <f>InvoiceSummary[[#This Row],[Total Invoice]]-InvoiceSummary[[#This Row],[Total OUT]]</f>
        <v>0</v>
      </c>
    </row>
    <row r="20" spans="1:7" x14ac:dyDescent="0.25">
      <c r="A20" t="s">
        <v>297</v>
      </c>
      <c r="B20" s="20">
        <f>VLOOKUP(InvoicesDisplay[[#This Row],[Invoice ID]],InvoicesDisplay[],2,0)</f>
        <v>45843</v>
      </c>
      <c r="C20" s="13">
        <f>SUMIFS(InvoicesDetail[Line Total], InvoicesDetail[Invoice ID], InvoiceSummary[[#This Row],[Invoice ID]])</f>
        <v>1652000</v>
      </c>
      <c r="D20" s="13">
        <f>SUMIFS(InvoicesDetail[Line Total],InvoicesDetail[Invoice ID],InvoiceSummary[[#This Row],[Invoice ID]],InvoicesDetail[Type (kolom helper)],"OUT")</f>
        <v>1652000</v>
      </c>
      <c r="E20" t="str">
        <f>VLOOKUP(InvoiceSummary[[#This Row],[Invoice ID]],InvoicesDetail[],8,0)</f>
        <v>Paid</v>
      </c>
      <c r="F20" t="str">
        <f>IF(InvoiceSummary[[#This Row],[Total Invoice]]=InvoiceSummary[[#This Row],[Total OUT]], "OK", "Mismatch")</f>
        <v>OK</v>
      </c>
      <c r="G20" s="22">
        <f>InvoiceSummary[[#This Row],[Total Invoice]]-InvoiceSummary[[#This Row],[Total OUT]]</f>
        <v>0</v>
      </c>
    </row>
    <row r="21" spans="1:7" x14ac:dyDescent="0.25">
      <c r="A21" t="s">
        <v>298</v>
      </c>
      <c r="B21" s="20">
        <f>VLOOKUP(InvoicesDisplay[[#This Row],[Invoice ID]],InvoicesDisplay[],2,0)</f>
        <v>45876</v>
      </c>
      <c r="C21" s="13">
        <f>SUMIFS(InvoicesDetail[Line Total], InvoicesDetail[Invoice ID], InvoiceSummary[[#This Row],[Invoice ID]])</f>
        <v>19596000</v>
      </c>
      <c r="D21" s="13">
        <f>SUMIFS(InvoicesDetail[Line Total],InvoicesDetail[Invoice ID],InvoiceSummary[[#This Row],[Invoice ID]],InvoicesDetail[Type (kolom helper)],"OUT")</f>
        <v>0</v>
      </c>
      <c r="E21" t="str">
        <f>VLOOKUP(InvoiceSummary[[#This Row],[Invoice ID]],InvoicesDetail[],8,0)</f>
        <v>Paid</v>
      </c>
      <c r="F21" t="str">
        <f>IF(InvoiceSummary[[#This Row],[Total Invoice]]=InvoiceSummary[[#This Row],[Total OUT]], "OK", "Mismatch")</f>
        <v>Mismatch</v>
      </c>
      <c r="G21" s="22">
        <f>InvoiceSummary[[#This Row],[Total Invoice]]-InvoiceSummary[[#This Row],[Total OUT]]</f>
        <v>19596000</v>
      </c>
    </row>
    <row r="22" spans="1:7" x14ac:dyDescent="0.25">
      <c r="A22" t="s">
        <v>299</v>
      </c>
      <c r="B22" s="20">
        <f>VLOOKUP(InvoicesDisplay[[#This Row],[Invoice ID]],InvoicesDisplay[],2,0)</f>
        <v>45922</v>
      </c>
      <c r="C22" s="13">
        <f>SUMIFS(InvoicesDetail[Line Total], InvoicesDetail[Invoice ID], InvoiceSummary[[#This Row],[Invoice ID]])</f>
        <v>106804000</v>
      </c>
      <c r="D22" s="13">
        <f>SUMIFS(InvoicesDetail[Line Total],InvoicesDetail[Invoice ID],InvoiceSummary[[#This Row],[Invoice ID]],InvoicesDetail[Type (kolom helper)],"OUT")</f>
        <v>106804000</v>
      </c>
      <c r="E22" t="str">
        <f>VLOOKUP(InvoiceSummary[[#This Row],[Invoice ID]],InvoicesDetail[],8,0)</f>
        <v>Paid</v>
      </c>
      <c r="F22" t="str">
        <f>IF(InvoiceSummary[[#This Row],[Total Invoice]]=InvoiceSummary[[#This Row],[Total OUT]], "OK", "Mismatch")</f>
        <v>OK</v>
      </c>
      <c r="G22" s="22">
        <f>InvoiceSummary[[#This Row],[Total Invoice]]-InvoiceSummary[[#This Row],[Total OUT]]</f>
        <v>0</v>
      </c>
    </row>
    <row r="23" spans="1:7" x14ac:dyDescent="0.25">
      <c r="A23" t="s">
        <v>271</v>
      </c>
      <c r="B23" s="20">
        <f>VLOOKUP(InvoicesDisplay[[#This Row],[Invoice ID]],InvoicesDisplay[],2,0)</f>
        <v>45859</v>
      </c>
      <c r="C23" s="13">
        <f>SUMIFS(InvoicesDetail[Line Total], InvoicesDetail[Invoice ID], InvoiceSummary[[#This Row],[Invoice ID]])</f>
        <v>1768000</v>
      </c>
      <c r="D23" s="13">
        <f>SUMIFS(InvoicesDetail[Line Total],InvoicesDetail[Invoice ID],InvoiceSummary[[#This Row],[Invoice ID]],InvoicesDetail[Type (kolom helper)],"OUT")</f>
        <v>1687000</v>
      </c>
      <c r="E23" t="str">
        <f>VLOOKUP(InvoiceSummary[[#This Row],[Invoice ID]],InvoicesDetail[],8,0)</f>
        <v>Unpaid</v>
      </c>
      <c r="F23" t="str">
        <f>IF(InvoiceSummary[[#This Row],[Total Invoice]]=InvoiceSummary[[#This Row],[Total OUT]], "OK", "Mismatch")</f>
        <v>Mismatch</v>
      </c>
      <c r="G23" s="22">
        <f>InvoiceSummary[[#This Row],[Total Invoice]]-InvoiceSummary[[#This Row],[Total OUT]]</f>
        <v>81000</v>
      </c>
    </row>
    <row r="24" spans="1:7" x14ac:dyDescent="0.25">
      <c r="A24" t="s">
        <v>300</v>
      </c>
      <c r="B24" s="20">
        <f>VLOOKUP(InvoicesDisplay[[#This Row],[Invoice ID]],InvoicesDisplay[],2,0)</f>
        <v>45889</v>
      </c>
      <c r="C24" s="13">
        <f>SUMIFS(InvoicesDetail[Line Total], InvoicesDetail[Invoice ID], InvoiceSummary[[#This Row],[Invoice ID]])</f>
        <v>8700500</v>
      </c>
      <c r="D24" s="13">
        <f>SUMIFS(InvoicesDetail[Line Total],InvoicesDetail[Invoice ID],InvoiceSummary[[#This Row],[Invoice ID]],InvoicesDetail[Type (kolom helper)],"OUT")</f>
        <v>202500</v>
      </c>
      <c r="E24" t="str">
        <f>VLOOKUP(InvoiceSummary[[#This Row],[Invoice ID]],InvoicesDetail[],8,0)</f>
        <v>Paid</v>
      </c>
      <c r="F24" t="str">
        <f>IF(InvoiceSummary[[#This Row],[Total Invoice]]=InvoiceSummary[[#This Row],[Total OUT]], "OK", "Mismatch")</f>
        <v>Mismatch</v>
      </c>
      <c r="G24" s="22">
        <f>InvoiceSummary[[#This Row],[Total Invoice]]-InvoiceSummary[[#This Row],[Total OUT]]</f>
        <v>8498000</v>
      </c>
    </row>
    <row r="25" spans="1:7" x14ac:dyDescent="0.25">
      <c r="A25" t="s">
        <v>272</v>
      </c>
      <c r="B25" s="20">
        <f>VLOOKUP(InvoicesDisplay[[#This Row],[Invoice ID]],InvoicesDisplay[],2,0)</f>
        <v>45902</v>
      </c>
      <c r="C25" s="13">
        <f>SUMIFS(InvoicesDetail[Line Total], InvoicesDetail[Invoice ID], InvoiceSummary[[#This Row],[Invoice ID]])</f>
        <v>49872500</v>
      </c>
      <c r="D25" s="13">
        <f>SUMIFS(InvoicesDetail[Line Total],InvoicesDetail[Invoice ID],InvoiceSummary[[#This Row],[Invoice ID]],InvoicesDetail[Type (kolom helper)],"OUT")</f>
        <v>49652500</v>
      </c>
      <c r="E25" t="str">
        <f>VLOOKUP(InvoiceSummary[[#This Row],[Invoice ID]],InvoicesDetail[],8,0)</f>
        <v>Paid</v>
      </c>
      <c r="F25" t="str">
        <f>IF(InvoiceSummary[[#This Row],[Total Invoice]]=InvoiceSummary[[#This Row],[Total OUT]], "OK", "Mismatch")</f>
        <v>Mismatch</v>
      </c>
      <c r="G25" s="22">
        <f>InvoiceSummary[[#This Row],[Total Invoice]]-InvoiceSummary[[#This Row],[Total OUT]]</f>
        <v>220000</v>
      </c>
    </row>
    <row r="26" spans="1:7" x14ac:dyDescent="0.25">
      <c r="A26" t="s">
        <v>301</v>
      </c>
      <c r="B26" s="20">
        <f>VLOOKUP(InvoicesDisplay[[#This Row],[Invoice ID]],InvoicesDisplay[],2,0)</f>
        <v>45920</v>
      </c>
      <c r="C26" s="13">
        <f>SUMIFS(InvoicesDetail[Line Total], InvoicesDetail[Invoice ID], InvoiceSummary[[#This Row],[Invoice ID]])</f>
        <v>46026500</v>
      </c>
      <c r="D26" s="13">
        <f>SUMIFS(InvoicesDetail[Line Total],InvoicesDetail[Invoice ID],InvoiceSummary[[#This Row],[Invoice ID]],InvoicesDetail[Type (kolom helper)],"OUT")</f>
        <v>26826500</v>
      </c>
      <c r="E26" t="str">
        <f>VLOOKUP(InvoiceSummary[[#This Row],[Invoice ID]],InvoicesDetail[],8,0)</f>
        <v>Paid</v>
      </c>
      <c r="F26" t="str">
        <f>IF(InvoiceSummary[[#This Row],[Total Invoice]]=InvoiceSummary[[#This Row],[Total OUT]], "OK", "Mismatch")</f>
        <v>Mismatch</v>
      </c>
      <c r="G26" s="22">
        <f>InvoiceSummary[[#This Row],[Total Invoice]]-InvoiceSummary[[#This Row],[Total OUT]]</f>
        <v>19200000</v>
      </c>
    </row>
    <row r="27" spans="1:7" x14ac:dyDescent="0.25">
      <c r="A27" t="s">
        <v>302</v>
      </c>
      <c r="B27" s="20">
        <f>VLOOKUP(InvoicesDisplay[[#This Row],[Invoice ID]],InvoicesDisplay[],2,0)</f>
        <v>45900</v>
      </c>
      <c r="C27" s="13">
        <f>SUMIFS(InvoicesDetail[Line Total], InvoicesDetail[Invoice ID], InvoiceSummary[[#This Row],[Invoice ID]])</f>
        <v>26875000</v>
      </c>
      <c r="D27" s="13">
        <f>SUMIFS(InvoicesDetail[Line Total],InvoicesDetail[Invoice ID],InvoiceSummary[[#This Row],[Invoice ID]],InvoicesDetail[Type (kolom helper)],"OUT")</f>
        <v>10803000</v>
      </c>
      <c r="E27" t="str">
        <f>VLOOKUP(InvoiceSummary[[#This Row],[Invoice ID]],InvoicesDetail[],8,0)</f>
        <v>Paid</v>
      </c>
      <c r="F27" t="str">
        <f>IF(InvoiceSummary[[#This Row],[Total Invoice]]=InvoiceSummary[[#This Row],[Total OUT]], "OK", "Mismatch")</f>
        <v>Mismatch</v>
      </c>
      <c r="G27" s="22">
        <f>InvoiceSummary[[#This Row],[Total Invoice]]-InvoiceSummary[[#This Row],[Total OUT]]</f>
        <v>16072000</v>
      </c>
    </row>
    <row r="28" spans="1:7" x14ac:dyDescent="0.25">
      <c r="A28" t="s">
        <v>273</v>
      </c>
      <c r="B28" s="20">
        <f>VLOOKUP(InvoicesDisplay[[#This Row],[Invoice ID]],InvoicesDisplay[],2,0)</f>
        <v>45878</v>
      </c>
      <c r="C28" s="13">
        <f>SUMIFS(InvoicesDetail[Line Total], InvoicesDetail[Invoice ID], InvoiceSummary[[#This Row],[Invoice ID]])</f>
        <v>9155000</v>
      </c>
      <c r="D28" s="13">
        <f>SUMIFS(InvoicesDetail[Line Total],InvoicesDetail[Invoice ID],InvoiceSummary[[#This Row],[Invoice ID]],InvoicesDetail[Type (kolom helper)],"OUT")</f>
        <v>6806500</v>
      </c>
      <c r="E28" t="str">
        <f>VLOOKUP(InvoiceSummary[[#This Row],[Invoice ID]],InvoicesDetail[],8,0)</f>
        <v>Paid</v>
      </c>
      <c r="F28" t="str">
        <f>IF(InvoiceSummary[[#This Row],[Total Invoice]]=InvoiceSummary[[#This Row],[Total OUT]], "OK", "Mismatch")</f>
        <v>Mismatch</v>
      </c>
      <c r="G28" s="22">
        <f>InvoiceSummary[[#This Row],[Total Invoice]]-InvoiceSummary[[#This Row],[Total OUT]]</f>
        <v>2348500</v>
      </c>
    </row>
    <row r="29" spans="1:7" x14ac:dyDescent="0.25">
      <c r="A29" t="s">
        <v>274</v>
      </c>
      <c r="B29" s="20">
        <f>VLOOKUP(InvoicesDisplay[[#This Row],[Invoice ID]],InvoicesDisplay[],2,0)</f>
        <v>45900</v>
      </c>
      <c r="C29" s="13">
        <f>SUMIFS(InvoicesDetail[Line Total], InvoicesDetail[Invoice ID], InvoiceSummary[[#This Row],[Invoice ID]])</f>
        <v>41698000</v>
      </c>
      <c r="D29" s="13">
        <f>SUMIFS(InvoicesDetail[Line Total],InvoicesDetail[Invoice ID],InvoiceSummary[[#This Row],[Invoice ID]],InvoicesDetail[Type (kolom helper)],"OUT")</f>
        <v>41698000</v>
      </c>
      <c r="E29" t="str">
        <f>VLOOKUP(InvoiceSummary[[#This Row],[Invoice ID]],InvoicesDetail[],8,0)</f>
        <v>Paid</v>
      </c>
      <c r="F29" t="str">
        <f>IF(InvoiceSummary[[#This Row],[Total Invoice]]=InvoiceSummary[[#This Row],[Total OUT]], "OK", "Mismatch")</f>
        <v>OK</v>
      </c>
      <c r="G29" s="22">
        <f>InvoiceSummary[[#This Row],[Total Invoice]]-InvoiceSummary[[#This Row],[Total OUT]]</f>
        <v>0</v>
      </c>
    </row>
    <row r="30" spans="1:7" x14ac:dyDescent="0.25">
      <c r="A30" t="s">
        <v>303</v>
      </c>
      <c r="B30" s="20">
        <f>VLOOKUP(InvoicesDisplay[[#This Row],[Invoice ID]],InvoicesDisplay[],2,0)</f>
        <v>45893</v>
      </c>
      <c r="C30" s="13">
        <f>SUMIFS(InvoicesDetail[Line Total], InvoicesDetail[Invoice ID], InvoiceSummary[[#This Row],[Invoice ID]])</f>
        <v>10744000</v>
      </c>
      <c r="D30" s="13">
        <f>SUMIFS(InvoicesDetail[Line Total],InvoicesDetail[Invoice ID],InvoiceSummary[[#This Row],[Invoice ID]],InvoicesDetail[Type (kolom helper)],"OUT")</f>
        <v>10744000</v>
      </c>
      <c r="E30" t="str">
        <f>VLOOKUP(InvoiceSummary[[#This Row],[Invoice ID]],InvoicesDetail[],8,0)</f>
        <v>Paid</v>
      </c>
      <c r="F30" t="str">
        <f>IF(InvoiceSummary[[#This Row],[Total Invoice]]=InvoiceSummary[[#This Row],[Total OUT]], "OK", "Mismatch")</f>
        <v>OK</v>
      </c>
      <c r="G30" s="22">
        <f>InvoiceSummary[[#This Row],[Total Invoice]]-InvoiceSummary[[#This Row],[Total OUT]]</f>
        <v>0</v>
      </c>
    </row>
    <row r="31" spans="1:7" x14ac:dyDescent="0.25">
      <c r="A31" t="s">
        <v>275</v>
      </c>
      <c r="B31" s="20">
        <f>VLOOKUP(InvoicesDisplay[[#This Row],[Invoice ID]],InvoicesDisplay[],2,0)</f>
        <v>45847</v>
      </c>
      <c r="C31" s="13">
        <f>SUMIFS(InvoicesDetail[Line Total], InvoicesDetail[Invoice ID], InvoiceSummary[[#This Row],[Invoice ID]])</f>
        <v>10161000</v>
      </c>
      <c r="D31" s="13">
        <f>SUMIFS(InvoicesDetail[Line Total],InvoicesDetail[Invoice ID],InvoiceSummary[[#This Row],[Invoice ID]],InvoicesDetail[Type (kolom helper)],"OUT")</f>
        <v>1225000</v>
      </c>
      <c r="E31" t="str">
        <f>VLOOKUP(InvoiceSummary[[#This Row],[Invoice ID]],InvoicesDetail[],8,0)</f>
        <v>Paid</v>
      </c>
      <c r="F31" t="str">
        <f>IF(InvoiceSummary[[#This Row],[Total Invoice]]=InvoiceSummary[[#This Row],[Total OUT]], "OK", "Mismatch")</f>
        <v>Mismatch</v>
      </c>
      <c r="G31" s="22">
        <f>InvoiceSummary[[#This Row],[Total Invoice]]-InvoiceSummary[[#This Row],[Total OUT]]</f>
        <v>8936000</v>
      </c>
    </row>
    <row r="32" spans="1:7" x14ac:dyDescent="0.25">
      <c r="A32" t="s">
        <v>304</v>
      </c>
      <c r="B32" s="20">
        <f>VLOOKUP(InvoicesDisplay[[#This Row],[Invoice ID]],InvoicesDisplay[],2,0)</f>
        <v>45908</v>
      </c>
      <c r="C32" s="13">
        <f>SUMIFS(InvoicesDetail[Line Total], InvoicesDetail[Invoice ID], InvoiceSummary[[#This Row],[Invoice ID]])</f>
        <v>11740000</v>
      </c>
      <c r="D32" s="13">
        <f>SUMIFS(InvoicesDetail[Line Total],InvoicesDetail[Invoice ID],InvoiceSummary[[#This Row],[Invoice ID]],InvoicesDetail[Type (kolom helper)],"OUT")</f>
        <v>10740000</v>
      </c>
      <c r="E32" t="str">
        <f>VLOOKUP(InvoiceSummary[[#This Row],[Invoice ID]],InvoicesDetail[],8,0)</f>
        <v>Unpaid</v>
      </c>
      <c r="F32" t="str">
        <f>IF(InvoiceSummary[[#This Row],[Total Invoice]]=InvoiceSummary[[#This Row],[Total OUT]], "OK", "Mismatch")</f>
        <v>Mismatch</v>
      </c>
      <c r="G32" s="22">
        <f>InvoiceSummary[[#This Row],[Total Invoice]]-InvoiceSummary[[#This Row],[Total OUT]]</f>
        <v>1000000</v>
      </c>
    </row>
    <row r="33" spans="1:7" x14ac:dyDescent="0.25">
      <c r="A33" t="s">
        <v>305</v>
      </c>
      <c r="B33" s="20">
        <f>VLOOKUP(InvoicesDisplay[[#This Row],[Invoice ID]],InvoicesDisplay[],2,0)</f>
        <v>45903</v>
      </c>
      <c r="C33" s="13">
        <f>SUMIFS(InvoicesDetail[Line Total], InvoicesDetail[Invoice ID], InvoiceSummary[[#This Row],[Invoice ID]])</f>
        <v>47626000</v>
      </c>
      <c r="D33" s="13">
        <f>SUMIFS(InvoicesDetail[Line Total],InvoicesDetail[Invoice ID],InvoiceSummary[[#This Row],[Invoice ID]],InvoicesDetail[Type (kolom helper)],"OUT")</f>
        <v>46726000</v>
      </c>
      <c r="E33" t="str">
        <f>VLOOKUP(InvoiceSummary[[#This Row],[Invoice ID]],InvoicesDetail[],8,0)</f>
        <v>Paid</v>
      </c>
      <c r="F33" t="str">
        <f>IF(InvoiceSummary[[#This Row],[Total Invoice]]=InvoiceSummary[[#This Row],[Total OUT]], "OK", "Mismatch")</f>
        <v>Mismatch</v>
      </c>
      <c r="G33" s="22">
        <f>InvoiceSummary[[#This Row],[Total Invoice]]-InvoiceSummary[[#This Row],[Total OUT]]</f>
        <v>900000</v>
      </c>
    </row>
    <row r="34" spans="1:7" x14ac:dyDescent="0.25">
      <c r="A34" t="s">
        <v>306</v>
      </c>
      <c r="B34" s="20">
        <f>VLOOKUP(InvoicesDisplay[[#This Row],[Invoice ID]],InvoicesDisplay[],2,0)</f>
        <v>45856</v>
      </c>
      <c r="C34" s="13">
        <f>SUMIFS(InvoicesDetail[Line Total], InvoicesDetail[Invoice ID], InvoiceSummary[[#This Row],[Invoice ID]])</f>
        <v>9063000</v>
      </c>
      <c r="D34" s="13">
        <f>SUMIFS(InvoicesDetail[Line Total],InvoicesDetail[Invoice ID],InvoiceSummary[[#This Row],[Invoice ID]],InvoicesDetail[Type (kolom helper)],"OUT")</f>
        <v>5708000</v>
      </c>
      <c r="E34" t="str">
        <f>VLOOKUP(InvoiceSummary[[#This Row],[Invoice ID]],InvoicesDetail[],8,0)</f>
        <v>Unpaid</v>
      </c>
      <c r="F34" t="str">
        <f>IF(InvoiceSummary[[#This Row],[Total Invoice]]=InvoiceSummary[[#This Row],[Total OUT]], "OK", "Mismatch")</f>
        <v>Mismatch</v>
      </c>
      <c r="G34" s="22">
        <f>InvoiceSummary[[#This Row],[Total Invoice]]-InvoiceSummary[[#This Row],[Total OUT]]</f>
        <v>3355000</v>
      </c>
    </row>
    <row r="35" spans="1:7" x14ac:dyDescent="0.25">
      <c r="A35" t="s">
        <v>307</v>
      </c>
      <c r="B35" s="20">
        <f>VLOOKUP(InvoicesDisplay[[#This Row],[Invoice ID]],InvoicesDisplay[],2,0)</f>
        <v>45839</v>
      </c>
      <c r="C35" s="13">
        <f>SUMIFS(InvoicesDetail[Line Total], InvoicesDetail[Invoice ID], InvoiceSummary[[#This Row],[Invoice ID]])</f>
        <v>4774000</v>
      </c>
      <c r="D35" s="13">
        <f>SUMIFS(InvoicesDetail[Line Total],InvoicesDetail[Invoice ID],InvoiceSummary[[#This Row],[Invoice ID]],InvoicesDetail[Type (kolom helper)],"OUT")</f>
        <v>4666000</v>
      </c>
      <c r="E35" t="str">
        <f>VLOOKUP(InvoiceSummary[[#This Row],[Invoice ID]],InvoicesDetail[],8,0)</f>
        <v>Paid</v>
      </c>
      <c r="F35" t="str">
        <f>IF(InvoiceSummary[[#This Row],[Total Invoice]]=InvoiceSummary[[#This Row],[Total OUT]], "OK", "Mismatch")</f>
        <v>Mismatch</v>
      </c>
      <c r="G35" s="22">
        <f>InvoiceSummary[[#This Row],[Total Invoice]]-InvoiceSummary[[#This Row],[Total OUT]]</f>
        <v>108000</v>
      </c>
    </row>
    <row r="36" spans="1:7" x14ac:dyDescent="0.25">
      <c r="A36" t="s">
        <v>308</v>
      </c>
      <c r="B36" s="20">
        <f>VLOOKUP(InvoicesDisplay[[#This Row],[Invoice ID]],InvoicesDisplay[],2,0)</f>
        <v>45842</v>
      </c>
      <c r="C36" s="13">
        <f>SUMIFS(InvoicesDetail[Line Total], InvoicesDetail[Invoice ID], InvoiceSummary[[#This Row],[Invoice ID]])</f>
        <v>3150000</v>
      </c>
      <c r="D36" s="13">
        <f>SUMIFS(InvoicesDetail[Line Total],InvoicesDetail[Invoice ID],InvoiceSummary[[#This Row],[Invoice ID]],InvoicesDetail[Type (kolom helper)],"OUT")</f>
        <v>3150000</v>
      </c>
      <c r="E36" t="str">
        <f>VLOOKUP(InvoiceSummary[[#This Row],[Invoice ID]],InvoicesDetail[],8,0)</f>
        <v>Unpaid</v>
      </c>
      <c r="F36" t="str">
        <f>IF(InvoiceSummary[[#This Row],[Total Invoice]]=InvoiceSummary[[#This Row],[Total OUT]], "OK", "Mismatch")</f>
        <v>OK</v>
      </c>
      <c r="G36" s="22">
        <f>InvoiceSummary[[#This Row],[Total Invoice]]-InvoiceSummary[[#This Row],[Total OUT]]</f>
        <v>0</v>
      </c>
    </row>
    <row r="37" spans="1:7" x14ac:dyDescent="0.25">
      <c r="A37" t="s">
        <v>309</v>
      </c>
      <c r="B37" s="20">
        <f>VLOOKUP(InvoicesDisplay[[#This Row],[Invoice ID]],InvoicesDisplay[],2,0)</f>
        <v>45920</v>
      </c>
      <c r="C37" s="13">
        <f>SUMIFS(InvoicesDetail[Line Total], InvoicesDetail[Invoice ID], InvoiceSummary[[#This Row],[Invoice ID]])</f>
        <v>17780000</v>
      </c>
      <c r="D37" s="13">
        <f>SUMIFS(InvoicesDetail[Line Total],InvoicesDetail[Invoice ID],InvoiceSummary[[#This Row],[Invoice ID]],InvoicesDetail[Type (kolom helper)],"OUT")</f>
        <v>17630000</v>
      </c>
      <c r="E37" t="str">
        <f>VLOOKUP(InvoiceSummary[[#This Row],[Invoice ID]],InvoicesDetail[],8,0)</f>
        <v>Paid</v>
      </c>
      <c r="F37" t="str">
        <f>IF(InvoiceSummary[[#This Row],[Total Invoice]]=InvoiceSummary[[#This Row],[Total OUT]], "OK", "Mismatch")</f>
        <v>Mismatch</v>
      </c>
      <c r="G37" s="22">
        <f>InvoiceSummary[[#This Row],[Total Invoice]]-InvoiceSummary[[#This Row],[Total OUT]]</f>
        <v>150000</v>
      </c>
    </row>
    <row r="38" spans="1:7" x14ac:dyDescent="0.25">
      <c r="A38" t="s">
        <v>276</v>
      </c>
      <c r="B38" s="20">
        <f>VLOOKUP(InvoicesDisplay[[#This Row],[Invoice ID]],InvoicesDisplay[],2,0)</f>
        <v>45849</v>
      </c>
      <c r="C38" s="13">
        <f>SUMIFS(InvoicesDetail[Line Total], InvoicesDetail[Invoice ID], InvoiceSummary[[#This Row],[Invoice ID]])</f>
        <v>35518000</v>
      </c>
      <c r="D38" s="13">
        <f>SUMIFS(InvoicesDetail[Line Total],InvoicesDetail[Invoice ID],InvoiceSummary[[#This Row],[Invoice ID]],InvoicesDetail[Type (kolom helper)],"OUT")</f>
        <v>33598000</v>
      </c>
      <c r="E38" t="str">
        <f>VLOOKUP(InvoiceSummary[[#This Row],[Invoice ID]],InvoicesDetail[],8,0)</f>
        <v>Paid</v>
      </c>
      <c r="F38" t="str">
        <f>IF(InvoiceSummary[[#This Row],[Total Invoice]]=InvoiceSummary[[#This Row],[Total OUT]], "OK", "Mismatch")</f>
        <v>Mismatch</v>
      </c>
      <c r="G38" s="22">
        <f>InvoiceSummary[[#This Row],[Total Invoice]]-InvoiceSummary[[#This Row],[Total OUT]]</f>
        <v>1920000</v>
      </c>
    </row>
    <row r="39" spans="1:7" x14ac:dyDescent="0.25">
      <c r="A39" t="s">
        <v>277</v>
      </c>
      <c r="B39" s="20">
        <f>VLOOKUP(InvoicesDisplay[[#This Row],[Invoice ID]],InvoicesDisplay[],2,0)</f>
        <v>45845</v>
      </c>
      <c r="C39" s="13">
        <f>SUMIFS(InvoicesDetail[Line Total], InvoicesDetail[Invoice ID], InvoiceSummary[[#This Row],[Invoice ID]])</f>
        <v>1557000</v>
      </c>
      <c r="D39" s="13">
        <f>SUMIFS(InvoicesDetail[Line Total],InvoicesDetail[Invoice ID],InvoiceSummary[[#This Row],[Invoice ID]],InvoicesDetail[Type (kolom helper)],"OUT")</f>
        <v>1185000</v>
      </c>
      <c r="E39" t="str">
        <f>VLOOKUP(InvoiceSummary[[#This Row],[Invoice ID]],InvoicesDetail[],8,0)</f>
        <v>Paid</v>
      </c>
      <c r="F39" t="str">
        <f>IF(InvoiceSummary[[#This Row],[Total Invoice]]=InvoiceSummary[[#This Row],[Total OUT]], "OK", "Mismatch")</f>
        <v>Mismatch</v>
      </c>
      <c r="G39" s="22">
        <f>InvoiceSummary[[#This Row],[Total Invoice]]-InvoiceSummary[[#This Row],[Total OUT]]</f>
        <v>372000</v>
      </c>
    </row>
    <row r="40" spans="1:7" x14ac:dyDescent="0.25">
      <c r="A40" t="s">
        <v>310</v>
      </c>
      <c r="B40" s="20">
        <f>VLOOKUP(InvoicesDisplay[[#This Row],[Invoice ID]],InvoicesDisplay[],2,0)</f>
        <v>45897</v>
      </c>
      <c r="C40" s="13">
        <f>SUMIFS(InvoicesDetail[Line Total], InvoicesDetail[Invoice ID], InvoiceSummary[[#This Row],[Invoice ID]])</f>
        <v>8372000</v>
      </c>
      <c r="D40" s="13">
        <f>SUMIFS(InvoicesDetail[Line Total],InvoicesDetail[Invoice ID],InvoiceSummary[[#This Row],[Invoice ID]],InvoicesDetail[Type (kolom helper)],"OUT")</f>
        <v>0</v>
      </c>
      <c r="E40" t="str">
        <f>VLOOKUP(InvoiceSummary[[#This Row],[Invoice ID]],InvoicesDetail[],8,0)</f>
        <v>Unpaid</v>
      </c>
      <c r="F40" t="str">
        <f>IF(InvoiceSummary[[#This Row],[Total Invoice]]=InvoiceSummary[[#This Row],[Total OUT]], "OK", "Mismatch")</f>
        <v>Mismatch</v>
      </c>
      <c r="G40" s="22">
        <f>InvoiceSummary[[#This Row],[Total Invoice]]-InvoiceSummary[[#This Row],[Total OUT]]</f>
        <v>8372000</v>
      </c>
    </row>
    <row r="41" spans="1:7" x14ac:dyDescent="0.25">
      <c r="A41" t="s">
        <v>311</v>
      </c>
      <c r="B41" s="20">
        <f>VLOOKUP(InvoicesDisplay[[#This Row],[Invoice ID]],InvoicesDisplay[],2,0)</f>
        <v>45916</v>
      </c>
      <c r="C41" s="13">
        <f>SUMIFS(InvoicesDetail[Line Total], InvoicesDetail[Invoice ID], InvoiceSummary[[#This Row],[Invoice ID]])</f>
        <v>8370000</v>
      </c>
      <c r="D41" s="13">
        <f>SUMIFS(InvoicesDetail[Line Total],InvoicesDetail[Invoice ID],InvoiceSummary[[#This Row],[Invoice ID]],InvoicesDetail[Type (kolom helper)],"OUT")</f>
        <v>0</v>
      </c>
      <c r="E41" t="str">
        <f>VLOOKUP(InvoiceSummary[[#This Row],[Invoice ID]],InvoicesDetail[],8,0)</f>
        <v>Paid</v>
      </c>
      <c r="F41" t="str">
        <f>IF(InvoiceSummary[[#This Row],[Total Invoice]]=InvoiceSummary[[#This Row],[Total OUT]], "OK", "Mismatch")</f>
        <v>Mismatch</v>
      </c>
      <c r="G41" s="22">
        <f>InvoiceSummary[[#This Row],[Total Invoice]]-InvoiceSummary[[#This Row],[Total OUT]]</f>
        <v>8370000</v>
      </c>
    </row>
    <row r="42" spans="1:7" x14ac:dyDescent="0.25">
      <c r="A42" t="s">
        <v>278</v>
      </c>
      <c r="B42" s="20">
        <f>VLOOKUP(InvoicesDisplay[[#This Row],[Invoice ID]],InvoicesDisplay[],2,0)</f>
        <v>45867</v>
      </c>
      <c r="C42" s="13">
        <f>SUMIFS(InvoicesDetail[Line Total], InvoicesDetail[Invoice ID], InvoiceSummary[[#This Row],[Invoice ID]])</f>
        <v>64154000</v>
      </c>
      <c r="D42" s="13">
        <f>SUMIFS(InvoicesDetail[Line Total],InvoicesDetail[Invoice ID],InvoiceSummary[[#This Row],[Invoice ID]],InvoicesDetail[Type (kolom helper)],"OUT")</f>
        <v>39300000</v>
      </c>
      <c r="E42" t="str">
        <f>VLOOKUP(InvoiceSummary[[#This Row],[Invoice ID]],InvoicesDetail[],8,0)</f>
        <v>Unpaid</v>
      </c>
      <c r="F42" t="str">
        <f>IF(InvoiceSummary[[#This Row],[Total Invoice]]=InvoiceSummary[[#This Row],[Total OUT]], "OK", "Mismatch")</f>
        <v>Mismatch</v>
      </c>
      <c r="G42" s="22">
        <f>InvoiceSummary[[#This Row],[Total Invoice]]-InvoiceSummary[[#This Row],[Total OUT]]</f>
        <v>24854000</v>
      </c>
    </row>
    <row r="43" spans="1:7" x14ac:dyDescent="0.25">
      <c r="A43" t="s">
        <v>312</v>
      </c>
      <c r="B43" s="20">
        <f>VLOOKUP(InvoicesDisplay[[#This Row],[Invoice ID]],InvoicesDisplay[],2,0)</f>
        <v>45867</v>
      </c>
      <c r="C43" s="13">
        <f>SUMIFS(InvoicesDetail[Line Total], InvoicesDetail[Invoice ID], InvoiceSummary[[#This Row],[Invoice ID]])</f>
        <v>26385000</v>
      </c>
      <c r="D43" s="13">
        <f>SUMIFS(InvoicesDetail[Line Total],InvoicesDetail[Invoice ID],InvoiceSummary[[#This Row],[Invoice ID]],InvoicesDetail[Type (kolom helper)],"OUT")</f>
        <v>5721000</v>
      </c>
      <c r="E43" t="str">
        <f>VLOOKUP(InvoiceSummary[[#This Row],[Invoice ID]],InvoicesDetail[],8,0)</f>
        <v>Paid</v>
      </c>
      <c r="F43" t="str">
        <f>IF(InvoiceSummary[[#This Row],[Total Invoice]]=InvoiceSummary[[#This Row],[Total OUT]], "OK", "Mismatch")</f>
        <v>Mismatch</v>
      </c>
      <c r="G43" s="22">
        <f>InvoiceSummary[[#This Row],[Total Invoice]]-InvoiceSummary[[#This Row],[Total OUT]]</f>
        <v>20664000</v>
      </c>
    </row>
    <row r="44" spans="1:7" x14ac:dyDescent="0.25">
      <c r="A44" t="s">
        <v>313</v>
      </c>
      <c r="B44" s="20">
        <f>VLOOKUP(InvoicesDisplay[[#This Row],[Invoice ID]],InvoicesDisplay[],2,0)</f>
        <v>45880</v>
      </c>
      <c r="C44" s="13">
        <f>SUMIFS(InvoicesDetail[Line Total], InvoicesDetail[Invoice ID], InvoiceSummary[[#This Row],[Invoice ID]])</f>
        <v>40691000</v>
      </c>
      <c r="D44" s="13">
        <f>SUMIFS(InvoicesDetail[Line Total],InvoicesDetail[Invoice ID],InvoiceSummary[[#This Row],[Invoice ID]],InvoicesDetail[Type (kolom helper)],"OUT")</f>
        <v>33065000</v>
      </c>
      <c r="E44" t="str">
        <f>VLOOKUP(InvoiceSummary[[#This Row],[Invoice ID]],InvoicesDetail[],8,0)</f>
        <v>Unpaid</v>
      </c>
      <c r="F44" t="str">
        <f>IF(InvoiceSummary[[#This Row],[Total Invoice]]=InvoiceSummary[[#This Row],[Total OUT]], "OK", "Mismatch")</f>
        <v>Mismatch</v>
      </c>
      <c r="G44" s="22">
        <f>InvoiceSummary[[#This Row],[Total Invoice]]-InvoiceSummary[[#This Row],[Total OUT]]</f>
        <v>7626000</v>
      </c>
    </row>
    <row r="45" spans="1:7" x14ac:dyDescent="0.25">
      <c r="A45" t="s">
        <v>314</v>
      </c>
      <c r="B45" s="20">
        <f>VLOOKUP(InvoicesDisplay[[#This Row],[Invoice ID]],InvoicesDisplay[],2,0)</f>
        <v>45874</v>
      </c>
      <c r="C45" s="13">
        <f>SUMIFS(InvoicesDetail[Line Total], InvoicesDetail[Invoice ID], InvoiceSummary[[#This Row],[Invoice ID]])</f>
        <v>2161500</v>
      </c>
      <c r="D45" s="13">
        <f>SUMIFS(InvoicesDetail[Line Total],InvoicesDetail[Invoice ID],InvoiceSummary[[#This Row],[Invoice ID]],InvoicesDetail[Type (kolom helper)],"OUT")</f>
        <v>2161500</v>
      </c>
      <c r="E45" t="str">
        <f>VLOOKUP(InvoiceSummary[[#This Row],[Invoice ID]],InvoicesDetail[],8,0)</f>
        <v>Unpaid</v>
      </c>
      <c r="F45" t="str">
        <f>IF(InvoiceSummary[[#This Row],[Total Invoice]]=InvoiceSummary[[#This Row],[Total OUT]], "OK", "Mismatch")</f>
        <v>OK</v>
      </c>
      <c r="G45" s="22">
        <f>InvoiceSummary[[#This Row],[Total Invoice]]-InvoiceSummary[[#This Row],[Total OUT]]</f>
        <v>0</v>
      </c>
    </row>
    <row r="46" spans="1:7" x14ac:dyDescent="0.25">
      <c r="A46" t="s">
        <v>315</v>
      </c>
      <c r="B46" s="20">
        <f>VLOOKUP(InvoicesDisplay[[#This Row],[Invoice ID]],InvoicesDisplay[],2,0)</f>
        <v>45843</v>
      </c>
      <c r="C46" s="13">
        <f>SUMIFS(InvoicesDetail[Line Total], InvoicesDetail[Invoice ID], InvoiceSummary[[#This Row],[Invoice ID]])</f>
        <v>47592000</v>
      </c>
      <c r="D46" s="13">
        <f>SUMIFS(InvoicesDetail[Line Total],InvoicesDetail[Invoice ID],InvoiceSummary[[#This Row],[Invoice ID]],InvoicesDetail[Type (kolom helper)],"OUT")</f>
        <v>47592000</v>
      </c>
      <c r="E46" t="str">
        <f>VLOOKUP(InvoiceSummary[[#This Row],[Invoice ID]],InvoicesDetail[],8,0)</f>
        <v>Paid</v>
      </c>
      <c r="F46" t="str">
        <f>IF(InvoiceSummary[[#This Row],[Total Invoice]]=InvoiceSummary[[#This Row],[Total OUT]], "OK", "Mismatch")</f>
        <v>OK</v>
      </c>
      <c r="G46" s="22">
        <f>InvoiceSummary[[#This Row],[Total Invoice]]-InvoiceSummary[[#This Row],[Total OUT]]</f>
        <v>0</v>
      </c>
    </row>
    <row r="47" spans="1:7" x14ac:dyDescent="0.25">
      <c r="A47" t="s">
        <v>279</v>
      </c>
      <c r="B47" s="20">
        <f>VLOOKUP(InvoicesDisplay[[#This Row],[Invoice ID]],InvoicesDisplay[],2,0)</f>
        <v>45897</v>
      </c>
      <c r="C47" s="13">
        <f>SUMIFS(InvoicesDetail[Line Total], InvoicesDetail[Invoice ID], InvoiceSummary[[#This Row],[Invoice ID]])</f>
        <v>1362500</v>
      </c>
      <c r="D47" s="13">
        <f>SUMIFS(InvoicesDetail[Line Total],InvoicesDetail[Invoice ID],InvoiceSummary[[#This Row],[Invoice ID]],InvoicesDetail[Type (kolom helper)],"OUT")</f>
        <v>256500</v>
      </c>
      <c r="E47" t="str">
        <f>VLOOKUP(InvoiceSummary[[#This Row],[Invoice ID]],InvoicesDetail[],8,0)</f>
        <v>Paid</v>
      </c>
      <c r="F47" t="str">
        <f>IF(InvoiceSummary[[#This Row],[Total Invoice]]=InvoiceSummary[[#This Row],[Total OUT]], "OK", "Mismatch")</f>
        <v>Mismatch</v>
      </c>
      <c r="G47" s="22">
        <f>InvoiceSummary[[#This Row],[Total Invoice]]-InvoiceSummary[[#This Row],[Total OUT]]</f>
        <v>1106000</v>
      </c>
    </row>
    <row r="48" spans="1:7" x14ac:dyDescent="0.25">
      <c r="A48" t="s">
        <v>316</v>
      </c>
      <c r="B48" s="20">
        <f>VLOOKUP(InvoicesDisplay[[#This Row],[Invoice ID]],InvoicesDisplay[],2,0)</f>
        <v>45894</v>
      </c>
      <c r="C48" s="13">
        <f>SUMIFS(InvoicesDetail[Line Total], InvoicesDetail[Invoice ID], InvoiceSummary[[#This Row],[Invoice ID]])</f>
        <v>9675500</v>
      </c>
      <c r="D48" s="13">
        <f>SUMIFS(InvoicesDetail[Line Total],InvoicesDetail[Invoice ID],InvoiceSummary[[#This Row],[Invoice ID]],InvoicesDetail[Type (kolom helper)],"OUT")</f>
        <v>9675500</v>
      </c>
      <c r="E48" t="str">
        <f>VLOOKUP(InvoiceSummary[[#This Row],[Invoice ID]],InvoicesDetail[],8,0)</f>
        <v>Unpaid</v>
      </c>
      <c r="F48" t="str">
        <f>IF(InvoiceSummary[[#This Row],[Total Invoice]]=InvoiceSummary[[#This Row],[Total OUT]], "OK", "Mismatch")</f>
        <v>OK</v>
      </c>
      <c r="G48" s="22">
        <f>InvoiceSummary[[#This Row],[Total Invoice]]-InvoiceSummary[[#This Row],[Total OUT]]</f>
        <v>0</v>
      </c>
    </row>
    <row r="49" spans="1:7" x14ac:dyDescent="0.25">
      <c r="A49" t="s">
        <v>317</v>
      </c>
      <c r="B49" s="20">
        <f>VLOOKUP(InvoicesDisplay[[#This Row],[Invoice ID]],InvoicesDisplay[],2,0)</f>
        <v>45891</v>
      </c>
      <c r="C49" s="13">
        <f>SUMIFS(InvoicesDetail[Line Total], InvoicesDetail[Invoice ID], InvoiceSummary[[#This Row],[Invoice ID]])</f>
        <v>4940000</v>
      </c>
      <c r="D49" s="13">
        <f>SUMIFS(InvoicesDetail[Line Total],InvoicesDetail[Invoice ID],InvoiceSummary[[#This Row],[Invoice ID]],InvoicesDetail[Type (kolom helper)],"OUT")</f>
        <v>0</v>
      </c>
      <c r="E49" t="str">
        <f>VLOOKUP(InvoiceSummary[[#This Row],[Invoice ID]],InvoicesDetail[],8,0)</f>
        <v>Unpaid</v>
      </c>
      <c r="F49" t="str">
        <f>IF(InvoiceSummary[[#This Row],[Total Invoice]]=InvoiceSummary[[#This Row],[Total OUT]], "OK", "Mismatch")</f>
        <v>Mismatch</v>
      </c>
      <c r="G49" s="22">
        <f>InvoiceSummary[[#This Row],[Total Invoice]]-InvoiceSummary[[#This Row],[Total OUT]]</f>
        <v>4940000</v>
      </c>
    </row>
    <row r="50" spans="1:7" x14ac:dyDescent="0.25">
      <c r="A50" t="s">
        <v>318</v>
      </c>
      <c r="B50" s="20">
        <f>VLOOKUP(InvoicesDisplay[[#This Row],[Invoice ID]],InvoicesDisplay[],2,0)</f>
        <v>45868</v>
      </c>
      <c r="C50" s="13">
        <f>SUMIFS(InvoicesDetail[Line Total], InvoicesDetail[Invoice ID], InvoiceSummary[[#This Row],[Invoice ID]])</f>
        <v>5060000</v>
      </c>
      <c r="D50" s="13">
        <f>SUMIFS(InvoicesDetail[Line Total],InvoicesDetail[Invoice ID],InvoiceSummary[[#This Row],[Invoice ID]],InvoicesDetail[Type (kolom helper)],"OUT")</f>
        <v>4740000</v>
      </c>
      <c r="E50" t="str">
        <f>VLOOKUP(InvoiceSummary[[#This Row],[Invoice ID]],InvoicesDetail[],8,0)</f>
        <v>Unpaid</v>
      </c>
      <c r="F50" t="str">
        <f>IF(InvoiceSummary[[#This Row],[Total Invoice]]=InvoiceSummary[[#This Row],[Total OUT]], "OK", "Mismatch")</f>
        <v>Mismatch</v>
      </c>
      <c r="G50" s="22">
        <f>InvoiceSummary[[#This Row],[Total Invoice]]-InvoiceSummary[[#This Row],[Total OUT]]</f>
        <v>320000</v>
      </c>
    </row>
    <row r="51" spans="1:7" x14ac:dyDescent="0.25">
      <c r="A51" t="s">
        <v>319</v>
      </c>
      <c r="B51" s="20">
        <f>VLOOKUP(InvoicesDisplay[[#This Row],[Invoice ID]],InvoicesDisplay[],2,0)</f>
        <v>45922</v>
      </c>
      <c r="C51" s="13">
        <f>SUMIFS(InvoicesDetail[Line Total], InvoicesDetail[Invoice ID], InvoiceSummary[[#This Row],[Invoice ID]])</f>
        <v>23348500</v>
      </c>
      <c r="D51" s="13">
        <f>SUMIFS(InvoicesDetail[Line Total],InvoicesDetail[Invoice ID],InvoiceSummary[[#This Row],[Invoice ID]],InvoicesDetail[Type (kolom helper)],"OUT")</f>
        <v>23348500</v>
      </c>
      <c r="E51" t="str">
        <f>VLOOKUP(InvoiceSummary[[#This Row],[Invoice ID]],InvoicesDetail[],8,0)</f>
        <v>Paid</v>
      </c>
      <c r="F51" t="str">
        <f>IF(InvoiceSummary[[#This Row],[Total Invoice]]=InvoiceSummary[[#This Row],[Total OUT]], "OK", "Mismatch")</f>
        <v>OK</v>
      </c>
      <c r="G51" s="22">
        <f>InvoiceSummary[[#This Row],[Total Invoice]]-InvoiceSummary[[#This Row],[Total OUT]]</f>
        <v>0</v>
      </c>
    </row>
    <row r="52" spans="1:7" x14ac:dyDescent="0.25">
      <c r="A52" t="s">
        <v>320</v>
      </c>
      <c r="B52" s="20">
        <f>VLOOKUP(InvoicesDisplay[[#This Row],[Invoice ID]],InvoicesDisplay[],2,0)</f>
        <v>45880</v>
      </c>
      <c r="C52" s="13">
        <f>SUMIFS(InvoicesDetail[Line Total], InvoicesDetail[Invoice ID], InvoiceSummary[[#This Row],[Invoice ID]])</f>
        <v>21208000</v>
      </c>
      <c r="D52" s="13">
        <f>SUMIFS(InvoicesDetail[Line Total],InvoicesDetail[Invoice ID],InvoiceSummary[[#This Row],[Invoice ID]],InvoicesDetail[Type (kolom helper)],"OUT")</f>
        <v>1280000</v>
      </c>
      <c r="E52" t="str">
        <f>VLOOKUP(InvoiceSummary[[#This Row],[Invoice ID]],InvoicesDetail[],8,0)</f>
        <v>Unpaid</v>
      </c>
      <c r="F52" t="str">
        <f>IF(InvoiceSummary[[#This Row],[Total Invoice]]=InvoiceSummary[[#This Row],[Total OUT]], "OK", "Mismatch")</f>
        <v>Mismatch</v>
      </c>
      <c r="G52" s="22">
        <f>InvoiceSummary[[#This Row],[Total Invoice]]-InvoiceSummary[[#This Row],[Total OUT]]</f>
        <v>19928000</v>
      </c>
    </row>
    <row r="53" spans="1:7" x14ac:dyDescent="0.25">
      <c r="A53" t="s">
        <v>321</v>
      </c>
      <c r="B53" s="20">
        <f>VLOOKUP(InvoicesDisplay[[#This Row],[Invoice ID]],InvoicesDisplay[],2,0)</f>
        <v>45844</v>
      </c>
      <c r="C53" s="13">
        <f>SUMIFS(InvoicesDetail[Line Total], InvoicesDetail[Invoice ID], InvoiceSummary[[#This Row],[Invoice ID]])</f>
        <v>4720000</v>
      </c>
      <c r="D53" s="13">
        <f>SUMIFS(InvoicesDetail[Line Total],InvoicesDetail[Invoice ID],InvoiceSummary[[#This Row],[Invoice ID]],InvoicesDetail[Type (kolom helper)],"OUT")</f>
        <v>4720000</v>
      </c>
      <c r="E53" t="str">
        <f>VLOOKUP(InvoiceSummary[[#This Row],[Invoice ID]],InvoicesDetail[],8,0)</f>
        <v>Paid</v>
      </c>
      <c r="F53" t="str">
        <f>IF(InvoiceSummary[[#This Row],[Total Invoice]]=InvoiceSummary[[#This Row],[Total OUT]], "OK", "Mismatch")</f>
        <v>OK</v>
      </c>
      <c r="G53" s="22">
        <f>InvoiceSummary[[#This Row],[Total Invoice]]-InvoiceSummary[[#This Row],[Total OUT]]</f>
        <v>0</v>
      </c>
    </row>
    <row r="54" spans="1:7" x14ac:dyDescent="0.25">
      <c r="A54" t="s">
        <v>322</v>
      </c>
      <c r="B54" s="20">
        <f>VLOOKUP(InvoicesDisplay[[#This Row],[Invoice ID]],InvoicesDisplay[],2,0)</f>
        <v>45876</v>
      </c>
      <c r="C54" s="13">
        <f>SUMIFS(InvoicesDetail[Line Total], InvoicesDetail[Invoice ID], InvoiceSummary[[#This Row],[Invoice ID]])</f>
        <v>12198000</v>
      </c>
      <c r="D54" s="13">
        <f>SUMIFS(InvoicesDetail[Line Total],InvoicesDetail[Invoice ID],InvoiceSummary[[#This Row],[Invoice ID]],InvoicesDetail[Type (kolom helper)],"OUT")</f>
        <v>11158000</v>
      </c>
      <c r="E54" t="str">
        <f>VLOOKUP(InvoiceSummary[[#This Row],[Invoice ID]],InvoicesDetail[],8,0)</f>
        <v>Unpaid</v>
      </c>
      <c r="F54" t="str">
        <f>IF(InvoiceSummary[[#This Row],[Total Invoice]]=InvoiceSummary[[#This Row],[Total OUT]], "OK", "Mismatch")</f>
        <v>Mismatch</v>
      </c>
      <c r="G54" s="22">
        <f>InvoiceSummary[[#This Row],[Total Invoice]]-InvoiceSummary[[#This Row],[Total OUT]]</f>
        <v>1040000</v>
      </c>
    </row>
    <row r="55" spans="1:7" x14ac:dyDescent="0.25">
      <c r="A55" t="s">
        <v>323</v>
      </c>
      <c r="B55" s="20">
        <f>VLOOKUP(InvoicesDisplay[[#This Row],[Invoice ID]],InvoicesDisplay[],2,0)</f>
        <v>45905</v>
      </c>
      <c r="C55" s="13">
        <f>SUMIFS(InvoicesDetail[Line Total], InvoicesDetail[Invoice ID], InvoiceSummary[[#This Row],[Invoice ID]])</f>
        <v>3450500</v>
      </c>
      <c r="D55" s="13">
        <f>SUMIFS(InvoicesDetail[Line Total],InvoicesDetail[Invoice ID],InvoiceSummary[[#This Row],[Invoice ID]],InvoicesDetail[Type (kolom helper)],"OUT")</f>
        <v>3210500</v>
      </c>
      <c r="E55" t="str">
        <f>VLOOKUP(InvoiceSummary[[#This Row],[Invoice ID]],InvoicesDetail[],8,0)</f>
        <v>Paid</v>
      </c>
      <c r="F55" t="str">
        <f>IF(InvoiceSummary[[#This Row],[Total Invoice]]=InvoiceSummary[[#This Row],[Total OUT]], "OK", "Mismatch")</f>
        <v>Mismatch</v>
      </c>
      <c r="G55" s="22">
        <f>InvoiceSummary[[#This Row],[Total Invoice]]-InvoiceSummary[[#This Row],[Total OUT]]</f>
        <v>240000</v>
      </c>
    </row>
    <row r="56" spans="1:7" x14ac:dyDescent="0.25">
      <c r="A56" t="s">
        <v>324</v>
      </c>
      <c r="B56" s="20">
        <f>VLOOKUP(InvoicesDisplay[[#This Row],[Invoice ID]],InvoicesDisplay[],2,0)</f>
        <v>45840</v>
      </c>
      <c r="C56" s="13">
        <f>SUMIFS(InvoicesDetail[Line Total], InvoicesDetail[Invoice ID], InvoiceSummary[[#This Row],[Invoice ID]])</f>
        <v>24638500</v>
      </c>
      <c r="D56" s="13">
        <f>SUMIFS(InvoicesDetail[Line Total],InvoicesDetail[Invoice ID],InvoiceSummary[[#This Row],[Invoice ID]],InvoicesDetail[Type (kolom helper)],"OUT")</f>
        <v>22400000</v>
      </c>
      <c r="E56" t="str">
        <f>VLOOKUP(InvoiceSummary[[#This Row],[Invoice ID]],InvoicesDetail[],8,0)</f>
        <v>Paid</v>
      </c>
      <c r="F56" t="str">
        <f>IF(InvoiceSummary[[#This Row],[Total Invoice]]=InvoiceSummary[[#This Row],[Total OUT]], "OK", "Mismatch")</f>
        <v>Mismatch</v>
      </c>
      <c r="G56" s="22">
        <f>InvoiceSummary[[#This Row],[Total Invoice]]-InvoiceSummary[[#This Row],[Total OUT]]</f>
        <v>2238500</v>
      </c>
    </row>
    <row r="57" spans="1:7" x14ac:dyDescent="0.25">
      <c r="A57" t="s">
        <v>325</v>
      </c>
      <c r="B57" s="20">
        <f>VLOOKUP(InvoicesDisplay[[#This Row],[Invoice ID]],InvoicesDisplay[],2,0)</f>
        <v>45851</v>
      </c>
      <c r="C57" s="13">
        <f>SUMIFS(InvoicesDetail[Line Total], InvoicesDetail[Invoice ID], InvoiceSummary[[#This Row],[Invoice ID]])</f>
        <v>8477500</v>
      </c>
      <c r="D57" s="13">
        <f>SUMIFS(InvoicesDetail[Line Total],InvoicesDetail[Invoice ID],InvoiceSummary[[#This Row],[Invoice ID]],InvoicesDetail[Type (kolom helper)],"OUT")</f>
        <v>1280000</v>
      </c>
      <c r="E57" t="str">
        <f>VLOOKUP(InvoiceSummary[[#This Row],[Invoice ID]],InvoicesDetail[],8,0)</f>
        <v>Unpaid</v>
      </c>
      <c r="F57" t="str">
        <f>IF(InvoiceSummary[[#This Row],[Total Invoice]]=InvoiceSummary[[#This Row],[Total OUT]], "OK", "Mismatch")</f>
        <v>Mismatch</v>
      </c>
      <c r="G57" s="22">
        <f>InvoiceSummary[[#This Row],[Total Invoice]]-InvoiceSummary[[#This Row],[Total OUT]]</f>
        <v>7197500</v>
      </c>
    </row>
    <row r="58" spans="1:7" x14ac:dyDescent="0.25">
      <c r="A58" t="s">
        <v>326</v>
      </c>
      <c r="B58" s="20">
        <f>VLOOKUP(InvoicesDisplay[[#This Row],[Invoice ID]],InvoicesDisplay[],2,0)</f>
        <v>45859</v>
      </c>
      <c r="C58" s="13">
        <f>SUMIFS(InvoicesDetail[Line Total], InvoicesDetail[Invoice ID], InvoiceSummary[[#This Row],[Invoice ID]])</f>
        <v>15980000</v>
      </c>
      <c r="D58" s="13">
        <f>SUMIFS(InvoicesDetail[Line Total],InvoicesDetail[Invoice ID],InvoiceSummary[[#This Row],[Invoice ID]],InvoicesDetail[Type (kolom helper)],"OUT")</f>
        <v>310000</v>
      </c>
      <c r="E58" t="str">
        <f>VLOOKUP(InvoiceSummary[[#This Row],[Invoice ID]],InvoicesDetail[],8,0)</f>
        <v>Unpaid</v>
      </c>
      <c r="F58" t="str">
        <f>IF(InvoiceSummary[[#This Row],[Total Invoice]]=InvoiceSummary[[#This Row],[Total OUT]], "OK", "Mismatch")</f>
        <v>Mismatch</v>
      </c>
      <c r="G58" s="22">
        <f>InvoiceSummary[[#This Row],[Total Invoice]]-InvoiceSummary[[#This Row],[Total OUT]]</f>
        <v>15670000</v>
      </c>
    </row>
    <row r="59" spans="1:7" x14ac:dyDescent="0.25">
      <c r="A59" t="s">
        <v>327</v>
      </c>
      <c r="B59" s="20">
        <f>VLOOKUP(InvoicesDisplay[[#This Row],[Invoice ID]],InvoicesDisplay[],2,0)</f>
        <v>45898</v>
      </c>
      <c r="C59" s="13">
        <f>SUMIFS(InvoicesDetail[Line Total], InvoicesDetail[Invoice ID], InvoiceSummary[[#This Row],[Invoice ID]])</f>
        <v>28981000</v>
      </c>
      <c r="D59" s="13">
        <f>SUMIFS(InvoicesDetail[Line Total],InvoicesDetail[Invoice ID],InvoiceSummary[[#This Row],[Invoice ID]],InvoicesDetail[Type (kolom helper)],"OUT")</f>
        <v>0</v>
      </c>
      <c r="E59" t="str">
        <f>VLOOKUP(InvoiceSummary[[#This Row],[Invoice ID]],InvoicesDetail[],8,0)</f>
        <v>Unpaid</v>
      </c>
      <c r="F59" t="str">
        <f>IF(InvoiceSummary[[#This Row],[Total Invoice]]=InvoiceSummary[[#This Row],[Total OUT]], "OK", "Mismatch")</f>
        <v>Mismatch</v>
      </c>
      <c r="G59" s="22">
        <f>InvoiceSummary[[#This Row],[Total Invoice]]-InvoiceSummary[[#This Row],[Total OUT]]</f>
        <v>28981000</v>
      </c>
    </row>
    <row r="60" spans="1:7" x14ac:dyDescent="0.25">
      <c r="A60" t="s">
        <v>328</v>
      </c>
      <c r="B60" s="20">
        <f>VLOOKUP(InvoicesDisplay[[#This Row],[Invoice ID]],InvoicesDisplay[],2,0)</f>
        <v>45888</v>
      </c>
      <c r="C60" s="13">
        <f>SUMIFS(InvoicesDetail[Line Total], InvoicesDetail[Invoice ID], InvoiceSummary[[#This Row],[Invoice ID]])</f>
        <v>79925000</v>
      </c>
      <c r="D60" s="13">
        <f>SUMIFS(InvoicesDetail[Line Total],InvoicesDetail[Invoice ID],InvoiceSummary[[#This Row],[Invoice ID]],InvoicesDetail[Type (kolom helper)],"OUT")</f>
        <v>0</v>
      </c>
      <c r="E60" t="str">
        <f>VLOOKUP(InvoiceSummary[[#This Row],[Invoice ID]],InvoicesDetail[],8,0)</f>
        <v>Unpaid</v>
      </c>
      <c r="F60" t="str">
        <f>IF(InvoiceSummary[[#This Row],[Total Invoice]]=InvoiceSummary[[#This Row],[Total OUT]], "OK", "Mismatch")</f>
        <v>Mismatch</v>
      </c>
      <c r="G60" s="22">
        <f>InvoiceSummary[[#This Row],[Total Invoice]]-InvoiceSummary[[#This Row],[Total OUT]]</f>
        <v>79925000</v>
      </c>
    </row>
    <row r="61" spans="1:7" x14ac:dyDescent="0.25">
      <c r="A61" t="s">
        <v>329</v>
      </c>
      <c r="B61" s="20">
        <f>VLOOKUP(InvoicesDisplay[[#This Row],[Invoice ID]],InvoicesDisplay[],2,0)</f>
        <v>45907</v>
      </c>
      <c r="C61" s="13">
        <f>SUMIFS(InvoicesDetail[Line Total], InvoicesDetail[Invoice ID], InvoiceSummary[[#This Row],[Invoice ID]])</f>
        <v>68445000</v>
      </c>
      <c r="D61" s="13">
        <f>SUMIFS(InvoicesDetail[Line Total],InvoicesDetail[Invoice ID],InvoiceSummary[[#This Row],[Invoice ID]],InvoicesDetail[Type (kolom helper)],"OUT")</f>
        <v>68445000</v>
      </c>
      <c r="E61" t="str">
        <f>VLOOKUP(InvoiceSummary[[#This Row],[Invoice ID]],InvoicesDetail[],8,0)</f>
        <v>Paid</v>
      </c>
      <c r="F61" t="str">
        <f>IF(InvoiceSummary[[#This Row],[Total Invoice]]=InvoiceSummary[[#This Row],[Total OUT]], "OK", "Mismatch")</f>
        <v>OK</v>
      </c>
      <c r="G61" s="22">
        <f>InvoiceSummary[[#This Row],[Total Invoice]]-InvoiceSummary[[#This Row],[Total OUT]]</f>
        <v>0</v>
      </c>
    </row>
    <row r="62" spans="1:7" x14ac:dyDescent="0.25">
      <c r="A62" t="s">
        <v>330</v>
      </c>
      <c r="B62" s="20">
        <f>VLOOKUP(InvoicesDisplay[[#This Row],[Invoice ID]],InvoicesDisplay[],2,0)</f>
        <v>45883</v>
      </c>
      <c r="C62" s="13">
        <f>SUMIFS(InvoicesDetail[Line Total], InvoicesDetail[Invoice ID], InvoiceSummary[[#This Row],[Invoice ID]])</f>
        <v>57339500</v>
      </c>
      <c r="D62" s="13">
        <f>SUMIFS(InvoicesDetail[Line Total],InvoicesDetail[Invoice ID],InvoiceSummary[[#This Row],[Invoice ID]],InvoicesDetail[Type (kolom helper)],"OUT")</f>
        <v>3459500</v>
      </c>
      <c r="E62" t="str">
        <f>VLOOKUP(InvoiceSummary[[#This Row],[Invoice ID]],InvoicesDetail[],8,0)</f>
        <v>Paid</v>
      </c>
      <c r="F62" t="str">
        <f>IF(InvoiceSummary[[#This Row],[Total Invoice]]=InvoiceSummary[[#This Row],[Total OUT]], "OK", "Mismatch")</f>
        <v>Mismatch</v>
      </c>
      <c r="G62" s="22">
        <f>InvoiceSummary[[#This Row],[Total Invoice]]-InvoiceSummary[[#This Row],[Total OUT]]</f>
        <v>53880000</v>
      </c>
    </row>
    <row r="63" spans="1:7" x14ac:dyDescent="0.25">
      <c r="A63" t="s">
        <v>331</v>
      </c>
      <c r="B63" s="20">
        <f>VLOOKUP(InvoicesDisplay[[#This Row],[Invoice ID]],InvoicesDisplay[],2,0)</f>
        <v>45849</v>
      </c>
      <c r="C63" s="13">
        <f>SUMIFS(InvoicesDetail[Line Total], InvoicesDetail[Invoice ID], InvoiceSummary[[#This Row],[Invoice ID]])</f>
        <v>3031000</v>
      </c>
      <c r="D63" s="13">
        <f>SUMIFS(InvoicesDetail[Line Total],InvoicesDetail[Invoice ID],InvoiceSummary[[#This Row],[Invoice ID]],InvoicesDetail[Type (kolom helper)],"OUT")</f>
        <v>3031000</v>
      </c>
      <c r="E63" t="str">
        <f>VLOOKUP(InvoiceSummary[[#This Row],[Invoice ID]],InvoicesDetail[],8,0)</f>
        <v>Paid</v>
      </c>
      <c r="F63" t="str">
        <f>IF(InvoiceSummary[[#This Row],[Total Invoice]]=InvoiceSummary[[#This Row],[Total OUT]], "OK", "Mismatch")</f>
        <v>OK</v>
      </c>
      <c r="G63" s="22">
        <f>InvoiceSummary[[#This Row],[Total Invoice]]-InvoiceSummary[[#This Row],[Total OUT]]</f>
        <v>0</v>
      </c>
    </row>
    <row r="64" spans="1:7" x14ac:dyDescent="0.25">
      <c r="A64" t="s">
        <v>332</v>
      </c>
      <c r="B64" s="20">
        <f>VLOOKUP(InvoicesDisplay[[#This Row],[Invoice ID]],InvoicesDisplay[],2,0)</f>
        <v>45876</v>
      </c>
      <c r="C64" s="13">
        <f>SUMIFS(InvoicesDetail[Line Total], InvoicesDetail[Invoice ID], InvoiceSummary[[#This Row],[Invoice ID]])</f>
        <v>609000</v>
      </c>
      <c r="D64" s="13">
        <f>SUMIFS(InvoicesDetail[Line Total],InvoicesDetail[Invoice ID],InvoiceSummary[[#This Row],[Invoice ID]],InvoicesDetail[Type (kolom helper)],"OUT")</f>
        <v>0</v>
      </c>
      <c r="E64" t="str">
        <f>VLOOKUP(InvoiceSummary[[#This Row],[Invoice ID]],InvoicesDetail[],8,0)</f>
        <v>Unpaid</v>
      </c>
      <c r="F64" t="str">
        <f>IF(InvoiceSummary[[#This Row],[Total Invoice]]=InvoiceSummary[[#This Row],[Total OUT]], "OK", "Mismatch")</f>
        <v>Mismatch</v>
      </c>
      <c r="G64" s="22">
        <f>InvoiceSummary[[#This Row],[Total Invoice]]-InvoiceSummary[[#This Row],[Total OUT]]</f>
        <v>609000</v>
      </c>
    </row>
    <row r="65" spans="1:7" x14ac:dyDescent="0.25">
      <c r="A65" t="s">
        <v>333</v>
      </c>
      <c r="B65" s="20">
        <f>VLOOKUP(InvoicesDisplay[[#This Row],[Invoice ID]],InvoicesDisplay[],2,0)</f>
        <v>45849</v>
      </c>
      <c r="C65" s="13">
        <f>SUMIFS(InvoicesDetail[Line Total], InvoicesDetail[Invoice ID], InvoiceSummary[[#This Row],[Invoice ID]])</f>
        <v>9522000</v>
      </c>
      <c r="D65" s="13">
        <f>SUMIFS(InvoicesDetail[Line Total],InvoicesDetail[Invoice ID],InvoiceSummary[[#This Row],[Invoice ID]],InvoicesDetail[Type (kolom helper)],"OUT")</f>
        <v>1152000</v>
      </c>
      <c r="E65" t="str">
        <f>VLOOKUP(InvoiceSummary[[#This Row],[Invoice ID]],InvoicesDetail[],8,0)</f>
        <v>Paid</v>
      </c>
      <c r="F65" t="str">
        <f>IF(InvoiceSummary[[#This Row],[Total Invoice]]=InvoiceSummary[[#This Row],[Total OUT]], "OK", "Mismatch")</f>
        <v>Mismatch</v>
      </c>
      <c r="G65" s="22">
        <f>InvoiceSummary[[#This Row],[Total Invoice]]-InvoiceSummary[[#This Row],[Total OUT]]</f>
        <v>8370000</v>
      </c>
    </row>
    <row r="66" spans="1:7" x14ac:dyDescent="0.25">
      <c r="A66" t="s">
        <v>334</v>
      </c>
      <c r="B66" s="20">
        <f>VLOOKUP(InvoicesDisplay[[#This Row],[Invoice ID]],InvoicesDisplay[],2,0)</f>
        <v>45871</v>
      </c>
      <c r="C66" s="13">
        <f>SUMIFS(InvoicesDetail[Line Total], InvoicesDetail[Invoice ID], InvoiceSummary[[#This Row],[Invoice ID]])</f>
        <v>50588000</v>
      </c>
      <c r="D66" s="13">
        <f>SUMIFS(InvoicesDetail[Line Total],InvoicesDetail[Invoice ID],InvoiceSummary[[#This Row],[Invoice ID]],InvoicesDetail[Type (kolom helper)],"OUT")</f>
        <v>41288000</v>
      </c>
      <c r="E66" t="str">
        <f>VLOOKUP(InvoiceSummary[[#This Row],[Invoice ID]],InvoicesDetail[],8,0)</f>
        <v>Unpaid</v>
      </c>
      <c r="F66" t="str">
        <f>IF(InvoiceSummary[[#This Row],[Total Invoice]]=InvoiceSummary[[#This Row],[Total OUT]], "OK", "Mismatch")</f>
        <v>Mismatch</v>
      </c>
      <c r="G66" s="22">
        <f>InvoiceSummary[[#This Row],[Total Invoice]]-InvoiceSummary[[#This Row],[Total OUT]]</f>
        <v>9300000</v>
      </c>
    </row>
    <row r="67" spans="1:7" x14ac:dyDescent="0.25">
      <c r="A67" t="s">
        <v>335</v>
      </c>
      <c r="B67" s="20">
        <f>VLOOKUP(InvoicesDisplay[[#This Row],[Invoice ID]],InvoicesDisplay[],2,0)</f>
        <v>45846</v>
      </c>
      <c r="C67" s="13">
        <f>SUMIFS(InvoicesDetail[Line Total], InvoicesDetail[Invoice ID], InvoiceSummary[[#This Row],[Invoice ID]])</f>
        <v>340000</v>
      </c>
      <c r="D67" s="13">
        <f>SUMIFS(InvoicesDetail[Line Total],InvoicesDetail[Invoice ID],InvoiceSummary[[#This Row],[Invoice ID]],InvoicesDetail[Type (kolom helper)],"OUT")</f>
        <v>340000</v>
      </c>
      <c r="E67" t="str">
        <f>VLOOKUP(InvoiceSummary[[#This Row],[Invoice ID]],InvoicesDetail[],8,0)</f>
        <v>Paid</v>
      </c>
      <c r="F67" t="str">
        <f>IF(InvoiceSummary[[#This Row],[Total Invoice]]=InvoiceSummary[[#This Row],[Total OUT]], "OK", "Mismatch")</f>
        <v>OK</v>
      </c>
      <c r="G67" s="22">
        <f>InvoiceSummary[[#This Row],[Total Invoice]]-InvoiceSummary[[#This Row],[Total OUT]]</f>
        <v>0</v>
      </c>
    </row>
    <row r="68" spans="1:7" x14ac:dyDescent="0.25">
      <c r="A68" t="s">
        <v>336</v>
      </c>
      <c r="B68" s="20">
        <f>VLOOKUP(InvoicesDisplay[[#This Row],[Invoice ID]],InvoicesDisplay[],2,0)</f>
        <v>45902</v>
      </c>
      <c r="C68" s="13">
        <f>SUMIFS(InvoicesDetail[Line Total], InvoicesDetail[Invoice ID], InvoiceSummary[[#This Row],[Invoice ID]])</f>
        <v>19044000</v>
      </c>
      <c r="D68" s="13">
        <f>SUMIFS(InvoicesDetail[Line Total],InvoicesDetail[Invoice ID],InvoiceSummary[[#This Row],[Invoice ID]],InvoicesDetail[Type (kolom helper)],"OUT")</f>
        <v>19044000</v>
      </c>
      <c r="E68" t="str">
        <f>VLOOKUP(InvoiceSummary[[#This Row],[Invoice ID]],InvoicesDetail[],8,0)</f>
        <v>Paid</v>
      </c>
      <c r="F68" t="str">
        <f>IF(InvoiceSummary[[#This Row],[Total Invoice]]=InvoiceSummary[[#This Row],[Total OUT]], "OK", "Mismatch")</f>
        <v>OK</v>
      </c>
      <c r="G68" s="22">
        <f>InvoiceSummary[[#This Row],[Total Invoice]]-InvoiceSummary[[#This Row],[Total OUT]]</f>
        <v>0</v>
      </c>
    </row>
    <row r="69" spans="1:7" x14ac:dyDescent="0.25">
      <c r="A69" t="s">
        <v>337</v>
      </c>
      <c r="B69" s="20">
        <f>VLOOKUP(InvoicesDisplay[[#This Row],[Invoice ID]],InvoicesDisplay[],2,0)</f>
        <v>45901</v>
      </c>
      <c r="C69" s="13">
        <f>SUMIFS(InvoicesDetail[Line Total], InvoicesDetail[Invoice ID], InvoiceSummary[[#This Row],[Invoice ID]])</f>
        <v>4200000</v>
      </c>
      <c r="D69" s="13">
        <f>SUMIFS(InvoicesDetail[Line Total],InvoicesDetail[Invoice ID],InvoiceSummary[[#This Row],[Invoice ID]],InvoicesDetail[Type (kolom helper)],"OUT")</f>
        <v>4200000</v>
      </c>
      <c r="E69" t="str">
        <f>VLOOKUP(InvoiceSummary[[#This Row],[Invoice ID]],InvoicesDetail[],8,0)</f>
        <v>Paid</v>
      </c>
      <c r="F69" t="str">
        <f>IF(InvoiceSummary[[#This Row],[Total Invoice]]=InvoiceSummary[[#This Row],[Total OUT]], "OK", "Mismatch")</f>
        <v>OK</v>
      </c>
      <c r="G69" s="22">
        <f>InvoiceSummary[[#This Row],[Total Invoice]]-InvoiceSummary[[#This Row],[Total OUT]]</f>
        <v>0</v>
      </c>
    </row>
    <row r="70" spans="1:7" x14ac:dyDescent="0.25">
      <c r="A70" t="s">
        <v>338</v>
      </c>
      <c r="B70" s="20">
        <f>VLOOKUP(InvoicesDisplay[[#This Row],[Invoice ID]],InvoicesDisplay[],2,0)</f>
        <v>45851</v>
      </c>
      <c r="C70" s="13">
        <f>SUMIFS(InvoicesDetail[Line Total], InvoicesDetail[Invoice ID], InvoiceSummary[[#This Row],[Invoice ID]])</f>
        <v>22181000</v>
      </c>
      <c r="D70" s="13">
        <f>SUMIFS(InvoicesDetail[Line Total],InvoicesDetail[Invoice ID],InvoiceSummary[[#This Row],[Invoice ID]],InvoicesDetail[Type (kolom helper)],"OUT")</f>
        <v>0</v>
      </c>
      <c r="E70" t="str">
        <f>VLOOKUP(InvoiceSummary[[#This Row],[Invoice ID]],InvoicesDetail[],8,0)</f>
        <v>Paid</v>
      </c>
      <c r="F70" t="str">
        <f>IF(InvoiceSummary[[#This Row],[Total Invoice]]=InvoiceSummary[[#This Row],[Total OUT]], "OK", "Mismatch")</f>
        <v>Mismatch</v>
      </c>
      <c r="G70" s="22">
        <f>InvoiceSummary[[#This Row],[Total Invoice]]-InvoiceSummary[[#This Row],[Total OUT]]</f>
        <v>22181000</v>
      </c>
    </row>
    <row r="71" spans="1:7" x14ac:dyDescent="0.25">
      <c r="A71" t="s">
        <v>339</v>
      </c>
      <c r="B71" s="20">
        <f>VLOOKUP(InvoicesDisplay[[#This Row],[Invoice ID]],InvoicesDisplay[],2,0)</f>
        <v>45875</v>
      </c>
      <c r="C71" s="13">
        <f>SUMIFS(InvoicesDetail[Line Total], InvoicesDetail[Invoice ID], InvoiceSummary[[#This Row],[Invoice ID]])</f>
        <v>2013000</v>
      </c>
      <c r="D71" s="13">
        <f>SUMIFS(InvoicesDetail[Line Total],InvoicesDetail[Invoice ID],InvoiceSummary[[#This Row],[Invoice ID]],InvoicesDetail[Type (kolom helper)],"OUT")</f>
        <v>0</v>
      </c>
      <c r="E71" t="str">
        <f>VLOOKUP(InvoiceSummary[[#This Row],[Invoice ID]],InvoicesDetail[],8,0)</f>
        <v>Paid</v>
      </c>
      <c r="F71" t="str">
        <f>IF(InvoiceSummary[[#This Row],[Total Invoice]]=InvoiceSummary[[#This Row],[Total OUT]], "OK", "Mismatch")</f>
        <v>Mismatch</v>
      </c>
      <c r="G71" s="22">
        <f>InvoiceSummary[[#This Row],[Total Invoice]]-InvoiceSummary[[#This Row],[Total OUT]]</f>
        <v>2013000</v>
      </c>
    </row>
  </sheetData>
  <conditionalFormatting sqref="A2:G71">
    <cfRule type="expression" dxfId="0" priority="1">
      <formula>$F2="OK"</formula>
    </cfRule>
  </conditionalFormatting>
  <pageMargins left="0.7" right="0.7" top="0.75" bottom="0.75" header="0.3" footer="0.3"/>
  <pageSetup orientation="landscape" r:id="rId1"/>
  <tableParts count="1">
    <tablePart r:id="rId2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5B3851-CEA5-4320-928B-91819C168B49}">
  <dimension ref="A1:D49"/>
  <sheetViews>
    <sheetView topLeftCell="A49" zoomScaleNormal="100" workbookViewId="0">
      <selection activeCell="A42" sqref="A42:B49"/>
    </sheetView>
  </sheetViews>
  <sheetFormatPr defaultRowHeight="15" x14ac:dyDescent="0.25"/>
  <cols>
    <col min="1" max="1" width="19.28515625" bestFit="1" customWidth="1"/>
    <col min="2" max="2" width="18" bestFit="1" customWidth="1"/>
    <col min="3" max="3" width="27.5703125" bestFit="1" customWidth="1"/>
    <col min="4" max="4" width="11.28515625" bestFit="1" customWidth="1"/>
    <col min="5" max="6" width="10.5703125" bestFit="1" customWidth="1"/>
    <col min="7" max="7" width="11.7109375" customWidth="1"/>
    <col min="8" max="8" width="12.7109375" customWidth="1"/>
    <col min="9" max="9" width="11.5703125" customWidth="1"/>
    <col min="10" max="11" width="11.5703125" bestFit="1" customWidth="1"/>
    <col min="12" max="12" width="8" bestFit="1" customWidth="1"/>
    <col min="13" max="13" width="11.5703125" bestFit="1" customWidth="1"/>
    <col min="14" max="15" width="9" bestFit="1" customWidth="1"/>
    <col min="16" max="16" width="11.5703125" bestFit="1" customWidth="1"/>
    <col min="17" max="20" width="10.5703125" bestFit="1" customWidth="1"/>
    <col min="21" max="21" width="9" bestFit="1" customWidth="1"/>
    <col min="22" max="22" width="11.5703125" bestFit="1" customWidth="1"/>
    <col min="23" max="26" width="10.5703125" bestFit="1" customWidth="1"/>
    <col min="27" max="27" width="11.5703125" bestFit="1" customWidth="1"/>
    <col min="28" max="29" width="10.5703125" bestFit="1" customWidth="1"/>
    <col min="30" max="30" width="11.5703125" bestFit="1" customWidth="1"/>
    <col min="31" max="31" width="9" bestFit="1" customWidth="1"/>
    <col min="32" max="33" width="10.5703125" bestFit="1" customWidth="1"/>
    <col min="34" max="34" width="9" bestFit="1" customWidth="1"/>
    <col min="35" max="35" width="11.5703125" bestFit="1" customWidth="1"/>
    <col min="36" max="36" width="10.5703125" bestFit="1" customWidth="1"/>
    <col min="37" max="38" width="11.5703125" bestFit="1" customWidth="1"/>
    <col min="39" max="39" width="10.5703125" bestFit="1" customWidth="1"/>
    <col min="40" max="40" width="11.5703125" bestFit="1" customWidth="1"/>
    <col min="41" max="41" width="10.5703125" bestFit="1" customWidth="1"/>
    <col min="42" max="42" width="9" bestFit="1" customWidth="1"/>
    <col min="43" max="43" width="10.5703125" bestFit="1" customWidth="1"/>
    <col min="44" max="44" width="11.5703125" bestFit="1" customWidth="1"/>
    <col min="45" max="46" width="9" bestFit="1" customWidth="1"/>
    <col min="47" max="47" width="12.5703125" bestFit="1" customWidth="1"/>
    <col min="48" max="48" width="11" bestFit="1" customWidth="1"/>
    <col min="49" max="49" width="10.5703125" bestFit="1" customWidth="1"/>
    <col min="50" max="50" width="9" bestFit="1" customWidth="1"/>
    <col min="51" max="54" width="10.5703125" bestFit="1" customWidth="1"/>
    <col min="55" max="55" width="11.5703125" bestFit="1" customWidth="1"/>
    <col min="56" max="57" width="10.5703125" bestFit="1" customWidth="1"/>
    <col min="58" max="58" width="11.5703125" bestFit="1" customWidth="1"/>
    <col min="59" max="59" width="8" bestFit="1" customWidth="1"/>
    <col min="60" max="60" width="10.5703125" bestFit="1" customWidth="1"/>
    <col min="61" max="62" width="11.5703125" bestFit="1" customWidth="1"/>
    <col min="63" max="63" width="10.5703125" bestFit="1" customWidth="1"/>
    <col min="64" max="64" width="11.5703125" bestFit="1" customWidth="1"/>
    <col min="65" max="65" width="10.5703125" bestFit="1" customWidth="1"/>
    <col min="66" max="66" width="9" bestFit="1" customWidth="1"/>
    <col min="67" max="67" width="11.5703125" bestFit="1" customWidth="1"/>
    <col min="68" max="68" width="9" bestFit="1" customWidth="1"/>
    <col min="69" max="70" width="10.5703125" bestFit="1" customWidth="1"/>
    <col min="71" max="72" width="11.5703125" bestFit="1" customWidth="1"/>
    <col min="73" max="74" width="9" bestFit="1" customWidth="1"/>
    <col min="75" max="76" width="10.5703125" bestFit="1" customWidth="1"/>
    <col min="77" max="77" width="9" bestFit="1" customWidth="1"/>
    <col min="78" max="79" width="11.5703125" bestFit="1" customWidth="1"/>
    <col min="80" max="81" width="10.5703125" bestFit="1" customWidth="1"/>
    <col min="82" max="82" width="9" bestFit="1" customWidth="1"/>
    <col min="83" max="84" width="11.5703125" bestFit="1" customWidth="1"/>
    <col min="85" max="86" width="10.5703125" bestFit="1" customWidth="1"/>
    <col min="87" max="87" width="9" bestFit="1" customWidth="1"/>
    <col min="88" max="88" width="10.5703125" bestFit="1" customWidth="1"/>
    <col min="89" max="89" width="11.5703125" bestFit="1" customWidth="1"/>
    <col min="90" max="90" width="10.5703125" bestFit="1" customWidth="1"/>
    <col min="91" max="91" width="14.140625" bestFit="1" customWidth="1"/>
    <col min="92" max="92" width="10.85546875" bestFit="1" customWidth="1"/>
    <col min="93" max="93" width="11.5703125" bestFit="1" customWidth="1"/>
    <col min="94" max="95" width="10.5703125" bestFit="1" customWidth="1"/>
    <col min="96" max="96" width="11.5703125" bestFit="1" customWidth="1"/>
    <col min="97" max="97" width="10.5703125" bestFit="1" customWidth="1"/>
    <col min="98" max="98" width="9" bestFit="1" customWidth="1"/>
    <col min="99" max="101" width="10.5703125" bestFit="1" customWidth="1"/>
    <col min="102" max="102" width="8" bestFit="1" customWidth="1"/>
    <col min="103" max="104" width="11.5703125" bestFit="1" customWidth="1"/>
    <col min="105" max="108" width="10.5703125" bestFit="1" customWidth="1"/>
    <col min="109" max="109" width="11.5703125" bestFit="1" customWidth="1"/>
    <col min="110" max="110" width="9" bestFit="1" customWidth="1"/>
    <col min="111" max="111" width="10.5703125" bestFit="1" customWidth="1"/>
    <col min="112" max="112" width="11.5703125" bestFit="1" customWidth="1"/>
    <col min="113" max="114" width="10.5703125" bestFit="1" customWidth="1"/>
    <col min="115" max="115" width="8" bestFit="1" customWidth="1"/>
    <col min="116" max="117" width="10.5703125" bestFit="1" customWidth="1"/>
    <col min="118" max="118" width="11.5703125" bestFit="1" customWidth="1"/>
    <col min="119" max="119" width="10.5703125" bestFit="1" customWidth="1"/>
    <col min="120" max="120" width="9" bestFit="1" customWidth="1"/>
    <col min="121" max="121" width="11.5703125" bestFit="1" customWidth="1"/>
    <col min="122" max="122" width="10.5703125" bestFit="1" customWidth="1"/>
    <col min="123" max="123" width="11.5703125" bestFit="1" customWidth="1"/>
    <col min="124" max="124" width="10.5703125" bestFit="1" customWidth="1"/>
    <col min="125" max="127" width="9" bestFit="1" customWidth="1"/>
    <col min="128" max="128" width="11.5703125" bestFit="1" customWidth="1"/>
    <col min="129" max="131" width="10.5703125" bestFit="1" customWidth="1"/>
    <col min="132" max="132" width="8" bestFit="1" customWidth="1"/>
    <col min="133" max="133" width="9" bestFit="1" customWidth="1"/>
    <col min="134" max="135" width="11.5703125" bestFit="1" customWidth="1"/>
    <col min="136" max="136" width="10.5703125" bestFit="1" customWidth="1"/>
    <col min="137" max="137" width="11.5703125" bestFit="1" customWidth="1"/>
    <col min="138" max="138" width="14" bestFit="1" customWidth="1"/>
    <col min="139" max="139" width="14.28515625" bestFit="1" customWidth="1"/>
  </cols>
  <sheetData>
    <row r="1" spans="1:2" x14ac:dyDescent="0.25">
      <c r="A1" s="11" t="s">
        <v>356</v>
      </c>
      <c r="B1" t="s">
        <v>363</v>
      </c>
    </row>
    <row r="2" spans="1:2" x14ac:dyDescent="0.25">
      <c r="A2" s="12" t="s">
        <v>375</v>
      </c>
      <c r="B2">
        <v>40</v>
      </c>
    </row>
    <row r="3" spans="1:2" x14ac:dyDescent="0.25">
      <c r="A3" s="12" t="s">
        <v>374</v>
      </c>
      <c r="B3">
        <v>30</v>
      </c>
    </row>
    <row r="4" spans="1:2" x14ac:dyDescent="0.25">
      <c r="A4" s="12" t="s">
        <v>357</v>
      </c>
      <c r="B4">
        <v>70</v>
      </c>
    </row>
    <row r="18" spans="1:2" x14ac:dyDescent="0.25">
      <c r="A18" s="11" t="s">
        <v>356</v>
      </c>
      <c r="B18" t="s">
        <v>363</v>
      </c>
    </row>
    <row r="19" spans="1:2" x14ac:dyDescent="0.25">
      <c r="A19" s="12" t="s">
        <v>365</v>
      </c>
      <c r="B19">
        <v>52</v>
      </c>
    </row>
    <row r="20" spans="1:2" x14ac:dyDescent="0.25">
      <c r="A20" s="12" t="s">
        <v>364</v>
      </c>
      <c r="B20">
        <v>18</v>
      </c>
    </row>
    <row r="21" spans="1:2" x14ac:dyDescent="0.25">
      <c r="A21" s="12" t="s">
        <v>357</v>
      </c>
      <c r="B21">
        <v>70</v>
      </c>
    </row>
    <row r="35" spans="1:4" x14ac:dyDescent="0.25">
      <c r="A35" s="11" t="s">
        <v>363</v>
      </c>
      <c r="B35" s="11" t="s">
        <v>366</v>
      </c>
    </row>
    <row r="36" spans="1:4" x14ac:dyDescent="0.25">
      <c r="A36" s="11" t="s">
        <v>356</v>
      </c>
      <c r="B36" t="s">
        <v>365</v>
      </c>
      <c r="C36" t="s">
        <v>364</v>
      </c>
      <c r="D36" t="s">
        <v>357</v>
      </c>
    </row>
    <row r="37" spans="1:4" x14ac:dyDescent="0.25">
      <c r="A37" s="12" t="s">
        <v>375</v>
      </c>
      <c r="B37">
        <v>27</v>
      </c>
      <c r="C37">
        <v>13</v>
      </c>
      <c r="D37">
        <v>40</v>
      </c>
    </row>
    <row r="38" spans="1:4" x14ac:dyDescent="0.25">
      <c r="A38" s="12" t="s">
        <v>374</v>
      </c>
      <c r="B38">
        <v>25</v>
      </c>
      <c r="C38">
        <v>5</v>
      </c>
      <c r="D38">
        <v>30</v>
      </c>
    </row>
    <row r="39" spans="1:4" x14ac:dyDescent="0.25">
      <c r="A39" s="12" t="s">
        <v>357</v>
      </c>
      <c r="B39">
        <v>52</v>
      </c>
      <c r="C39">
        <v>18</v>
      </c>
      <c r="D39">
        <v>70</v>
      </c>
    </row>
    <row r="42" spans="1:4" x14ac:dyDescent="0.25">
      <c r="A42" s="11" t="s">
        <v>362</v>
      </c>
      <c r="B42" t="s">
        <v>375</v>
      </c>
    </row>
    <row r="43" spans="1:4" x14ac:dyDescent="0.25">
      <c r="A43" s="11" t="s">
        <v>376</v>
      </c>
      <c r="B43" t="s">
        <v>347</v>
      </c>
    </row>
    <row r="45" spans="1:4" x14ac:dyDescent="0.25">
      <c r="A45" s="11" t="s">
        <v>356</v>
      </c>
      <c r="B45" t="s">
        <v>389</v>
      </c>
    </row>
    <row r="46" spans="1:4" x14ac:dyDescent="0.25">
      <c r="A46" s="12" t="s">
        <v>383</v>
      </c>
      <c r="B46" s="22">
        <v>223424500</v>
      </c>
    </row>
    <row r="47" spans="1:4" x14ac:dyDescent="0.25">
      <c r="A47" s="12" t="s">
        <v>382</v>
      </c>
      <c r="B47" s="22">
        <v>174435500</v>
      </c>
    </row>
    <row r="48" spans="1:4" x14ac:dyDescent="0.25">
      <c r="A48" s="12" t="s">
        <v>384</v>
      </c>
      <c r="B48" s="22">
        <v>257502000</v>
      </c>
    </row>
    <row r="49" spans="1:2" x14ac:dyDescent="0.25">
      <c r="A49" s="12" t="s">
        <v>357</v>
      </c>
      <c r="B49" s="22">
        <v>655362000</v>
      </c>
    </row>
  </sheetData>
  <pageMargins left="0.55208333333333337" right="0.7" top="0.75" bottom="0.75" header="0.3" footer="0.3"/>
  <pageSetup orientation="landscape" r:id="rId5"/>
  <drawing r:id="rId6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7FCEE8-CFF7-4314-81A8-8ED1FEACCA26}">
  <dimension ref="A2:O32"/>
  <sheetViews>
    <sheetView topLeftCell="A4" workbookViewId="0">
      <selection activeCell="J2" sqref="J2:N3"/>
    </sheetView>
  </sheetViews>
  <sheetFormatPr defaultRowHeight="15" x14ac:dyDescent="0.25"/>
  <cols>
    <col min="1" max="1" width="17.42578125" bestFit="1" customWidth="1"/>
    <col min="2" max="2" width="18" bestFit="1" customWidth="1"/>
    <col min="4" max="4" width="13.140625" bestFit="1" customWidth="1"/>
    <col min="7" max="7" width="11.28515625" bestFit="1" customWidth="1"/>
    <col min="10" max="11" width="18" bestFit="1" customWidth="1"/>
    <col min="13" max="13" width="13.140625" bestFit="1" customWidth="1"/>
    <col min="14" max="14" width="18" bestFit="1" customWidth="1"/>
  </cols>
  <sheetData>
    <row r="2" spans="1:15" ht="15" customHeight="1" x14ac:dyDescent="0.25">
      <c r="A2" s="105" t="s">
        <v>395</v>
      </c>
      <c r="B2" s="105"/>
      <c r="C2" s="105"/>
      <c r="D2" s="105"/>
      <c r="E2" s="105"/>
      <c r="F2" s="105"/>
      <c r="G2" s="105"/>
      <c r="J2" s="105" t="s">
        <v>396</v>
      </c>
      <c r="K2" s="105"/>
      <c r="L2" s="105"/>
      <c r="M2" s="105"/>
      <c r="N2" s="105"/>
      <c r="O2" s="109"/>
    </row>
    <row r="3" spans="1:15" ht="15" customHeight="1" x14ac:dyDescent="0.25">
      <c r="A3" s="105"/>
      <c r="B3" s="105"/>
      <c r="C3" s="105"/>
      <c r="D3" s="105"/>
      <c r="E3" s="105"/>
      <c r="F3" s="105"/>
      <c r="G3" s="105"/>
      <c r="J3" s="105"/>
      <c r="K3" s="105"/>
      <c r="L3" s="105"/>
      <c r="M3" s="105"/>
      <c r="N3" s="105"/>
      <c r="O3" s="109"/>
    </row>
    <row r="5" spans="1:15" x14ac:dyDescent="0.25">
      <c r="A5" s="11" t="s">
        <v>344</v>
      </c>
      <c r="B5" t="s">
        <v>359</v>
      </c>
      <c r="D5" s="11" t="s">
        <v>381</v>
      </c>
      <c r="E5" s="11" t="s">
        <v>366</v>
      </c>
      <c r="J5" s="107" t="s">
        <v>356</v>
      </c>
      <c r="K5" s="108" t="s">
        <v>363</v>
      </c>
      <c r="M5" s="107" t="s">
        <v>356</v>
      </c>
      <c r="N5" s="106" t="s">
        <v>363</v>
      </c>
    </row>
    <row r="6" spans="1:15" x14ac:dyDescent="0.25">
      <c r="D6" s="11" t="s">
        <v>356</v>
      </c>
      <c r="E6" t="s">
        <v>348</v>
      </c>
      <c r="F6" t="s">
        <v>347</v>
      </c>
      <c r="G6" t="s">
        <v>357</v>
      </c>
      <c r="J6" s="12" t="s">
        <v>375</v>
      </c>
      <c r="K6">
        <v>40</v>
      </c>
      <c r="M6" s="12" t="s">
        <v>365</v>
      </c>
      <c r="N6">
        <v>52</v>
      </c>
    </row>
    <row r="7" spans="1:15" x14ac:dyDescent="0.25">
      <c r="A7" s="11" t="s">
        <v>356</v>
      </c>
      <c r="B7" t="s">
        <v>358</v>
      </c>
      <c r="D7" s="12" t="s">
        <v>378</v>
      </c>
      <c r="E7">
        <v>302</v>
      </c>
      <c r="F7">
        <v>411</v>
      </c>
      <c r="G7">
        <v>713</v>
      </c>
      <c r="J7" s="12" t="s">
        <v>374</v>
      </c>
      <c r="K7">
        <v>30</v>
      </c>
      <c r="M7" s="12" t="s">
        <v>364</v>
      </c>
      <c r="N7">
        <v>18</v>
      </c>
    </row>
    <row r="8" spans="1:15" x14ac:dyDescent="0.25">
      <c r="A8" s="12" t="s">
        <v>1</v>
      </c>
      <c r="B8">
        <v>1</v>
      </c>
      <c r="D8" s="12" t="s">
        <v>379</v>
      </c>
      <c r="E8">
        <v>262</v>
      </c>
      <c r="F8">
        <v>354</v>
      </c>
      <c r="G8">
        <v>616</v>
      </c>
      <c r="J8" s="12" t="s">
        <v>357</v>
      </c>
      <c r="K8">
        <v>70</v>
      </c>
      <c r="M8" s="12" t="s">
        <v>357</v>
      </c>
      <c r="N8">
        <v>70</v>
      </c>
    </row>
    <row r="9" spans="1:15" x14ac:dyDescent="0.25">
      <c r="A9" s="12" t="s">
        <v>16</v>
      </c>
      <c r="B9">
        <v>1</v>
      </c>
      <c r="D9" s="12" t="s">
        <v>380</v>
      </c>
      <c r="E9">
        <v>270</v>
      </c>
      <c r="F9">
        <v>387</v>
      </c>
      <c r="G9">
        <v>657</v>
      </c>
    </row>
    <row r="10" spans="1:15" x14ac:dyDescent="0.25">
      <c r="A10" s="12" t="s">
        <v>357</v>
      </c>
      <c r="B10">
        <v>2</v>
      </c>
      <c r="D10" s="12" t="s">
        <v>357</v>
      </c>
      <c r="E10">
        <v>834</v>
      </c>
      <c r="F10">
        <v>1152</v>
      </c>
      <c r="G10">
        <v>1986</v>
      </c>
    </row>
    <row r="11" spans="1:15" x14ac:dyDescent="0.25">
      <c r="J11" s="11" t="s">
        <v>363</v>
      </c>
      <c r="K11" s="11" t="s">
        <v>366</v>
      </c>
    </row>
    <row r="12" spans="1:15" x14ac:dyDescent="0.25">
      <c r="J12" s="11" t="s">
        <v>356</v>
      </c>
      <c r="K12" t="s">
        <v>365</v>
      </c>
      <c r="L12" t="s">
        <v>364</v>
      </c>
      <c r="M12" t="s">
        <v>357</v>
      </c>
    </row>
    <row r="13" spans="1:15" x14ac:dyDescent="0.25">
      <c r="A13" s="11" t="s">
        <v>381</v>
      </c>
      <c r="B13" s="11" t="s">
        <v>366</v>
      </c>
      <c r="J13" s="12" t="s">
        <v>375</v>
      </c>
      <c r="K13">
        <v>27</v>
      </c>
      <c r="L13">
        <v>13</v>
      </c>
      <c r="M13">
        <v>40</v>
      </c>
    </row>
    <row r="14" spans="1:15" x14ac:dyDescent="0.25">
      <c r="A14" s="11" t="s">
        <v>356</v>
      </c>
      <c r="B14" t="s">
        <v>348</v>
      </c>
      <c r="C14" t="s">
        <v>347</v>
      </c>
      <c r="D14" t="s">
        <v>357</v>
      </c>
      <c r="J14" s="12" t="s">
        <v>374</v>
      </c>
      <c r="K14">
        <v>25</v>
      </c>
      <c r="L14">
        <v>5</v>
      </c>
      <c r="M14">
        <v>30</v>
      </c>
    </row>
    <row r="15" spans="1:15" x14ac:dyDescent="0.25">
      <c r="A15" s="12" t="s">
        <v>383</v>
      </c>
      <c r="B15">
        <v>302</v>
      </c>
      <c r="C15">
        <v>411</v>
      </c>
      <c r="D15">
        <v>713</v>
      </c>
      <c r="J15" s="12" t="s">
        <v>357</v>
      </c>
      <c r="K15">
        <v>52</v>
      </c>
      <c r="L15">
        <v>18</v>
      </c>
      <c r="M15">
        <v>70</v>
      </c>
    </row>
    <row r="16" spans="1:15" x14ac:dyDescent="0.25">
      <c r="A16" s="12" t="s">
        <v>382</v>
      </c>
      <c r="B16">
        <v>262</v>
      </c>
      <c r="C16">
        <v>354</v>
      </c>
      <c r="D16">
        <v>616</v>
      </c>
    </row>
    <row r="17" spans="1:11" x14ac:dyDescent="0.25">
      <c r="A17" s="12" t="s">
        <v>384</v>
      </c>
      <c r="B17">
        <v>270</v>
      </c>
      <c r="C17">
        <v>387</v>
      </c>
      <c r="D17">
        <v>657</v>
      </c>
    </row>
    <row r="18" spans="1:11" x14ac:dyDescent="0.25">
      <c r="A18" s="12" t="s">
        <v>357</v>
      </c>
      <c r="B18">
        <v>834</v>
      </c>
      <c r="C18">
        <v>1152</v>
      </c>
      <c r="D18">
        <v>1986</v>
      </c>
      <c r="J18" s="11" t="s">
        <v>362</v>
      </c>
      <c r="K18" t="s">
        <v>375</v>
      </c>
    </row>
    <row r="19" spans="1:11" x14ac:dyDescent="0.25">
      <c r="J19" s="11" t="s">
        <v>376</v>
      </c>
      <c r="K19" t="s">
        <v>347</v>
      </c>
    </row>
    <row r="21" spans="1:11" x14ac:dyDescent="0.25">
      <c r="A21" s="11" t="s">
        <v>346</v>
      </c>
      <c r="B21" t="s">
        <v>347</v>
      </c>
      <c r="J21" s="11" t="s">
        <v>356</v>
      </c>
      <c r="K21" t="s">
        <v>389</v>
      </c>
    </row>
    <row r="22" spans="1:11" x14ac:dyDescent="0.25">
      <c r="J22" s="12" t="s">
        <v>383</v>
      </c>
      <c r="K22" s="22">
        <v>223424500</v>
      </c>
    </row>
    <row r="23" spans="1:11" x14ac:dyDescent="0.25">
      <c r="A23" s="11" t="s">
        <v>356</v>
      </c>
      <c r="B23" t="s">
        <v>381</v>
      </c>
      <c r="J23" s="12" t="s">
        <v>382</v>
      </c>
      <c r="K23" s="22">
        <v>174435500</v>
      </c>
    </row>
    <row r="24" spans="1:11" x14ac:dyDescent="0.25">
      <c r="A24" s="12" t="s">
        <v>25</v>
      </c>
      <c r="B24">
        <v>95</v>
      </c>
      <c r="J24" s="12" t="s">
        <v>384</v>
      </c>
      <c r="K24" s="22">
        <v>257502000</v>
      </c>
    </row>
    <row r="25" spans="1:11" x14ac:dyDescent="0.25">
      <c r="A25" s="12" t="s">
        <v>29</v>
      </c>
      <c r="B25">
        <v>94</v>
      </c>
      <c r="J25" s="12" t="s">
        <v>357</v>
      </c>
      <c r="K25" s="22">
        <v>655362000</v>
      </c>
    </row>
    <row r="26" spans="1:11" x14ac:dyDescent="0.25">
      <c r="A26" s="12" t="s">
        <v>27</v>
      </c>
      <c r="B26">
        <v>80</v>
      </c>
    </row>
    <row r="27" spans="1:11" x14ac:dyDescent="0.25">
      <c r="A27" s="12" t="s">
        <v>20</v>
      </c>
      <c r="B27">
        <v>79</v>
      </c>
    </row>
    <row r="28" spans="1:11" x14ac:dyDescent="0.25">
      <c r="A28" s="12" t="s">
        <v>32</v>
      </c>
      <c r="B28">
        <v>77</v>
      </c>
    </row>
    <row r="29" spans="1:11" x14ac:dyDescent="0.25">
      <c r="A29" s="12" t="s">
        <v>357</v>
      </c>
      <c r="B29">
        <v>425</v>
      </c>
    </row>
    <row r="30" spans="1:11" x14ac:dyDescent="0.25">
      <c r="A30" s="12"/>
    </row>
    <row r="31" spans="1:11" x14ac:dyDescent="0.25">
      <c r="A31" s="12"/>
    </row>
    <row r="32" spans="1:11" x14ac:dyDescent="0.25">
      <c r="A32" s="12"/>
    </row>
  </sheetData>
  <mergeCells count="2">
    <mergeCell ref="A2:G3"/>
    <mergeCell ref="J2:N3"/>
  </mergeCells>
  <pageMargins left="0.7" right="0.7" top="0.75" bottom="0.75" header="0.3" footer="0.3"/>
  <pageSetup orientation="portrait" r:id="rId9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700B9D-5299-4059-95F5-9295073B4355}">
  <dimension ref="A1:B5"/>
  <sheetViews>
    <sheetView workbookViewId="0">
      <selection activeCell="B5" sqref="B5"/>
    </sheetView>
  </sheetViews>
  <sheetFormatPr defaultRowHeight="15" x14ac:dyDescent="0.25"/>
  <cols>
    <col min="1" max="1" width="25.7109375" bestFit="1" customWidth="1"/>
    <col min="2" max="2" width="18" bestFit="1" customWidth="1"/>
  </cols>
  <sheetData>
    <row r="1" spans="1:2" x14ac:dyDescent="0.25">
      <c r="A1" t="s">
        <v>368</v>
      </c>
      <c r="B1" t="s">
        <v>371</v>
      </c>
    </row>
    <row r="2" spans="1:2" x14ac:dyDescent="0.25">
      <c r="A2" t="s">
        <v>372</v>
      </c>
      <c r="B2">
        <f>COUNTA(StockReport[Item ID])</f>
        <v>20</v>
      </c>
    </row>
    <row r="3" spans="1:2" x14ac:dyDescent="0.25">
      <c r="A3" t="s">
        <v>370</v>
      </c>
      <c r="B3" s="13">
        <f>SUM(StockReport[Stock Value])</f>
        <v>3144693000</v>
      </c>
    </row>
    <row r="4" spans="1:2" x14ac:dyDescent="0.25">
      <c r="A4" t="s">
        <v>373</v>
      </c>
      <c r="B4">
        <f>COUNTIF(StockReport[Status],"Low Stock")</f>
        <v>2</v>
      </c>
    </row>
    <row r="5" spans="1:2" x14ac:dyDescent="0.25">
      <c r="A5" t="s">
        <v>369</v>
      </c>
      <c r="B5" s="13">
        <f>SUM(InvoicesDetail[Line Total])</f>
        <v>1494113500</v>
      </c>
    </row>
  </sheetData>
  <pageMargins left="0.7" right="0.7" top="0.75" bottom="0.75" header="0.3" footer="0.3"/>
  <tableParts count="1">
    <tablePart r:id="rId1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09C583-E41D-4DB3-BCA0-CAAD6E27996F}">
  <sheetPr>
    <tabColor theme="0"/>
    <pageSetUpPr fitToPage="1"/>
  </sheetPr>
  <dimension ref="A3:O27"/>
  <sheetViews>
    <sheetView zoomScale="90" zoomScaleNormal="90" workbookViewId="0"/>
  </sheetViews>
  <sheetFormatPr defaultRowHeight="15" x14ac:dyDescent="0.25"/>
  <cols>
    <col min="2" max="2" width="26.28515625" customWidth="1"/>
    <col min="3" max="3" width="5" customWidth="1"/>
    <col min="5" max="5" width="21.42578125" customWidth="1"/>
    <col min="6" max="6" width="5.140625" customWidth="1"/>
    <col min="8" max="8" width="22.7109375" customWidth="1"/>
    <col min="9" max="9" width="5.140625" customWidth="1"/>
    <col min="11" max="11" width="20.85546875" customWidth="1"/>
    <col min="12" max="12" width="5" customWidth="1"/>
    <col min="14" max="14" width="18.5703125" customWidth="1"/>
  </cols>
  <sheetData>
    <row r="3" spans="1:15" ht="15" customHeight="1" x14ac:dyDescent="0.25">
      <c r="A3" s="39" t="s">
        <v>372</v>
      </c>
      <c r="B3" s="39"/>
      <c r="D3" s="40" t="s">
        <v>370</v>
      </c>
      <c r="E3" s="40"/>
      <c r="G3" s="41" t="s">
        <v>373</v>
      </c>
      <c r="H3" s="41"/>
      <c r="J3" s="42" t="s">
        <v>369</v>
      </c>
      <c r="K3" s="42"/>
      <c r="M3" s="43" t="s">
        <v>390</v>
      </c>
      <c r="N3" s="43"/>
    </row>
    <row r="4" spans="1:15" ht="15" customHeight="1" x14ac:dyDescent="0.25">
      <c r="A4" s="46">
        <f>COUNTA(Items[Item ID])</f>
        <v>20</v>
      </c>
      <c r="B4" s="46"/>
      <c r="D4" s="47">
        <f>SUM(StockReport[Stock Value])</f>
        <v>3144693000</v>
      </c>
      <c r="E4" s="47"/>
      <c r="G4" s="48">
        <f>COUNTIF(StockReport[Status],"Low Stock")</f>
        <v>2</v>
      </c>
      <c r="H4" s="48"/>
      <c r="J4" s="49">
        <f>SUM(InvoicesDetail[Line Total])</f>
        <v>1494113500</v>
      </c>
      <c r="K4" s="49"/>
      <c r="M4" s="50">
        <f>AVERAGE(SUMIFS(InvoicesDetail[Line Total],InvoicesDetail[MonthYear (kolom helper)],"Jul-2025",InvoicesDetail[Payment Status],"Paid",InvoicesDetail[Type (kolom helper)],"OUT"),SUMIFS(InvoicesDetail[Line Total],InvoicesDetail[MonthYear (kolom helper)],"Aug-2025",InvoicesDetail[Payment Status],"Paid",InvoicesDetail[Type (kolom helper)],"OUT"),SUMIFS(InvoicesDetail[Line Total],InvoicesDetail[MonthYear (kolom helper)],"Sep-2025",InvoicesDetail[Payment Status],"Paid",InvoicesDetail[Type (kolom helper)],"OUT"))</f>
        <v>218454000</v>
      </c>
      <c r="N4" s="50"/>
    </row>
    <row r="5" spans="1:15" ht="15" customHeight="1" x14ac:dyDescent="0.25">
      <c r="A5" s="46"/>
      <c r="B5" s="46"/>
      <c r="D5" s="47"/>
      <c r="E5" s="47"/>
      <c r="G5" s="48"/>
      <c r="H5" s="48"/>
      <c r="J5" s="49"/>
      <c r="K5" s="49"/>
      <c r="M5" s="50"/>
      <c r="N5" s="50"/>
    </row>
    <row r="6" spans="1:15" ht="15" customHeight="1" x14ac:dyDescent="0.25">
      <c r="A6" s="46"/>
      <c r="B6" s="46"/>
      <c r="D6" s="47"/>
      <c r="E6" s="47"/>
      <c r="G6" s="48"/>
      <c r="H6" s="48"/>
      <c r="J6" s="49"/>
      <c r="K6" s="49"/>
      <c r="M6" s="50"/>
      <c r="N6" s="50"/>
    </row>
    <row r="7" spans="1:15" ht="15" customHeight="1" x14ac:dyDescent="0.25">
      <c r="M7" s="30"/>
      <c r="N7" s="30"/>
    </row>
    <row r="10" spans="1:15" ht="15" customHeight="1" x14ac:dyDescent="0.25">
      <c r="M10" s="38" t="s">
        <v>391</v>
      </c>
      <c r="N10" s="38"/>
      <c r="O10" s="30"/>
    </row>
    <row r="11" spans="1:15" ht="15" customHeight="1" x14ac:dyDescent="0.25">
      <c r="M11" s="51">
        <f>SUMIFS(InvoicesDetail[Line Total],InvoicesDetail[MonthYear (kolom helper)],"Jul-2025",InvoicesDetail[Payment Status],"Paid",InvoicesDetail[Type (kolom helper)],"OUT")</f>
        <v>223424500</v>
      </c>
      <c r="N11" s="51"/>
    </row>
    <row r="12" spans="1:15" ht="15" customHeight="1" x14ac:dyDescent="0.25">
      <c r="M12" s="51"/>
      <c r="N12" s="51"/>
    </row>
    <row r="13" spans="1:15" ht="15" customHeight="1" x14ac:dyDescent="0.25">
      <c r="M13" s="51"/>
      <c r="N13" s="51"/>
    </row>
    <row r="14" spans="1:15" ht="15" customHeight="1" x14ac:dyDescent="0.25">
      <c r="M14" s="30"/>
      <c r="N14" s="30"/>
    </row>
    <row r="17" spans="8:14" ht="15" customHeight="1" x14ac:dyDescent="0.25">
      <c r="M17" s="44" t="s">
        <v>392</v>
      </c>
      <c r="N17" s="44"/>
    </row>
    <row r="18" spans="8:14" ht="15" customHeight="1" x14ac:dyDescent="0.25">
      <c r="M18" s="52">
        <f>SUMIFS(InvoicesDetail[Line Total],InvoicesDetail[MonthYear (kolom helper)],"Aug-2025",InvoicesDetail[Payment Status],"Paid",InvoicesDetail[Type (kolom helper)],"OUT")</f>
        <v>174435500</v>
      </c>
      <c r="N18" s="52"/>
    </row>
    <row r="19" spans="8:14" ht="15" customHeight="1" x14ac:dyDescent="0.25">
      <c r="H19" s="31"/>
      <c r="I19" s="30"/>
      <c r="M19" s="52"/>
      <c r="N19" s="52"/>
    </row>
    <row r="20" spans="8:14" ht="15" customHeight="1" x14ac:dyDescent="0.25">
      <c r="H20" s="30"/>
      <c r="I20" s="30"/>
      <c r="M20" s="52"/>
      <c r="N20" s="52"/>
    </row>
    <row r="21" spans="8:14" ht="15" customHeight="1" x14ac:dyDescent="0.25">
      <c r="H21" s="30"/>
      <c r="I21" s="30"/>
      <c r="M21" s="30"/>
      <c r="N21" s="30"/>
    </row>
    <row r="22" spans="8:14" ht="15" customHeight="1" x14ac:dyDescent="0.25"/>
    <row r="23" spans="8:14" ht="15" customHeight="1" x14ac:dyDescent="0.25"/>
    <row r="24" spans="8:14" ht="15" customHeight="1" x14ac:dyDescent="0.25">
      <c r="M24" s="45" t="s">
        <v>393</v>
      </c>
      <c r="N24" s="45"/>
    </row>
    <row r="25" spans="8:14" ht="15" customHeight="1" x14ac:dyDescent="0.25">
      <c r="H25" s="32"/>
      <c r="I25" s="32"/>
      <c r="M25" s="37">
        <f>SUMIFS(InvoicesDetail[Line Total],InvoicesDetail[MonthYear (kolom helper)],"Sep-2025",InvoicesDetail[Payment Status],"Paid",InvoicesDetail[Type (kolom helper)],"OUT")</f>
        <v>257502000</v>
      </c>
      <c r="N25" s="37"/>
    </row>
    <row r="26" spans="8:14" ht="15" customHeight="1" x14ac:dyDescent="0.25">
      <c r="H26" s="32"/>
      <c r="I26" s="32"/>
      <c r="M26" s="37"/>
      <c r="N26" s="37"/>
    </row>
    <row r="27" spans="8:14" ht="15" customHeight="1" x14ac:dyDescent="0.25">
      <c r="H27" s="32"/>
      <c r="I27" s="32"/>
      <c r="M27" s="37"/>
      <c r="N27" s="37"/>
    </row>
  </sheetData>
  <mergeCells count="16">
    <mergeCell ref="M25:N27"/>
    <mergeCell ref="M10:N10"/>
    <mergeCell ref="A3:B3"/>
    <mergeCell ref="D3:E3"/>
    <mergeCell ref="G3:H3"/>
    <mergeCell ref="J3:K3"/>
    <mergeCell ref="M3:N3"/>
    <mergeCell ref="M17:N17"/>
    <mergeCell ref="M24:N24"/>
    <mergeCell ref="A4:B6"/>
    <mergeCell ref="D4:E6"/>
    <mergeCell ref="G4:H6"/>
    <mergeCell ref="J4:K6"/>
    <mergeCell ref="M4:N6"/>
    <mergeCell ref="M11:N13"/>
    <mergeCell ref="M18:N20"/>
  </mergeCells>
  <pageMargins left="0.7" right="0.7" top="0.75" bottom="0.75" header="0.3" footer="0.3"/>
  <pageSetup scale="51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Dashboard</vt:lpstr>
      <vt:lpstr>Items</vt:lpstr>
      <vt:lpstr>Transactions</vt:lpstr>
      <vt:lpstr>Invoices_Detail</vt:lpstr>
      <vt:lpstr>Invoices_Display</vt:lpstr>
      <vt:lpstr>Stock_Report</vt:lpstr>
      <vt:lpstr>Inventory &amp; Stock Movement</vt:lpstr>
      <vt:lpstr>Invoice_Summary</vt:lpstr>
      <vt:lpstr>Invoice &amp; Sales Tracking</vt:lpstr>
      <vt:lpstr>Pivot</vt:lpstr>
      <vt:lpstr>KPI</vt:lpstr>
      <vt:lpstr>KPI Cards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Kayla Emi Muliyani</dc:creator>
  <cp:lastModifiedBy>Kayla Emi Muliyani</cp:lastModifiedBy>
  <cp:lastPrinted>2025-10-14T09:29:36Z</cp:lastPrinted>
  <dcterms:created xsi:type="dcterms:W3CDTF">2025-09-23T13:00:23Z</dcterms:created>
  <dcterms:modified xsi:type="dcterms:W3CDTF">2025-10-14T10:56:04Z</dcterms:modified>
</cp:coreProperties>
</file>