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"/>
    </mc:Choice>
  </mc:AlternateContent>
  <xr:revisionPtr revIDLastSave="0" documentId="13_ncr:1_{184DF5BB-174C-40EB-9F1E-ABE70D04CF10}" xr6:coauthVersionLast="47" xr6:coauthVersionMax="47" xr10:uidLastSave="{00000000-0000-0000-0000-000000000000}"/>
  <bookViews>
    <workbookView xWindow="1536" yWindow="1644" windowWidth="11424" windowHeight="7728" activeTab="2" xr2:uid="{F8F26CED-B63B-4BFC-B5DA-C4716B551DFA}"/>
  </bookViews>
  <sheets>
    <sheet name="Training" sheetId="1" r:id="rId1"/>
    <sheet name="Testing" sheetId="3" r:id="rId2"/>
    <sheet name="Rekomendasi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U7" i="2"/>
  <c r="D7" i="1"/>
  <c r="U2" i="2"/>
  <c r="T2" i="2"/>
  <c r="F20" i="2"/>
  <c r="F18" i="2"/>
  <c r="F17" i="2"/>
  <c r="F16" i="2"/>
  <c r="F12" i="2"/>
  <c r="F10" i="2"/>
  <c r="F9" i="2"/>
  <c r="F8" i="2"/>
  <c r="F12" i="3"/>
  <c r="E12" i="3" s="1"/>
  <c r="B12" i="3"/>
  <c r="F9" i="3"/>
  <c r="E9" i="3" s="1"/>
  <c r="F8" i="3"/>
  <c r="E8" i="3" s="1"/>
  <c r="F5" i="3"/>
  <c r="E5" i="3"/>
  <c r="D5" i="3"/>
  <c r="I4" i="3"/>
  <c r="M8" i="3" s="1"/>
  <c r="F4" i="3"/>
  <c r="B10" i="3" s="1"/>
  <c r="E4" i="3"/>
  <c r="D4" i="3"/>
  <c r="F10" i="3" s="1"/>
  <c r="E10" i="3" s="1"/>
  <c r="N3" i="3"/>
  <c r="F3" i="3"/>
  <c r="B9" i="3" s="1"/>
  <c r="E3" i="3"/>
  <c r="D3" i="3"/>
  <c r="N2" i="3"/>
  <c r="N4" i="3" s="1"/>
  <c r="L8" i="3" s="1"/>
  <c r="O8" i="3" s="1"/>
  <c r="F2" i="3"/>
  <c r="B8" i="3" s="1"/>
  <c r="E2" i="3"/>
  <c r="D2" i="3"/>
  <c r="B7" i="1"/>
  <c r="B8" i="1" s="1"/>
  <c r="M8" i="2"/>
  <c r="L8" i="2"/>
  <c r="O8" i="2" s="1"/>
  <c r="N4" i="2"/>
  <c r="N3" i="2"/>
  <c r="N2" i="2"/>
  <c r="I4" i="2"/>
  <c r="D2" i="2"/>
  <c r="I10" i="1"/>
  <c r="I11" i="1" s="1"/>
  <c r="B11" i="3" l="1"/>
  <c r="C11" i="3" s="1"/>
  <c r="B13" i="3" s="1"/>
  <c r="C4" i="1"/>
  <c r="C6" i="1"/>
  <c r="C2" i="1"/>
  <c r="C5" i="1"/>
  <c r="C3" i="1"/>
  <c r="C17" i="3" l="1"/>
  <c r="B17" i="3" s="1"/>
  <c r="C20" i="3"/>
  <c r="B20" i="3" s="1"/>
  <c r="C16" i="3"/>
  <c r="B16" i="3" s="1"/>
  <c r="B19" i="3" s="1"/>
  <c r="C18" i="3"/>
  <c r="B18" i="3" s="1"/>
  <c r="G57" i="1"/>
  <c r="B13" i="1"/>
  <c r="D13" i="1" s="1"/>
  <c r="B16" i="1"/>
  <c r="D16" i="1" s="1"/>
  <c r="G64" i="1"/>
  <c r="G49" i="1"/>
  <c r="B15" i="1"/>
  <c r="D15" i="1" s="1"/>
  <c r="B14" i="1"/>
  <c r="D14" i="1" s="1"/>
  <c r="C19" i="3" l="1"/>
  <c r="B21" i="3" s="1"/>
  <c r="E11" i="3"/>
  <c r="F11" i="3" s="1"/>
  <c r="E13" i="3" s="1"/>
  <c r="G62" i="1"/>
  <c r="G55" i="1"/>
  <c r="G56" i="1" s="1"/>
  <c r="G54" i="1"/>
  <c r="G63" i="1"/>
  <c r="G47" i="1"/>
  <c r="G48" i="1" s="1"/>
  <c r="G52" i="1"/>
  <c r="G60" i="1" s="1"/>
  <c r="B17" i="1"/>
  <c r="F20" i="3" l="1"/>
  <c r="E20" i="3" s="1"/>
  <c r="F18" i="3"/>
  <c r="E18" i="3" s="1"/>
  <c r="J2" i="3"/>
  <c r="F17" i="3"/>
  <c r="E17" i="3" s="1"/>
  <c r="F16" i="3"/>
  <c r="E16" i="3" s="1"/>
  <c r="B18" i="1"/>
  <c r="D17" i="1"/>
  <c r="B19" i="1"/>
  <c r="B22" i="1"/>
  <c r="G38" i="1" s="1"/>
  <c r="E19" i="3" l="1"/>
  <c r="F19" i="3" s="1"/>
  <c r="E21" i="3" s="1"/>
  <c r="J3" i="3" s="1"/>
  <c r="M2" i="3"/>
  <c r="K2" i="3"/>
  <c r="O2" i="3"/>
  <c r="G46" i="1"/>
  <c r="G53" i="1"/>
  <c r="G45" i="1"/>
  <c r="G44" i="1"/>
  <c r="B23" i="1"/>
  <c r="K3" i="3" l="1"/>
  <c r="L3" i="3" s="1"/>
  <c r="O3" i="3"/>
  <c r="O4" i="3" s="1"/>
  <c r="L9" i="3" s="1"/>
  <c r="M3" i="3"/>
  <c r="M4" i="3" s="1"/>
  <c r="L7" i="3" s="1"/>
  <c r="J4" i="3"/>
  <c r="L2" i="3"/>
  <c r="G26" i="1"/>
  <c r="G33" i="1"/>
  <c r="G18" i="1"/>
  <c r="G41" i="1"/>
  <c r="B24" i="1"/>
  <c r="D24" i="1" s="1"/>
  <c r="B25" i="1"/>
  <c r="D25" i="1" s="1"/>
  <c r="B26" i="1"/>
  <c r="D26" i="1" s="1"/>
  <c r="B27" i="1"/>
  <c r="D27" i="1" s="1"/>
  <c r="G51" i="1"/>
  <c r="H57" i="1" s="1"/>
  <c r="H50" i="1"/>
  <c r="H49" i="1"/>
  <c r="G61" i="1"/>
  <c r="O7" i="3" l="1"/>
  <c r="K4" i="3"/>
  <c r="L4" i="3"/>
  <c r="I7" i="3"/>
  <c r="I8" i="3" s="1"/>
  <c r="I9" i="3"/>
  <c r="M9" i="3"/>
  <c r="O9" i="3" s="1"/>
  <c r="M10" i="3" s="1"/>
  <c r="O10" i="3" s="1"/>
  <c r="M7" i="3"/>
  <c r="G32" i="1"/>
  <c r="G23" i="1"/>
  <c r="G21" i="1"/>
  <c r="G29" i="1" s="1"/>
  <c r="G36" i="1" s="1"/>
  <c r="G15" i="1"/>
  <c r="G16" i="1" s="1"/>
  <c r="L29" i="1"/>
  <c r="L31" i="1" s="1"/>
  <c r="L28" i="1"/>
  <c r="G39" i="1"/>
  <c r="B28" i="1"/>
  <c r="B29" i="1" s="1"/>
  <c r="G40" i="1"/>
  <c r="L10" i="1"/>
  <c r="L12" i="1" s="1"/>
  <c r="L11" i="1"/>
  <c r="L13" i="1" s="1"/>
  <c r="G25" i="1"/>
  <c r="G31" i="1"/>
  <c r="G24" i="1"/>
  <c r="G59" i="1"/>
  <c r="H58" i="1"/>
  <c r="I10" i="3" l="1"/>
  <c r="I11" i="3" s="1"/>
  <c r="K8" i="3"/>
  <c r="G10" i="1"/>
  <c r="G11" i="1" s="1"/>
  <c r="G13" i="1"/>
  <c r="G20" i="1"/>
  <c r="L32" i="1"/>
  <c r="D3" i="2" s="1"/>
  <c r="L30" i="1"/>
  <c r="L14" i="1"/>
  <c r="D5" i="2" s="1"/>
  <c r="H65" i="1"/>
  <c r="H64" i="1"/>
  <c r="D28" i="1"/>
  <c r="G22" i="1" s="1"/>
  <c r="G30" i="1" s="1"/>
  <c r="G37" i="1" s="1"/>
  <c r="B30" i="1"/>
  <c r="G14" i="1" s="1"/>
  <c r="L47" i="1" l="1"/>
  <c r="L49" i="1" s="1"/>
  <c r="L46" i="1"/>
  <c r="L48" i="1" s="1"/>
  <c r="G28" i="1"/>
  <c r="H27" i="1"/>
  <c r="J14" i="1" s="1"/>
  <c r="H26" i="1"/>
  <c r="H13" i="1"/>
  <c r="H18" i="1"/>
  <c r="H19" i="1"/>
  <c r="L50" i="1" l="1"/>
  <c r="D4" i="2" s="1"/>
  <c r="L40" i="1"/>
  <c r="L42" i="1" s="1"/>
  <c r="L44" i="1" s="1"/>
  <c r="F3" i="2" s="1"/>
  <c r="L41" i="1"/>
  <c r="L43" i="1" s="1"/>
  <c r="H33" i="1"/>
  <c r="G35" i="1"/>
  <c r="H34" i="1"/>
  <c r="J13" i="1" s="1"/>
  <c r="J15" i="1"/>
  <c r="J22" i="1"/>
  <c r="L17" i="1"/>
  <c r="L19" i="1" s="1"/>
  <c r="L16" i="1"/>
  <c r="L18" i="1" s="1"/>
  <c r="L20" i="1" s="1"/>
  <c r="E5" i="2" s="1"/>
  <c r="L35" i="1"/>
  <c r="L37" i="1" s="1"/>
  <c r="L34" i="1"/>
  <c r="L36" i="1" s="1"/>
  <c r="L38" i="1" l="1"/>
  <c r="E3" i="2" s="1"/>
  <c r="H41" i="1"/>
  <c r="H42" i="1"/>
  <c r="L22" i="1"/>
  <c r="L24" i="1" s="1"/>
  <c r="L23" i="1"/>
  <c r="L25" i="1" s="1"/>
  <c r="L58" i="1"/>
  <c r="L60" i="1" s="1"/>
  <c r="L59" i="1"/>
  <c r="L61" i="1" s="1"/>
  <c r="L52" i="1"/>
  <c r="L54" i="1" s="1"/>
  <c r="L53" i="1"/>
  <c r="L55" i="1" s="1"/>
  <c r="B9" i="2"/>
  <c r="E9" i="2"/>
  <c r="L56" i="1" l="1"/>
  <c r="E4" i="2" s="1"/>
  <c r="L26" i="1"/>
  <c r="F5" i="2" s="1"/>
  <c r="B12" i="2" s="1"/>
  <c r="L62" i="1"/>
  <c r="F4" i="2" s="1"/>
  <c r="L76" i="1"/>
  <c r="L78" i="1" s="1"/>
  <c r="L77" i="1"/>
  <c r="L79" i="1" s="1"/>
  <c r="L70" i="1"/>
  <c r="L72" i="1" s="1"/>
  <c r="L71" i="1"/>
  <c r="L73" i="1" s="1"/>
  <c r="E12" i="2" l="1"/>
  <c r="L80" i="1"/>
  <c r="F2" i="2" s="1"/>
  <c r="E8" i="2" s="1"/>
  <c r="B10" i="2"/>
  <c r="B11" i="2" s="1"/>
  <c r="E10" i="2"/>
  <c r="L74" i="1"/>
  <c r="E2" i="2" s="1"/>
  <c r="B8" i="2" l="1"/>
  <c r="C11" i="2"/>
  <c r="B13" i="2" s="1"/>
  <c r="C20" i="2" l="1"/>
  <c r="B20" i="2" s="1"/>
  <c r="C17" i="2"/>
  <c r="B17" i="2" s="1"/>
  <c r="C18" i="2"/>
  <c r="B18" i="2" s="1"/>
  <c r="C16" i="2"/>
  <c r="B16" i="2" s="1"/>
  <c r="B19" i="2" l="1"/>
  <c r="C19" i="2" s="1"/>
  <c r="B21" i="2" s="1"/>
  <c r="E11" i="2" l="1"/>
  <c r="F11" i="2" s="1"/>
  <c r="E13" i="2" s="1"/>
  <c r="O2" i="2" l="1"/>
  <c r="E16" i="2"/>
  <c r="E18" i="2"/>
  <c r="E20" i="2"/>
  <c r="E17" i="2"/>
  <c r="K2" i="2" l="1"/>
  <c r="M2" i="2"/>
  <c r="E19" i="2"/>
  <c r="F19" i="2" s="1"/>
  <c r="E21" i="2" s="1"/>
  <c r="O3" i="2" s="1"/>
  <c r="O4" i="2" s="1"/>
  <c r="L9" i="2" s="1"/>
  <c r="L2" i="2" l="1"/>
  <c r="J4" i="2"/>
  <c r="M3" i="2"/>
  <c r="M4" i="2" s="1"/>
  <c r="L7" i="2" s="1"/>
  <c r="K3" i="2"/>
  <c r="K4" i="2" s="1"/>
  <c r="I7" i="2" l="1"/>
  <c r="I8" i="2" s="1"/>
  <c r="I9" i="2"/>
  <c r="L3" i="2"/>
  <c r="M7" i="2"/>
  <c r="O7" i="2" s="1"/>
  <c r="M9" i="2"/>
  <c r="O9" i="2" s="1"/>
  <c r="M10" i="2" s="1"/>
  <c r="O10" i="2" s="1"/>
  <c r="K8" i="2" l="1"/>
  <c r="I10" i="2"/>
  <c r="I11" i="2" s="1"/>
  <c r="L4" i="2"/>
</calcChain>
</file>

<file path=xl/sharedStrings.xml><?xml version="1.0" encoding="utf-8"?>
<sst xmlns="http://schemas.openxmlformats.org/spreadsheetml/2006/main" count="284" uniqueCount="173">
  <si>
    <t>No</t>
  </si>
  <si>
    <t>Harga</t>
  </si>
  <si>
    <t>Max</t>
  </si>
  <si>
    <t>Min</t>
  </si>
  <si>
    <t>Normalisasi</t>
  </si>
  <si>
    <t>Gerbang</t>
  </si>
  <si>
    <t>f</t>
  </si>
  <si>
    <t>i</t>
  </si>
  <si>
    <t>c</t>
  </si>
  <si>
    <t>o</t>
  </si>
  <si>
    <t>u</t>
  </si>
  <si>
    <t>w</t>
  </si>
  <si>
    <t>b</t>
  </si>
  <si>
    <t>Tahap 11</t>
  </si>
  <si>
    <t>Ct-1</t>
  </si>
  <si>
    <t>ht-1</t>
  </si>
  <si>
    <t>f11</t>
  </si>
  <si>
    <t>f11_fin</t>
  </si>
  <si>
    <t>i11</t>
  </si>
  <si>
    <t>i11_fin</t>
  </si>
  <si>
    <t>Ct_ baru</t>
  </si>
  <si>
    <t>Ct_baru_fin</t>
  </si>
  <si>
    <t>Ct</t>
  </si>
  <si>
    <t>o11</t>
  </si>
  <si>
    <t>o11_fin</t>
  </si>
  <si>
    <t>Tahap 22</t>
  </si>
  <si>
    <t>f12</t>
  </si>
  <si>
    <t>f12_fin</t>
  </si>
  <si>
    <t>i12</t>
  </si>
  <si>
    <t>i12_fin</t>
  </si>
  <si>
    <t>Ct_baru2</t>
  </si>
  <si>
    <t>o12</t>
  </si>
  <si>
    <t>o12_fin</t>
  </si>
  <si>
    <t>Ct_baru2_fin</t>
  </si>
  <si>
    <t>ht</t>
  </si>
  <si>
    <t>MSE 1</t>
  </si>
  <si>
    <t>0,0000554</t>
  </si>
  <si>
    <t>dE / Wo</t>
  </si>
  <si>
    <t>dE / Uo</t>
  </si>
  <si>
    <t>dE / bo</t>
  </si>
  <si>
    <t>dE/Wi</t>
  </si>
  <si>
    <t>dE/bi</t>
  </si>
  <si>
    <t>de/Wc</t>
  </si>
  <si>
    <t>de/bc</t>
  </si>
  <si>
    <t>de/wf</t>
  </si>
  <si>
    <t>de/bf</t>
  </si>
  <si>
    <t>MSE 2</t>
  </si>
  <si>
    <t>de/Uo</t>
  </si>
  <si>
    <t>tanh(ct)</t>
  </si>
  <si>
    <t>de/bo</t>
  </si>
  <si>
    <t>de/Ui</t>
  </si>
  <si>
    <t>de/bi</t>
  </si>
  <si>
    <t>de/Uc</t>
  </si>
  <si>
    <t>bc</t>
  </si>
  <si>
    <t>bi</t>
  </si>
  <si>
    <t>bo</t>
  </si>
  <si>
    <t>mUo</t>
  </si>
  <si>
    <t>vUo</t>
  </si>
  <si>
    <t>mtopiUo</t>
  </si>
  <si>
    <t>vtopiUo</t>
  </si>
  <si>
    <t>Uobaru</t>
  </si>
  <si>
    <t>mWo</t>
  </si>
  <si>
    <t>vWo</t>
  </si>
  <si>
    <t>mtopiWo</t>
  </si>
  <si>
    <t>vtopiWo</t>
  </si>
  <si>
    <t>Wobaru</t>
  </si>
  <si>
    <t>mtobiBo</t>
  </si>
  <si>
    <t>vtopiBo</t>
  </si>
  <si>
    <t>Bobaru</t>
  </si>
  <si>
    <t>vBo</t>
  </si>
  <si>
    <t>mBo</t>
  </si>
  <si>
    <t>Var</t>
  </si>
  <si>
    <t>Nilai</t>
  </si>
  <si>
    <t>Hasil</t>
  </si>
  <si>
    <t>0.014682171 + 0</t>
  </si>
  <si>
    <t>0.014682171</t>
  </si>
  <si>
    <t>∆W_i=W_i1 " + " W_i2</t>
  </si>
  <si>
    <t xml:space="preserve">0 + 0.00017231 </t>
  </si>
  <si>
    <t xml:space="preserve">0.00017231 </t>
  </si>
  <si>
    <t xml:space="preserve">0.022023256 + 0.0006733 </t>
  </si>
  <si>
    <t>0.022696558</t>
  </si>
  <si>
    <t>∆U_i=U_i1 + U_i2</t>
  </si>
  <si>
    <t>∆b_i=b_i1 + b_i2</t>
  </si>
  <si>
    <t>∆U_C=U_C1 + U_C2</t>
  </si>
  <si>
    <t>0.041705024 + 0</t>
  </si>
  <si>
    <t xml:space="preserve">0.041705024 </t>
  </si>
  <si>
    <t>∆W_C=W_C1 " + " W_C2</t>
  </si>
  <si>
    <t>0 + 0.00059271</t>
  </si>
  <si>
    <t xml:space="preserve"> 0.00059271</t>
  </si>
  <si>
    <t>∆b_C=b_C1 + b_C2</t>
  </si>
  <si>
    <t>0.062557536 +0.002316</t>
  </si>
  <si>
    <t>0.064873535</t>
  </si>
  <si>
    <t>∆U_f=U_f1 + U_f2</t>
  </si>
  <si>
    <t>0 + 0</t>
  </si>
  <si>
    <t>∆W_f=W_f1 " + " W_f2</t>
  </si>
  <si>
    <t xml:space="preserve">0 + 0.00012499 </t>
  </si>
  <si>
    <t xml:space="preserve">0.00012499 </t>
  </si>
  <si>
    <t>∆b_f=b_f1 + b_f2</t>
  </si>
  <si>
    <t xml:space="preserve">0 + 0.00048841 </t>
  </si>
  <si>
    <t>0.00048841</t>
  </si>
  <si>
    <t>mUi</t>
  </si>
  <si>
    <t>vUi</t>
  </si>
  <si>
    <t>mtopiUi</t>
  </si>
  <si>
    <t>vtopiUi</t>
  </si>
  <si>
    <t>Uibaru</t>
  </si>
  <si>
    <t>mWi</t>
  </si>
  <si>
    <t>vWi</t>
  </si>
  <si>
    <t>mtopiWi</t>
  </si>
  <si>
    <t>vtopiWi</t>
  </si>
  <si>
    <t>Wibaru</t>
  </si>
  <si>
    <t>mBi</t>
  </si>
  <si>
    <t>vBi</t>
  </si>
  <si>
    <t>mtobiBi</t>
  </si>
  <si>
    <t>vtopiBi</t>
  </si>
  <si>
    <t>Bibaru</t>
  </si>
  <si>
    <t>mUc</t>
  </si>
  <si>
    <t>vUc</t>
  </si>
  <si>
    <t>mtopiUc</t>
  </si>
  <si>
    <t>vtopiUc</t>
  </si>
  <si>
    <t>Ucbaru</t>
  </si>
  <si>
    <t>mWc</t>
  </si>
  <si>
    <t>vWc</t>
  </si>
  <si>
    <t>mtopiWc</t>
  </si>
  <si>
    <t>vtopiWc</t>
  </si>
  <si>
    <t>Wcbaru</t>
  </si>
  <si>
    <t>mBc</t>
  </si>
  <si>
    <t>vBc</t>
  </si>
  <si>
    <t>mtobiBc</t>
  </si>
  <si>
    <t>vtopiBc</t>
  </si>
  <si>
    <t>Bcbaru</t>
  </si>
  <si>
    <t>mUf</t>
  </si>
  <si>
    <t>vUf</t>
  </si>
  <si>
    <t>mtopiUf</t>
  </si>
  <si>
    <t>vtopiUf</t>
  </si>
  <si>
    <t>Ufbaru</t>
  </si>
  <si>
    <t>mWf</t>
  </si>
  <si>
    <t>vWf</t>
  </si>
  <si>
    <t>mtopiWf</t>
  </si>
  <si>
    <t>vtopiWf</t>
  </si>
  <si>
    <t>Wfbaru</t>
  </si>
  <si>
    <t>mBf</t>
  </si>
  <si>
    <t>vBf</t>
  </si>
  <si>
    <t>mtobiBf</t>
  </si>
  <si>
    <t>vtopiBf</t>
  </si>
  <si>
    <t>Bfbaru</t>
  </si>
  <si>
    <t>forget gate</t>
  </si>
  <si>
    <t>input gate</t>
  </si>
  <si>
    <t>new candidate</t>
  </si>
  <si>
    <t>cell state</t>
  </si>
  <si>
    <t>output gate</t>
  </si>
  <si>
    <t>hasil output</t>
  </si>
  <si>
    <t>Data</t>
  </si>
  <si>
    <t>tahap 1</t>
  </si>
  <si>
    <t>tahap 2</t>
  </si>
  <si>
    <t>MSE</t>
  </si>
  <si>
    <t>RMSE</t>
  </si>
  <si>
    <t>MAE</t>
  </si>
  <si>
    <t>R2</t>
  </si>
  <si>
    <t>X</t>
  </si>
  <si>
    <t>Y</t>
  </si>
  <si>
    <t xml:space="preserve">R </t>
  </si>
  <si>
    <t>tahap2</t>
  </si>
  <si>
    <t>E</t>
  </si>
  <si>
    <t>E2</t>
  </si>
  <si>
    <t>XY</t>
  </si>
  <si>
    <t>X2</t>
  </si>
  <si>
    <t>Y2</t>
  </si>
  <si>
    <t>Hitung R</t>
  </si>
  <si>
    <t>-</t>
  </si>
  <si>
    <t>sqrt</t>
  </si>
  <si>
    <t>output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</si>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</sst>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00"/>
    <numFmt numFmtId="167" formatCode="0.0"/>
    <numFmt numFmtId="168" formatCode="0.0000000000000000000000000E+00"/>
    <numFmt numFmtId="169" formatCode="0.00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4E9C-3BFA-4EAB-993C-D02DFCC3ADE1}">
  <dimension ref="A1:P80"/>
  <sheetViews>
    <sheetView workbookViewId="0">
      <selection activeCell="D8" sqref="D8"/>
    </sheetView>
  </sheetViews>
  <sheetFormatPr defaultRowHeight="14.4" x14ac:dyDescent="0.3"/>
  <cols>
    <col min="2" max="2" width="12.33203125" customWidth="1"/>
    <col min="3" max="3" width="11.109375" bestFit="1" customWidth="1"/>
    <col min="7" max="7" width="32.6640625" bestFit="1" customWidth="1"/>
    <col min="8" max="8" width="11.109375" bestFit="1" customWidth="1"/>
    <col min="10" max="10" width="12" bestFit="1" customWidth="1"/>
    <col min="12" max="12" width="12" bestFit="1" customWidth="1"/>
    <col min="14" max="14" width="19.33203125" bestFit="1" customWidth="1"/>
    <col min="15" max="15" width="22.77734375" bestFit="1" customWidth="1"/>
    <col min="16" max="16" width="11.5546875" bestFit="1" customWidth="1"/>
  </cols>
  <sheetData>
    <row r="1" spans="1:16" x14ac:dyDescent="0.3">
      <c r="B1" t="s">
        <v>1</v>
      </c>
      <c r="C1" t="s">
        <v>4</v>
      </c>
      <c r="E1" t="s">
        <v>5</v>
      </c>
      <c r="F1" t="s">
        <v>10</v>
      </c>
      <c r="G1" t="s">
        <v>11</v>
      </c>
      <c r="H1" t="s">
        <v>12</v>
      </c>
    </row>
    <row r="2" spans="1:16" x14ac:dyDescent="0.3">
      <c r="A2" t="s">
        <v>0</v>
      </c>
      <c r="B2">
        <v>5575</v>
      </c>
      <c r="C2" s="4">
        <f>(B2-$B$8) /( $B$7 - $B$8)</f>
        <v>0.66666666666666663</v>
      </c>
      <c r="E2" t="s">
        <v>6</v>
      </c>
      <c r="F2">
        <v>0.1</v>
      </c>
      <c r="G2">
        <v>0.2</v>
      </c>
      <c r="H2">
        <v>0.3</v>
      </c>
    </row>
    <row r="3" spans="1:16" x14ac:dyDescent="0.3">
      <c r="B3">
        <v>5525</v>
      </c>
      <c r="C3" s="4">
        <f>(B3-$B$8) /( $B$7 - $B$8)</f>
        <v>0</v>
      </c>
      <c r="E3" t="s">
        <v>7</v>
      </c>
      <c r="F3">
        <v>0.2</v>
      </c>
      <c r="G3">
        <v>0.3</v>
      </c>
      <c r="H3">
        <v>0.4</v>
      </c>
    </row>
    <row r="4" spans="1:16" x14ac:dyDescent="0.3">
      <c r="B4">
        <v>5550</v>
      </c>
      <c r="C4" s="4">
        <f>(B4-$B$8) /( $B$7 - $B$8)</f>
        <v>0.33333333333333331</v>
      </c>
      <c r="E4" t="s">
        <v>8</v>
      </c>
      <c r="F4">
        <v>0.3</v>
      </c>
      <c r="G4">
        <v>0.4</v>
      </c>
      <c r="H4">
        <v>0.5</v>
      </c>
    </row>
    <row r="5" spans="1:16" x14ac:dyDescent="0.3">
      <c r="B5">
        <v>5600</v>
      </c>
      <c r="C5" s="4">
        <f>(B5-$B$8) /( $B$7 - $B$8)</f>
        <v>1</v>
      </c>
      <c r="E5" t="s">
        <v>9</v>
      </c>
      <c r="F5">
        <v>0.4</v>
      </c>
      <c r="G5">
        <v>0.5</v>
      </c>
      <c r="H5">
        <v>0.6</v>
      </c>
    </row>
    <row r="6" spans="1:16" x14ac:dyDescent="0.3">
      <c r="B6">
        <v>5575</v>
      </c>
      <c r="C6" s="4">
        <f>(B6-$B$8) /( $B$7 - $B$8)</f>
        <v>0.66666666666666663</v>
      </c>
    </row>
    <row r="7" spans="1:16" x14ac:dyDescent="0.3">
      <c r="A7" t="s">
        <v>2</v>
      </c>
      <c r="B7">
        <f>MAX(B2:B6)</f>
        <v>5600</v>
      </c>
      <c r="D7">
        <f>B7-B8</f>
        <v>75</v>
      </c>
    </row>
    <row r="8" spans="1:16" x14ac:dyDescent="0.3">
      <c r="A8" t="s">
        <v>3</v>
      </c>
      <c r="B8">
        <f>MIN(B2:B7)</f>
        <v>5525</v>
      </c>
    </row>
    <row r="10" spans="1:16" x14ac:dyDescent="0.3">
      <c r="A10" t="s">
        <v>13</v>
      </c>
      <c r="F10" t="s">
        <v>35</v>
      </c>
      <c r="G10" s="7">
        <f>(0.33 -B29)^2</f>
        <v>1.1081241912799552E-4</v>
      </c>
      <c r="H10" s="8" t="s">
        <v>36</v>
      </c>
      <c r="I10">
        <f>(0.33-0.34)^2</f>
        <v>1.0000000000000018E-4</v>
      </c>
      <c r="K10" t="s">
        <v>56</v>
      </c>
      <c r="L10">
        <f xml:space="preserve"> (1 -0.9) * H49</f>
        <v>1.2922138959176204E-3</v>
      </c>
      <c r="N10" t="s">
        <v>71</v>
      </c>
      <c r="O10" t="s">
        <v>72</v>
      </c>
      <c r="P10" t="s">
        <v>73</v>
      </c>
    </row>
    <row r="11" spans="1:16" x14ac:dyDescent="0.3">
      <c r="A11" t="s">
        <v>14</v>
      </c>
      <c r="B11">
        <v>0</v>
      </c>
      <c r="G11" s="6">
        <f>G10/2</f>
        <v>5.5406209563997758E-5</v>
      </c>
      <c r="I11">
        <f>I10/2</f>
        <v>5.000000000000009E-5</v>
      </c>
      <c r="K11" t="s">
        <v>57</v>
      </c>
      <c r="L11">
        <f>(1-0.99) *H49^2</f>
        <v>1.6698167528025968E-6</v>
      </c>
      <c r="N11" t="s">
        <v>81</v>
      </c>
      <c r="O11" t="s">
        <v>74</v>
      </c>
      <c r="P11" t="s">
        <v>75</v>
      </c>
    </row>
    <row r="12" spans="1:16" x14ac:dyDescent="0.3">
      <c r="A12" t="s">
        <v>15</v>
      </c>
      <c r="B12">
        <v>0</v>
      </c>
      <c r="K12" t="s">
        <v>58</v>
      </c>
      <c r="L12">
        <f>L10/0.1</f>
        <v>1.2922138959176203E-2</v>
      </c>
      <c r="N12" t="s">
        <v>76</v>
      </c>
      <c r="O12" t="s">
        <v>77</v>
      </c>
      <c r="P12" t="s">
        <v>78</v>
      </c>
    </row>
    <row r="13" spans="1:16" x14ac:dyDescent="0.3">
      <c r="A13" t="s">
        <v>16</v>
      </c>
      <c r="B13">
        <f>(F2*$C$2) + (G2*$B$12) + H2</f>
        <v>0.36666666666666664</v>
      </c>
      <c r="C13" t="s">
        <v>17</v>
      </c>
      <c r="D13">
        <f>1 / (1 +(EXP(1)^(-B13)))</f>
        <v>0.5906532827008858</v>
      </c>
      <c r="F13" t="s">
        <v>38</v>
      </c>
      <c r="G13" s="1">
        <f xml:space="preserve"> B29 - 0.33</f>
        <v>1.0526747794451785E-2</v>
      </c>
      <c r="H13" s="1">
        <f>G13*G14*G15*G16*G17</f>
        <v>0</v>
      </c>
      <c r="I13" t="s">
        <v>53</v>
      </c>
      <c r="J13">
        <f>H34+H65</f>
        <v>6.4873535156443257E-2</v>
      </c>
      <c r="K13" t="s">
        <v>59</v>
      </c>
      <c r="L13">
        <f>L11/0.1</f>
        <v>1.6698167528025969E-5</v>
      </c>
      <c r="N13" t="s">
        <v>82</v>
      </c>
      <c r="O13" t="s">
        <v>79</v>
      </c>
      <c r="P13" t="s">
        <v>80</v>
      </c>
    </row>
    <row r="14" spans="1:16" x14ac:dyDescent="0.3">
      <c r="A14" t="s">
        <v>18</v>
      </c>
      <c r="B14">
        <f>(F3*$C$2) + (G3*$B$12) + H3</f>
        <v>0.53333333333333333</v>
      </c>
      <c r="C14" t="s">
        <v>19</v>
      </c>
      <c r="D14">
        <f>1 / (1 +(EXP(1)^(-B14)))</f>
        <v>0.6302602229177513</v>
      </c>
      <c r="G14">
        <f>B30</f>
        <v>0.50496473011194598</v>
      </c>
      <c r="I14" t="s">
        <v>54</v>
      </c>
      <c r="J14">
        <f>H27+H58</f>
        <v>2.2696557916131E-2</v>
      </c>
      <c r="K14" t="s">
        <v>60</v>
      </c>
      <c r="L14">
        <f>F5 - (0.1 *(L12/(SQRT(L13+ (1 * 10^-8)))))</f>
        <v>8.3866880836563795E-2</v>
      </c>
      <c r="N14" t="s">
        <v>71</v>
      </c>
      <c r="O14" t="s">
        <v>72</v>
      </c>
      <c r="P14" t="s">
        <v>73</v>
      </c>
    </row>
    <row r="15" spans="1:16" x14ac:dyDescent="0.3">
      <c r="A15" t="s">
        <v>20</v>
      </c>
      <c r="B15" s="5">
        <f>(F4*$C$2) + (G4*$B$12) + H4</f>
        <v>0.7</v>
      </c>
      <c r="C15" t="s">
        <v>21</v>
      </c>
      <c r="D15">
        <f>((EXP(1)^B15) - (EXP(1)^(-B15))) / ((EXP(1)^B15) + (EXP(1)^(-B15)))</f>
        <v>0.60436777711716361</v>
      </c>
      <c r="G15">
        <f>D27</f>
        <v>0.67435748971806442</v>
      </c>
      <c r="I15" t="s">
        <v>55</v>
      </c>
      <c r="J15">
        <f>H19+H50</f>
        <v>2.0550519343473302E-2</v>
      </c>
      <c r="N15" t="s">
        <v>83</v>
      </c>
      <c r="O15" t="s">
        <v>84</v>
      </c>
      <c r="P15" t="s">
        <v>85</v>
      </c>
    </row>
    <row r="16" spans="1:16" x14ac:dyDescent="0.3">
      <c r="A16" t="s">
        <v>23</v>
      </c>
      <c r="B16" s="5">
        <f>(F5*$C$2) + (G5*$B$12) + H5</f>
        <v>0.8666666666666667</v>
      </c>
      <c r="C16" t="s">
        <v>24</v>
      </c>
      <c r="D16">
        <f>1 / (1 +(EXP(1)^(-B16)))</f>
        <v>0.70405162761716233</v>
      </c>
      <c r="G16">
        <f>1-G15</f>
        <v>0.32564251028193558</v>
      </c>
      <c r="K16" t="s">
        <v>61</v>
      </c>
      <c r="L16">
        <f xml:space="preserve"> (1 -0.9) * H18</f>
        <v>2.9873863871958106E-5</v>
      </c>
      <c r="N16" t="s">
        <v>86</v>
      </c>
      <c r="O16" t="s">
        <v>87</v>
      </c>
      <c r="P16" t="s">
        <v>88</v>
      </c>
    </row>
    <row r="17" spans="1:16" x14ac:dyDescent="0.3">
      <c r="A17" t="s">
        <v>22</v>
      </c>
      <c r="B17">
        <f>D13*B11 + D14*D15</f>
        <v>0.38090896993016937</v>
      </c>
      <c r="C17" t="s">
        <v>48</v>
      </c>
      <c r="D17">
        <f>((EXP(1)^B17) - (EXP(1)^(-B17))) / ((EXP(1)^B17) + (EXP(1)^(-B17)))</f>
        <v>0.36349659603217571</v>
      </c>
      <c r="G17" s="2">
        <v>0</v>
      </c>
      <c r="K17" t="s">
        <v>62</v>
      </c>
      <c r="L17">
        <f>(1-0.99) *H18^2</f>
        <v>8.9244774264028495E-10</v>
      </c>
      <c r="N17" t="s">
        <v>89</v>
      </c>
      <c r="O17" t="s">
        <v>90</v>
      </c>
      <c r="P17" t="s">
        <v>91</v>
      </c>
    </row>
    <row r="18" spans="1:16" x14ac:dyDescent="0.3">
      <c r="A18" t="s">
        <v>15</v>
      </c>
      <c r="B18" s="2">
        <f>D16 * ((EXP(1)^B17) - (EXP(1)^(-B17))) / ((EXP(1)^B17) + (EXP(1)^(-B17)))</f>
        <v>0.25592037006975149</v>
      </c>
      <c r="F18" t="s">
        <v>37</v>
      </c>
      <c r="G18" s="2">
        <f>B23</f>
        <v>0.25592037006975149</v>
      </c>
      <c r="H18">
        <f>G13*G14*G15*G16*G18</f>
        <v>2.9873863871958113E-4</v>
      </c>
      <c r="K18" t="s">
        <v>63</v>
      </c>
      <c r="L18">
        <f>L16/0.1</f>
        <v>2.9873863871958102E-4</v>
      </c>
      <c r="N18" t="s">
        <v>71</v>
      </c>
      <c r="O18" t="s">
        <v>72</v>
      </c>
      <c r="P18" t="s">
        <v>73</v>
      </c>
    </row>
    <row r="19" spans="1:16" x14ac:dyDescent="0.3">
      <c r="B19">
        <f xml:space="preserve"> ((EXP(1)^B17) - (EXP(1)^(-B17))) / ((EXP(1)^B17) + (EXP(1)^(-B17)))</f>
        <v>0.36349659603217571</v>
      </c>
      <c r="F19" t="s">
        <v>39</v>
      </c>
      <c r="H19">
        <f>G13*G14*G15*G16</f>
        <v>1.16731090470899E-3</v>
      </c>
      <c r="K19" t="s">
        <v>64</v>
      </c>
      <c r="L19">
        <f>L17/0.1</f>
        <v>8.9244774264028485E-9</v>
      </c>
      <c r="N19" t="s">
        <v>92</v>
      </c>
      <c r="O19" t="s">
        <v>93</v>
      </c>
      <c r="P19">
        <v>0</v>
      </c>
    </row>
    <row r="20" spans="1:16" x14ac:dyDescent="0.3">
      <c r="F20" t="s">
        <v>40</v>
      </c>
      <c r="G20" s="1">
        <f>B29-0.33</f>
        <v>1.0526747794451785E-2</v>
      </c>
      <c r="K20" t="s">
        <v>65</v>
      </c>
      <c r="L20">
        <f>G5 - (0.1 * L18/SQRT(L19+1*10^-8))</f>
        <v>0.28284019163133406</v>
      </c>
      <c r="N20" t="s">
        <v>94</v>
      </c>
      <c r="O20" t="s">
        <v>95</v>
      </c>
      <c r="P20" t="s">
        <v>96</v>
      </c>
    </row>
    <row r="21" spans="1:16" x14ac:dyDescent="0.3">
      <c r="A21" t="s">
        <v>25</v>
      </c>
      <c r="G21">
        <f>D27</f>
        <v>0.67435748971806442</v>
      </c>
      <c r="N21" t="s">
        <v>97</v>
      </c>
      <c r="O21" t="s">
        <v>98</v>
      </c>
      <c r="P21" t="s">
        <v>99</v>
      </c>
    </row>
    <row r="22" spans="1:16" x14ac:dyDescent="0.3">
      <c r="A22" t="s">
        <v>14</v>
      </c>
      <c r="B22">
        <f>B17</f>
        <v>0.38090896993016937</v>
      </c>
      <c r="G22">
        <f>1 - D28^2</f>
        <v>0.74501062134296958</v>
      </c>
      <c r="J22">
        <f>H19+H50</f>
        <v>2.0550519343473302E-2</v>
      </c>
      <c r="K22" t="s">
        <v>70</v>
      </c>
      <c r="L22">
        <f>0.1*J22</f>
        <v>2.0550519343473304E-3</v>
      </c>
    </row>
    <row r="23" spans="1:16" x14ac:dyDescent="0.3">
      <c r="A23" t="s">
        <v>15</v>
      </c>
      <c r="B23" s="2">
        <f>B18</f>
        <v>0.25592037006975149</v>
      </c>
      <c r="G23">
        <f>D26</f>
        <v>0.53873254489413525</v>
      </c>
      <c r="K23" t="s">
        <v>69</v>
      </c>
      <c r="L23">
        <f>(1-0.99) *J22^2</f>
        <v>4.2232384528647069E-6</v>
      </c>
    </row>
    <row r="24" spans="1:16" x14ac:dyDescent="0.3">
      <c r="A24" t="s">
        <v>26</v>
      </c>
      <c r="B24">
        <f>(F2*$C$3) + (G2*$B$23) + H2</f>
        <v>0.3511840740139503</v>
      </c>
      <c r="C24" t="s">
        <v>27</v>
      </c>
      <c r="D24">
        <f>1 / (1 +(EXP(1)^(-B24)))</f>
        <v>0.58690468430168807</v>
      </c>
      <c r="G24">
        <f>D25</f>
        <v>0.61698631189886599</v>
      </c>
      <c r="K24" t="s">
        <v>66</v>
      </c>
      <c r="L24">
        <f>L22/0.1</f>
        <v>2.0550519343473302E-2</v>
      </c>
    </row>
    <row r="25" spans="1:16" x14ac:dyDescent="0.3">
      <c r="A25" t="s">
        <v>28</v>
      </c>
      <c r="B25">
        <f>(F3*$C$3) + (G3*$B$23) + H3</f>
        <v>0.47677611102092549</v>
      </c>
      <c r="C25" t="s">
        <v>29</v>
      </c>
      <c r="D25">
        <f>1 / (1 +(EXP(1)^(-B25)))</f>
        <v>0.61698631189886599</v>
      </c>
      <c r="G25">
        <f xml:space="preserve"> 1- D25</f>
        <v>0.38301368810113401</v>
      </c>
      <c r="K25" t="s">
        <v>67</v>
      </c>
      <c r="L25">
        <f>L23/0.1</f>
        <v>4.2232384528647068E-5</v>
      </c>
    </row>
    <row r="26" spans="1:16" x14ac:dyDescent="0.3">
      <c r="A26" t="s">
        <v>30</v>
      </c>
      <c r="B26">
        <f>(F4*$C$3) + (G4*$B$23) + H4</f>
        <v>0.60236814802790062</v>
      </c>
      <c r="C26" t="s">
        <v>33</v>
      </c>
      <c r="D26">
        <f>((EXP(1)^B26) - (EXP(1)^(-B26))) / ((EXP(1)^B26) + (EXP(1)^(-B26)))</f>
        <v>0.53873254489413525</v>
      </c>
      <c r="G26" s="2">
        <f>B23</f>
        <v>0.25592037006975149</v>
      </c>
      <c r="H26">
        <f>G20*G21*G22*G23*G24*G25*G26</f>
        <v>1.7231169679272955E-4</v>
      </c>
      <c r="K26" t="s">
        <v>68</v>
      </c>
      <c r="L26">
        <f>H5-(0.1 * L24 / SQRT(L25+1*10^-8))</f>
        <v>0.28380966634959182</v>
      </c>
    </row>
    <row r="27" spans="1:16" x14ac:dyDescent="0.3">
      <c r="A27" t="s">
        <v>31</v>
      </c>
      <c r="B27">
        <f>(F5*$C$3) + (G5*$B$23) + H5</f>
        <v>0.7279601850348757</v>
      </c>
      <c r="C27" t="s">
        <v>32</v>
      </c>
      <c r="D27">
        <f>1 / (1 +(EXP(1)^(-B27)))</f>
        <v>0.67435748971806442</v>
      </c>
      <c r="F27" t="s">
        <v>41</v>
      </c>
      <c r="H27">
        <f>G20*G21*G22*G23*G24*G25</f>
        <v>6.7330199915608801E-4</v>
      </c>
    </row>
    <row r="28" spans="1:16" x14ac:dyDescent="0.3">
      <c r="A28" t="s">
        <v>22</v>
      </c>
      <c r="B28">
        <f>D24*B22 + D25*D26</f>
        <v>0.55594786471866997</v>
      </c>
      <c r="C28" t="s">
        <v>48</v>
      </c>
      <c r="D28">
        <f>((EXP(1)^B28) - (EXP(1)^(-B28))) / ((EXP(1)^B28) + (EXP(1)^(-B28)))</f>
        <v>0.50496473011194598</v>
      </c>
      <c r="F28" t="s">
        <v>42</v>
      </c>
      <c r="G28" s="1">
        <f>G20</f>
        <v>1.0526747794451785E-2</v>
      </c>
      <c r="K28" t="s">
        <v>100</v>
      </c>
      <c r="L28">
        <f>0.1*H57</f>
        <v>1.4682170611316607E-3</v>
      </c>
    </row>
    <row r="29" spans="1:16" x14ac:dyDescent="0.3">
      <c r="A29" t="s">
        <v>34</v>
      </c>
      <c r="B29" s="1">
        <f>D27 * ((EXP(1)^B28) - (EXP(1)^(-B28))) / ((EXP(1)^B28) + (EXP(1)^(-B28)))</f>
        <v>0.3405267477944518</v>
      </c>
      <c r="G29">
        <f>G21</f>
        <v>0.67435748971806442</v>
      </c>
      <c r="K29" t="s">
        <v>101</v>
      </c>
      <c r="L29">
        <f>(1-0.99) *H57^2</f>
        <v>2.1556613385980926E-6</v>
      </c>
    </row>
    <row r="30" spans="1:16" x14ac:dyDescent="0.3">
      <c r="B30">
        <f xml:space="preserve"> ((EXP(1)^B28) - (EXP(1)^(-B28))) / ((EXP(1)^B28) + (EXP(1)^(-B28)))</f>
        <v>0.50496473011194598</v>
      </c>
      <c r="G30">
        <f>G22</f>
        <v>0.74501062134296958</v>
      </c>
      <c r="K30" t="s">
        <v>102</v>
      </c>
      <c r="L30">
        <f>L28/0.1</f>
        <v>1.4682170611316606E-2</v>
      </c>
    </row>
    <row r="31" spans="1:16" x14ac:dyDescent="0.3">
      <c r="G31">
        <f>D25</f>
        <v>0.61698631189886599</v>
      </c>
      <c r="K31" t="s">
        <v>103</v>
      </c>
      <c r="L31">
        <f>L29/0.1</f>
        <v>2.1556613385980925E-5</v>
      </c>
    </row>
    <row r="32" spans="1:16" x14ac:dyDescent="0.3">
      <c r="G32">
        <f>1 - D26^2</f>
        <v>0.7097672450718886</v>
      </c>
      <c r="K32" t="s">
        <v>104</v>
      </c>
      <c r="L32">
        <f>F3 - 0.1 * (L28/SQRT(L29 + 1 * 10^-8))</f>
        <v>0.10023114349341057</v>
      </c>
    </row>
    <row r="33" spans="6:12" x14ac:dyDescent="0.3">
      <c r="G33" s="2">
        <f>B23</f>
        <v>0.25592037006975149</v>
      </c>
      <c r="H33">
        <f>G28*G29*G30*G31*G32*G33</f>
        <v>5.9271129740448808E-4</v>
      </c>
    </row>
    <row r="34" spans="6:12" x14ac:dyDescent="0.3">
      <c r="F34" t="s">
        <v>43</v>
      </c>
      <c r="H34">
        <f>G28*G29*G30*G31*G32</f>
        <v>2.3159989071715693E-3</v>
      </c>
      <c r="K34" t="s">
        <v>105</v>
      </c>
      <c r="L34">
        <f>0.1 *H26</f>
        <v>1.7231169679272956E-5</v>
      </c>
    </row>
    <row r="35" spans="6:12" x14ac:dyDescent="0.3">
      <c r="F35" t="s">
        <v>44</v>
      </c>
      <c r="G35" s="1">
        <f>G28</f>
        <v>1.0526747794451785E-2</v>
      </c>
      <c r="K35" t="s">
        <v>106</v>
      </c>
      <c r="L35">
        <f>(1-0.99)*H26^2</f>
        <v>2.969132085158959E-10</v>
      </c>
    </row>
    <row r="36" spans="6:12" x14ac:dyDescent="0.3">
      <c r="G36">
        <f>G29</f>
        <v>0.67435748971806442</v>
      </c>
      <c r="K36" t="s">
        <v>107</v>
      </c>
      <c r="L36">
        <f>L34/0.1</f>
        <v>1.7231169679272955E-4</v>
      </c>
    </row>
    <row r="37" spans="6:12" x14ac:dyDescent="0.3">
      <c r="G37">
        <f>G30</f>
        <v>0.74501062134296958</v>
      </c>
      <c r="K37" t="s">
        <v>108</v>
      </c>
      <c r="L37">
        <f>L35/0.1</f>
        <v>2.969132085158959E-9</v>
      </c>
    </row>
    <row r="38" spans="6:12" x14ac:dyDescent="0.3">
      <c r="G38">
        <f>B22</f>
        <v>0.38090896993016937</v>
      </c>
      <c r="K38" t="s">
        <v>109</v>
      </c>
      <c r="L38">
        <f>G3 - 0.1 * L36/SQRT(L37 + (1 * 10^-8))</f>
        <v>0.14869290179937628</v>
      </c>
    </row>
    <row r="39" spans="6:12" x14ac:dyDescent="0.3">
      <c r="G39">
        <f>D24</f>
        <v>0.58690468430168807</v>
      </c>
    </row>
    <row r="40" spans="6:12" x14ac:dyDescent="0.3">
      <c r="G40">
        <f>1 - D24</f>
        <v>0.41309531569831193</v>
      </c>
      <c r="K40" t="s">
        <v>110</v>
      </c>
      <c r="L40">
        <f>0.1*J14</f>
        <v>2.2696557916130999E-3</v>
      </c>
    </row>
    <row r="41" spans="6:12" x14ac:dyDescent="0.3">
      <c r="G41" s="2">
        <f>B23</f>
        <v>0.25592037006975149</v>
      </c>
      <c r="H41">
        <f>G35*G36*G37*G38*G39*G40*G41</f>
        <v>1.2499446118396487E-4</v>
      </c>
      <c r="K41" t="s">
        <v>111</v>
      </c>
      <c r="L41">
        <f>(1 - 0.99) * J14^2</f>
        <v>5.151337412402892E-6</v>
      </c>
    </row>
    <row r="42" spans="6:12" x14ac:dyDescent="0.3">
      <c r="F42" t="s">
        <v>45</v>
      </c>
      <c r="H42">
        <f>G35*G36*G37*G38*G39*G40</f>
        <v>4.8841153656466435E-4</v>
      </c>
      <c r="K42" t="s">
        <v>112</v>
      </c>
      <c r="L42">
        <f>L40/0.1</f>
        <v>2.2696557916130997E-2</v>
      </c>
    </row>
    <row r="43" spans="6:12" x14ac:dyDescent="0.3">
      <c r="K43" t="s">
        <v>113</v>
      </c>
      <c r="L43">
        <f>L41/0.1</f>
        <v>5.1513374124028916E-5</v>
      </c>
    </row>
    <row r="44" spans="6:12" x14ac:dyDescent="0.3">
      <c r="F44" t="s">
        <v>46</v>
      </c>
      <c r="G44">
        <f xml:space="preserve"> (B18 - 0)^2 / 2</f>
        <v>3.2747617908319281E-2</v>
      </c>
      <c r="K44" t="s">
        <v>114</v>
      </c>
      <c r="L44">
        <f>H3 - 0.1 *L42/SQRT(L43+ 1*10^-8)</f>
        <v>8.3802923269023333E-2</v>
      </c>
    </row>
    <row r="45" spans="6:12" x14ac:dyDescent="0.3">
      <c r="F45" t="s">
        <v>47</v>
      </c>
      <c r="G45" s="2">
        <f>B18-0</f>
        <v>0.25592037006975149</v>
      </c>
    </row>
    <row r="46" spans="6:12" x14ac:dyDescent="0.3">
      <c r="G46">
        <f>D17</f>
        <v>0.36349659603217571</v>
      </c>
      <c r="K46" t="s">
        <v>115</v>
      </c>
      <c r="L46">
        <f>0.1 * H64</f>
        <v>4.1705024166181119E-3</v>
      </c>
    </row>
    <row r="47" spans="6:12" x14ac:dyDescent="0.3">
      <c r="G47">
        <f>D16</f>
        <v>0.70405162761716233</v>
      </c>
      <c r="K47" t="s">
        <v>116</v>
      </c>
      <c r="L47">
        <f>(1 - 0.99) * H64^2</f>
        <v>1.7393090407017526E-5</v>
      </c>
    </row>
    <row r="48" spans="6:12" x14ac:dyDescent="0.3">
      <c r="G48">
        <f>1-G47</f>
        <v>0.29594837238283767</v>
      </c>
      <c r="K48" t="s">
        <v>117</v>
      </c>
      <c r="L48">
        <f>L46/0.1</f>
        <v>4.1705024166181118E-2</v>
      </c>
    </row>
    <row r="49" spans="6:12" x14ac:dyDescent="0.3">
      <c r="G49" s="4">
        <f>C2</f>
        <v>0.66666666666666663</v>
      </c>
      <c r="H49">
        <f>G45*G46*G47*G48*G49</f>
        <v>1.2922138959176207E-2</v>
      </c>
      <c r="K49" t="s">
        <v>118</v>
      </c>
      <c r="L49">
        <f>L47/0.1</f>
        <v>1.7393090407017526E-4</v>
      </c>
    </row>
    <row r="50" spans="6:12" x14ac:dyDescent="0.3">
      <c r="F50" t="s">
        <v>49</v>
      </c>
      <c r="H50">
        <f>G45*G46*G47*G48</f>
        <v>1.9383208438764312E-2</v>
      </c>
      <c r="K50" t="s">
        <v>119</v>
      </c>
      <c r="L50">
        <f>F4 - 0.1 * L48/SQRT(L49+1*10^-8)</f>
        <v>-1.6218675794130166E-2</v>
      </c>
    </row>
    <row r="51" spans="6:12" x14ac:dyDescent="0.3">
      <c r="F51" t="s">
        <v>50</v>
      </c>
      <c r="G51" s="2">
        <f>G45</f>
        <v>0.25592037006975149</v>
      </c>
    </row>
    <row r="52" spans="6:12" x14ac:dyDescent="0.3">
      <c r="G52">
        <f>D16</f>
        <v>0.70405162761716233</v>
      </c>
      <c r="K52" t="s">
        <v>120</v>
      </c>
      <c r="L52">
        <f>H33*0.1</f>
        <v>5.9271129740448808E-5</v>
      </c>
    </row>
    <row r="53" spans="6:12" x14ac:dyDescent="0.3">
      <c r="G53">
        <f>1 - D17^2</f>
        <v>0.86787022467302122</v>
      </c>
      <c r="K53" t="s">
        <v>121</v>
      </c>
      <c r="L53">
        <f>(1-0.99)*H33^2</f>
        <v>3.513066820709118E-9</v>
      </c>
    </row>
    <row r="54" spans="6:12" x14ac:dyDescent="0.3">
      <c r="G54">
        <f>D15</f>
        <v>0.60436777711716361</v>
      </c>
      <c r="K54" t="s">
        <v>122</v>
      </c>
      <c r="L54">
        <f>L52/0.1</f>
        <v>5.9271129740448808E-4</v>
      </c>
    </row>
    <row r="55" spans="6:12" x14ac:dyDescent="0.3">
      <c r="G55">
        <f>D14</f>
        <v>0.6302602229177513</v>
      </c>
      <c r="K55" t="s">
        <v>123</v>
      </c>
      <c r="L55">
        <f>L53/0.1</f>
        <v>3.5130668207091177E-8</v>
      </c>
    </row>
    <row r="56" spans="6:12" x14ac:dyDescent="0.3">
      <c r="G56">
        <f>1 -G55</f>
        <v>0.3697397770822487</v>
      </c>
      <c r="K56" t="s">
        <v>124</v>
      </c>
      <c r="L56">
        <f>0.4 - 0.1 * L54/SQRT(L55+1*10^-8)</f>
        <v>0.12099799560043373</v>
      </c>
    </row>
    <row r="57" spans="6:12" x14ac:dyDescent="0.3">
      <c r="G57" s="4">
        <f>C2</f>
        <v>0.66666666666666663</v>
      </c>
      <c r="H57">
        <f>G53*G54*G55*G56*G57*G52*G51</f>
        <v>1.4682170611316606E-2</v>
      </c>
    </row>
    <row r="58" spans="6:12" x14ac:dyDescent="0.3">
      <c r="F58" t="s">
        <v>51</v>
      </c>
      <c r="H58">
        <f>G51*G52*G53*G54*G55*G56</f>
        <v>2.2023255916974911E-2</v>
      </c>
      <c r="K58" t="s">
        <v>125</v>
      </c>
      <c r="L58">
        <f>0.1 * J13</f>
        <v>6.4873535156443262E-3</v>
      </c>
    </row>
    <row r="59" spans="6:12" x14ac:dyDescent="0.3">
      <c r="F59" t="s">
        <v>52</v>
      </c>
      <c r="G59" s="2">
        <f>G51</f>
        <v>0.25592037006975149</v>
      </c>
      <c r="K59" t="s">
        <v>126</v>
      </c>
      <c r="L59">
        <f>(1-0.99) * J13^2</f>
        <v>4.2085755636942837E-5</v>
      </c>
    </row>
    <row r="60" spans="6:12" x14ac:dyDescent="0.3">
      <c r="G60">
        <f>G52</f>
        <v>0.70405162761716233</v>
      </c>
      <c r="K60" t="s">
        <v>127</v>
      </c>
      <c r="L60">
        <f>L58/0.1</f>
        <v>6.4873535156443257E-2</v>
      </c>
    </row>
    <row r="61" spans="6:12" x14ac:dyDescent="0.3">
      <c r="G61">
        <f>G53</f>
        <v>0.86787022467302122</v>
      </c>
      <c r="K61" t="s">
        <v>128</v>
      </c>
      <c r="L61">
        <f>L59/0.1</f>
        <v>4.2085755636942835E-4</v>
      </c>
    </row>
    <row r="62" spans="6:12" x14ac:dyDescent="0.3">
      <c r="G62">
        <f>D14</f>
        <v>0.6302602229177513</v>
      </c>
      <c r="K62" t="s">
        <v>129</v>
      </c>
      <c r="L62">
        <f>0.5-(0.1*L60/SQRT(L61+1*10^-8))</f>
        <v>0.18377599086153973</v>
      </c>
    </row>
    <row r="63" spans="6:12" x14ac:dyDescent="0.3">
      <c r="G63">
        <f xml:space="preserve"> 1 - D15^2</f>
        <v>0.63473958998245839</v>
      </c>
    </row>
    <row r="64" spans="6:12" x14ac:dyDescent="0.3">
      <c r="G64" s="4">
        <f>C2</f>
        <v>0.66666666666666663</v>
      </c>
      <c r="H64">
        <f>G59*G60*G61*G62*G63*G64</f>
        <v>4.1705024166181118E-2</v>
      </c>
      <c r="K64" t="s">
        <v>130</v>
      </c>
      <c r="L64">
        <v>0</v>
      </c>
    </row>
    <row r="65" spans="6:12" x14ac:dyDescent="0.3">
      <c r="F65" t="s">
        <v>43</v>
      </c>
      <c r="H65">
        <f>G59*G60*G61*G62*G63</f>
        <v>6.2557536249271684E-2</v>
      </c>
      <c r="K65" t="s">
        <v>131</v>
      </c>
      <c r="L65">
        <v>0</v>
      </c>
    </row>
    <row r="66" spans="6:12" x14ac:dyDescent="0.3">
      <c r="K66" t="s">
        <v>132</v>
      </c>
      <c r="L66">
        <v>0</v>
      </c>
    </row>
    <row r="67" spans="6:12" x14ac:dyDescent="0.3">
      <c r="K67" t="s">
        <v>133</v>
      </c>
      <c r="L67">
        <v>0</v>
      </c>
    </row>
    <row r="68" spans="6:12" x14ac:dyDescent="0.3">
      <c r="K68" t="s">
        <v>134</v>
      </c>
      <c r="L68">
        <v>0.1</v>
      </c>
    </row>
    <row r="70" spans="6:12" x14ac:dyDescent="0.3">
      <c r="K70" t="s">
        <v>135</v>
      </c>
      <c r="L70">
        <f>0.1*H41</f>
        <v>1.2499446118396487E-5</v>
      </c>
    </row>
    <row r="71" spans="6:12" x14ac:dyDescent="0.3">
      <c r="K71" t="s">
        <v>136</v>
      </c>
      <c r="L71">
        <f>(1 - 0.99)*H41^2</f>
        <v>1.5623615326669713E-10</v>
      </c>
    </row>
    <row r="72" spans="6:12" x14ac:dyDescent="0.3">
      <c r="K72" t="s">
        <v>137</v>
      </c>
      <c r="L72">
        <f>L70/0.1</f>
        <v>1.2499446118396487E-4</v>
      </c>
    </row>
    <row r="73" spans="6:12" x14ac:dyDescent="0.3">
      <c r="K73" t="s">
        <v>138</v>
      </c>
      <c r="L73">
        <f>L71/0.1</f>
        <v>1.5623615326669713E-9</v>
      </c>
    </row>
    <row r="74" spans="6:12" x14ac:dyDescent="0.3">
      <c r="K74" t="s">
        <v>139</v>
      </c>
      <c r="L74">
        <f>G2 - 0.1 *L72/SQRT(L73 + 1*10^-8)</f>
        <v>8.3756816210169477E-2</v>
      </c>
    </row>
    <row r="76" spans="6:12" x14ac:dyDescent="0.3">
      <c r="K76" t="s">
        <v>140</v>
      </c>
      <c r="L76">
        <f>0.1*H42</f>
        <v>4.8841153656466439E-5</v>
      </c>
    </row>
    <row r="77" spans="6:12" x14ac:dyDescent="0.3">
      <c r="K77" t="s">
        <v>141</v>
      </c>
      <c r="L77">
        <f>(1-0.99)*H42^2</f>
        <v>2.3854582904945665E-9</v>
      </c>
    </row>
    <row r="78" spans="6:12" x14ac:dyDescent="0.3">
      <c r="K78" t="s">
        <v>142</v>
      </c>
      <c r="L78">
        <f>L76/0.1</f>
        <v>4.8841153656466435E-4</v>
      </c>
    </row>
    <row r="79" spans="6:12" x14ac:dyDescent="0.3">
      <c r="K79" t="s">
        <v>143</v>
      </c>
      <c r="L79">
        <f>L77/0.1</f>
        <v>2.3854582904945665E-8</v>
      </c>
    </row>
    <row r="80" spans="6:12" x14ac:dyDescent="0.3">
      <c r="K80" t="s">
        <v>144</v>
      </c>
      <c r="L80">
        <f>H2 - 0.1 * L78/SQRT(L77 + 1*10^-8)</f>
        <v>-0.13886391509700874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1529-D39B-4672-A9A0-DBBE01229F91}">
  <dimension ref="A1:O21"/>
  <sheetViews>
    <sheetView topLeftCell="C1" workbookViewId="0">
      <selection activeCell="J4" sqref="J4"/>
    </sheetView>
  </sheetViews>
  <sheetFormatPr defaultRowHeight="14.4" x14ac:dyDescent="0.3"/>
  <cols>
    <col min="1" max="1" width="12.88671875" bestFit="1" customWidth="1"/>
    <col min="4" max="4" width="12.88671875" bestFit="1" customWidth="1"/>
    <col min="9" max="9" width="11.109375" bestFit="1" customWidth="1"/>
  </cols>
  <sheetData>
    <row r="1" spans="1:15" x14ac:dyDescent="0.3">
      <c r="A1" t="s">
        <v>4</v>
      </c>
      <c r="C1" t="s">
        <v>5</v>
      </c>
      <c r="D1" t="s">
        <v>10</v>
      </c>
      <c r="E1" t="s">
        <v>11</v>
      </c>
      <c r="F1" t="s">
        <v>12</v>
      </c>
      <c r="G1" t="s">
        <v>151</v>
      </c>
      <c r="I1" t="s">
        <v>158</v>
      </c>
      <c r="J1" t="s">
        <v>159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</row>
    <row r="2" spans="1:15" x14ac:dyDescent="0.3">
      <c r="A2">
        <v>0.66666666666666663</v>
      </c>
      <c r="C2" t="s">
        <v>6</v>
      </c>
      <c r="D2">
        <f>Training!L68</f>
        <v>0.1</v>
      </c>
      <c r="E2">
        <f>Training!L74</f>
        <v>8.3756816210169477E-2</v>
      </c>
      <c r="F2">
        <f>Training!L80</f>
        <v>-0.13886391509700874</v>
      </c>
      <c r="G2">
        <v>0.66666666666666663</v>
      </c>
      <c r="I2">
        <v>1</v>
      </c>
      <c r="J2">
        <f>E13</f>
        <v>6.3697068776130517E-2</v>
      </c>
      <c r="K2">
        <f>ABS(I2-J2)</f>
        <v>0.93630293122386954</v>
      </c>
      <c r="L2">
        <f>K2^2</f>
        <v>0.87666317901841018</v>
      </c>
      <c r="M2">
        <f>I2*J2</f>
        <v>6.3697068776130517E-2</v>
      </c>
      <c r="N2">
        <f>I2^2</f>
        <v>1</v>
      </c>
      <c r="O2">
        <f>J2^2</f>
        <v>4.0573165706711016E-3</v>
      </c>
    </row>
    <row r="3" spans="1:15" x14ac:dyDescent="0.3">
      <c r="A3">
        <v>0</v>
      </c>
      <c r="C3" t="s">
        <v>7</v>
      </c>
      <c r="D3">
        <f>Training!L32</f>
        <v>0.10023114349341057</v>
      </c>
      <c r="E3">
        <f>Training!L38</f>
        <v>0.14869290179937628</v>
      </c>
      <c r="F3">
        <f>Training!L44</f>
        <v>8.3802923269023333E-2</v>
      </c>
      <c r="G3">
        <v>0</v>
      </c>
      <c r="I3">
        <v>0</v>
      </c>
      <c r="J3">
        <f>E21</f>
        <v>7.1423993278319831E-2</v>
      </c>
      <c r="K3">
        <f>ABS(I3-J3)</f>
        <v>7.1423993278319831E-2</v>
      </c>
      <c r="L3">
        <f>K3^2</f>
        <v>5.1013868158214766E-3</v>
      </c>
      <c r="M3">
        <f>I3*J3</f>
        <v>0</v>
      </c>
      <c r="N3">
        <f>I3^2</f>
        <v>0</v>
      </c>
      <c r="O3">
        <f>J3^2</f>
        <v>5.1013868158214766E-3</v>
      </c>
    </row>
    <row r="4" spans="1:15" x14ac:dyDescent="0.3">
      <c r="A4">
        <v>0.33333333333333331</v>
      </c>
      <c r="C4" t="s">
        <v>8</v>
      </c>
      <c r="D4">
        <f>Training!L50</f>
        <v>-1.6218675794130166E-2</v>
      </c>
      <c r="E4">
        <f>Training!L56</f>
        <v>0.12099799560043373</v>
      </c>
      <c r="F4">
        <f>Training!L62</f>
        <v>0.18377599086153973</v>
      </c>
      <c r="G4">
        <v>0.33333333333333331</v>
      </c>
      <c r="I4" s="9">
        <f t="shared" ref="I4:O4" si="0">SUM(I2:I3)</f>
        <v>1</v>
      </c>
      <c r="J4" s="9">
        <f t="shared" si="0"/>
        <v>0.13512106205445035</v>
      </c>
      <c r="K4" s="9">
        <f t="shared" si="0"/>
        <v>1.0077269245021894</v>
      </c>
      <c r="L4" s="9">
        <f t="shared" si="0"/>
        <v>0.88176456583423168</v>
      </c>
      <c r="M4" s="9">
        <f t="shared" si="0"/>
        <v>6.3697068776130517E-2</v>
      </c>
      <c r="N4" s="9">
        <f t="shared" si="0"/>
        <v>1</v>
      </c>
      <c r="O4" s="9">
        <f t="shared" si="0"/>
        <v>9.1587033864925782E-3</v>
      </c>
    </row>
    <row r="5" spans="1:15" x14ac:dyDescent="0.3">
      <c r="A5">
        <v>1</v>
      </c>
      <c r="C5" t="s">
        <v>9</v>
      </c>
      <c r="D5">
        <f>Training!L14</f>
        <v>8.3866880836563795E-2</v>
      </c>
      <c r="E5">
        <f>Training!L20</f>
        <v>0.28284019163133406</v>
      </c>
      <c r="F5">
        <f>Training!L26</f>
        <v>0.28380966634959182</v>
      </c>
      <c r="G5">
        <v>1</v>
      </c>
    </row>
    <row r="7" spans="1:15" x14ac:dyDescent="0.3">
      <c r="A7" t="s">
        <v>152</v>
      </c>
      <c r="D7" t="s">
        <v>152</v>
      </c>
      <c r="H7" t="s">
        <v>154</v>
      </c>
      <c r="I7">
        <f>AVERAGE(L2:L3)</f>
        <v>0.44088228291711584</v>
      </c>
      <c r="K7" t="s">
        <v>167</v>
      </c>
      <c r="L7">
        <f>2*M4</f>
        <v>0.12739413755226103</v>
      </c>
      <c r="M7">
        <f>I4*J4</f>
        <v>0.13512106205445035</v>
      </c>
      <c r="N7" t="s">
        <v>168</v>
      </c>
      <c r="O7">
        <f>ABS(L7-M7)</f>
        <v>7.726924502189314E-3</v>
      </c>
    </row>
    <row r="8" spans="1:15" x14ac:dyDescent="0.3">
      <c r="A8" t="s">
        <v>145</v>
      </c>
      <c r="B8">
        <f>1 / (1 +(EXP(1)^(F2)))</f>
        <v>0.53466029991273756</v>
      </c>
      <c r="D8" t="s">
        <v>145</v>
      </c>
      <c r="E8">
        <f>1 / (1 +(EXP(1)^(F8)))</f>
        <v>0.52635818803598122</v>
      </c>
      <c r="F8">
        <f>(D2*$A$4)+F2</f>
        <v>-0.10553058176367541</v>
      </c>
      <c r="H8" t="s">
        <v>155</v>
      </c>
      <c r="I8">
        <f>SQRT(I7)</f>
        <v>0.66398967079098137</v>
      </c>
      <c r="K8">
        <f>O7/O10</f>
        <v>2.2608848929192748E-2</v>
      </c>
      <c r="L8">
        <f>2*N4</f>
        <v>2</v>
      </c>
      <c r="M8">
        <f>I4^2</f>
        <v>1</v>
      </c>
      <c r="N8" t="s">
        <v>168</v>
      </c>
      <c r="O8">
        <f>L8-M8</f>
        <v>1</v>
      </c>
    </row>
    <row r="9" spans="1:15" x14ac:dyDescent="0.3">
      <c r="A9" t="s">
        <v>146</v>
      </c>
      <c r="B9">
        <f>1 / (1 +(EXP(1)^(F3)))</f>
        <v>0.47906152187074741</v>
      </c>
      <c r="D9" t="s">
        <v>146</v>
      </c>
      <c r="E9">
        <f>1 / (1 +(EXP(1)^(F9)))</f>
        <v>0.47073017762742148</v>
      </c>
      <c r="F9">
        <f>(D3*$A$4)+F3</f>
        <v>0.11721330443349352</v>
      </c>
      <c r="H9" t="s">
        <v>156</v>
      </c>
      <c r="I9">
        <f>AVERAGE(K2:K3)</f>
        <v>0.50386346225109468</v>
      </c>
      <c r="L9">
        <f>2*O4</f>
        <v>1.8317406772985156E-2</v>
      </c>
      <c r="M9">
        <f>J4</f>
        <v>0.13512106205445035</v>
      </c>
      <c r="N9" t="s">
        <v>168</v>
      </c>
      <c r="O9">
        <f>L9-M9</f>
        <v>-0.11680365528146519</v>
      </c>
    </row>
    <row r="10" spans="1:15" x14ac:dyDescent="0.3">
      <c r="A10" t="s">
        <v>147</v>
      </c>
      <c r="B10">
        <f>((EXP(1)^F4) - (EXP(1)^(-F4))) / ((EXP(1)^F4) + (EXP(1)^(-F4)))</f>
        <v>0.18173463747681515</v>
      </c>
      <c r="D10" t="s">
        <v>147</v>
      </c>
      <c r="E10">
        <f>((EXP(1)^F10) - (EXP(1)^(-F10))) / ((EXP(1)^F10) + (EXP(1)^(-F10)))</f>
        <v>0.17650187600054151</v>
      </c>
      <c r="F10">
        <f>(D4*$A$4)+F4</f>
        <v>0.17836976559682968</v>
      </c>
      <c r="H10" t="s">
        <v>160</v>
      </c>
      <c r="I10" s="3">
        <f>O7/O10</f>
        <v>2.2608848929192748E-2</v>
      </c>
      <c r="M10">
        <f>ABS(O9*O8)</f>
        <v>0.11680365528146519</v>
      </c>
      <c r="N10" t="s">
        <v>169</v>
      </c>
      <c r="O10">
        <f>SQRT(M10)</f>
        <v>0.34176549750006247</v>
      </c>
    </row>
    <row r="11" spans="1:15" x14ac:dyDescent="0.3">
      <c r="A11" t="s">
        <v>148</v>
      </c>
      <c r="B11">
        <f>B9*B10</f>
        <v>8.7062072006271626E-2</v>
      </c>
      <c r="C11">
        <f>((EXP(1)^B11) - (EXP(1)^(-B11))) / ((EXP(1)^B11) + (EXP(1)^(-B11)))</f>
        <v>8.684276574340842E-2</v>
      </c>
      <c r="D11" t="s">
        <v>148</v>
      </c>
      <c r="E11">
        <f>E8*B19+E9*E10</f>
        <v>0.1518532451786182</v>
      </c>
      <c r="F11">
        <f>((EXP(1)^E11) - (EXP(1)^(-E11))) / ((EXP(1)^E11) + (EXP(1)^(-E11)))</f>
        <v>0.15069669642445901</v>
      </c>
      <c r="H11" t="s">
        <v>157</v>
      </c>
      <c r="I11" s="3">
        <f>I10^2</f>
        <v>5.1116004990306007E-4</v>
      </c>
    </row>
    <row r="12" spans="1:15" x14ac:dyDescent="0.3">
      <c r="A12" t="s">
        <v>149</v>
      </c>
      <c r="B12">
        <f>1 / (1 +(EXP(1)^(F5)))</f>
        <v>0.42952003412229067</v>
      </c>
      <c r="D12" t="s">
        <v>149</v>
      </c>
      <c r="E12">
        <f>1 / (1 +(EXP(1)^(F12)))</f>
        <v>0.42268390938523642</v>
      </c>
      <c r="F12">
        <f>(D5*$A$4)+F5</f>
        <v>0.3117652932951131</v>
      </c>
    </row>
    <row r="13" spans="1:15" x14ac:dyDescent="0.3">
      <c r="A13" t="s">
        <v>150</v>
      </c>
      <c r="B13">
        <f>B12*C11</f>
        <v>3.7300707705382879E-2</v>
      </c>
      <c r="D13" t="s">
        <v>150</v>
      </c>
      <c r="E13">
        <f>E12*F11</f>
        <v>6.3697068776130517E-2</v>
      </c>
    </row>
    <row r="15" spans="1:15" x14ac:dyDescent="0.3">
      <c r="A15" t="s">
        <v>153</v>
      </c>
      <c r="D15" t="s">
        <v>161</v>
      </c>
    </row>
    <row r="16" spans="1:15" x14ac:dyDescent="0.3">
      <c r="A16" t="s">
        <v>145</v>
      </c>
      <c r="B16">
        <f>1 / (1 +(EXP(1)^(C16)))</f>
        <v>0.52557924793819877</v>
      </c>
      <c r="C16">
        <f>(D2*A4) + (E2*B13)+F2</f>
        <v>-0.1024063932438864</v>
      </c>
      <c r="D16" t="s">
        <v>145</v>
      </c>
      <c r="E16">
        <f>1 / (1 +(EXP(1)^(F16)))</f>
        <v>0.5317470200087403</v>
      </c>
      <c r="F16">
        <f>D2*$E$13+E2*$E$13+F2</f>
        <v>-0.12715914453678678</v>
      </c>
    </row>
    <row r="17" spans="1:6" x14ac:dyDescent="0.3">
      <c r="A17" t="s">
        <v>146</v>
      </c>
      <c r="B17">
        <f>1 / (1 +(EXP(1)^(C17)))</f>
        <v>0.46934856952666631</v>
      </c>
      <c r="C17">
        <f>(D3*$A$4)+(E3*$B$13)+F3</f>
        <v>0.12275965490137726</v>
      </c>
      <c r="D17" t="s">
        <v>146</v>
      </c>
      <c r="E17">
        <f>1 / (1 +(EXP(1)^(F17)))</f>
        <v>0.47510593643515414</v>
      </c>
      <c r="F17">
        <f>D3*$E$13+E3*$E$13+F3</f>
        <v>9.9658655302070603E-2</v>
      </c>
    </row>
    <row r="18" spans="1:6" x14ac:dyDescent="0.3">
      <c r="A18" t="s">
        <v>147</v>
      </c>
      <c r="B18">
        <f>((EXP(1)^C18) - (EXP(1)^(-C18))) / ((EXP(1)^C18) + (EXP(1)^(-C18)))</f>
        <v>0.18087107388601656</v>
      </c>
      <c r="C18">
        <f>(D4*$A$4)+(E4*$B$13)+F4</f>
        <v>0.18288307646365864</v>
      </c>
      <c r="D18" t="s">
        <v>147</v>
      </c>
      <c r="E18">
        <f>((EXP(1)^F18) - (EXP(1)^(-F18))) / ((EXP(1)^F18) + (EXP(1)^(-F18)))</f>
        <v>0.18818042920200878</v>
      </c>
      <c r="F18">
        <f>D4*$E$13+E4*$E$13+F4</f>
        <v>0.19045012640155803</v>
      </c>
    </row>
    <row r="19" spans="1:6" x14ac:dyDescent="0.3">
      <c r="A19" t="s">
        <v>148</v>
      </c>
      <c r="B19">
        <f>B16*B11+B17*B18</f>
        <v>0.1306495981261514</v>
      </c>
      <c r="C19">
        <f>((EXP(1)^B19) - (EXP(1)^(-B19))) / ((EXP(1)^B19) + (EXP(1)^(-B19)))</f>
        <v>0.12991127231365054</v>
      </c>
      <c r="D19" t="s">
        <v>148</v>
      </c>
      <c r="E19">
        <f>E16*E11+E17*E18</f>
        <v>0.17015314963717645</v>
      </c>
      <c r="F19">
        <f>((EXP(1)^E19) - (EXP(1)^(-E19))) / ((EXP(1)^E19) + (EXP(1)^(-E19)))</f>
        <v>0.16852984954399289</v>
      </c>
    </row>
    <row r="20" spans="1:6" x14ac:dyDescent="0.3">
      <c r="A20" t="s">
        <v>149</v>
      </c>
      <c r="B20">
        <f>1 / (1 +(EXP(1)^(C20)))</f>
        <v>0.42011156305672487</v>
      </c>
      <c r="C20">
        <f>(D5*$A$4)+(E5*$B$13)+F5</f>
        <v>0.32231543261048795</v>
      </c>
      <c r="D20" t="s">
        <v>149</v>
      </c>
      <c r="E20">
        <f>1 / (1 +(EXP(1)^(F20)))</f>
        <v>0.42380618906133521</v>
      </c>
      <c r="F20">
        <f>D5*$E$13+E5*$E$13+F5</f>
        <v>0.30716783196527297</v>
      </c>
    </row>
    <row r="21" spans="1:6" x14ac:dyDescent="0.3">
      <c r="A21" t="s">
        <v>150</v>
      </c>
      <c r="B21">
        <f>B20*C19</f>
        <v>5.457722767037556E-2</v>
      </c>
      <c r="D21" t="s">
        <v>150</v>
      </c>
      <c r="E21">
        <f>E20*F19</f>
        <v>7.1423993278319831E-2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7139-4A8B-4A13-90DF-FA1C93A663A0}">
  <dimension ref="A1:W21"/>
  <sheetViews>
    <sheetView tabSelected="1" topLeftCell="G1" workbookViewId="0">
      <selection activeCell="J4" sqref="J4"/>
    </sheetView>
  </sheetViews>
  <sheetFormatPr defaultRowHeight="14.4" x14ac:dyDescent="0.3"/>
  <cols>
    <col min="1" max="1" width="12.88671875" bestFit="1" customWidth="1"/>
    <col min="4" max="4" width="12.88671875" bestFit="1" customWidth="1"/>
    <col min="9" max="9" width="11.109375" bestFit="1" customWidth="1"/>
    <col min="17" max="17" width="13.77734375" style="10" bestFit="1" customWidth="1"/>
    <col min="18" max="18" width="4.44140625" style="15" bestFit="1" customWidth="1"/>
    <col min="21" max="21" width="9.44140625" bestFit="1" customWidth="1"/>
  </cols>
  <sheetData>
    <row r="1" spans="1:23" x14ac:dyDescent="0.3">
      <c r="A1" t="s">
        <v>4</v>
      </c>
      <c r="C1" t="s">
        <v>5</v>
      </c>
      <c r="D1" t="s">
        <v>10</v>
      </c>
      <c r="E1" t="s">
        <v>11</v>
      </c>
      <c r="F1" t="s">
        <v>12</v>
      </c>
      <c r="G1" t="s">
        <v>151</v>
      </c>
      <c r="I1" t="s">
        <v>158</v>
      </c>
      <c r="J1" t="s">
        <v>159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Q1" s="17" t="s">
        <v>152</v>
      </c>
      <c r="R1" s="18"/>
    </row>
    <row r="2" spans="1:23" x14ac:dyDescent="0.3">
      <c r="A2">
        <v>0.66666666666666663</v>
      </c>
      <c r="C2" t="s">
        <v>6</v>
      </c>
      <c r="D2">
        <f>Training!L68</f>
        <v>0.1</v>
      </c>
      <c r="E2">
        <f>Training!L74</f>
        <v>8.3756816210169477E-2</v>
      </c>
      <c r="F2">
        <f>Training!L80</f>
        <v>-0.13886391509700874</v>
      </c>
      <c r="G2">
        <v>0.67</v>
      </c>
      <c r="I2">
        <v>1</v>
      </c>
      <c r="J2">
        <v>0.05</v>
      </c>
      <c r="K2">
        <f>ABS(I2-J2)</f>
        <v>0.95</v>
      </c>
      <c r="L2">
        <f>K2^2</f>
        <v>0.90249999999999997</v>
      </c>
      <c r="M2">
        <f>I2*J2</f>
        <v>0.05</v>
      </c>
      <c r="N2">
        <f>I2^2</f>
        <v>1</v>
      </c>
      <c r="O2">
        <f>J2^2</f>
        <v>2.5000000000000005E-3</v>
      </c>
      <c r="Q2" s="11" t="s">
        <v>145</v>
      </c>
      <c r="R2" s="14">
        <v>0.51804147610829732</v>
      </c>
      <c r="S2" t="s">
        <v>170</v>
      </c>
      <c r="T2">
        <f>R15</f>
        <v>6.1945514134582914E-2</v>
      </c>
      <c r="U2" s="4">
        <f>W2+T2*(W3-W2)</f>
        <v>5529.6459135600935</v>
      </c>
      <c r="V2" t="s">
        <v>171</v>
      </c>
      <c r="W2">
        <v>5525</v>
      </c>
    </row>
    <row r="3" spans="1:23" x14ac:dyDescent="0.3">
      <c r="A3">
        <v>1</v>
      </c>
      <c r="C3" t="s">
        <v>7</v>
      </c>
      <c r="D3">
        <f>Training!L32</f>
        <v>0.10023114349341057</v>
      </c>
      <c r="E3">
        <f>Training!L38</f>
        <v>0.14869290179937628</v>
      </c>
      <c r="F3">
        <f>Training!L44</f>
        <v>8.3802923269023333E-2</v>
      </c>
      <c r="G3">
        <v>0</v>
      </c>
      <c r="I3">
        <v>0</v>
      </c>
      <c r="J3">
        <v>7.0000000000000007E-2</v>
      </c>
      <c r="K3">
        <f>ABS(I3-J3)</f>
        <v>7.0000000000000007E-2</v>
      </c>
      <c r="L3">
        <f>K3^2</f>
        <v>4.9000000000000007E-3</v>
      </c>
      <c r="M3">
        <f>I3*J3</f>
        <v>0</v>
      </c>
      <c r="N3">
        <f>I3^2</f>
        <v>0</v>
      </c>
      <c r="O3">
        <f>J3^2</f>
        <v>4.9000000000000007E-3</v>
      </c>
      <c r="Q3" s="11" t="s">
        <v>146</v>
      </c>
      <c r="R3" s="14">
        <v>0.46241511066056101</v>
      </c>
      <c r="V3" t="s">
        <v>172</v>
      </c>
      <c r="W3">
        <v>5600</v>
      </c>
    </row>
    <row r="4" spans="1:23" x14ac:dyDescent="0.3">
      <c r="C4" t="s">
        <v>8</v>
      </c>
      <c r="D4">
        <f>Training!L50</f>
        <v>-1.6218675794130166E-2</v>
      </c>
      <c r="E4">
        <f>Training!L56</f>
        <v>0.12099799560043373</v>
      </c>
      <c r="F4">
        <f>Training!L62</f>
        <v>0.18377599086153973</v>
      </c>
      <c r="I4" s="9">
        <f t="shared" ref="I4:O4" si="0">SUM(I2:I3)</f>
        <v>1</v>
      </c>
      <c r="J4" s="9">
        <f t="shared" si="0"/>
        <v>0.12000000000000001</v>
      </c>
      <c r="K4" s="9">
        <f t="shared" si="0"/>
        <v>1.02</v>
      </c>
      <c r="L4" s="9">
        <f t="shared" si="0"/>
        <v>0.90739999999999998</v>
      </c>
      <c r="M4" s="9">
        <f t="shared" si="0"/>
        <v>0.05</v>
      </c>
      <c r="N4" s="9">
        <f t="shared" si="0"/>
        <v>1</v>
      </c>
      <c r="O4" s="9">
        <f t="shared" si="0"/>
        <v>7.4000000000000012E-3</v>
      </c>
      <c r="Q4" s="11" t="s">
        <v>147</v>
      </c>
      <c r="R4" s="14">
        <v>0.17125911878847208</v>
      </c>
    </row>
    <row r="5" spans="1:23" x14ac:dyDescent="0.3">
      <c r="C5" t="s">
        <v>9</v>
      </c>
      <c r="D5">
        <f>Training!L14</f>
        <v>8.3866880836563795E-2</v>
      </c>
      <c r="E5">
        <f>Training!L20</f>
        <v>0.28284019163133406</v>
      </c>
      <c r="F5">
        <f>Training!L26</f>
        <v>0.28380966634959182</v>
      </c>
      <c r="Q5" s="11" t="s">
        <v>148</v>
      </c>
      <c r="R5" s="14">
        <v>0.14932240321320334</v>
      </c>
    </row>
    <row r="6" spans="1:23" x14ac:dyDescent="0.3">
      <c r="Q6" s="11" t="s">
        <v>149</v>
      </c>
      <c r="R6" s="14">
        <v>0.41587727046720274</v>
      </c>
    </row>
    <row r="7" spans="1:23" x14ac:dyDescent="0.3">
      <c r="A7" t="s">
        <v>152</v>
      </c>
      <c r="D7" s="16" t="s">
        <v>152</v>
      </c>
      <c r="E7" s="16"/>
      <c r="H7" t="s">
        <v>154</v>
      </c>
      <c r="I7">
        <f>AVERAGE(L2:L3)</f>
        <v>0.45369999999999999</v>
      </c>
      <c r="K7" t="s">
        <v>167</v>
      </c>
      <c r="L7">
        <f>2*M4</f>
        <v>0.1</v>
      </c>
      <c r="M7">
        <f>I4*J4</f>
        <v>0.12000000000000001</v>
      </c>
      <c r="N7" t="s">
        <v>168</v>
      </c>
      <c r="O7">
        <f>ABS(L7-M7)</f>
        <v>2.0000000000000004E-2</v>
      </c>
      <c r="Q7" s="11" t="s">
        <v>150</v>
      </c>
      <c r="R7" s="14">
        <v>6.1642323062065366E-2</v>
      </c>
      <c r="T7">
        <v>0.06</v>
      </c>
      <c r="U7">
        <f>75*T7 + 5525</f>
        <v>5529.5</v>
      </c>
    </row>
    <row r="8" spans="1:23" x14ac:dyDescent="0.3">
      <c r="A8" t="s">
        <v>145</v>
      </c>
      <c r="B8">
        <f>1 / (1 +(EXP(1)^(F2)))</f>
        <v>0.53466029991273756</v>
      </c>
      <c r="D8" s="12" t="s">
        <v>145</v>
      </c>
      <c r="E8" s="12">
        <f>1 / (1 +(EXP(1)^(F8)))</f>
        <v>0.51804147610829732</v>
      </c>
      <c r="F8">
        <f>(D2*$A$2)+F2</f>
        <v>-7.2197248430342073E-2</v>
      </c>
      <c r="H8" t="s">
        <v>155</v>
      </c>
      <c r="I8">
        <f>SQRT(I7)</f>
        <v>0.67357256476195648</v>
      </c>
      <c r="K8">
        <f>O7/O10</f>
        <v>6.1662641597820748E-2</v>
      </c>
      <c r="L8">
        <f>2*N4</f>
        <v>2</v>
      </c>
      <c r="M8">
        <f>I4^2</f>
        <v>1</v>
      </c>
      <c r="N8" t="s">
        <v>168</v>
      </c>
      <c r="O8">
        <f>L8-M8</f>
        <v>1</v>
      </c>
      <c r="Q8" s="13"/>
      <c r="R8" s="14"/>
      <c r="T8">
        <v>7.0000000000000007E-2</v>
      </c>
      <c r="U8">
        <f>75*T8 + 5525</f>
        <v>5530.25</v>
      </c>
    </row>
    <row r="9" spans="1:23" x14ac:dyDescent="0.3">
      <c r="A9" t="s">
        <v>146</v>
      </c>
      <c r="B9">
        <f>1 / (1 +(EXP(1)^(F3)))</f>
        <v>0.47906152187074741</v>
      </c>
      <c r="D9" s="12" t="s">
        <v>146</v>
      </c>
      <c r="E9" s="12">
        <f>1 / (1 +(EXP(1)^(F9)))</f>
        <v>0.46241511066056101</v>
      </c>
      <c r="F9">
        <f>(D3*$A$2)+F3</f>
        <v>0.15062368559796371</v>
      </c>
      <c r="H9" t="s">
        <v>156</v>
      </c>
      <c r="I9">
        <f>AVERAGE(K2:K3)</f>
        <v>0.51</v>
      </c>
      <c r="L9">
        <f>2*O4</f>
        <v>1.4800000000000002E-2</v>
      </c>
      <c r="M9">
        <f>J4</f>
        <v>0.12000000000000001</v>
      </c>
      <c r="N9" t="s">
        <v>168</v>
      </c>
      <c r="O9">
        <f>L9-M9</f>
        <v>-0.1052</v>
      </c>
      <c r="Q9" s="17" t="s">
        <v>161</v>
      </c>
      <c r="R9" s="18"/>
    </row>
    <row r="10" spans="1:23" x14ac:dyDescent="0.3">
      <c r="A10" t="s">
        <v>147</v>
      </c>
      <c r="B10">
        <f>((EXP(1)^F4) - (EXP(1)^(-F4))) / ((EXP(1)^F4) + (EXP(1)^(-F4)))</f>
        <v>0.18173463747681515</v>
      </c>
      <c r="D10" s="12" t="s">
        <v>147</v>
      </c>
      <c r="E10" s="12">
        <f>((EXP(1)^F10) - (EXP(1)^(-F10))) / ((EXP(1)^F10) + (EXP(1)^(-F10)))</f>
        <v>0.17125911878847208</v>
      </c>
      <c r="F10">
        <f>(D4*$A$2)+F4</f>
        <v>0.17296354033211961</v>
      </c>
      <c r="H10" t="s">
        <v>160</v>
      </c>
      <c r="I10" s="3">
        <f>O7/O10</f>
        <v>6.1662641597820748E-2</v>
      </c>
      <c r="M10">
        <f>ABS(O9*O8)</f>
        <v>0.1052</v>
      </c>
      <c r="N10" t="s">
        <v>169</v>
      </c>
      <c r="O10">
        <f>SQRT(M10)</f>
        <v>0.32434549480453712</v>
      </c>
      <c r="Q10" s="13" t="s">
        <v>145</v>
      </c>
      <c r="R10" s="14">
        <v>0.50842444026745848</v>
      </c>
    </row>
    <row r="11" spans="1:23" x14ac:dyDescent="0.3">
      <c r="A11" t="s">
        <v>148</v>
      </c>
      <c r="B11">
        <f>B9*B10</f>
        <v>8.7062072006271626E-2</v>
      </c>
      <c r="C11">
        <f>((EXP(1)^B11) - (EXP(1)^(-B11))) / ((EXP(1)^B11) + (EXP(1)^(-B11)))</f>
        <v>8.684276574340842E-2</v>
      </c>
      <c r="D11" s="12" t="s">
        <v>148</v>
      </c>
      <c r="E11" s="12">
        <f>E8*B19+E9*E10</f>
        <v>0.14932240321320334</v>
      </c>
      <c r="F11">
        <f>((EXP(1)^E11) - (EXP(1)^(-E11))) / ((EXP(1)^E11) + (EXP(1)^(-E11)))</f>
        <v>0.14822239020857153</v>
      </c>
      <c r="H11" t="s">
        <v>157</v>
      </c>
      <c r="I11" s="3">
        <f>I10^2</f>
        <v>3.8022813688212936E-3</v>
      </c>
      <c r="Q11" s="13" t="s">
        <v>146</v>
      </c>
      <c r="R11" s="14">
        <v>0.45184971841588201</v>
      </c>
    </row>
    <row r="12" spans="1:23" x14ac:dyDescent="0.3">
      <c r="A12" t="s">
        <v>149</v>
      </c>
      <c r="B12">
        <f>1 / (1 +(EXP(1)^(F5)))</f>
        <v>0.42952003412229067</v>
      </c>
      <c r="D12" s="12" t="s">
        <v>149</v>
      </c>
      <c r="E12" s="12">
        <f>1 / (1 +(EXP(1)^(F12)))</f>
        <v>0.41587727046720274</v>
      </c>
      <c r="F12">
        <f>(D5*$A$2)+F5</f>
        <v>0.33972092024063433</v>
      </c>
      <c r="Q12" s="13" t="s">
        <v>147</v>
      </c>
      <c r="R12" s="14">
        <v>0.17325059285031411</v>
      </c>
    </row>
    <row r="13" spans="1:23" x14ac:dyDescent="0.3">
      <c r="A13" t="s">
        <v>150</v>
      </c>
      <c r="B13">
        <f>B12*C11</f>
        <v>3.7300707705382879E-2</v>
      </c>
      <c r="D13" s="12" t="s">
        <v>150</v>
      </c>
      <c r="E13" s="12">
        <f>E12*F11</f>
        <v>6.1642323062065366E-2</v>
      </c>
      <c r="Q13" s="13" t="s">
        <v>148</v>
      </c>
      <c r="R13" s="14">
        <v>0.15420239086786369</v>
      </c>
    </row>
    <row r="14" spans="1:23" x14ac:dyDescent="0.3">
      <c r="Q14" s="13" t="s">
        <v>149</v>
      </c>
      <c r="R14" s="14">
        <v>0.40489466571765925</v>
      </c>
    </row>
    <row r="15" spans="1:23" x14ac:dyDescent="0.3">
      <c r="A15" t="s">
        <v>153</v>
      </c>
      <c r="D15" s="16" t="s">
        <v>161</v>
      </c>
      <c r="E15" s="16"/>
      <c r="Q15" s="13" t="s">
        <v>150</v>
      </c>
      <c r="R15" s="14">
        <v>6.1945514134582914E-2</v>
      </c>
    </row>
    <row r="16" spans="1:23" x14ac:dyDescent="0.3">
      <c r="A16" t="s">
        <v>145</v>
      </c>
      <c r="B16">
        <f>1 / (1 +(EXP(1)^(C16)))</f>
        <v>0.53388292243788948</v>
      </c>
      <c r="C16">
        <f>(D2*A4) + (E2*B13)+F2</f>
        <v>-0.13573972657721972</v>
      </c>
      <c r="D16" s="12" t="s">
        <v>145</v>
      </c>
      <c r="E16" s="12">
        <f>1 / (1 +(EXP(1)^(F16)))</f>
        <v>0.50842444026745848</v>
      </c>
      <c r="F16">
        <f>D2*$A3+E2*$E$13+F2</f>
        <v>-3.3700950373531435E-2</v>
      </c>
    </row>
    <row r="17" spans="1:6" x14ac:dyDescent="0.3">
      <c r="A17" t="s">
        <v>146</v>
      </c>
      <c r="B17">
        <f>1 / (1 +(EXP(1)^(C17)))</f>
        <v>0.4776775301577853</v>
      </c>
      <c r="C17">
        <f>(D3*$A$4)+(E3*$B$13)+F3</f>
        <v>8.934927373690707E-2</v>
      </c>
      <c r="D17" s="12" t="s">
        <v>146</v>
      </c>
      <c r="E17" s="12">
        <f>1 / (1 +(EXP(1)^(F17)))</f>
        <v>0.45184971841588201</v>
      </c>
      <c r="F17">
        <f>D3*$A3+E3*$E$13+F3</f>
        <v>0.19319984265218701</v>
      </c>
    </row>
    <row r="18" spans="1:6" x14ac:dyDescent="0.3">
      <c r="A18" t="s">
        <v>147</v>
      </c>
      <c r="B18">
        <f>((EXP(1)^C18) - (EXP(1)^(-C18))) / ((EXP(1)^C18) + (EXP(1)^(-C18)))</f>
        <v>0.1860952787509193</v>
      </c>
      <c r="C18">
        <f>(D4*$A$4)+(E4*$B$13)+F4</f>
        <v>0.18828930172836872</v>
      </c>
      <c r="D18" s="12" t="s">
        <v>147</v>
      </c>
      <c r="E18" s="12">
        <f>((EXP(1)^F18) - (EXP(1)^(-F18))) / ((EXP(1)^F18) + (EXP(1)^(-F18)))</f>
        <v>0.17325059285031411</v>
      </c>
      <c r="F18">
        <f>D4*$A3+E4*$E$13+F4</f>
        <v>0.17501591260207386</v>
      </c>
    </row>
    <row r="19" spans="1:6" x14ac:dyDescent="0.3">
      <c r="A19" t="s">
        <v>148</v>
      </c>
      <c r="B19">
        <f>B16*B11+B17*B18</f>
        <v>0.13537448656396997</v>
      </c>
      <c r="C19">
        <f>((EXP(1)^B19) - (EXP(1)^(-B19))) / ((EXP(1)^B19) + (EXP(1)^(-B19)))</f>
        <v>0.13455353505721077</v>
      </c>
      <c r="D19" s="12" t="s">
        <v>148</v>
      </c>
      <c r="E19" s="12">
        <f>E16*E11+E17*E18</f>
        <v>0.15420239086786369</v>
      </c>
      <c r="F19">
        <f>((EXP(1)^E19) - (EXP(1)^(-E19))) / ((EXP(1)^E19) + (EXP(1)^(-E19)))</f>
        <v>0.15299167753861864</v>
      </c>
    </row>
    <row r="20" spans="1:6" x14ac:dyDescent="0.3">
      <c r="A20" t="s">
        <v>149</v>
      </c>
      <c r="B20">
        <f>1 / (1 +(EXP(1)^(C20)))</f>
        <v>0.42693685107196672</v>
      </c>
      <c r="C20">
        <f>(D5*$A$4)+(E5*$B$13)+F5</f>
        <v>0.29435980566496667</v>
      </c>
      <c r="D20" s="12" t="s">
        <v>149</v>
      </c>
      <c r="E20" s="12">
        <f>1 / (1 +(EXP(1)^(F20)))</f>
        <v>0.40489466571765925</v>
      </c>
      <c r="F20">
        <f>D5*$A$3+E5*$E$13+F5</f>
        <v>0.3851114736536308</v>
      </c>
    </row>
    <row r="21" spans="1:6" x14ac:dyDescent="0.3">
      <c r="A21" t="s">
        <v>150</v>
      </c>
      <c r="B21">
        <f>B20*C19</f>
        <v>5.7445862557927045E-2</v>
      </c>
      <c r="D21" s="12" t="s">
        <v>150</v>
      </c>
      <c r="E21" s="12">
        <f>E20*F19</f>
        <v>6.1945514134582914E-2</v>
      </c>
    </row>
  </sheetData>
  <mergeCells count="4">
    <mergeCell ref="D7:E7"/>
    <mergeCell ref="D15:E15"/>
    <mergeCell ref="Q1:R1"/>
    <mergeCell ref="Q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Rekomendasi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Luh Melika Candra Widyani Mas</dc:creator>
  <cp:lastModifiedBy>Ni Luh Melika Candra Widyani Mas</cp:lastModifiedBy>
  <dcterms:created xsi:type="dcterms:W3CDTF">2024-06-25T08:15:42Z</dcterms:created>
  <dcterms:modified xsi:type="dcterms:W3CDTF">2024-07-23T11:05:49Z</dcterms:modified>
</cp:coreProperties>
</file>