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EP\"/>
    </mc:Choice>
  </mc:AlternateContent>
  <bookViews>
    <workbookView xWindow="0" yWindow="0" windowWidth="11640" windowHeight="10668" tabRatio="500" activeTab="1"/>
  </bookViews>
  <sheets>
    <sheet name="Juv. Survival" sheetId="2" r:id="rId1"/>
    <sheet name="Age Structure" sheetId="1" r:id="rId2"/>
  </sheets>
  <definedNames>
    <definedName name="cpe">'Age Structure'!#REF!</definedName>
    <definedName name="dep">'Age Structure'!#REF!</definedName>
    <definedName name="eprh">'Age Structure'!$C$19</definedName>
    <definedName name="epro">'Age Structure'!$C$17</definedName>
    <definedName name="erh">'Age Structure'!#REF!</definedName>
    <definedName name="ersd">'Age Structure'!#REF!</definedName>
    <definedName name="fecundity">'Age Structure'!$F$4:$Y$4</definedName>
    <definedName name="hr">'Age Structure'!$C$16</definedName>
    <definedName name="Length">'Age Structure'!$F$2:$Y$2</definedName>
    <definedName name="lmat50">'Age Structure'!$C$12</definedName>
    <definedName name="lmatsd">'Age Structure'!$C$13</definedName>
    <definedName name="lwa">'Age Structure'!$C$10</definedName>
    <definedName name="lwb">'Age Structure'!$C$11</definedName>
    <definedName name="maxsj">'Age Structure'!$C$2</definedName>
    <definedName name="nll">'Age Structure'!$C$24</definedName>
    <definedName name="No">'Age Structure'!#REF!</definedName>
    <definedName name="nobs">'Age Structure'!#REF!</definedName>
    <definedName name="page">'Age Structure'!$F$10:$Y$10</definedName>
    <definedName name="pagehr">'Age Structure'!$F$11:$Y$11</definedName>
    <definedName name="pmature">'Age Structure'!$F$5:$Y$5</definedName>
    <definedName name="q">'Age Structure'!$C$4</definedName>
    <definedName name="req">'Age Structure'!$C$20</definedName>
    <definedName name="ro">'Age Structure'!$C$18</definedName>
    <definedName name="sa">'Age Structure'!$C$1</definedName>
    <definedName name="sdresid">'Age Structure'!$C$5</definedName>
    <definedName name="sjscale">'Age Structure'!$C$3</definedName>
    <definedName name="solver_adj" localSheetId="1" hidden="1">'Age Structure'!$C$2:$C$5</definedName>
    <definedName name="solver_adj" localSheetId="0" hidden="1">'Juv. Survival'!$B$1:$B$2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itr" localSheetId="1" hidden="1">2147483647</definedName>
    <definedName name="solver_itr" localSheetId="0" hidden="1">2147483647</definedName>
    <definedName name="solver_lin" localSheetId="1" hidden="1">2</definedName>
    <definedName name="solver_lin" localSheetId="0" hidden="1">2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0</definedName>
    <definedName name="solver_num" localSheetId="0" hidden="1">0</definedName>
    <definedName name="solver_nwt" localSheetId="1" hidden="1">1</definedName>
    <definedName name="solver_opt" localSheetId="1" hidden="1">'Age Structure'!$C$24</definedName>
    <definedName name="solver_opt" localSheetId="0" hidden="1">'Juv. Survival'!$B$3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2</definedName>
    <definedName name="survival">'Age Structure'!$F$6:$Y$6</definedName>
    <definedName name="survivalhr">'Age Structure'!$F$7:$Y$7</definedName>
    <definedName name="survship">'Age Structure'!$F$8:$Y$8</definedName>
    <definedName name="survshiphr">'Age Structure'!$F$9:$Y$9</definedName>
    <definedName name="vbk">'Age Structure'!$C$8</definedName>
    <definedName name="vblinf">'Age Structure'!$C$7</definedName>
    <definedName name="vbto">'Age Structure'!$C$9</definedName>
    <definedName name="vul">'Age Structure'!$F$12:$Y$12</definedName>
    <definedName name="vul50_">'Age Structure'!$C$14</definedName>
    <definedName name="vulsd">'Age Structure'!$C$15</definedName>
    <definedName name="Weight">'Age Structure'!$F$3:$Y$3</definedName>
    <definedName name="yeq">'Age Structure'!$C$22</definedName>
    <definedName name="yprh">'Age Structure'!$C$21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" i="1" l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AO14" i="1"/>
  <c r="AM22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AM17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F2" i="1"/>
  <c r="F6" i="1"/>
  <c r="F12" i="1"/>
  <c r="F7" i="1"/>
  <c r="G9" i="1"/>
  <c r="G2" i="1"/>
  <c r="G6" i="1"/>
  <c r="G12" i="1"/>
  <c r="G7" i="1"/>
  <c r="H9" i="1"/>
  <c r="H2" i="1"/>
  <c r="H6" i="1"/>
  <c r="H12" i="1"/>
  <c r="H7" i="1"/>
  <c r="I9" i="1"/>
  <c r="I2" i="1"/>
  <c r="I6" i="1"/>
  <c r="I12" i="1"/>
  <c r="I7" i="1"/>
  <c r="J9" i="1"/>
  <c r="J2" i="1"/>
  <c r="J6" i="1"/>
  <c r="J12" i="1"/>
  <c r="J7" i="1"/>
  <c r="K9" i="1"/>
  <c r="K2" i="1"/>
  <c r="K6" i="1"/>
  <c r="K12" i="1"/>
  <c r="K7" i="1"/>
  <c r="L9" i="1"/>
  <c r="L2" i="1"/>
  <c r="L6" i="1"/>
  <c r="L12" i="1"/>
  <c r="L7" i="1"/>
  <c r="M9" i="1"/>
  <c r="M2" i="1"/>
  <c r="M6" i="1"/>
  <c r="M12" i="1"/>
  <c r="M7" i="1"/>
  <c r="N9" i="1"/>
  <c r="N2" i="1"/>
  <c r="N6" i="1"/>
  <c r="N12" i="1"/>
  <c r="N7" i="1"/>
  <c r="O9" i="1"/>
  <c r="O2" i="1"/>
  <c r="O6" i="1"/>
  <c r="O12" i="1"/>
  <c r="O7" i="1"/>
  <c r="P9" i="1"/>
  <c r="P2" i="1"/>
  <c r="P6" i="1"/>
  <c r="P12" i="1"/>
  <c r="P7" i="1"/>
  <c r="Q9" i="1"/>
  <c r="Q2" i="1"/>
  <c r="Q6" i="1"/>
  <c r="Q12" i="1"/>
  <c r="Q7" i="1"/>
  <c r="R9" i="1"/>
  <c r="R2" i="1"/>
  <c r="R6" i="1"/>
  <c r="R12" i="1"/>
  <c r="R7" i="1"/>
  <c r="S9" i="1"/>
  <c r="S2" i="1"/>
  <c r="S6" i="1"/>
  <c r="S12" i="1"/>
  <c r="S7" i="1"/>
  <c r="T9" i="1"/>
  <c r="T2" i="1"/>
  <c r="T6" i="1"/>
  <c r="T12" i="1"/>
  <c r="T7" i="1"/>
  <c r="U9" i="1"/>
  <c r="U2" i="1"/>
  <c r="U6" i="1"/>
  <c r="U12" i="1"/>
  <c r="U7" i="1"/>
  <c r="V9" i="1"/>
  <c r="V2" i="1"/>
  <c r="V6" i="1"/>
  <c r="V12" i="1"/>
  <c r="V7" i="1"/>
  <c r="W9" i="1"/>
  <c r="W2" i="1"/>
  <c r="W6" i="1"/>
  <c r="W12" i="1"/>
  <c r="W7" i="1"/>
  <c r="X9" i="1"/>
  <c r="X2" i="1"/>
  <c r="X6" i="1"/>
  <c r="X12" i="1"/>
  <c r="X7" i="1"/>
  <c r="Y2" i="1"/>
  <c r="Y6" i="1"/>
  <c r="Y12" i="1"/>
  <c r="Y7" i="1"/>
  <c r="Y9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E2" i="2"/>
  <c r="F2" i="2"/>
  <c r="G2" i="2"/>
  <c r="E3" i="2"/>
  <c r="F3" i="2"/>
  <c r="G3" i="2"/>
  <c r="E4" i="2"/>
  <c r="F4" i="2"/>
  <c r="G4" i="2"/>
  <c r="E5" i="2"/>
  <c r="F5" i="2"/>
  <c r="G5" i="2"/>
  <c r="E6" i="2"/>
  <c r="F6" i="2"/>
  <c r="G6" i="2"/>
  <c r="E7" i="2"/>
  <c r="F7" i="2"/>
  <c r="G7" i="2"/>
  <c r="E8" i="2"/>
  <c r="F8" i="2"/>
  <c r="G8" i="2"/>
  <c r="E9" i="2"/>
  <c r="F9" i="2"/>
  <c r="G9" i="2"/>
  <c r="E10" i="2"/>
  <c r="F10" i="2"/>
  <c r="G10" i="2"/>
  <c r="E11" i="2"/>
  <c r="F11" i="2"/>
  <c r="G11" i="2"/>
  <c r="E12" i="2"/>
  <c r="F12" i="2"/>
  <c r="G12" i="2"/>
  <c r="E13" i="2"/>
  <c r="F13" i="2"/>
  <c r="G13" i="2"/>
  <c r="E14" i="2"/>
  <c r="F14" i="2"/>
  <c r="G14" i="2"/>
  <c r="E15" i="2"/>
  <c r="F15" i="2"/>
  <c r="G15" i="2"/>
  <c r="E16" i="2"/>
  <c r="F16" i="2"/>
  <c r="G16" i="2"/>
  <c r="E17" i="2"/>
  <c r="F17" i="2"/>
  <c r="G17" i="2"/>
  <c r="E18" i="2"/>
  <c r="F18" i="2"/>
  <c r="G18" i="2"/>
  <c r="E19" i="2"/>
  <c r="F19" i="2"/>
  <c r="G19" i="2"/>
  <c r="E20" i="2"/>
  <c r="F20" i="2"/>
  <c r="G20" i="2"/>
  <c r="E21" i="2"/>
  <c r="F21" i="2"/>
  <c r="G21" i="2"/>
  <c r="E22" i="2"/>
  <c r="F22" i="2"/>
  <c r="G22" i="2"/>
  <c r="E23" i="2"/>
  <c r="F23" i="2"/>
  <c r="G23" i="2"/>
  <c r="E24" i="2"/>
  <c r="F24" i="2"/>
  <c r="G24" i="2"/>
  <c r="E25" i="2"/>
  <c r="F25" i="2"/>
  <c r="G25" i="2"/>
  <c r="E26" i="2"/>
  <c r="F26" i="2"/>
  <c r="G26" i="2"/>
  <c r="B4" i="2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F11" i="1"/>
  <c r="O10" i="1"/>
  <c r="P10" i="1"/>
  <c r="Q10" i="1"/>
  <c r="R10" i="1"/>
  <c r="S10" i="1"/>
  <c r="T10" i="1"/>
  <c r="U10" i="1"/>
  <c r="V10" i="1"/>
  <c r="W10" i="1"/>
  <c r="X10" i="1"/>
  <c r="Y10" i="1"/>
  <c r="G10" i="1"/>
  <c r="H10" i="1"/>
  <c r="I10" i="1"/>
  <c r="J10" i="1"/>
  <c r="K10" i="1"/>
  <c r="L10" i="1"/>
  <c r="M10" i="1"/>
  <c r="N10" i="1"/>
  <c r="F10" i="1"/>
  <c r="O5" i="1"/>
  <c r="P5" i="1"/>
  <c r="Q5" i="1"/>
  <c r="R5" i="1"/>
  <c r="S5" i="1"/>
  <c r="T5" i="1"/>
  <c r="U5" i="1"/>
  <c r="V5" i="1"/>
  <c r="W5" i="1"/>
  <c r="X5" i="1"/>
  <c r="Y5" i="1"/>
  <c r="G5" i="1"/>
  <c r="H5" i="1"/>
  <c r="I5" i="1"/>
  <c r="J5" i="1"/>
  <c r="K5" i="1"/>
  <c r="L5" i="1"/>
  <c r="M5" i="1"/>
  <c r="N5" i="1"/>
  <c r="F5" i="1"/>
  <c r="P3" i="1"/>
  <c r="P4" i="1"/>
  <c r="Q3" i="1"/>
  <c r="Q4" i="1"/>
  <c r="R3" i="1"/>
  <c r="R4" i="1"/>
  <c r="S3" i="1"/>
  <c r="S4" i="1"/>
  <c r="T3" i="1"/>
  <c r="T4" i="1"/>
  <c r="U3" i="1"/>
  <c r="U4" i="1"/>
  <c r="V3" i="1"/>
  <c r="V4" i="1"/>
  <c r="W3" i="1"/>
  <c r="W4" i="1"/>
  <c r="X3" i="1"/>
  <c r="X4" i="1"/>
  <c r="Y3" i="1"/>
  <c r="Y4" i="1"/>
  <c r="J3" i="1"/>
  <c r="J4" i="1"/>
  <c r="K3" i="1"/>
  <c r="K4" i="1"/>
  <c r="L3" i="1"/>
  <c r="L4" i="1"/>
  <c r="M3" i="1"/>
  <c r="M4" i="1"/>
  <c r="N3" i="1"/>
  <c r="N4" i="1"/>
  <c r="O3" i="1"/>
  <c r="O4" i="1"/>
  <c r="I3" i="1"/>
  <c r="I4" i="1"/>
  <c r="G3" i="1"/>
  <c r="G4" i="1"/>
  <c r="H3" i="1"/>
  <c r="H4" i="1"/>
  <c r="F3" i="1"/>
  <c r="F4" i="1"/>
  <c r="B3" i="2"/>
  <c r="C21" i="1"/>
  <c r="C19" i="1"/>
  <c r="C20" i="1"/>
  <c r="C22" i="1"/>
  <c r="C17" i="1"/>
  <c r="X15" i="1"/>
  <c r="Y15" i="1"/>
  <c r="AB15" i="1"/>
  <c r="AC15" i="1"/>
  <c r="Z15" i="1"/>
  <c r="F16" i="1"/>
  <c r="AD15" i="1"/>
  <c r="AG15" i="1"/>
  <c r="AH15" i="1"/>
  <c r="AI15" i="1"/>
  <c r="AA15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F17" i="1"/>
  <c r="AB16" i="1"/>
  <c r="AC16" i="1"/>
  <c r="AD16" i="1"/>
  <c r="AG16" i="1"/>
  <c r="AH16" i="1"/>
  <c r="AI16" i="1"/>
  <c r="AA16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AD17" i="1"/>
  <c r="AG17" i="1"/>
  <c r="AH17" i="1"/>
  <c r="AI17" i="1"/>
  <c r="Z17" i="1"/>
  <c r="F18" i="1"/>
  <c r="AA17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AC18" i="1"/>
  <c r="AB18" i="1"/>
  <c r="AC17" i="1"/>
  <c r="AB17" i="1"/>
  <c r="AD18" i="1"/>
  <c r="AA18" i="1"/>
  <c r="Y19" i="1"/>
  <c r="Z18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AD19" i="1"/>
  <c r="AG19" i="1"/>
  <c r="AH19" i="1"/>
  <c r="AI19" i="1"/>
  <c r="AC19" i="1"/>
  <c r="AB19" i="1"/>
  <c r="AA19" i="1"/>
  <c r="Y20" i="1"/>
  <c r="Z19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AC20" i="1"/>
  <c r="AB20" i="1"/>
  <c r="AD20" i="1"/>
  <c r="AA20" i="1"/>
  <c r="Y21" i="1"/>
  <c r="Z20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AD21" i="1"/>
  <c r="AA21" i="1"/>
  <c r="Y22" i="1"/>
  <c r="Z21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AD22" i="1"/>
  <c r="AA22" i="1"/>
  <c r="Y23" i="1"/>
  <c r="AC22" i="1"/>
  <c r="AB22" i="1"/>
  <c r="AC21" i="1"/>
  <c r="AB21" i="1"/>
  <c r="AG20" i="1"/>
  <c r="AH20" i="1"/>
  <c r="AI20" i="1"/>
  <c r="AG21" i="1"/>
  <c r="AH21" i="1"/>
  <c r="AI21" i="1"/>
  <c r="AG22" i="1"/>
  <c r="AH22" i="1"/>
  <c r="AI22" i="1"/>
  <c r="Z22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AD23" i="1"/>
  <c r="AG23" i="1"/>
  <c r="AH23" i="1"/>
  <c r="AI23" i="1"/>
  <c r="AC23" i="1"/>
  <c r="AB23" i="1"/>
  <c r="AA23" i="1"/>
  <c r="Y24" i="1"/>
  <c r="Z23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AB24" i="1"/>
  <c r="AC24" i="1"/>
  <c r="AD24" i="1"/>
  <c r="AA24" i="1"/>
  <c r="Y25" i="1"/>
  <c r="Z24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AD25" i="1"/>
  <c r="AA25" i="1"/>
  <c r="Y26" i="1"/>
  <c r="Z25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AD26" i="1"/>
  <c r="AA26" i="1"/>
  <c r="Y27" i="1"/>
  <c r="AB26" i="1"/>
  <c r="AC26" i="1"/>
  <c r="AC25" i="1"/>
  <c r="AB25" i="1"/>
  <c r="AG24" i="1"/>
  <c r="AH24" i="1"/>
  <c r="AI24" i="1"/>
  <c r="AG25" i="1"/>
  <c r="AH25" i="1"/>
  <c r="AI25" i="1"/>
  <c r="AG26" i="1"/>
  <c r="AH26" i="1"/>
  <c r="AI26" i="1"/>
  <c r="Z26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AD27" i="1"/>
  <c r="AG27" i="1"/>
  <c r="AH27" i="1"/>
  <c r="AI27" i="1"/>
  <c r="AB27" i="1"/>
  <c r="AC27" i="1"/>
  <c r="AA27" i="1"/>
  <c r="Y28" i="1"/>
  <c r="Z27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AB28" i="1"/>
  <c r="AC28" i="1"/>
  <c r="AD28" i="1"/>
  <c r="AA28" i="1"/>
  <c r="Y29" i="1"/>
  <c r="Z28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AD29" i="1"/>
  <c r="AA29" i="1"/>
  <c r="Y30" i="1"/>
  <c r="Z29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AD30" i="1"/>
  <c r="AA30" i="1"/>
  <c r="Y31" i="1"/>
  <c r="AB30" i="1"/>
  <c r="AC30" i="1"/>
  <c r="AB29" i="1"/>
  <c r="AC29" i="1"/>
  <c r="AG28" i="1"/>
  <c r="AH28" i="1"/>
  <c r="AI28" i="1"/>
  <c r="AG29" i="1"/>
  <c r="AH29" i="1"/>
  <c r="AI29" i="1"/>
  <c r="AG30" i="1"/>
  <c r="AH30" i="1"/>
  <c r="AI30" i="1"/>
  <c r="Z30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AD31" i="1"/>
  <c r="AG31" i="1"/>
  <c r="AH31" i="1"/>
  <c r="AI31" i="1"/>
  <c r="AC31" i="1"/>
  <c r="AB31" i="1"/>
  <c r="AA31" i="1"/>
  <c r="Y32" i="1"/>
  <c r="Z31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AB32" i="1"/>
  <c r="AC32" i="1"/>
  <c r="AD32" i="1"/>
  <c r="AA32" i="1"/>
  <c r="Y33" i="1"/>
  <c r="Z32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AD33" i="1"/>
  <c r="AA33" i="1"/>
  <c r="Y34" i="1"/>
  <c r="Z33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AD34" i="1"/>
  <c r="AA34" i="1"/>
  <c r="Y35" i="1"/>
  <c r="AC34" i="1"/>
  <c r="AB34" i="1"/>
  <c r="AC33" i="1"/>
  <c r="AB33" i="1"/>
  <c r="AG32" i="1"/>
  <c r="AH32" i="1"/>
  <c r="AI32" i="1"/>
  <c r="AG33" i="1"/>
  <c r="AH33" i="1"/>
  <c r="AI33" i="1"/>
  <c r="AG34" i="1"/>
  <c r="AH34" i="1"/>
  <c r="AI34" i="1"/>
  <c r="Z34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AD35" i="1"/>
  <c r="AG35" i="1"/>
  <c r="AH35" i="1"/>
  <c r="AI35" i="1"/>
  <c r="AC35" i="1"/>
  <c r="AB35" i="1"/>
  <c r="AA35" i="1"/>
  <c r="Y36" i="1"/>
  <c r="Z35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AC36" i="1"/>
  <c r="AB36" i="1"/>
  <c r="AD36" i="1"/>
  <c r="AA36" i="1"/>
  <c r="Y37" i="1"/>
  <c r="Z36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AD37" i="1"/>
  <c r="AA37" i="1"/>
  <c r="Y38" i="1"/>
  <c r="Z37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AD38" i="1"/>
  <c r="AA38" i="1"/>
  <c r="Y39" i="1"/>
  <c r="AC38" i="1"/>
  <c r="AB38" i="1"/>
  <c r="AC37" i="1"/>
  <c r="AB37" i="1"/>
  <c r="AG36" i="1"/>
  <c r="AH36" i="1"/>
  <c r="AI36" i="1"/>
  <c r="AG37" i="1"/>
  <c r="AH37" i="1"/>
  <c r="AI37" i="1"/>
  <c r="AG38" i="1"/>
  <c r="AH38" i="1"/>
  <c r="AI38" i="1"/>
  <c r="Z38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AD39" i="1"/>
  <c r="AG39" i="1"/>
  <c r="AH39" i="1"/>
  <c r="AI39" i="1"/>
  <c r="AB39" i="1"/>
  <c r="AC39" i="1"/>
  <c r="AA39" i="1"/>
  <c r="Y40" i="1"/>
  <c r="Z39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AC40" i="1"/>
  <c r="AB40" i="1"/>
  <c r="AD40" i="1"/>
  <c r="AA40" i="1"/>
  <c r="Y41" i="1"/>
  <c r="Z40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AD41" i="1"/>
  <c r="AA41" i="1"/>
  <c r="Y42" i="1"/>
  <c r="Z41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AD42" i="1"/>
  <c r="AA42" i="1"/>
  <c r="Y43" i="1"/>
  <c r="AC42" i="1"/>
  <c r="AB42" i="1"/>
  <c r="AB41" i="1"/>
  <c r="AC41" i="1"/>
  <c r="AG40" i="1"/>
  <c r="AH40" i="1"/>
  <c r="AI40" i="1"/>
  <c r="AG41" i="1"/>
  <c r="AH41" i="1"/>
  <c r="AI41" i="1"/>
  <c r="AG42" i="1"/>
  <c r="AH42" i="1"/>
  <c r="AI42" i="1"/>
  <c r="Z42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AD43" i="1"/>
  <c r="AG43" i="1"/>
  <c r="AH43" i="1"/>
  <c r="AI43" i="1"/>
  <c r="AC43" i="1"/>
  <c r="AB43" i="1"/>
  <c r="AA43" i="1"/>
  <c r="Y44" i="1"/>
  <c r="Z43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AB44" i="1"/>
  <c r="AC44" i="1"/>
  <c r="AD44" i="1"/>
  <c r="AA44" i="1"/>
  <c r="Y45" i="1"/>
  <c r="Z44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AD45" i="1"/>
  <c r="AA45" i="1"/>
  <c r="Y46" i="1"/>
  <c r="Z45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AD46" i="1"/>
  <c r="AA46" i="1"/>
  <c r="Y47" i="1"/>
  <c r="AC46" i="1"/>
  <c r="AB46" i="1"/>
  <c r="AB45" i="1"/>
  <c r="AC45" i="1"/>
  <c r="AG44" i="1"/>
  <c r="AH44" i="1"/>
  <c r="AI44" i="1"/>
  <c r="AG45" i="1"/>
  <c r="AH45" i="1"/>
  <c r="AI45" i="1"/>
  <c r="AG46" i="1"/>
  <c r="AH46" i="1"/>
  <c r="AI46" i="1"/>
  <c r="Z46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AD47" i="1"/>
  <c r="AG47" i="1"/>
  <c r="AH47" i="1"/>
  <c r="AI47" i="1"/>
  <c r="AB47" i="1"/>
  <c r="AC47" i="1"/>
  <c r="AA47" i="1"/>
  <c r="Y48" i="1"/>
  <c r="Z47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AB48" i="1"/>
  <c r="AC48" i="1"/>
  <c r="AD48" i="1"/>
  <c r="AA48" i="1"/>
  <c r="Y49" i="1"/>
  <c r="Z48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AD49" i="1"/>
  <c r="AA49" i="1"/>
  <c r="Y50" i="1"/>
  <c r="Z49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AD50" i="1"/>
  <c r="AA50" i="1"/>
  <c r="Y51" i="1"/>
  <c r="AB50" i="1"/>
  <c r="AC50" i="1"/>
  <c r="AB49" i="1"/>
  <c r="AC49" i="1"/>
  <c r="AG48" i="1"/>
  <c r="AH48" i="1"/>
  <c r="AI48" i="1"/>
  <c r="AG49" i="1"/>
  <c r="AH49" i="1"/>
  <c r="AI49" i="1"/>
  <c r="AG50" i="1"/>
  <c r="AH50" i="1"/>
  <c r="AI50" i="1"/>
  <c r="Z50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AD51" i="1"/>
  <c r="AG51" i="1"/>
  <c r="AH51" i="1"/>
  <c r="AI51" i="1"/>
  <c r="AB51" i="1"/>
  <c r="AC51" i="1"/>
  <c r="AA51" i="1"/>
  <c r="Y52" i="1"/>
  <c r="Z51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AC52" i="1"/>
  <c r="AB52" i="1"/>
  <c r="AD52" i="1"/>
  <c r="AA52" i="1"/>
  <c r="Y53" i="1"/>
  <c r="Z52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AD53" i="1"/>
  <c r="AA53" i="1"/>
  <c r="Y54" i="1"/>
  <c r="Z53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AD54" i="1"/>
  <c r="AA54" i="1"/>
  <c r="Y55" i="1"/>
  <c r="AB54" i="1"/>
  <c r="AC54" i="1"/>
  <c r="AC53" i="1"/>
  <c r="AB53" i="1"/>
  <c r="AG52" i="1"/>
  <c r="AH52" i="1"/>
  <c r="AI52" i="1"/>
  <c r="AG53" i="1"/>
  <c r="AH53" i="1"/>
  <c r="AI53" i="1"/>
  <c r="AG54" i="1"/>
  <c r="AH54" i="1"/>
  <c r="AI54" i="1"/>
  <c r="Z54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AD55" i="1"/>
  <c r="AG55" i="1"/>
  <c r="AH55" i="1"/>
  <c r="AI55" i="1"/>
  <c r="AB55" i="1"/>
  <c r="AC55" i="1"/>
  <c r="AA55" i="1"/>
  <c r="Y56" i="1"/>
  <c r="Z55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AB56" i="1"/>
  <c r="AC56" i="1"/>
  <c r="AD56" i="1"/>
  <c r="AA56" i="1"/>
  <c r="Y57" i="1"/>
  <c r="Z56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AD57" i="1"/>
  <c r="AA57" i="1"/>
  <c r="Y58" i="1"/>
  <c r="Z57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AD58" i="1"/>
  <c r="AA58" i="1"/>
  <c r="Y59" i="1"/>
  <c r="AB58" i="1"/>
  <c r="AC58" i="1"/>
  <c r="AC57" i="1"/>
  <c r="AB57" i="1"/>
  <c r="AG56" i="1"/>
  <c r="AH56" i="1"/>
  <c r="AI56" i="1"/>
  <c r="AG57" i="1"/>
  <c r="AH57" i="1"/>
  <c r="AI57" i="1"/>
  <c r="AG58" i="1"/>
  <c r="AH58" i="1"/>
  <c r="AI58" i="1"/>
  <c r="Z58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AD59" i="1"/>
  <c r="AG59" i="1"/>
  <c r="AH59" i="1"/>
  <c r="AI59" i="1"/>
  <c r="AB59" i="1"/>
  <c r="AC59" i="1"/>
  <c r="AA59" i="1"/>
  <c r="Y60" i="1"/>
  <c r="Z59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AB60" i="1"/>
  <c r="AC60" i="1"/>
  <c r="AD60" i="1"/>
  <c r="AA60" i="1"/>
  <c r="Y61" i="1"/>
  <c r="Z60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AD61" i="1"/>
  <c r="AA61" i="1"/>
  <c r="Y62" i="1"/>
  <c r="Z61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AD62" i="1"/>
  <c r="AA62" i="1"/>
  <c r="Y63" i="1"/>
  <c r="AC62" i="1"/>
  <c r="AB62" i="1"/>
  <c r="AC61" i="1"/>
  <c r="AB61" i="1"/>
  <c r="AG60" i="1"/>
  <c r="AH60" i="1"/>
  <c r="AI60" i="1"/>
  <c r="AG61" i="1"/>
  <c r="AH61" i="1"/>
  <c r="AI61" i="1"/>
  <c r="AG62" i="1"/>
  <c r="AH62" i="1"/>
  <c r="AI62" i="1"/>
  <c r="Z62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AD63" i="1"/>
  <c r="AG63" i="1"/>
  <c r="AH63" i="1"/>
  <c r="AI63" i="1"/>
  <c r="AB63" i="1"/>
  <c r="AC63" i="1"/>
  <c r="AA63" i="1"/>
  <c r="Y64" i="1"/>
  <c r="Z63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AB64" i="1"/>
  <c r="AC64" i="1"/>
  <c r="AD64" i="1"/>
  <c r="AA64" i="1"/>
  <c r="Y65" i="1"/>
  <c r="Z64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AD65" i="1"/>
  <c r="AA65" i="1"/>
  <c r="Y66" i="1"/>
  <c r="Z65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AD66" i="1"/>
  <c r="AA66" i="1"/>
  <c r="Y67" i="1"/>
  <c r="AC66" i="1"/>
  <c r="AB66" i="1"/>
  <c r="AB65" i="1"/>
  <c r="AC65" i="1"/>
  <c r="AG64" i="1"/>
  <c r="AH64" i="1"/>
  <c r="AI64" i="1"/>
  <c r="AG65" i="1"/>
  <c r="AH65" i="1"/>
  <c r="AI65" i="1"/>
  <c r="AG66" i="1"/>
  <c r="AH66" i="1"/>
  <c r="AI66" i="1"/>
  <c r="Z66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AD67" i="1"/>
  <c r="AG67" i="1"/>
  <c r="AH67" i="1"/>
  <c r="AI67" i="1"/>
  <c r="AB67" i="1"/>
  <c r="AC67" i="1"/>
  <c r="AA67" i="1"/>
  <c r="Y68" i="1"/>
  <c r="Z67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AC68" i="1"/>
  <c r="AB68" i="1"/>
  <c r="AD68" i="1"/>
  <c r="AA68" i="1"/>
  <c r="Y69" i="1"/>
  <c r="Z68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AD69" i="1"/>
  <c r="AA69" i="1"/>
  <c r="Y70" i="1"/>
  <c r="Z69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AD70" i="1"/>
  <c r="AA70" i="1"/>
  <c r="Y71" i="1"/>
  <c r="AB70" i="1"/>
  <c r="AC70" i="1"/>
  <c r="AB69" i="1"/>
  <c r="AC69" i="1"/>
  <c r="AG68" i="1"/>
  <c r="AH68" i="1"/>
  <c r="AI68" i="1"/>
  <c r="AG69" i="1"/>
  <c r="AH69" i="1"/>
  <c r="AI69" i="1"/>
  <c r="AG70" i="1"/>
  <c r="AH70" i="1"/>
  <c r="AI70" i="1"/>
  <c r="Z70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AD71" i="1"/>
  <c r="AG71" i="1"/>
  <c r="AH71" i="1"/>
  <c r="AI71" i="1"/>
  <c r="AC71" i="1"/>
  <c r="AB71" i="1"/>
  <c r="AA71" i="1"/>
  <c r="Y72" i="1"/>
  <c r="Z71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AC72" i="1"/>
  <c r="AB72" i="1"/>
  <c r="AD72" i="1"/>
  <c r="AA72" i="1"/>
  <c r="Y73" i="1"/>
  <c r="Z72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AD73" i="1"/>
  <c r="AA73" i="1"/>
  <c r="Y74" i="1"/>
  <c r="Z73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AD74" i="1"/>
  <c r="AA74" i="1"/>
  <c r="Y75" i="1"/>
  <c r="AC74" i="1"/>
  <c r="AB74" i="1"/>
  <c r="AB73" i="1"/>
  <c r="AC73" i="1"/>
  <c r="AG72" i="1"/>
  <c r="AH72" i="1"/>
  <c r="AI72" i="1"/>
  <c r="AG73" i="1"/>
  <c r="AH73" i="1"/>
  <c r="AI73" i="1"/>
  <c r="AG74" i="1"/>
  <c r="AH74" i="1"/>
  <c r="AI74" i="1"/>
  <c r="Z74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AD75" i="1"/>
  <c r="AG75" i="1"/>
  <c r="AH75" i="1"/>
  <c r="AI75" i="1"/>
  <c r="AC75" i="1"/>
  <c r="AB75" i="1"/>
  <c r="AA75" i="1"/>
  <c r="Y76" i="1"/>
  <c r="Z75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AC76" i="1"/>
  <c r="AB76" i="1"/>
  <c r="AD76" i="1"/>
  <c r="AA76" i="1"/>
  <c r="Y77" i="1"/>
  <c r="Z76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AD77" i="1"/>
  <c r="AA77" i="1"/>
  <c r="Y78" i="1"/>
  <c r="Z77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AD78" i="1"/>
  <c r="AA78" i="1"/>
  <c r="Y79" i="1"/>
  <c r="AC78" i="1"/>
  <c r="AB78" i="1"/>
  <c r="AC77" i="1"/>
  <c r="AB77" i="1"/>
  <c r="AG76" i="1"/>
  <c r="AH76" i="1"/>
  <c r="AI76" i="1"/>
  <c r="AG77" i="1"/>
  <c r="AH77" i="1"/>
  <c r="AI77" i="1"/>
  <c r="AG78" i="1"/>
  <c r="AH78" i="1"/>
  <c r="AI78" i="1"/>
  <c r="Z78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AD79" i="1"/>
  <c r="AG79" i="1"/>
  <c r="AH79" i="1"/>
  <c r="AI79" i="1"/>
  <c r="AB79" i="1"/>
  <c r="AC79" i="1"/>
  <c r="AA79" i="1"/>
  <c r="Y80" i="1"/>
  <c r="Z79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AB80" i="1"/>
  <c r="AC80" i="1"/>
  <c r="AD80" i="1"/>
  <c r="AA80" i="1"/>
  <c r="Y81" i="1"/>
  <c r="Z80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AD81" i="1"/>
  <c r="AA81" i="1"/>
  <c r="Y82" i="1"/>
  <c r="Z81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AD82" i="1"/>
  <c r="AA82" i="1"/>
  <c r="Y83" i="1"/>
  <c r="AC82" i="1"/>
  <c r="AB82" i="1"/>
  <c r="AC81" i="1"/>
  <c r="AB81" i="1"/>
  <c r="AG80" i="1"/>
  <c r="AH80" i="1"/>
  <c r="AI80" i="1"/>
  <c r="AG81" i="1"/>
  <c r="AH81" i="1"/>
  <c r="AI81" i="1"/>
  <c r="AG82" i="1"/>
  <c r="AH82" i="1"/>
  <c r="AI82" i="1"/>
  <c r="Z82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AD83" i="1"/>
  <c r="AG83" i="1"/>
  <c r="AH83" i="1"/>
  <c r="AI83" i="1"/>
  <c r="AC83" i="1"/>
  <c r="AB83" i="1"/>
  <c r="AA83" i="1"/>
  <c r="Y84" i="1"/>
  <c r="Z83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AB84" i="1"/>
  <c r="AC84" i="1"/>
  <c r="AD84" i="1"/>
  <c r="AA84" i="1"/>
  <c r="Y85" i="1"/>
  <c r="Z84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AD85" i="1"/>
  <c r="AA85" i="1"/>
  <c r="Y86" i="1"/>
  <c r="Z85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AD86" i="1"/>
  <c r="AA86" i="1"/>
  <c r="Y87" i="1"/>
  <c r="AB86" i="1"/>
  <c r="AC86" i="1"/>
  <c r="AC85" i="1"/>
  <c r="AB85" i="1"/>
  <c r="AG84" i="1"/>
  <c r="AH84" i="1"/>
  <c r="AI84" i="1"/>
  <c r="AG85" i="1"/>
  <c r="AH85" i="1"/>
  <c r="AI85" i="1"/>
  <c r="AG86" i="1"/>
  <c r="AH86" i="1"/>
  <c r="AI86" i="1"/>
  <c r="Z86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AD87" i="1"/>
  <c r="AG87" i="1"/>
  <c r="AH87" i="1"/>
  <c r="AI87" i="1"/>
  <c r="AC87" i="1"/>
  <c r="AB87" i="1"/>
  <c r="AA87" i="1"/>
  <c r="Y88" i="1"/>
  <c r="Z87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AC88" i="1"/>
  <c r="AB88" i="1"/>
  <c r="AD88" i="1"/>
  <c r="AA88" i="1"/>
  <c r="Y89" i="1"/>
  <c r="Z88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AD89" i="1"/>
  <c r="AA89" i="1"/>
  <c r="Y90" i="1"/>
  <c r="Z89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AD90" i="1"/>
  <c r="AA90" i="1"/>
  <c r="Y91" i="1"/>
  <c r="AB90" i="1"/>
  <c r="AC90" i="1"/>
  <c r="AB89" i="1"/>
  <c r="AC89" i="1"/>
  <c r="AG88" i="1"/>
  <c r="AH88" i="1"/>
  <c r="AI88" i="1"/>
  <c r="AG89" i="1"/>
  <c r="AH89" i="1"/>
  <c r="AI89" i="1"/>
  <c r="AG90" i="1"/>
  <c r="AH90" i="1"/>
  <c r="AI90" i="1"/>
  <c r="Z90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AD91" i="1"/>
  <c r="AG91" i="1"/>
  <c r="AH91" i="1"/>
  <c r="AI91" i="1"/>
  <c r="AC91" i="1"/>
  <c r="AB91" i="1"/>
  <c r="AA91" i="1"/>
  <c r="Y92" i="1"/>
  <c r="Z91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AB92" i="1"/>
  <c r="AC92" i="1"/>
  <c r="AD92" i="1"/>
  <c r="AA92" i="1"/>
  <c r="Y93" i="1"/>
  <c r="Z92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AD93" i="1"/>
  <c r="AA93" i="1"/>
  <c r="Y94" i="1"/>
  <c r="Z93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AD94" i="1"/>
  <c r="AA94" i="1"/>
  <c r="Y95" i="1"/>
  <c r="AC94" i="1"/>
  <c r="AB94" i="1"/>
  <c r="AB93" i="1"/>
  <c r="AC93" i="1"/>
  <c r="AG92" i="1"/>
  <c r="AH92" i="1"/>
  <c r="AI92" i="1"/>
  <c r="AG93" i="1"/>
  <c r="AH93" i="1"/>
  <c r="AI93" i="1"/>
  <c r="AG94" i="1"/>
  <c r="AH94" i="1"/>
  <c r="AI94" i="1"/>
  <c r="Z94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AD95" i="1"/>
  <c r="AG95" i="1"/>
  <c r="AH95" i="1"/>
  <c r="AI95" i="1"/>
  <c r="AB95" i="1"/>
  <c r="AC95" i="1"/>
  <c r="AA95" i="1"/>
  <c r="Y96" i="1"/>
  <c r="Z95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AC96" i="1"/>
  <c r="AB96" i="1"/>
  <c r="AD96" i="1"/>
  <c r="AA96" i="1"/>
  <c r="Y97" i="1"/>
  <c r="Z96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AD97" i="1"/>
  <c r="AA97" i="1"/>
  <c r="Y98" i="1"/>
  <c r="Z97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AD98" i="1"/>
  <c r="AA98" i="1"/>
  <c r="Y99" i="1"/>
  <c r="Z98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AD99" i="1"/>
  <c r="AA99" i="1"/>
  <c r="Y100" i="1"/>
  <c r="Z99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AD100" i="1"/>
  <c r="AA100" i="1"/>
  <c r="Y101" i="1"/>
  <c r="Z100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AD101" i="1"/>
  <c r="AA101" i="1"/>
  <c r="Y102" i="1"/>
  <c r="Z101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AD102" i="1"/>
  <c r="AA102" i="1"/>
  <c r="Y103" i="1"/>
  <c r="Z102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AD103" i="1"/>
  <c r="AA103" i="1"/>
  <c r="Y104" i="1"/>
  <c r="Z103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AD104" i="1"/>
  <c r="AA104" i="1"/>
  <c r="Y105" i="1"/>
  <c r="Z104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AD105" i="1"/>
  <c r="AA105" i="1"/>
  <c r="Y106" i="1"/>
  <c r="Z105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AD106" i="1"/>
  <c r="AA106" i="1"/>
  <c r="Y107" i="1"/>
  <c r="Z106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AD107" i="1"/>
  <c r="AA107" i="1"/>
  <c r="Y108" i="1"/>
  <c r="Z107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AD108" i="1"/>
  <c r="AA108" i="1"/>
  <c r="Y109" i="1"/>
  <c r="Z108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AD109" i="1"/>
  <c r="AA109" i="1"/>
  <c r="Y110" i="1"/>
  <c r="Z109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AD110" i="1"/>
  <c r="AA110" i="1"/>
  <c r="Y111" i="1"/>
  <c r="Z110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AD111" i="1"/>
  <c r="AA111" i="1"/>
  <c r="Y112" i="1"/>
  <c r="AC111" i="1"/>
  <c r="AB111" i="1"/>
  <c r="AC110" i="1"/>
  <c r="AB110" i="1"/>
  <c r="AB108" i="1"/>
  <c r="AC108" i="1"/>
  <c r="AB109" i="1"/>
  <c r="AC109" i="1"/>
  <c r="AC107" i="1"/>
  <c r="AB107" i="1"/>
  <c r="AC106" i="1"/>
  <c r="AB106" i="1"/>
  <c r="AB104" i="1"/>
  <c r="AC104" i="1"/>
  <c r="AB105" i="1"/>
  <c r="AC105" i="1"/>
  <c r="AC103" i="1"/>
  <c r="AB103" i="1"/>
  <c r="AC102" i="1"/>
  <c r="AB102" i="1"/>
  <c r="AB100" i="1"/>
  <c r="AC100" i="1"/>
  <c r="AB101" i="1"/>
  <c r="AC101" i="1"/>
  <c r="AC99" i="1"/>
  <c r="AB99" i="1"/>
  <c r="AC98" i="1"/>
  <c r="AB98" i="1"/>
  <c r="AB97" i="1"/>
  <c r="AC97" i="1"/>
  <c r="AG96" i="1"/>
  <c r="AH96" i="1"/>
  <c r="AI96" i="1"/>
  <c r="AG97" i="1"/>
  <c r="AH97" i="1"/>
  <c r="AI97" i="1"/>
  <c r="AG98" i="1"/>
  <c r="AH98" i="1"/>
  <c r="AI98" i="1"/>
  <c r="AG99" i="1"/>
  <c r="AH99" i="1"/>
  <c r="AI99" i="1"/>
  <c r="AG100" i="1"/>
  <c r="AH100" i="1"/>
  <c r="AI100" i="1"/>
  <c r="AG101" i="1"/>
  <c r="AH101" i="1"/>
  <c r="AI101" i="1"/>
  <c r="AG102" i="1"/>
  <c r="AH102" i="1"/>
  <c r="AI102" i="1"/>
  <c r="AG103" i="1"/>
  <c r="AH103" i="1"/>
  <c r="AI103" i="1"/>
  <c r="AG104" i="1"/>
  <c r="AH104" i="1"/>
  <c r="AI104" i="1"/>
  <c r="AG105" i="1"/>
  <c r="AH105" i="1"/>
  <c r="AI105" i="1"/>
  <c r="AG106" i="1"/>
  <c r="AH106" i="1"/>
  <c r="AI106" i="1"/>
  <c r="AG107" i="1"/>
  <c r="AH107" i="1"/>
  <c r="AI107" i="1"/>
  <c r="AG108" i="1"/>
  <c r="AH108" i="1"/>
  <c r="AI108" i="1"/>
  <c r="AG109" i="1"/>
  <c r="AH109" i="1"/>
  <c r="AI109" i="1"/>
  <c r="AG110" i="1"/>
  <c r="AH110" i="1"/>
  <c r="AI110" i="1"/>
  <c r="AG111" i="1"/>
  <c r="AH111" i="1"/>
  <c r="AI111" i="1"/>
  <c r="Z111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AD112" i="1"/>
  <c r="AG112" i="1"/>
  <c r="AH112" i="1"/>
  <c r="AI112" i="1"/>
  <c r="AA112" i="1"/>
  <c r="Y113" i="1"/>
  <c r="Z112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AB113" i="1"/>
  <c r="AC112" i="1"/>
  <c r="AB112" i="1"/>
  <c r="AC113" i="1"/>
  <c r="AD113" i="1"/>
  <c r="AA113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3" i="1"/>
  <c r="F114" i="1"/>
  <c r="AD114" i="1"/>
  <c r="AA114" i="1"/>
  <c r="AB114" i="1"/>
  <c r="AC114" i="1"/>
  <c r="Z114" i="1"/>
  <c r="AG113" i="1"/>
  <c r="AH113" i="1"/>
  <c r="AI113" i="1"/>
  <c r="AG114" i="1"/>
  <c r="AH114" i="1"/>
  <c r="AI114" i="1"/>
  <c r="AG18" i="1"/>
  <c r="AH18" i="1"/>
  <c r="AI18" i="1"/>
  <c r="C24" i="1"/>
  <c r="AN14" i="1"/>
</calcChain>
</file>

<file path=xl/sharedStrings.xml><?xml version="1.0" encoding="utf-8"?>
<sst xmlns="http://schemas.openxmlformats.org/spreadsheetml/2006/main" count="94" uniqueCount="88">
  <si>
    <t>Age</t>
  </si>
  <si>
    <t>Length</t>
  </si>
  <si>
    <t>vbk</t>
  </si>
  <si>
    <t>vbto</t>
  </si>
  <si>
    <t>vblinf</t>
  </si>
  <si>
    <t>Weight</t>
  </si>
  <si>
    <t>lwa</t>
  </si>
  <si>
    <t>lwb</t>
  </si>
  <si>
    <t>fecundity</t>
  </si>
  <si>
    <t>pmature</t>
  </si>
  <si>
    <t>lmat50</t>
  </si>
  <si>
    <t>lmatsd</t>
  </si>
  <si>
    <t>maxsj</t>
  </si>
  <si>
    <t>sjscale</t>
  </si>
  <si>
    <t>sa</t>
  </si>
  <si>
    <t>survival</t>
  </si>
  <si>
    <t>page</t>
  </si>
  <si>
    <t>vul50</t>
  </si>
  <si>
    <t>vulsd</t>
  </si>
  <si>
    <t>vul</t>
  </si>
  <si>
    <t>Eggs</t>
  </si>
  <si>
    <t>survivalhr</t>
  </si>
  <si>
    <t>survshiphr</t>
  </si>
  <si>
    <t>survship</t>
  </si>
  <si>
    <t>hr</t>
  </si>
  <si>
    <t>pagehr</t>
  </si>
  <si>
    <t>Survival</t>
  </si>
  <si>
    <t>Predicted Survival</t>
  </si>
  <si>
    <t>sjmax</t>
  </si>
  <si>
    <t>SS</t>
  </si>
  <si>
    <t>epro</t>
  </si>
  <si>
    <t>Adult survival</t>
  </si>
  <si>
    <t>Max juvenile Survival</t>
  </si>
  <si>
    <t>Density Dependnet effect of Juvenile Survival</t>
  </si>
  <si>
    <t>Max length</t>
  </si>
  <si>
    <t>Von Bertellany growth constant</t>
  </si>
  <si>
    <t>Theoretical age at length 0</t>
  </si>
  <si>
    <t>length weight scaler</t>
  </si>
  <si>
    <t>length weight power</t>
  </si>
  <si>
    <t>length at 50% maturity</t>
  </si>
  <si>
    <t>variation in age at first maturity</t>
  </si>
  <si>
    <t>length at 50% vulnerability to harvest</t>
  </si>
  <si>
    <t>variabilty in vulnerabilty at size</t>
  </si>
  <si>
    <t>harvesr rate of fully vulnerable individuals</t>
  </si>
  <si>
    <t>egg per recruit unharvested</t>
  </si>
  <si>
    <t>Equilibrium unharvested age 1 juvenile production</t>
  </si>
  <si>
    <t>ro</t>
  </si>
  <si>
    <t>egg per recruit when harveetsed</t>
  </si>
  <si>
    <t>eprh</t>
  </si>
  <si>
    <t>equilibrium recrutment</t>
  </si>
  <si>
    <t>req</t>
  </si>
  <si>
    <t>yield per recruit</t>
  </si>
  <si>
    <t>equilibrium yield</t>
  </si>
  <si>
    <t>yprh</t>
  </si>
  <si>
    <t>yeq</t>
  </si>
  <si>
    <t>Deviations</t>
  </si>
  <si>
    <t>dev squared</t>
  </si>
  <si>
    <t>Time</t>
  </si>
  <si>
    <t>harvest rate</t>
  </si>
  <si>
    <t>Total N</t>
  </si>
  <si>
    <t>Total Biomass</t>
  </si>
  <si>
    <t>Vulnerable Biomass</t>
  </si>
  <si>
    <t>Harvest</t>
  </si>
  <si>
    <t>catchability</t>
  </si>
  <si>
    <t>q</t>
  </si>
  <si>
    <t>cpue</t>
  </si>
  <si>
    <t>nll</t>
  </si>
  <si>
    <t>Negative Log Likelihood</t>
  </si>
  <si>
    <t>Predicted Cpue</t>
  </si>
  <si>
    <t>min</t>
  </si>
  <si>
    <t>max</t>
  </si>
  <si>
    <t>step</t>
  </si>
  <si>
    <t>bins</t>
  </si>
  <si>
    <t>Standard deviation of residuals</t>
  </si>
  <si>
    <t>sdresid</t>
  </si>
  <si>
    <t>Dev</t>
  </si>
  <si>
    <t>Log Likelihood</t>
  </si>
  <si>
    <t>a condition on catch method</t>
  </si>
  <si>
    <t xml:space="preserve">what harvest rate would have to be observed to explain the catch </t>
  </si>
  <si>
    <t>max suv cant be less than 0</t>
  </si>
  <si>
    <t>Data table</t>
  </si>
  <si>
    <t>solutions right up against a cliff</t>
  </si>
  <si>
    <t>band of parameters that explain the data</t>
  </si>
  <si>
    <t xml:space="preserve">estimate the catch but not conditioning from the catch </t>
  </si>
  <si>
    <t xml:space="preserve">effort on this population that resulted in this catch </t>
  </si>
  <si>
    <t>usually don't have effort time series, normally use just catch, usually assuming that effort is constant</t>
  </si>
  <si>
    <t>open population assessment</t>
  </si>
  <si>
    <t>get the results and find optimal yield, what is the pop and what is being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</si>
</sst>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'Juv. Survival'!$D$1</c:f>
              <c:strCache>
                <c:ptCount val="1"/>
                <c:pt idx="0">
                  <c:v>Survival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'Juv. Survival'!$C$2:$C$26</c:f>
              <c:numCache>
                <c:formatCode>General</c:formatCode>
                <c:ptCount val="25"/>
                <c:pt idx="0">
                  <c:v>1765</c:v>
                </c:pt>
                <c:pt idx="1">
                  <c:v>3073</c:v>
                </c:pt>
                <c:pt idx="2">
                  <c:v>4021</c:v>
                </c:pt>
                <c:pt idx="3">
                  <c:v>4740</c:v>
                </c:pt>
                <c:pt idx="4">
                  <c:v>5304</c:v>
                </c:pt>
                <c:pt idx="5">
                  <c:v>6708</c:v>
                </c:pt>
                <c:pt idx="6">
                  <c:v>8345</c:v>
                </c:pt>
                <c:pt idx="7">
                  <c:v>9980</c:v>
                </c:pt>
                <c:pt idx="8">
                  <c:v>11522</c:v>
                </c:pt>
                <c:pt idx="9">
                  <c:v>13342</c:v>
                </c:pt>
                <c:pt idx="10">
                  <c:v>15350</c:v>
                </c:pt>
                <c:pt idx="11">
                  <c:v>17406</c:v>
                </c:pt>
                <c:pt idx="12">
                  <c:v>19409</c:v>
                </c:pt>
                <c:pt idx="13">
                  <c:v>21387</c:v>
                </c:pt>
                <c:pt idx="14">
                  <c:v>23323</c:v>
                </c:pt>
                <c:pt idx="15">
                  <c:v>25183</c:v>
                </c:pt>
                <c:pt idx="16">
                  <c:v>26935</c:v>
                </c:pt>
                <c:pt idx="17">
                  <c:v>28568</c:v>
                </c:pt>
                <c:pt idx="18">
                  <c:v>30079</c:v>
                </c:pt>
                <c:pt idx="19">
                  <c:v>31467</c:v>
                </c:pt>
                <c:pt idx="20">
                  <c:v>32734</c:v>
                </c:pt>
                <c:pt idx="21">
                  <c:v>33884</c:v>
                </c:pt>
                <c:pt idx="22">
                  <c:v>34922</c:v>
                </c:pt>
                <c:pt idx="23">
                  <c:v>35857</c:v>
                </c:pt>
                <c:pt idx="24">
                  <c:v>36697</c:v>
                </c:pt>
              </c:numCache>
            </c:numRef>
          </c:xVal>
          <c:yVal>
            <c:numRef>
              <c:f>'Juv. Survival'!$D$2:$D$26</c:f>
              <c:numCache>
                <c:formatCode>General</c:formatCode>
                <c:ptCount val="25"/>
                <c:pt idx="0">
                  <c:v>0.28000000000000003</c:v>
                </c:pt>
                <c:pt idx="1">
                  <c:v>0.21</c:v>
                </c:pt>
                <c:pt idx="2">
                  <c:v>0.191</c:v>
                </c:pt>
                <c:pt idx="3">
                  <c:v>0.14299999999999999</c:v>
                </c:pt>
                <c:pt idx="4">
                  <c:v>0.219</c:v>
                </c:pt>
                <c:pt idx="5">
                  <c:v>0.19600000000000001</c:v>
                </c:pt>
                <c:pt idx="6">
                  <c:v>0.193</c:v>
                </c:pt>
                <c:pt idx="7">
                  <c:v>0.13500000000000001</c:v>
                </c:pt>
                <c:pt idx="8">
                  <c:v>0.10100000000000001</c:v>
                </c:pt>
                <c:pt idx="9">
                  <c:v>0.13600000000000001</c:v>
                </c:pt>
                <c:pt idx="10">
                  <c:v>0.127</c:v>
                </c:pt>
                <c:pt idx="11">
                  <c:v>0.109</c:v>
                </c:pt>
                <c:pt idx="12">
                  <c:v>0.104</c:v>
                </c:pt>
                <c:pt idx="13">
                  <c:v>7.6999999999999999E-2</c:v>
                </c:pt>
                <c:pt idx="14">
                  <c:v>9.7000000000000003E-2</c:v>
                </c:pt>
                <c:pt idx="15">
                  <c:v>0.106</c:v>
                </c:pt>
                <c:pt idx="16">
                  <c:v>9.1999999999999998E-2</c:v>
                </c:pt>
                <c:pt idx="17">
                  <c:v>6.6000000000000003E-2</c:v>
                </c:pt>
                <c:pt idx="18">
                  <c:v>9.2999999999999999E-2</c:v>
                </c:pt>
                <c:pt idx="19">
                  <c:v>9.8000000000000004E-2</c:v>
                </c:pt>
                <c:pt idx="20">
                  <c:v>7.4999999999999997E-2</c:v>
                </c:pt>
                <c:pt idx="21">
                  <c:v>7.8E-2</c:v>
                </c:pt>
                <c:pt idx="22">
                  <c:v>4.8000000000000001E-2</c:v>
                </c:pt>
                <c:pt idx="23">
                  <c:v>6.3E-2</c:v>
                </c:pt>
                <c:pt idx="24">
                  <c:v>7.9000000000000001E-2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'Juv. Survival'!$E$1</c:f>
              <c:strCache>
                <c:ptCount val="1"/>
                <c:pt idx="0">
                  <c:v>Predicted Survival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'Juv. Survival'!$C$2:$C$26</c:f>
              <c:numCache>
                <c:formatCode>General</c:formatCode>
                <c:ptCount val="25"/>
                <c:pt idx="0">
                  <c:v>1765</c:v>
                </c:pt>
                <c:pt idx="1">
                  <c:v>3073</c:v>
                </c:pt>
                <c:pt idx="2">
                  <c:v>4021</c:v>
                </c:pt>
                <c:pt idx="3">
                  <c:v>4740</c:v>
                </c:pt>
                <c:pt idx="4">
                  <c:v>5304</c:v>
                </c:pt>
                <c:pt idx="5">
                  <c:v>6708</c:v>
                </c:pt>
                <c:pt idx="6">
                  <c:v>8345</c:v>
                </c:pt>
                <c:pt idx="7">
                  <c:v>9980</c:v>
                </c:pt>
                <c:pt idx="8">
                  <c:v>11522</c:v>
                </c:pt>
                <c:pt idx="9">
                  <c:v>13342</c:v>
                </c:pt>
                <c:pt idx="10">
                  <c:v>15350</c:v>
                </c:pt>
                <c:pt idx="11">
                  <c:v>17406</c:v>
                </c:pt>
                <c:pt idx="12">
                  <c:v>19409</c:v>
                </c:pt>
                <c:pt idx="13">
                  <c:v>21387</c:v>
                </c:pt>
                <c:pt idx="14">
                  <c:v>23323</c:v>
                </c:pt>
                <c:pt idx="15">
                  <c:v>25183</c:v>
                </c:pt>
                <c:pt idx="16">
                  <c:v>26935</c:v>
                </c:pt>
                <c:pt idx="17">
                  <c:v>28568</c:v>
                </c:pt>
                <c:pt idx="18">
                  <c:v>30079</c:v>
                </c:pt>
                <c:pt idx="19">
                  <c:v>31467</c:v>
                </c:pt>
                <c:pt idx="20">
                  <c:v>32734</c:v>
                </c:pt>
                <c:pt idx="21">
                  <c:v>33884</c:v>
                </c:pt>
                <c:pt idx="22">
                  <c:v>34922</c:v>
                </c:pt>
                <c:pt idx="23">
                  <c:v>35857</c:v>
                </c:pt>
                <c:pt idx="24">
                  <c:v>36697</c:v>
                </c:pt>
              </c:numCache>
            </c:numRef>
          </c:xVal>
          <c:yVal>
            <c:numRef>
              <c:f>'Juv. Survival'!$E$2:$E$26</c:f>
              <c:numCache>
                <c:formatCode>0.00E+00</c:formatCode>
                <c:ptCount val="25"/>
                <c:pt idx="0">
                  <c:v>0.24554137704858173</c:v>
                </c:pt>
                <c:pt idx="1">
                  <c:v>0.22298319528760727</c:v>
                </c:pt>
                <c:pt idx="2">
                  <c:v>0.20906264394870022</c:v>
                </c:pt>
                <c:pt idx="3">
                  <c:v>0.1996113745979175</c:v>
                </c:pt>
                <c:pt idx="4">
                  <c:v>0.19277517063695865</c:v>
                </c:pt>
                <c:pt idx="5">
                  <c:v>0.17763128929605276</c:v>
                </c:pt>
                <c:pt idx="6">
                  <c:v>0.1627264963509597</c:v>
                </c:pt>
                <c:pt idx="7">
                  <c:v>0.15014355288717082</c:v>
                </c:pt>
                <c:pt idx="8">
                  <c:v>0.13993822529710195</c:v>
                </c:pt>
                <c:pt idx="9">
                  <c:v>0.12954549646919011</c:v>
                </c:pt>
                <c:pt idx="10">
                  <c:v>0.11973467247012198</c:v>
                </c:pt>
                <c:pt idx="11">
                  <c:v>0.11111823204146182</c:v>
                </c:pt>
                <c:pt idx="12">
                  <c:v>0.10383836199246389</c:v>
                </c:pt>
                <c:pt idx="13">
                  <c:v>9.7528563779414601E-2</c:v>
                </c:pt>
                <c:pt idx="14">
                  <c:v>9.2053644801318765E-2</c:v>
                </c:pt>
                <c:pt idx="15">
                  <c:v>8.7342987593108767E-2</c:v>
                </c:pt>
                <c:pt idx="16">
                  <c:v>8.3326514280516586E-2</c:v>
                </c:pt>
                <c:pt idx="17">
                  <c:v>7.9901791350407356E-2</c:v>
                </c:pt>
                <c:pt idx="18">
                  <c:v>7.6974490691814071E-2</c:v>
                </c:pt>
                <c:pt idx="19">
                  <c:v>7.446833828008087E-2</c:v>
                </c:pt>
                <c:pt idx="20">
                  <c:v>7.2319021904356559E-2</c:v>
                </c:pt>
                <c:pt idx="21">
                  <c:v>7.0472851624157326E-2</c:v>
                </c:pt>
                <c:pt idx="22">
                  <c:v>6.8885595033855093E-2</c:v>
                </c:pt>
                <c:pt idx="23">
                  <c:v>6.7515832824347088E-2</c:v>
                </c:pt>
                <c:pt idx="24">
                  <c:v>6.6330882305705205E-2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834376"/>
        <c:axId val="108885728"/>
      </c:scatterChart>
      <c:valAx>
        <c:axId val="230834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85728"/>
        <c:crosses val="autoZero"/>
        <c:crossBetween val="midCat"/>
      </c:valAx>
      <c:valAx>
        <c:axId val="10888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834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029741563352"/>
          <c:y val="3.7928463781490201E-2"/>
          <c:w val="0.83111185666102405"/>
          <c:h val="0.83485364503363002"/>
        </c:manualLayout>
      </c:layout>
      <c:lineChart>
        <c:grouping val="standard"/>
        <c:varyColors val="0"/>
        <c:ser>
          <c:idx val="0"/>
          <c:order val="0"/>
          <c:tx>
            <c:strRef>
              <c:f>'Age Structure'!$AF$14</c:f>
              <c:strCache>
                <c:ptCount val="1"/>
                <c:pt idx="0">
                  <c:v>cpue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'Age Structure'!$AF$15:$AF$114</c:f>
              <c:numCache>
                <c:formatCode>General</c:formatCode>
                <c:ptCount val="100"/>
                <c:pt idx="0">
                  <c:v>44.910566835742642</c:v>
                </c:pt>
                <c:pt idx="1">
                  <c:v>46.627863050548356</c:v>
                </c:pt>
                <c:pt idx="2">
                  <c:v>46.704012665338354</c:v>
                </c:pt>
                <c:pt idx="3">
                  <c:v>40.119670068133743</c:v>
                </c:pt>
                <c:pt idx="4">
                  <c:v>64.667213138589162</c:v>
                </c:pt>
                <c:pt idx="5">
                  <c:v>47.05981641988852</c:v>
                </c:pt>
                <c:pt idx="6">
                  <c:v>48.430000589545529</c:v>
                </c:pt>
                <c:pt idx="7">
                  <c:v>33.139490101432429</c:v>
                </c:pt>
                <c:pt idx="8">
                  <c:v>45.939702787419506</c:v>
                </c:pt>
                <c:pt idx="9">
                  <c:v>43.776956795844541</c:v>
                </c:pt>
                <c:pt idx="10">
                  <c:v>44.71320464002072</c:v>
                </c:pt>
                <c:pt idx="11">
                  <c:v>46.910743752384043</c:v>
                </c:pt>
                <c:pt idx="12">
                  <c:v>38.141053831171156</c:v>
                </c:pt>
                <c:pt idx="13">
                  <c:v>33.650636518582957</c:v>
                </c:pt>
                <c:pt idx="14">
                  <c:v>40.469959606699128</c:v>
                </c:pt>
                <c:pt idx="15">
                  <c:v>37.032220361506226</c:v>
                </c:pt>
                <c:pt idx="16">
                  <c:v>36.316309460439413</c:v>
                </c:pt>
                <c:pt idx="17">
                  <c:v>40.395499165212172</c:v>
                </c:pt>
                <c:pt idx="18">
                  <c:v>34.648176241075795</c:v>
                </c:pt>
                <c:pt idx="19">
                  <c:v>26.750404013099963</c:v>
                </c:pt>
                <c:pt idx="20">
                  <c:v>36.858706592184355</c:v>
                </c:pt>
                <c:pt idx="21">
                  <c:v>31.203013273013294</c:v>
                </c:pt>
                <c:pt idx="22">
                  <c:v>29.797577218889217</c:v>
                </c:pt>
                <c:pt idx="23">
                  <c:v>27.118759626828574</c:v>
                </c:pt>
                <c:pt idx="24">
                  <c:v>26.794065069095137</c:v>
                </c:pt>
                <c:pt idx="25">
                  <c:v>27.127093301027617</c:v>
                </c:pt>
                <c:pt idx="26">
                  <c:v>26.597313026265009</c:v>
                </c:pt>
                <c:pt idx="27">
                  <c:v>23.771606910501745</c:v>
                </c:pt>
                <c:pt idx="28">
                  <c:v>26.349274043696965</c:v>
                </c:pt>
                <c:pt idx="29">
                  <c:v>29.205256788238056</c:v>
                </c:pt>
                <c:pt idx="30">
                  <c:v>20.729771365767917</c:v>
                </c:pt>
                <c:pt idx="31">
                  <c:v>30.866228864180989</c:v>
                </c:pt>
                <c:pt idx="32">
                  <c:v>20.38217158530561</c:v>
                </c:pt>
                <c:pt idx="33">
                  <c:v>20.277208312800578</c:v>
                </c:pt>
                <c:pt idx="34">
                  <c:v>23.588000821612457</c:v>
                </c:pt>
                <c:pt idx="35">
                  <c:v>18.444440997945666</c:v>
                </c:pt>
                <c:pt idx="36">
                  <c:v>20.792728230910338</c:v>
                </c:pt>
                <c:pt idx="37">
                  <c:v>18.580400772446545</c:v>
                </c:pt>
                <c:pt idx="38">
                  <c:v>16.861339588619945</c:v>
                </c:pt>
                <c:pt idx="39">
                  <c:v>19.029895884980164</c:v>
                </c:pt>
                <c:pt idx="40">
                  <c:v>16.728736172552658</c:v>
                </c:pt>
                <c:pt idx="41">
                  <c:v>13.654975683087171</c:v>
                </c:pt>
                <c:pt idx="42">
                  <c:v>13.735663781387272</c:v>
                </c:pt>
                <c:pt idx="43">
                  <c:v>16.152634893691541</c:v>
                </c:pt>
                <c:pt idx="44">
                  <c:v>13.19059133383737</c:v>
                </c:pt>
                <c:pt idx="45">
                  <c:v>15.396327019662445</c:v>
                </c:pt>
                <c:pt idx="46">
                  <c:v>11.52818174473361</c:v>
                </c:pt>
                <c:pt idx="47">
                  <c:v>14.647737111703414</c:v>
                </c:pt>
                <c:pt idx="48">
                  <c:v>16.583828102114641</c:v>
                </c:pt>
                <c:pt idx="49">
                  <c:v>13.224334683554451</c:v>
                </c:pt>
                <c:pt idx="50">
                  <c:v>12.736353652454898</c:v>
                </c:pt>
                <c:pt idx="51">
                  <c:v>15.809912724160567</c:v>
                </c:pt>
                <c:pt idx="52">
                  <c:v>11.369873734965292</c:v>
                </c:pt>
                <c:pt idx="53">
                  <c:v>14.168268729595196</c:v>
                </c:pt>
                <c:pt idx="54">
                  <c:v>11.36029330374668</c:v>
                </c:pt>
                <c:pt idx="55">
                  <c:v>12.606488098194937</c:v>
                </c:pt>
                <c:pt idx="56">
                  <c:v>11.410869535510541</c:v>
                </c:pt>
                <c:pt idx="57">
                  <c:v>11.528871661193916</c:v>
                </c:pt>
                <c:pt idx="58">
                  <c:v>11.303246706030471</c:v>
                </c:pt>
                <c:pt idx="59">
                  <c:v>9.8863046055207544</c:v>
                </c:pt>
                <c:pt idx="60">
                  <c:v>13.574556187369035</c:v>
                </c:pt>
                <c:pt idx="61">
                  <c:v>12.220127184574604</c:v>
                </c:pt>
                <c:pt idx="62">
                  <c:v>15.249509649144192</c:v>
                </c:pt>
                <c:pt idx="63">
                  <c:v>12.66627836172375</c:v>
                </c:pt>
                <c:pt idx="64">
                  <c:v>13.197932408090663</c:v>
                </c:pt>
                <c:pt idx="65">
                  <c:v>13.844409486077387</c:v>
                </c:pt>
                <c:pt idx="66">
                  <c:v>13.682240434129028</c:v>
                </c:pt>
                <c:pt idx="67">
                  <c:v>16.037718943046222</c:v>
                </c:pt>
                <c:pt idx="68">
                  <c:v>12.536496080716734</c:v>
                </c:pt>
                <c:pt idx="69">
                  <c:v>17.110054295124613</c:v>
                </c:pt>
                <c:pt idx="70">
                  <c:v>14.400290859418353</c:v>
                </c:pt>
                <c:pt idx="71">
                  <c:v>15.077126151520362</c:v>
                </c:pt>
                <c:pt idx="72">
                  <c:v>13.283995787963025</c:v>
                </c:pt>
                <c:pt idx="73">
                  <c:v>14.770113967934885</c:v>
                </c:pt>
                <c:pt idx="74">
                  <c:v>13.458661249376378</c:v>
                </c:pt>
                <c:pt idx="75">
                  <c:v>14.746177293442321</c:v>
                </c:pt>
                <c:pt idx="76">
                  <c:v>17.692143718684292</c:v>
                </c:pt>
                <c:pt idx="77">
                  <c:v>14.215757844054762</c:v>
                </c:pt>
                <c:pt idx="78">
                  <c:v>17.129245887975181</c:v>
                </c:pt>
                <c:pt idx="79">
                  <c:v>19.231034437509926</c:v>
                </c:pt>
                <c:pt idx="80">
                  <c:v>21.544118187188811</c:v>
                </c:pt>
                <c:pt idx="81">
                  <c:v>19.821116182739196</c:v>
                </c:pt>
                <c:pt idx="82">
                  <c:v>18.001601094297378</c:v>
                </c:pt>
                <c:pt idx="83">
                  <c:v>20.892849803374972</c:v>
                </c:pt>
                <c:pt idx="84">
                  <c:v>20.863306088107922</c:v>
                </c:pt>
                <c:pt idx="85">
                  <c:v>20.733954112455557</c:v>
                </c:pt>
                <c:pt idx="86">
                  <c:v>22.654771735108586</c:v>
                </c:pt>
                <c:pt idx="87">
                  <c:v>22.988035694654695</c:v>
                </c:pt>
                <c:pt idx="88">
                  <c:v>26.459501777362807</c:v>
                </c:pt>
                <c:pt idx="89">
                  <c:v>25.277282439908983</c:v>
                </c:pt>
                <c:pt idx="90">
                  <c:v>26.595021197359461</c:v>
                </c:pt>
                <c:pt idx="91">
                  <c:v>28.665224769765651</c:v>
                </c:pt>
                <c:pt idx="92">
                  <c:v>26.932539651961566</c:v>
                </c:pt>
                <c:pt idx="93">
                  <c:v>31.159704034633489</c:v>
                </c:pt>
                <c:pt idx="94">
                  <c:v>29.814762323411713</c:v>
                </c:pt>
                <c:pt idx="95">
                  <c:v>35.541925456434932</c:v>
                </c:pt>
                <c:pt idx="96">
                  <c:v>35.217240082971522</c:v>
                </c:pt>
                <c:pt idx="97">
                  <c:v>34.055984076738639</c:v>
                </c:pt>
                <c:pt idx="98">
                  <c:v>36.638675492016759</c:v>
                </c:pt>
                <c:pt idx="99">
                  <c:v>30.948138596803581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'Age Structure'!$AG$14</c:f>
              <c:strCache>
                <c:ptCount val="1"/>
                <c:pt idx="0">
                  <c:v>Predicted Cpue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'Age Structure'!$AG$15:$AG$114</c:f>
              <c:numCache>
                <c:formatCode>General</c:formatCode>
                <c:ptCount val="100"/>
                <c:pt idx="0">
                  <c:v>51.941919294955362</c:v>
                </c:pt>
                <c:pt idx="1">
                  <c:v>51.899068488027076</c:v>
                </c:pt>
                <c:pt idx="2">
                  <c:v>51.679979685839918</c:v>
                </c:pt>
                <c:pt idx="3">
                  <c:v>51.300105792356192</c:v>
                </c:pt>
                <c:pt idx="4">
                  <c:v>50.856963805291542</c:v>
                </c:pt>
                <c:pt idx="5">
                  <c:v>49.903971280937753</c:v>
                </c:pt>
                <c:pt idx="6">
                  <c:v>49.139578685657753</c:v>
                </c:pt>
                <c:pt idx="7">
                  <c:v>48.238393688828623</c:v>
                </c:pt>
                <c:pt idx="8">
                  <c:v>47.660537944361785</c:v>
                </c:pt>
                <c:pt idx="9">
                  <c:v>46.613795781941853</c:v>
                </c:pt>
                <c:pt idx="10">
                  <c:v>45.559304491166436</c:v>
                </c:pt>
                <c:pt idx="11">
                  <c:v>44.398047477429444</c:v>
                </c:pt>
                <c:pt idx="12">
                  <c:v>43.077802571696857</c:v>
                </c:pt>
                <c:pt idx="13">
                  <c:v>42.10687633871752</c:v>
                </c:pt>
                <c:pt idx="14">
                  <c:v>41.31155238779138</c:v>
                </c:pt>
                <c:pt idx="15">
                  <c:v>40.090554714992784</c:v>
                </c:pt>
                <c:pt idx="16">
                  <c:v>39.013788372738986</c:v>
                </c:pt>
                <c:pt idx="17">
                  <c:v>37.933618618712664</c:v>
                </c:pt>
                <c:pt idx="18">
                  <c:v>36.536721337983494</c:v>
                </c:pt>
                <c:pt idx="19">
                  <c:v>35.496150150485398</c:v>
                </c:pt>
                <c:pt idx="20">
                  <c:v>34.994421802465993</c:v>
                </c:pt>
                <c:pt idx="21">
                  <c:v>33.652654408839567</c:v>
                </c:pt>
                <c:pt idx="22">
                  <c:v>32.716697594445662</c:v>
                </c:pt>
                <c:pt idx="23">
                  <c:v>31.854600651059755</c:v>
                </c:pt>
                <c:pt idx="24">
                  <c:v>31.181614260654332</c:v>
                </c:pt>
                <c:pt idx="25">
                  <c:v>30.482003216529545</c:v>
                </c:pt>
                <c:pt idx="26">
                  <c:v>29.690624673108861</c:v>
                </c:pt>
                <c:pt idx="27">
                  <c:v>28.896631527860016</c:v>
                </c:pt>
                <c:pt idx="28">
                  <c:v>28.346462665556832</c:v>
                </c:pt>
                <c:pt idx="29">
                  <c:v>27.460544816796329</c:v>
                </c:pt>
                <c:pt idx="30">
                  <c:v>26.197492313751521</c:v>
                </c:pt>
                <c:pt idx="31">
                  <c:v>25.877329259428517</c:v>
                </c:pt>
                <c:pt idx="32">
                  <c:v>24.285342052650339</c:v>
                </c:pt>
                <c:pt idx="33">
                  <c:v>23.941971065225761</c:v>
                </c:pt>
                <c:pt idx="34">
                  <c:v>23.560710426191037</c:v>
                </c:pt>
                <c:pt idx="35">
                  <c:v>22.670137074162991</c:v>
                </c:pt>
                <c:pt idx="36">
                  <c:v>22.410826772540059</c:v>
                </c:pt>
                <c:pt idx="37">
                  <c:v>21.764780306540604</c:v>
                </c:pt>
                <c:pt idx="38">
                  <c:v>21.373619896193784</c:v>
                </c:pt>
                <c:pt idx="39">
                  <c:v>21.176365995841358</c:v>
                </c:pt>
                <c:pt idx="40">
                  <c:v>20.586079733145297</c:v>
                </c:pt>
                <c:pt idx="41">
                  <c:v>20.290237767134812</c:v>
                </c:pt>
                <c:pt idx="42">
                  <c:v>20.429562496382911</c:v>
                </c:pt>
                <c:pt idx="43">
                  <c:v>20.49319519310448</c:v>
                </c:pt>
                <c:pt idx="44">
                  <c:v>20.08170782954323</c:v>
                </c:pt>
                <c:pt idx="45">
                  <c:v>20.119331387593128</c:v>
                </c:pt>
                <c:pt idx="46">
                  <c:v>19.726127511880513</c:v>
                </c:pt>
                <c:pt idx="47">
                  <c:v>19.975073145303849</c:v>
                </c:pt>
                <c:pt idx="48">
                  <c:v>19.602871411554531</c:v>
                </c:pt>
                <c:pt idx="49">
                  <c:v>18.812985621510148</c:v>
                </c:pt>
                <c:pt idx="50">
                  <c:v>18.625647125348458</c:v>
                </c:pt>
                <c:pt idx="51">
                  <c:v>18.49926217070313</c:v>
                </c:pt>
                <c:pt idx="52">
                  <c:v>17.830049237417484</c:v>
                </c:pt>
                <c:pt idx="53">
                  <c:v>18.053668417759084</c:v>
                </c:pt>
                <c:pt idx="54">
                  <c:v>17.804482537676634</c:v>
                </c:pt>
                <c:pt idx="55">
                  <c:v>18.103076567239899</c:v>
                </c:pt>
                <c:pt idx="56">
                  <c:v>18.213853145065965</c:v>
                </c:pt>
                <c:pt idx="57">
                  <c:v>18.565182708804578</c:v>
                </c:pt>
                <c:pt idx="58">
                  <c:v>18.92881329406568</c:v>
                </c:pt>
                <c:pt idx="59">
                  <c:v>19.361793473171058</c:v>
                </c:pt>
                <c:pt idx="60">
                  <c:v>20.052589403616988</c:v>
                </c:pt>
                <c:pt idx="61">
                  <c:v>20.188439516741077</c:v>
                </c:pt>
                <c:pt idx="62">
                  <c:v>20.577956079590439</c:v>
                </c:pt>
                <c:pt idx="63">
                  <c:v>20.56760106990421</c:v>
                </c:pt>
                <c:pt idx="64">
                  <c:v>20.997229965590662</c:v>
                </c:pt>
                <c:pt idx="65">
                  <c:v>21.397808683673404</c:v>
                </c:pt>
                <c:pt idx="66">
                  <c:v>21.746832064636845</c:v>
                </c:pt>
                <c:pt idx="67">
                  <c:v>22.15699602046686</c:v>
                </c:pt>
                <c:pt idx="68">
                  <c:v>22.305802628763374</c:v>
                </c:pt>
                <c:pt idx="69">
                  <c:v>22.951251115694195</c:v>
                </c:pt>
                <c:pt idx="70">
                  <c:v>23.076744020610313</c:v>
                </c:pt>
                <c:pt idx="71">
                  <c:v>23.577097295871379</c:v>
                </c:pt>
                <c:pt idx="72">
                  <c:v>24.043018915210087</c:v>
                </c:pt>
                <c:pt idx="73">
                  <c:v>24.74467499321883</c:v>
                </c:pt>
                <c:pt idx="74">
                  <c:v>25.311527715211543</c:v>
                </c:pt>
                <c:pt idx="75">
                  <c:v>26.040221857250032</c:v>
                </c:pt>
                <c:pt idx="76">
                  <c:v>26.663559372966436</c:v>
                </c:pt>
                <c:pt idx="77">
                  <c:v>27.038681527095683</c:v>
                </c:pt>
                <c:pt idx="78">
                  <c:v>27.776642742126985</c:v>
                </c:pt>
                <c:pt idx="79">
                  <c:v>28.289434982689407</c:v>
                </c:pt>
                <c:pt idx="80">
                  <c:v>28.667636151960913</c:v>
                </c:pt>
                <c:pt idx="81">
                  <c:v>28.91895520286835</c:v>
                </c:pt>
                <c:pt idx="82">
                  <c:v>29.370309043761395</c:v>
                </c:pt>
                <c:pt idx="83">
                  <c:v>30.006226492157854</c:v>
                </c:pt>
                <c:pt idx="84">
                  <c:v>30.484031551001962</c:v>
                </c:pt>
                <c:pt idx="85">
                  <c:v>31.011092583719783</c:v>
                </c:pt>
                <c:pt idx="86">
                  <c:v>31.593621621608079</c:v>
                </c:pt>
                <c:pt idx="87">
                  <c:v>32.115460084812284</c:v>
                </c:pt>
                <c:pt idx="88">
                  <c:v>32.673509513496782</c:v>
                </c:pt>
                <c:pt idx="89">
                  <c:v>33.120459810958465</c:v>
                </c:pt>
                <c:pt idx="90">
                  <c:v>33.689483292719238</c:v>
                </c:pt>
                <c:pt idx="91">
                  <c:v>34.267138119422782</c:v>
                </c:pt>
                <c:pt idx="92">
                  <c:v>34.833448612960723</c:v>
                </c:pt>
                <c:pt idx="93">
                  <c:v>35.523971354020325</c:v>
                </c:pt>
                <c:pt idx="94">
                  <c:v>36.151625493114175</c:v>
                </c:pt>
                <c:pt idx="95">
                  <c:v>36.883633806468097</c:v>
                </c:pt>
                <c:pt idx="96">
                  <c:v>37.560639060381725</c:v>
                </c:pt>
                <c:pt idx="97">
                  <c:v>38.326479390081055</c:v>
                </c:pt>
                <c:pt idx="98">
                  <c:v>39.183176473009475</c:v>
                </c:pt>
                <c:pt idx="99">
                  <c:v>40.081279454971281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397912"/>
        <c:axId val="227398304"/>
      </c:lineChart>
      <c:lineChart>
        <c:grouping val="standard"/>
        <c:varyColors val="0"/>
        <c:ser>
          <c:idx val="1"/>
          <c:order val="1"/>
          <c:tx>
            <c:strRef>
              <c:f>'Age Structure'!#REF!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'Age Structure'!#REF!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7399088"/>
        <c:axId val="227398696"/>
      </c:lineChart>
      <c:catAx>
        <c:axId val="227397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398304"/>
        <c:crosses val="autoZero"/>
        <c:auto val="1"/>
        <c:lblAlgn val="ctr"/>
        <c:lblOffset val="100"/>
        <c:noMultiLvlLbl val="0"/>
      </c:catAx>
      <c:valAx>
        <c:axId val="22739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397912"/>
        <c:crosses val="autoZero"/>
        <c:crossBetween val="between"/>
      </c:valAx>
      <c:valAx>
        <c:axId val="2273986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399088"/>
        <c:crosses val="max"/>
        <c:crossBetween val="between"/>
      </c:valAx>
      <c:catAx>
        <c:axId val="227399088"/>
        <c:scaling>
          <c:orientation val="minMax"/>
        </c:scaling>
        <c:delete val="1"/>
        <c:axPos val="b"/>
        <c:majorTickMark val="out"/>
        <c:minorTickMark val="none"/>
        <c:tickLblPos val="nextTo"/>
        <c:crossAx val="227398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244029</xdr:colOff>
      <xdr:row>1</xdr:row>
      <xdr:rowOff>141816</xdr:rowOff>
    </xdr:from>
    <xdr:to>
      <xdr:col>17</xdr:col>
      <xdr:colOff>683929</xdr:colOff>
      <xdr:row>25</xdr:row>
      <xdr:rowOff>155221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111845</xdr:colOff>
      <xdr:row>18</xdr:row>
      <xdr:rowOff>72269</xdr:rowOff>
    </xdr:from>
    <xdr:to>
      <xdr:col>12</xdr:col>
      <xdr:colOff>534870</xdr:colOff>
      <xdr:row>31</xdr:row>
      <xdr:rowOff>155084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250" zoomScaleNormal="250" zoomScalePageLayoutView="250" workbookViewId="0">
      <selection activeCell="H8" sqref="H8"/>
    </sheetView>
  </sheetViews>
  <sheetFormatPr defaultColWidth="11.19921875" defaultRowHeight="15.6" x14ac:dyDescent="0.3"/>
  <sheetData>
    <row r="1" spans="1:7" x14ac:dyDescent="0.3">
      <c r="A1" t="s">
        <v>28</v>
      </c>
      <c r="B1">
        <v>0.28435972084800071</v>
      </c>
      <c r="C1" t="s">
        <v>20</v>
      </c>
      <c r="D1" t="s">
        <v>26</v>
      </c>
      <c r="E1" t="s">
        <v>27</v>
      </c>
      <c r="F1" t="s">
        <v>55</v>
      </c>
      <c r="G1" t="s">
        <v>56</v>
      </c>
    </row>
    <row r="2" spans="1:7" x14ac:dyDescent="0.3">
      <c r="A2" t="s">
        <v>13</v>
      </c>
      <c r="B2" s="1">
        <v>8.9571037617823488E-5</v>
      </c>
      <c r="C2">
        <v>1765</v>
      </c>
      <c r="D2">
        <v>0.28000000000000003</v>
      </c>
      <c r="E2" s="1">
        <f>$B$1/(1+$B$2*C2)</f>
        <v>0.24554137704858173</v>
      </c>
      <c r="F2" s="1">
        <f>E2-D2</f>
        <v>-3.44586229514183E-2</v>
      </c>
      <c r="G2" s="1">
        <f>F2^2</f>
        <v>1.1873966957080121E-3</v>
      </c>
    </row>
    <row r="3" spans="1:7" x14ac:dyDescent="0.3">
      <c r="A3" t="s">
        <v>29</v>
      </c>
      <c r="B3">
        <f>SUMXMY2(D2:D26,E2:E26)</f>
        <v>1.1227145001309341E-2</v>
      </c>
      <c r="C3">
        <v>3073</v>
      </c>
      <c r="D3">
        <v>0.21</v>
      </c>
      <c r="E3" s="1">
        <f t="shared" ref="E3:E26" si="0">$B$1/(1+$B$2*C3)</f>
        <v>0.22298319528760727</v>
      </c>
      <c r="F3" s="1">
        <f t="shared" ref="F3:F26" si="1">E3-D3</f>
        <v>1.2983195287607274E-2</v>
      </c>
      <c r="G3" s="1">
        <f t="shared" ref="G3:G26" si="2">F3^2</f>
        <v>1.6856335987614773E-4</v>
      </c>
    </row>
    <row r="4" spans="1:7" x14ac:dyDescent="0.3">
      <c r="B4">
        <f>SUM(G:G)</f>
        <v>1.1227145001309341E-2</v>
      </c>
      <c r="C4">
        <v>4021</v>
      </c>
      <c r="D4">
        <v>0.191</v>
      </c>
      <c r="E4" s="1">
        <f t="shared" si="0"/>
        <v>0.20906264394870022</v>
      </c>
      <c r="F4" s="1">
        <f t="shared" si="1"/>
        <v>1.8062643948700219E-2</v>
      </c>
      <c r="G4" s="1">
        <f t="shared" si="2"/>
        <v>3.2625910641751664E-4</v>
      </c>
    </row>
    <row r="5" spans="1:7" x14ac:dyDescent="0.3">
      <c r="C5">
        <v>4740</v>
      </c>
      <c r="D5">
        <v>0.14299999999999999</v>
      </c>
      <c r="E5" s="1">
        <f t="shared" si="0"/>
        <v>0.1996113745979175</v>
      </c>
      <c r="F5" s="1">
        <f t="shared" si="1"/>
        <v>5.6611374597917513E-2</v>
      </c>
      <c r="G5" s="1">
        <f t="shared" si="2"/>
        <v>3.2048477338657401E-3</v>
      </c>
    </row>
    <row r="6" spans="1:7" x14ac:dyDescent="0.3">
      <c r="C6">
        <v>5304</v>
      </c>
      <c r="D6">
        <v>0.219</v>
      </c>
      <c r="E6" s="1">
        <f t="shared" si="0"/>
        <v>0.19277517063695865</v>
      </c>
      <c r="F6" s="1">
        <f t="shared" si="1"/>
        <v>-2.6224829363041352E-2</v>
      </c>
      <c r="G6" s="1">
        <f t="shared" si="2"/>
        <v>6.877416751206359E-4</v>
      </c>
    </row>
    <row r="7" spans="1:7" x14ac:dyDescent="0.3">
      <c r="C7">
        <v>6708</v>
      </c>
      <c r="D7">
        <v>0.19600000000000001</v>
      </c>
      <c r="E7" s="1">
        <f t="shared" si="0"/>
        <v>0.17763128929605276</v>
      </c>
      <c r="F7" s="1">
        <f t="shared" si="1"/>
        <v>-1.8368710703947244E-2</v>
      </c>
      <c r="G7" s="1">
        <f t="shared" si="2"/>
        <v>3.3740953292530604E-4</v>
      </c>
    </row>
    <row r="8" spans="1:7" x14ac:dyDescent="0.3">
      <c r="C8">
        <v>8345</v>
      </c>
      <c r="D8">
        <v>0.193</v>
      </c>
      <c r="E8" s="1">
        <f t="shared" si="0"/>
        <v>0.1627264963509597</v>
      </c>
      <c r="F8" s="1">
        <f t="shared" si="1"/>
        <v>-3.0273503649040301E-2</v>
      </c>
      <c r="G8" s="1">
        <f t="shared" si="2"/>
        <v>9.1648502318845645E-4</v>
      </c>
    </row>
    <row r="9" spans="1:7" x14ac:dyDescent="0.3">
      <c r="C9">
        <v>9980</v>
      </c>
      <c r="D9">
        <v>0.13500000000000001</v>
      </c>
      <c r="E9" s="1">
        <f t="shared" si="0"/>
        <v>0.15014355288717082</v>
      </c>
      <c r="F9" s="1">
        <f t="shared" si="1"/>
        <v>1.5143552887170814E-2</v>
      </c>
      <c r="G9" s="1">
        <f t="shared" si="2"/>
        <v>2.2932719404653948E-4</v>
      </c>
    </row>
    <row r="10" spans="1:7" x14ac:dyDescent="0.3">
      <c r="C10">
        <v>11522</v>
      </c>
      <c r="D10">
        <v>0.10100000000000001</v>
      </c>
      <c r="E10" s="1">
        <f t="shared" si="0"/>
        <v>0.13993822529710195</v>
      </c>
      <c r="F10" s="1">
        <f t="shared" si="1"/>
        <v>3.8938225297101947E-2</v>
      </c>
      <c r="G10" s="1">
        <f t="shared" si="2"/>
        <v>1.5161853892878699E-3</v>
      </c>
    </row>
    <row r="11" spans="1:7" x14ac:dyDescent="0.3">
      <c r="C11">
        <v>13342</v>
      </c>
      <c r="D11">
        <v>0.13600000000000001</v>
      </c>
      <c r="E11" s="1">
        <f t="shared" si="0"/>
        <v>0.12954549646919011</v>
      </c>
      <c r="F11" s="1">
        <f t="shared" si="1"/>
        <v>-6.4545035308098964E-3</v>
      </c>
      <c r="G11" s="1">
        <f t="shared" si="2"/>
        <v>4.1660615829237422E-5</v>
      </c>
    </row>
    <row r="12" spans="1:7" x14ac:dyDescent="0.3">
      <c r="C12">
        <v>15350</v>
      </c>
      <c r="D12">
        <v>0.127</v>
      </c>
      <c r="E12" s="1">
        <f t="shared" si="0"/>
        <v>0.11973467247012198</v>
      </c>
      <c r="F12" s="1">
        <f t="shared" si="1"/>
        <v>-7.2653275298780184E-3</v>
      </c>
      <c r="G12" s="1">
        <f t="shared" si="2"/>
        <v>5.2784984116403428E-5</v>
      </c>
    </row>
    <row r="13" spans="1:7" x14ac:dyDescent="0.3">
      <c r="C13">
        <v>17406</v>
      </c>
      <c r="D13">
        <v>0.109</v>
      </c>
      <c r="E13" s="1">
        <f t="shared" si="0"/>
        <v>0.11111823204146182</v>
      </c>
      <c r="F13" s="1">
        <f t="shared" si="1"/>
        <v>2.1182320414618178E-3</v>
      </c>
      <c r="G13" s="1">
        <f t="shared" si="2"/>
        <v>4.4869069814754997E-6</v>
      </c>
    </row>
    <row r="14" spans="1:7" x14ac:dyDescent="0.3">
      <c r="C14">
        <v>19409</v>
      </c>
      <c r="D14">
        <v>0.104</v>
      </c>
      <c r="E14" s="1">
        <f t="shared" si="0"/>
        <v>0.10383836199246389</v>
      </c>
      <c r="F14" s="1">
        <f t="shared" si="1"/>
        <v>-1.6163800753610236E-4</v>
      </c>
      <c r="G14" s="1">
        <f t="shared" si="2"/>
        <v>2.6126845480241082E-8</v>
      </c>
    </row>
    <row r="15" spans="1:7" x14ac:dyDescent="0.3">
      <c r="C15">
        <v>21387</v>
      </c>
      <c r="D15">
        <v>7.6999999999999999E-2</v>
      </c>
      <c r="E15" s="1">
        <f t="shared" si="0"/>
        <v>9.7528563779414601E-2</v>
      </c>
      <c r="F15" s="1">
        <f t="shared" si="1"/>
        <v>2.0528563779414602E-2</v>
      </c>
      <c r="G15" s="1">
        <f t="shared" si="2"/>
        <v>4.2142193084549314E-4</v>
      </c>
    </row>
    <row r="16" spans="1:7" x14ac:dyDescent="0.3">
      <c r="C16">
        <v>23323</v>
      </c>
      <c r="D16">
        <v>9.7000000000000003E-2</v>
      </c>
      <c r="E16" s="1">
        <f t="shared" si="0"/>
        <v>9.2053644801318765E-2</v>
      </c>
      <c r="F16" s="1">
        <f t="shared" si="1"/>
        <v>-4.9463551986812376E-3</v>
      </c>
      <c r="G16" s="1">
        <f t="shared" si="2"/>
        <v>2.4466429751520905E-5</v>
      </c>
    </row>
    <row r="17" spans="3:7" x14ac:dyDescent="0.3">
      <c r="C17">
        <v>25183</v>
      </c>
      <c r="D17">
        <v>0.106</v>
      </c>
      <c r="E17" s="1">
        <f t="shared" si="0"/>
        <v>8.7342987593108767E-2</v>
      </c>
      <c r="F17" s="1">
        <f t="shared" si="1"/>
        <v>-1.865701240689123E-2</v>
      </c>
      <c r="G17" s="1">
        <f t="shared" si="2"/>
        <v>3.4808411195089329E-4</v>
      </c>
    </row>
    <row r="18" spans="3:7" x14ac:dyDescent="0.3">
      <c r="C18">
        <v>26935</v>
      </c>
      <c r="D18">
        <v>9.1999999999999998E-2</v>
      </c>
      <c r="E18" s="1">
        <f t="shared" si="0"/>
        <v>8.3326514280516586E-2</v>
      </c>
      <c r="F18" s="1">
        <f t="shared" si="1"/>
        <v>-8.673485719483412E-3</v>
      </c>
      <c r="G18" s="1">
        <f t="shared" si="2"/>
        <v>7.5229354526082679E-5</v>
      </c>
    </row>
    <row r="19" spans="3:7" x14ac:dyDescent="0.3">
      <c r="C19">
        <v>28568</v>
      </c>
      <c r="D19">
        <v>6.6000000000000003E-2</v>
      </c>
      <c r="E19" s="1">
        <f t="shared" si="0"/>
        <v>7.9901791350407356E-2</v>
      </c>
      <c r="F19" s="1">
        <f t="shared" si="1"/>
        <v>1.3901791350407353E-2</v>
      </c>
      <c r="G19" s="1">
        <f t="shared" si="2"/>
        <v>1.9325980275026067E-4</v>
      </c>
    </row>
    <row r="20" spans="3:7" x14ac:dyDescent="0.3">
      <c r="C20">
        <v>30079</v>
      </c>
      <c r="D20">
        <v>9.2999999999999999E-2</v>
      </c>
      <c r="E20" s="1">
        <f t="shared" si="0"/>
        <v>7.6974490691814071E-2</v>
      </c>
      <c r="F20" s="1">
        <f t="shared" si="1"/>
        <v>-1.6025509308185928E-2</v>
      </c>
      <c r="G20" s="1">
        <f t="shared" si="2"/>
        <v>2.5681694858675384E-4</v>
      </c>
    </row>
    <row r="21" spans="3:7" x14ac:dyDescent="0.3">
      <c r="C21">
        <v>31467</v>
      </c>
      <c r="D21">
        <v>9.8000000000000004E-2</v>
      </c>
      <c r="E21" s="1">
        <f t="shared" si="0"/>
        <v>7.446833828008087E-2</v>
      </c>
      <c r="F21" s="1">
        <f t="shared" si="1"/>
        <v>-2.3531661719919134E-2</v>
      </c>
      <c r="G21" s="1">
        <f t="shared" si="2"/>
        <v>5.5373910330070754E-4</v>
      </c>
    </row>
    <row r="22" spans="3:7" x14ac:dyDescent="0.3">
      <c r="C22">
        <v>32734</v>
      </c>
      <c r="D22">
        <v>7.4999999999999997E-2</v>
      </c>
      <c r="E22" s="1">
        <f t="shared" si="0"/>
        <v>7.2319021904356559E-2</v>
      </c>
      <c r="F22" s="1">
        <f t="shared" si="1"/>
        <v>-2.6809780956434381E-3</v>
      </c>
      <c r="G22" s="1">
        <f t="shared" si="2"/>
        <v>7.1876435493199158E-6</v>
      </c>
    </row>
    <row r="23" spans="3:7" x14ac:dyDescent="0.3">
      <c r="C23">
        <v>33884</v>
      </c>
      <c r="D23">
        <v>7.8E-2</v>
      </c>
      <c r="E23" s="1">
        <f t="shared" si="0"/>
        <v>7.0472851624157326E-2</v>
      </c>
      <c r="F23" s="1">
        <f t="shared" si="1"/>
        <v>-7.5271483758426738E-3</v>
      </c>
      <c r="G23" s="1">
        <f t="shared" si="2"/>
        <v>5.6657962671951001E-5</v>
      </c>
    </row>
    <row r="24" spans="3:7" x14ac:dyDescent="0.3">
      <c r="C24">
        <v>34922</v>
      </c>
      <c r="D24">
        <v>4.8000000000000001E-2</v>
      </c>
      <c r="E24" s="1">
        <f t="shared" si="0"/>
        <v>6.8885595033855093E-2</v>
      </c>
      <c r="F24" s="1">
        <f t="shared" si="1"/>
        <v>2.0885595033855092E-2</v>
      </c>
      <c r="G24" s="1">
        <f t="shared" si="2"/>
        <v>4.362080799181925E-4</v>
      </c>
    </row>
    <row r="25" spans="3:7" x14ac:dyDescent="0.3">
      <c r="C25">
        <v>35857</v>
      </c>
      <c r="D25">
        <v>6.3E-2</v>
      </c>
      <c r="E25" s="1">
        <f t="shared" si="0"/>
        <v>6.7515832824347088E-2</v>
      </c>
      <c r="F25" s="1">
        <f t="shared" si="1"/>
        <v>4.515832824347088E-3</v>
      </c>
      <c r="G25" s="1">
        <f t="shared" si="2"/>
        <v>2.0392746097450596E-5</v>
      </c>
    </row>
    <row r="26" spans="3:7" x14ac:dyDescent="0.3">
      <c r="C26">
        <v>36697</v>
      </c>
      <c r="D26">
        <v>7.9000000000000001E-2</v>
      </c>
      <c r="E26" s="1">
        <f t="shared" si="0"/>
        <v>6.6330882305705205E-2</v>
      </c>
      <c r="F26" s="1">
        <f t="shared" si="1"/>
        <v>-1.2669117694294796E-2</v>
      </c>
      <c r="G26" s="1">
        <f t="shared" si="2"/>
        <v>1.6050654315189348E-4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14"/>
  <sheetViews>
    <sheetView tabSelected="1" topLeftCell="AF1" zoomScaleNormal="100" zoomScalePageLayoutView="159" workbookViewId="0">
      <selection activeCell="AN5" sqref="AN5"/>
    </sheetView>
  </sheetViews>
  <sheetFormatPr defaultColWidth="11.19921875" defaultRowHeight="15.6" x14ac:dyDescent="0.3"/>
  <cols>
    <col min="1" max="1" width="14.69921875" customWidth="1"/>
    <col min="3" max="3" width="12.5" bestFit="1" customWidth="1"/>
    <col min="6" max="6" width="12.5" bestFit="1" customWidth="1"/>
    <col min="42" max="42" width="12.296875" bestFit="1" customWidth="1"/>
  </cols>
  <sheetData>
    <row r="1" spans="1:60" x14ac:dyDescent="0.3">
      <c r="A1" t="s">
        <v>31</v>
      </c>
      <c r="B1" t="s">
        <v>14</v>
      </c>
      <c r="C1">
        <v>0.85</v>
      </c>
      <c r="E1" t="s">
        <v>0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</row>
    <row r="2" spans="1:60" x14ac:dyDescent="0.3">
      <c r="A2" t="s">
        <v>32</v>
      </c>
      <c r="B2" t="s">
        <v>12</v>
      </c>
      <c r="C2">
        <v>0.3</v>
      </c>
      <c r="D2">
        <v>0.28435972084800071</v>
      </c>
      <c r="E2" t="s">
        <v>1</v>
      </c>
      <c r="F2">
        <f t="shared" ref="F2:Y2" si="0">vblinf*(1-EXP(-vbk*(F1-vbto)))</f>
        <v>45.583226343306919</v>
      </c>
      <c r="G2">
        <f t="shared" si="0"/>
        <v>76.67630460652542</v>
      </c>
      <c r="H2">
        <f t="shared" si="0"/>
        <v>103.0399299066212</v>
      </c>
      <c r="I2">
        <f t="shared" si="0"/>
        <v>125.3934818155053</v>
      </c>
      <c r="J2">
        <f t="shared" si="0"/>
        <v>144.34691774305054</v>
      </c>
      <c r="K2">
        <f t="shared" si="0"/>
        <v>160.41741673684987</v>
      </c>
      <c r="L2">
        <f t="shared" si="0"/>
        <v>174.04349165524351</v>
      </c>
      <c r="M2">
        <f t="shared" si="0"/>
        <v>185.59695478997972</v>
      </c>
      <c r="N2">
        <f t="shared" si="0"/>
        <v>195.39306344233444</v>
      </c>
      <c r="O2">
        <f t="shared" si="0"/>
        <v>203.69912229322711</v>
      </c>
      <c r="P2">
        <f t="shared" si="0"/>
        <v>210.74177729868271</v>
      </c>
      <c r="Q2">
        <f t="shared" si="0"/>
        <v>216.71320013787178</v>
      </c>
      <c r="R2">
        <f t="shared" si="0"/>
        <v>221.77633196766701</v>
      </c>
      <c r="S2">
        <f t="shared" si="0"/>
        <v>226.06932956911746</v>
      </c>
      <c r="T2">
        <f t="shared" si="0"/>
        <v>229.70933520705182</v>
      </c>
      <c r="U2">
        <f t="shared" si="0"/>
        <v>232.79567307030092</v>
      </c>
      <c r="V2">
        <f t="shared" si="0"/>
        <v>235.41255951323797</v>
      </c>
      <c r="W2">
        <f t="shared" si="0"/>
        <v>237.6314010525173</v>
      </c>
      <c r="X2">
        <f t="shared" si="0"/>
        <v>239.512742824041</v>
      </c>
      <c r="Y2">
        <f t="shared" si="0"/>
        <v>241.10792066735357</v>
      </c>
    </row>
    <row r="3" spans="1:60" x14ac:dyDescent="0.3">
      <c r="A3" t="s">
        <v>33</v>
      </c>
      <c r="B3" t="s">
        <v>13</v>
      </c>
      <c r="C3" s="1">
        <v>9.2331926598858196E-5</v>
      </c>
      <c r="E3" t="s">
        <v>5</v>
      </c>
      <c r="F3">
        <f t="shared" ref="F3:Y3" si="1">lwa*F2^lwb</f>
        <v>0.47357109536188557</v>
      </c>
      <c r="G3">
        <f t="shared" si="1"/>
        <v>2.253998000006872</v>
      </c>
      <c r="H3">
        <f t="shared" si="1"/>
        <v>5.4699917093525343</v>
      </c>
      <c r="I3">
        <f t="shared" si="1"/>
        <v>9.8581379075048226</v>
      </c>
      <c r="J3">
        <f t="shared" si="1"/>
        <v>15.038085463707681</v>
      </c>
      <c r="K3">
        <f t="shared" si="1"/>
        <v>20.640706558754282</v>
      </c>
      <c r="L3">
        <f t="shared" si="1"/>
        <v>26.359876237601458</v>
      </c>
      <c r="M3">
        <f t="shared" si="1"/>
        <v>31.965576614129077</v>
      </c>
      <c r="N3">
        <f t="shared" si="1"/>
        <v>37.299020773754663</v>
      </c>
      <c r="O3">
        <f t="shared" si="1"/>
        <v>42.260776977962678</v>
      </c>
      <c r="P3">
        <f t="shared" si="1"/>
        <v>46.797420959549086</v>
      </c>
      <c r="Q3">
        <f t="shared" si="1"/>
        <v>50.889255838725042</v>
      </c>
      <c r="R3">
        <f t="shared" si="1"/>
        <v>54.540057705674201</v>
      </c>
      <c r="S3">
        <f t="shared" si="1"/>
        <v>57.769012452087082</v>
      </c>
      <c r="T3">
        <f t="shared" si="1"/>
        <v>60.60464884078548</v>
      </c>
      <c r="U3">
        <f t="shared" si="1"/>
        <v>63.080440301533002</v>
      </c>
      <c r="V3">
        <f t="shared" si="1"/>
        <v>65.231729311743365</v>
      </c>
      <c r="W3">
        <f t="shared" si="1"/>
        <v>67.093661006590224</v>
      </c>
      <c r="X3">
        <f t="shared" si="1"/>
        <v>68.699863931949409</v>
      </c>
      <c r="Y3">
        <f t="shared" si="1"/>
        <v>70.081669213929786</v>
      </c>
      <c r="AG3" t="s">
        <v>77</v>
      </c>
    </row>
    <row r="4" spans="1:60" x14ac:dyDescent="0.3">
      <c r="A4" t="s">
        <v>63</v>
      </c>
      <c r="B4" t="s">
        <v>64</v>
      </c>
      <c r="C4">
        <v>1.080623E-3</v>
      </c>
      <c r="E4" t="s">
        <v>8</v>
      </c>
      <c r="F4">
        <f>MAX(0,F3-6)/70*20+MAX(0,F3-6)*20</f>
        <v>0</v>
      </c>
      <c r="G4">
        <f>MAX(0,G3-6)/70*20+MAX(0,G3-6)*20</f>
        <v>0</v>
      </c>
      <c r="H4">
        <f>MAX(0,H3-6)/70*20+MAX(0,H3-6)*20</f>
        <v>0</v>
      </c>
      <c r="I4">
        <f>MAX(0,I3-6)/70*20+MAX(0,I3-6)/(I3-6)*20</f>
        <v>21.102325116429949</v>
      </c>
      <c r="J4">
        <f t="shared" ref="J4:P4" si="2">MAX(0,J3-6)/70*20+MAX(0,J3-6)/(J3-6)*20</f>
        <v>22.582310132487908</v>
      </c>
      <c r="K4">
        <f t="shared" si="2"/>
        <v>24.183059016786938</v>
      </c>
      <c r="L4">
        <f t="shared" si="2"/>
        <v>25.81710749645756</v>
      </c>
      <c r="M4">
        <f t="shared" si="2"/>
        <v>27.418736175465451</v>
      </c>
      <c r="N4">
        <f t="shared" si="2"/>
        <v>28.942577363929903</v>
      </c>
      <c r="O4">
        <f t="shared" si="2"/>
        <v>30.360221993703622</v>
      </c>
      <c r="P4">
        <f t="shared" si="2"/>
        <v>31.656405988442593</v>
      </c>
      <c r="Q4">
        <f t="shared" ref="Q4:Y4" si="3">MAX(0,Q3-6)/70*20+MAX(0,Q3-6)/(Q3-6)*20</f>
        <v>32.825501668207153</v>
      </c>
      <c r="R4">
        <f t="shared" si="3"/>
        <v>33.868587915906915</v>
      </c>
      <c r="S4">
        <f t="shared" si="3"/>
        <v>34.791146414882022</v>
      </c>
      <c r="T4">
        <f t="shared" si="3"/>
        <v>35.601328240224426</v>
      </c>
      <c r="U4">
        <f t="shared" si="3"/>
        <v>36.308697229009425</v>
      </c>
      <c r="V4">
        <f t="shared" si="3"/>
        <v>36.923351231926674</v>
      </c>
      <c r="W4">
        <f t="shared" si="3"/>
        <v>37.455331716168637</v>
      </c>
      <c r="X4">
        <f t="shared" si="3"/>
        <v>37.914246837699835</v>
      </c>
      <c r="Y4">
        <f t="shared" si="3"/>
        <v>38.309048346837081</v>
      </c>
      <c r="AG4" t="s">
        <v>78</v>
      </c>
    </row>
    <row r="5" spans="1:60" x14ac:dyDescent="0.3">
      <c r="A5" t="s">
        <v>73</v>
      </c>
      <c r="B5" t="s">
        <v>74</v>
      </c>
      <c r="C5">
        <v>0.10986965819589677</v>
      </c>
      <c r="E5" t="s">
        <v>9</v>
      </c>
      <c r="F5">
        <f t="shared" ref="F5:Y5" si="4">1/(1+EXP(-(F2-lmat50)/lmatsd))</f>
        <v>3.5548307745634453E-4</v>
      </c>
      <c r="G5">
        <f t="shared" si="4"/>
        <v>7.9046381455035973E-3</v>
      </c>
      <c r="H5">
        <f t="shared" si="4"/>
        <v>0.10010963450129044</v>
      </c>
      <c r="I5">
        <f t="shared" si="4"/>
        <v>0.50983577637622335</v>
      </c>
      <c r="J5">
        <f t="shared" si="4"/>
        <v>0.87376781953602756</v>
      </c>
      <c r="K5">
        <f t="shared" si="4"/>
        <v>0.9718523952404291</v>
      </c>
      <c r="L5">
        <f t="shared" si="4"/>
        <v>0.99264029980853929</v>
      </c>
      <c r="M5">
        <f t="shared" si="4"/>
        <v>0.99767032817445722</v>
      </c>
      <c r="N5">
        <f t="shared" si="4"/>
        <v>0.99912403348673906</v>
      </c>
      <c r="O5">
        <f t="shared" si="4"/>
        <v>0.99961807802503877</v>
      </c>
      <c r="P5">
        <f t="shared" si="4"/>
        <v>0.99981111394980715</v>
      </c>
      <c r="Q5">
        <f t="shared" si="4"/>
        <v>0.99989603164537177</v>
      </c>
      <c r="R5">
        <f t="shared" si="4"/>
        <v>0.99993733427211395</v>
      </c>
      <c r="S5">
        <f t="shared" si="4"/>
        <v>0.99995920592680032</v>
      </c>
      <c r="T5">
        <f t="shared" si="4"/>
        <v>0.99997165222088302</v>
      </c>
      <c r="U5">
        <f t="shared" si="4"/>
        <v>0.99997917982579099</v>
      </c>
      <c r="V5">
        <f t="shared" si="4"/>
        <v>0.99998397358048619</v>
      </c>
      <c r="W5">
        <f t="shared" si="4"/>
        <v>0.99998716266637233</v>
      </c>
      <c r="X5">
        <f t="shared" si="4"/>
        <v>0.99998936420031315</v>
      </c>
      <c r="Y5">
        <f t="shared" si="4"/>
        <v>0.99999093238365067</v>
      </c>
      <c r="AN5" t="s">
        <v>87</v>
      </c>
    </row>
    <row r="6" spans="1:60" x14ac:dyDescent="0.3">
      <c r="E6" t="s">
        <v>15</v>
      </c>
      <c r="F6">
        <f t="shared" ref="F6:Y6" si="5">sa*(F2/vblinf)^(2*vbk)</f>
        <v>0.48473501577645922</v>
      </c>
      <c r="G6">
        <f t="shared" si="5"/>
        <v>0.57548884550822377</v>
      </c>
      <c r="H6">
        <f t="shared" si="5"/>
        <v>0.63443999914226146</v>
      </c>
      <c r="I6">
        <f t="shared" si="5"/>
        <v>0.67690770913477638</v>
      </c>
      <c r="J6">
        <f t="shared" si="5"/>
        <v>0.70909300748712456</v>
      </c>
      <c r="K6">
        <f t="shared" si="5"/>
        <v>0.734229321239253</v>
      </c>
      <c r="L6">
        <f t="shared" si="5"/>
        <v>0.75425082300663926</v>
      </c>
      <c r="M6">
        <f t="shared" si="5"/>
        <v>0.77041920811554221</v>
      </c>
      <c r="N6">
        <f t="shared" si="5"/>
        <v>0.78360778089101213</v>
      </c>
      <c r="O6">
        <f t="shared" si="5"/>
        <v>0.79444739421492083</v>
      </c>
      <c r="P6">
        <f t="shared" si="5"/>
        <v>0.80340852088976489</v>
      </c>
      <c r="Q6">
        <f t="shared" si="5"/>
        <v>0.81085069519388397</v>
      </c>
      <c r="R6">
        <f t="shared" si="5"/>
        <v>0.81705395698350958</v>
      </c>
      <c r="S6">
        <f t="shared" si="5"/>
        <v>0.82223974594676752</v>
      </c>
      <c r="T6">
        <f t="shared" si="5"/>
        <v>0.82658529650798329</v>
      </c>
      <c r="U6">
        <f t="shared" si="5"/>
        <v>0.83023385924547533</v>
      </c>
      <c r="V6">
        <f t="shared" si="5"/>
        <v>0.83330214643263523</v>
      </c>
      <c r="W6">
        <f t="shared" si="5"/>
        <v>0.83588587461906638</v>
      </c>
      <c r="X6">
        <f t="shared" si="5"/>
        <v>0.83806396795646054</v>
      </c>
      <c r="Y6">
        <f t="shared" si="5"/>
        <v>0.83990179706923251</v>
      </c>
      <c r="AN6" t="s">
        <v>86</v>
      </c>
    </row>
    <row r="7" spans="1:60" x14ac:dyDescent="0.3">
      <c r="A7" t="s">
        <v>34</v>
      </c>
      <c r="B7" t="s">
        <v>4</v>
      </c>
      <c r="C7">
        <v>250</v>
      </c>
      <c r="E7" t="s">
        <v>21</v>
      </c>
      <c r="F7">
        <f t="shared" ref="F7:Y7" si="6">F6*(1-F12*hr)</f>
        <v>0.48473501577645922</v>
      </c>
      <c r="G7">
        <f t="shared" si="6"/>
        <v>0.57548884550822377</v>
      </c>
      <c r="H7">
        <f t="shared" si="6"/>
        <v>0.63443999914226146</v>
      </c>
      <c r="I7">
        <f t="shared" si="6"/>
        <v>0.67690770913477638</v>
      </c>
      <c r="J7">
        <f t="shared" si="6"/>
        <v>0.70909300748712456</v>
      </c>
      <c r="K7">
        <f t="shared" si="6"/>
        <v>0.734229321239253</v>
      </c>
      <c r="L7">
        <f t="shared" si="6"/>
        <v>0.75425082300663926</v>
      </c>
      <c r="M7">
        <f t="shared" si="6"/>
        <v>0.77041920811554221</v>
      </c>
      <c r="N7">
        <f t="shared" si="6"/>
        <v>0.78360778089101213</v>
      </c>
      <c r="O7">
        <f t="shared" si="6"/>
        <v>0.79444739421492083</v>
      </c>
      <c r="P7">
        <f t="shared" si="6"/>
        <v>0.80340852088976489</v>
      </c>
      <c r="Q7">
        <f t="shared" si="6"/>
        <v>0.81085069519388397</v>
      </c>
      <c r="R7">
        <f t="shared" si="6"/>
        <v>0.81705395698350958</v>
      </c>
      <c r="S7">
        <f t="shared" si="6"/>
        <v>0.82223974594676752</v>
      </c>
      <c r="T7">
        <f t="shared" si="6"/>
        <v>0.82658529650798329</v>
      </c>
      <c r="U7">
        <f t="shared" si="6"/>
        <v>0.83023385924547533</v>
      </c>
      <c r="V7">
        <f t="shared" si="6"/>
        <v>0.83330214643263523</v>
      </c>
      <c r="W7">
        <f t="shared" si="6"/>
        <v>0.83588587461906638</v>
      </c>
      <c r="X7">
        <f t="shared" si="6"/>
        <v>0.83806396795646054</v>
      </c>
      <c r="Y7">
        <f t="shared" si="6"/>
        <v>0.83990179706923251</v>
      </c>
      <c r="AN7" t="s">
        <v>85</v>
      </c>
    </row>
    <row r="8" spans="1:60" x14ac:dyDescent="0.3">
      <c r="A8" t="s">
        <v>35</v>
      </c>
      <c r="B8" t="s">
        <v>2</v>
      </c>
      <c r="C8">
        <v>0.16500000000000001</v>
      </c>
      <c r="E8" t="s">
        <v>23</v>
      </c>
      <c r="F8">
        <v>1</v>
      </c>
      <c r="G8">
        <f t="shared" ref="G8:X8" si="7">F8*F6</f>
        <v>0.48473501577645922</v>
      </c>
      <c r="H8">
        <f t="shared" si="7"/>
        <v>0.27895959460660513</v>
      </c>
      <c r="I8">
        <f t="shared" si="7"/>
        <v>0.17698312496294016</v>
      </c>
      <c r="J8">
        <f t="shared" si="7"/>
        <v>0.11980124167417767</v>
      </c>
      <c r="K8">
        <f t="shared" si="7"/>
        <v>8.4950222759434493E-2</v>
      </c>
      <c r="L8">
        <f t="shared" si="7"/>
        <v>6.2372944395782927E-2</v>
      </c>
      <c r="M8">
        <f t="shared" si="7"/>
        <v>4.7044844643866622E-2</v>
      </c>
      <c r="N8">
        <f t="shared" si="7"/>
        <v>3.6244251956446427E-2</v>
      </c>
      <c r="O8">
        <f t="shared" si="7"/>
        <v>2.8401277845645709E-2</v>
      </c>
      <c r="P8">
        <f t="shared" si="7"/>
        <v>2.2563321176847194E-2</v>
      </c>
      <c r="Q8">
        <f t="shared" si="7"/>
        <v>1.8127564493051512E-2</v>
      </c>
      <c r="R8">
        <f t="shared" si="7"/>
        <v>1.4698748271362786E-2</v>
      </c>
      <c r="S8">
        <f t="shared" si="7"/>
        <v>1.2009670437821486E-2</v>
      </c>
      <c r="T8">
        <f t="shared" si="7"/>
        <v>9.8748283696987425E-3</v>
      </c>
      <c r="U8">
        <f t="shared" si="7"/>
        <v>8.1623879359328799E-3</v>
      </c>
      <c r="V8">
        <f t="shared" si="7"/>
        <v>6.7766908367082644E-3</v>
      </c>
      <c r="W8">
        <f t="shared" si="7"/>
        <v>5.6470310199393673E-3</v>
      </c>
      <c r="X8">
        <f t="shared" si="7"/>
        <v>4.7202734631030165E-3</v>
      </c>
      <c r="Y8">
        <f>X8*X6/(1-Y6)</f>
        <v>2.4709153731340593E-2</v>
      </c>
      <c r="AN8" t="s">
        <v>84</v>
      </c>
    </row>
    <row r="9" spans="1:60" x14ac:dyDescent="0.3">
      <c r="A9" t="s">
        <v>36</v>
      </c>
      <c r="B9" t="s">
        <v>3</v>
      </c>
      <c r="C9">
        <v>-0.22</v>
      </c>
      <c r="E9" t="s">
        <v>22</v>
      </c>
      <c r="F9">
        <v>1</v>
      </c>
      <c r="G9">
        <f>F9*F7</f>
        <v>0.48473501577645922</v>
      </c>
      <c r="H9">
        <f t="shared" ref="H9:X9" si="8">G9*G7</f>
        <v>0.27895959460660513</v>
      </c>
      <c r="I9">
        <f t="shared" si="8"/>
        <v>0.17698312496294016</v>
      </c>
      <c r="J9">
        <f t="shared" si="8"/>
        <v>0.11980124167417767</v>
      </c>
      <c r="K9">
        <f t="shared" si="8"/>
        <v>8.4950222759434493E-2</v>
      </c>
      <c r="L9">
        <f t="shared" si="8"/>
        <v>6.2372944395782927E-2</v>
      </c>
      <c r="M9">
        <f t="shared" si="8"/>
        <v>4.7044844643866622E-2</v>
      </c>
      <c r="N9">
        <f t="shared" si="8"/>
        <v>3.6244251956446427E-2</v>
      </c>
      <c r="O9">
        <f t="shared" si="8"/>
        <v>2.8401277845645709E-2</v>
      </c>
      <c r="P9">
        <f t="shared" si="8"/>
        <v>2.2563321176847194E-2</v>
      </c>
      <c r="Q9">
        <f t="shared" si="8"/>
        <v>1.8127564493051512E-2</v>
      </c>
      <c r="R9">
        <f t="shared" si="8"/>
        <v>1.4698748271362786E-2</v>
      </c>
      <c r="S9">
        <f t="shared" si="8"/>
        <v>1.2009670437821486E-2</v>
      </c>
      <c r="T9">
        <f t="shared" si="8"/>
        <v>9.8748283696987425E-3</v>
      </c>
      <c r="U9">
        <f t="shared" si="8"/>
        <v>8.1623879359328799E-3</v>
      </c>
      <c r="V9">
        <f t="shared" si="8"/>
        <v>6.7766908367082644E-3</v>
      </c>
      <c r="W9">
        <f t="shared" si="8"/>
        <v>5.6470310199393673E-3</v>
      </c>
      <c r="X9">
        <f t="shared" si="8"/>
        <v>4.7202734631030165E-3</v>
      </c>
      <c r="Y9">
        <f>X9*X7/(1-Y7)</f>
        <v>2.4709153731340593E-2</v>
      </c>
      <c r="AN9" t="s">
        <v>83</v>
      </c>
    </row>
    <row r="10" spans="1:60" x14ac:dyDescent="0.3">
      <c r="A10" t="s">
        <v>37</v>
      </c>
      <c r="B10" t="s">
        <v>6</v>
      </c>
      <c r="C10" s="1">
        <v>5.0000000000000004E-6</v>
      </c>
      <c r="E10" t="s">
        <v>16</v>
      </c>
      <c r="F10">
        <f t="shared" ref="F10:Y10" si="9">F8/SUM($F$8:$AD$8)</f>
        <v>0.40870004888805711</v>
      </c>
      <c r="G10">
        <f t="shared" si="9"/>
        <v>0.198111224645592</v>
      </c>
      <c r="H10">
        <f t="shared" si="9"/>
        <v>0.1140107999535121</v>
      </c>
      <c r="I10">
        <f t="shared" si="9"/>
        <v>7.2333011824714757E-2</v>
      </c>
      <c r="J10">
        <f t="shared" si="9"/>
        <v>4.8962773329086356E-2</v>
      </c>
      <c r="K10">
        <f t="shared" si="9"/>
        <v>3.4719160194832219E-2</v>
      </c>
      <c r="L10">
        <f t="shared" si="9"/>
        <v>2.5491825423848549E-2</v>
      </c>
      <c r="M10">
        <f t="shared" si="9"/>
        <v>1.9227230305879341E-2</v>
      </c>
      <c r="N10">
        <f t="shared" si="9"/>
        <v>1.4813027546510713E-2</v>
      </c>
      <c r="O10">
        <f t="shared" si="9"/>
        <v>1.1607603643998694E-2</v>
      </c>
      <c r="P10">
        <f t="shared" si="9"/>
        <v>9.2216304680543815E-3</v>
      </c>
      <c r="Q10">
        <f t="shared" si="9"/>
        <v>7.4087364945315606E-3</v>
      </c>
      <c r="R10">
        <f t="shared" si="9"/>
        <v>6.007379137099215E-3</v>
      </c>
      <c r="S10">
        <f t="shared" si="9"/>
        <v>4.9083528950670955E-3</v>
      </c>
      <c r="T10">
        <f t="shared" si="9"/>
        <v>4.0358428374570494E-3</v>
      </c>
      <c r="U10">
        <f t="shared" si="9"/>
        <v>3.3359683484590554E-3</v>
      </c>
      <c r="V10">
        <f t="shared" si="9"/>
        <v>2.769633876261916E-3</v>
      </c>
      <c r="W10">
        <f t="shared" si="9"/>
        <v>2.3079418539215944E-3</v>
      </c>
      <c r="X10">
        <f t="shared" si="9"/>
        <v>1.9291759951352014E-3</v>
      </c>
      <c r="Y10">
        <f t="shared" si="9"/>
        <v>1.0098632337981419E-2</v>
      </c>
      <c r="AN10" t="s">
        <v>82</v>
      </c>
    </row>
    <row r="11" spans="1:60" x14ac:dyDescent="0.3">
      <c r="A11" t="s">
        <v>38</v>
      </c>
      <c r="B11" t="s">
        <v>7</v>
      </c>
      <c r="C11">
        <v>3</v>
      </c>
      <c r="E11" t="s">
        <v>25</v>
      </c>
      <c r="F11">
        <f t="shared" ref="F11:Y11" si="10">F9/SUM($F$9:$AD$9)</f>
        <v>0.40870004888805711</v>
      </c>
      <c r="G11">
        <f t="shared" si="10"/>
        <v>0.198111224645592</v>
      </c>
      <c r="H11">
        <f t="shared" si="10"/>
        <v>0.1140107999535121</v>
      </c>
      <c r="I11">
        <f t="shared" si="10"/>
        <v>7.2333011824714757E-2</v>
      </c>
      <c r="J11">
        <f t="shared" si="10"/>
        <v>4.8962773329086356E-2</v>
      </c>
      <c r="K11">
        <f t="shared" si="10"/>
        <v>3.4719160194832219E-2</v>
      </c>
      <c r="L11">
        <f t="shared" si="10"/>
        <v>2.5491825423848549E-2</v>
      </c>
      <c r="M11">
        <f t="shared" si="10"/>
        <v>1.9227230305879341E-2</v>
      </c>
      <c r="N11">
        <f t="shared" si="10"/>
        <v>1.4813027546510713E-2</v>
      </c>
      <c r="O11">
        <f t="shared" si="10"/>
        <v>1.1607603643998694E-2</v>
      </c>
      <c r="P11">
        <f t="shared" si="10"/>
        <v>9.2216304680543815E-3</v>
      </c>
      <c r="Q11">
        <f t="shared" si="10"/>
        <v>7.4087364945315606E-3</v>
      </c>
      <c r="R11">
        <f t="shared" si="10"/>
        <v>6.007379137099215E-3</v>
      </c>
      <c r="S11">
        <f t="shared" si="10"/>
        <v>4.9083528950670955E-3</v>
      </c>
      <c r="T11">
        <f t="shared" si="10"/>
        <v>4.0358428374570494E-3</v>
      </c>
      <c r="U11">
        <f t="shared" si="10"/>
        <v>3.3359683484590554E-3</v>
      </c>
      <c r="V11">
        <f t="shared" si="10"/>
        <v>2.769633876261916E-3</v>
      </c>
      <c r="W11">
        <f t="shared" si="10"/>
        <v>2.3079418539215944E-3</v>
      </c>
      <c r="X11">
        <f t="shared" si="10"/>
        <v>1.9291759951352014E-3</v>
      </c>
      <c r="Y11">
        <f t="shared" si="10"/>
        <v>1.0098632337981419E-2</v>
      </c>
      <c r="AN11" t="s">
        <v>81</v>
      </c>
    </row>
    <row r="12" spans="1:60" x14ac:dyDescent="0.3">
      <c r="A12" t="s">
        <v>39</v>
      </c>
      <c r="B12" t="s">
        <v>10</v>
      </c>
      <c r="C12">
        <v>125</v>
      </c>
      <c r="E12" t="s">
        <v>19</v>
      </c>
      <c r="F12">
        <f t="shared" ref="F12:Y12" si="11">1/(1+EXP(-(F2-vul50_)/vulsd))</f>
        <v>6.1754854115866016E-2</v>
      </c>
      <c r="G12">
        <f t="shared" si="11"/>
        <v>0.2375452972973815</v>
      </c>
      <c r="H12">
        <f t="shared" si="11"/>
        <v>0.53792613484806096</v>
      </c>
      <c r="I12">
        <f t="shared" si="11"/>
        <v>0.78068695252266385</v>
      </c>
      <c r="J12">
        <f t="shared" si="11"/>
        <v>0.90179639891565289</v>
      </c>
      <c r="K12">
        <f t="shared" si="11"/>
        <v>0.95350814524763217</v>
      </c>
      <c r="L12">
        <f t="shared" si="11"/>
        <v>0.97592412598518374</v>
      </c>
      <c r="M12">
        <f t="shared" si="11"/>
        <v>0.98634429022259162</v>
      </c>
      <c r="N12">
        <f t="shared" si="11"/>
        <v>0.99158803946667096</v>
      </c>
      <c r="O12">
        <f t="shared" si="11"/>
        <v>0.99443100501176829</v>
      </c>
      <c r="P12">
        <f t="shared" si="11"/>
        <v>0.9960774726686924</v>
      </c>
      <c r="Q12">
        <f t="shared" si="11"/>
        <v>0.99708701584969106</v>
      </c>
      <c r="R12">
        <f t="shared" si="11"/>
        <v>0.99773704120705853</v>
      </c>
      <c r="S12">
        <f t="shared" si="11"/>
        <v>0.99817339231495938</v>
      </c>
      <c r="T12">
        <f t="shared" si="11"/>
        <v>0.99847687486754066</v>
      </c>
      <c r="U12">
        <f t="shared" si="11"/>
        <v>0.99869439678302374</v>
      </c>
      <c r="V12">
        <f t="shared" si="11"/>
        <v>0.99885433988968975</v>
      </c>
      <c r="W12">
        <f t="shared" si="11"/>
        <v>0.99897452161395139</v>
      </c>
      <c r="X12">
        <f t="shared" si="11"/>
        <v>0.99906650138234288</v>
      </c>
      <c r="Y12">
        <f t="shared" si="11"/>
        <v>0.99913800268522523</v>
      </c>
      <c r="AN12" t="s">
        <v>80</v>
      </c>
    </row>
    <row r="13" spans="1:60" x14ac:dyDescent="0.3">
      <c r="A13" t="s">
        <v>40</v>
      </c>
      <c r="B13" t="s">
        <v>11</v>
      </c>
      <c r="C13">
        <v>10</v>
      </c>
    </row>
    <row r="14" spans="1:60" x14ac:dyDescent="0.3">
      <c r="A14" t="s">
        <v>41</v>
      </c>
      <c r="B14" t="s">
        <v>17</v>
      </c>
      <c r="C14">
        <v>100</v>
      </c>
      <c r="E14" t="s">
        <v>57</v>
      </c>
      <c r="F14">
        <v>1</v>
      </c>
      <c r="G14">
        <v>2</v>
      </c>
      <c r="H14">
        <v>3</v>
      </c>
      <c r="I14">
        <v>4</v>
      </c>
      <c r="J14">
        <v>5</v>
      </c>
      <c r="K14">
        <v>6</v>
      </c>
      <c r="L14">
        <v>7</v>
      </c>
      <c r="M14">
        <v>8</v>
      </c>
      <c r="N14">
        <v>9</v>
      </c>
      <c r="O14">
        <v>10</v>
      </c>
      <c r="P14">
        <v>11</v>
      </c>
      <c r="Q14">
        <v>12</v>
      </c>
      <c r="R14">
        <v>13</v>
      </c>
      <c r="S14">
        <v>14</v>
      </c>
      <c r="T14">
        <v>15</v>
      </c>
      <c r="U14">
        <v>16</v>
      </c>
      <c r="V14">
        <v>17</v>
      </c>
      <c r="W14">
        <v>18</v>
      </c>
      <c r="X14">
        <v>19</v>
      </c>
      <c r="Y14">
        <v>20</v>
      </c>
      <c r="Z14" t="s">
        <v>20</v>
      </c>
      <c r="AA14" t="s">
        <v>58</v>
      </c>
      <c r="AB14" t="s">
        <v>59</v>
      </c>
      <c r="AC14" t="s">
        <v>60</v>
      </c>
      <c r="AD14" t="s">
        <v>61</v>
      </c>
      <c r="AE14" t="s">
        <v>62</v>
      </c>
      <c r="AF14" t="s">
        <v>65</v>
      </c>
      <c r="AG14" t="s">
        <v>68</v>
      </c>
      <c r="AH14" t="s">
        <v>75</v>
      </c>
      <c r="AI14" t="s">
        <v>76</v>
      </c>
      <c r="AL14" t="s">
        <v>69</v>
      </c>
      <c r="AM14">
        <v>0.25</v>
      </c>
      <c r="AN14">
        <f>nll</f>
        <v>292.14977531611891</v>
      </c>
      <c r="AO14">
        <f>AM19</f>
        <v>8.0000000000000007E-5</v>
      </c>
      <c r="AP14">
        <f>AO14+$AM$22</f>
        <v>8.0789473684210537E-5</v>
      </c>
      <c r="AQ14">
        <f t="shared" ref="AQ14:BB14" si="12">AP14+$AM$22</f>
        <v>8.1578947368421068E-5</v>
      </c>
      <c r="AR14">
        <f t="shared" si="12"/>
        <v>8.2368421052631598E-5</v>
      </c>
      <c r="AS14">
        <f t="shared" si="12"/>
        <v>8.3157894736842129E-5</v>
      </c>
      <c r="AT14">
        <f t="shared" si="12"/>
        <v>8.3947368421052659E-5</v>
      </c>
      <c r="AU14">
        <f t="shared" si="12"/>
        <v>8.473684210526319E-5</v>
      </c>
      <c r="AV14">
        <f t="shared" si="12"/>
        <v>8.552631578947372E-5</v>
      </c>
      <c r="AW14">
        <f t="shared" si="12"/>
        <v>8.6315789473684251E-5</v>
      </c>
      <c r="AX14">
        <f t="shared" si="12"/>
        <v>8.7105263157894781E-5</v>
      </c>
      <c r="AY14">
        <f t="shared" si="12"/>
        <v>8.7894736842105312E-5</v>
      </c>
      <c r="AZ14">
        <f t="shared" si="12"/>
        <v>8.8684210526315842E-5</v>
      </c>
      <c r="BA14">
        <f t="shared" si="12"/>
        <v>8.9473684210526373E-5</v>
      </c>
      <c r="BB14">
        <f t="shared" si="12"/>
        <v>9.0263157894736903E-5</v>
      </c>
      <c r="BC14">
        <f t="shared" ref="BC14:BH14" si="13">BB14+$AM$22</f>
        <v>9.1052631578947434E-5</v>
      </c>
      <c r="BD14">
        <f t="shared" si="13"/>
        <v>9.1842105263157964E-5</v>
      </c>
      <c r="BE14">
        <f t="shared" si="13"/>
        <v>9.2631578947368495E-5</v>
      </c>
      <c r="BF14">
        <f t="shared" si="13"/>
        <v>9.3421052631579025E-5</v>
      </c>
      <c r="BG14">
        <f t="shared" si="13"/>
        <v>9.4210526315789556E-5</v>
      </c>
      <c r="BH14">
        <f t="shared" si="13"/>
        <v>9.5000000000000087E-5</v>
      </c>
    </row>
    <row r="15" spans="1:60" x14ac:dyDescent="0.3">
      <c r="A15" t="s">
        <v>42</v>
      </c>
      <c r="B15" t="s">
        <v>18</v>
      </c>
      <c r="C15">
        <v>20</v>
      </c>
      <c r="E15">
        <v>1</v>
      </c>
      <c r="F15">
        <f t="shared" ref="F15:Y15" si="14">ro*F8</f>
        <v>2551.2966978021609</v>
      </c>
      <c r="G15">
        <f t="shared" si="14"/>
        <v>1236.7028450595587</v>
      </c>
      <c r="H15">
        <f t="shared" si="14"/>
        <v>711.70869254006118</v>
      </c>
      <c r="I15">
        <f t="shared" si="14"/>
        <v>451.53646228465641</v>
      </c>
      <c r="J15">
        <f t="shared" si="14"/>
        <v>305.64851227592811</v>
      </c>
      <c r="K15">
        <f t="shared" si="14"/>
        <v>216.7332228037032</v>
      </c>
      <c r="L15">
        <f t="shared" si="14"/>
        <v>159.13188706915878</v>
      </c>
      <c r="M15">
        <f t="shared" si="14"/>
        <v>120.0253567885126</v>
      </c>
      <c r="N15">
        <f t="shared" si="14"/>
        <v>92.469840330791286</v>
      </c>
      <c r="O15">
        <f t="shared" si="14"/>
        <v>72.460086380957563</v>
      </c>
      <c r="P15">
        <f t="shared" si="14"/>
        <v>57.565726809939811</v>
      </c>
      <c r="Q15">
        <f t="shared" si="14"/>
        <v>46.248795430318026</v>
      </c>
      <c r="R15">
        <f t="shared" si="14"/>
        <v>37.500867926553099</v>
      </c>
      <c r="S15">
        <f t="shared" si="14"/>
        <v>30.640232529706189</v>
      </c>
      <c r="T15">
        <f t="shared" si="14"/>
        <v>25.193617010975498</v>
      </c>
      <c r="U15">
        <f t="shared" si="14"/>
        <v>20.824673387125753</v>
      </c>
      <c r="V15">
        <f t="shared" si="14"/>
        <v>17.289348953719959</v>
      </c>
      <c r="W15">
        <f t="shared" si="14"/>
        <v>14.407251593557676</v>
      </c>
      <c r="X15">
        <f t="shared" si="14"/>
        <v>12.042818099137897</v>
      </c>
      <c r="Y15">
        <f t="shared" si="14"/>
        <v>63.040382320255198</v>
      </c>
      <c r="Z15">
        <f t="shared" ref="Z15:Z46" si="15">SUMPRODUCT(F15:Y15,fecundity,pmature)</f>
        <v>39595.589576139733</v>
      </c>
      <c r="AA15">
        <f>MIN(0.99,AE15/AD15)</f>
        <v>9.3433958784141667E-4</v>
      </c>
      <c r="AB15">
        <f>SUM(F15:Y15)</f>
        <v>6242.4673173967749</v>
      </c>
      <c r="AC15">
        <f t="shared" ref="AC15:AC46" si="16">SUMPRODUCT(F15:Y15,Weight)</f>
        <v>54995.715667549237</v>
      </c>
      <c r="AD15">
        <f t="shared" ref="AD15:AD46" si="17">SUMPRODUCT(F15:Y15,Weight,vul)</f>
        <v>48066.642385878666</v>
      </c>
      <c r="AE15">
        <v>44.910566835742642</v>
      </c>
      <c r="AF15">
        <v>44.910566835742642</v>
      </c>
      <c r="AG15">
        <f>q*AD15</f>
        <v>51.941919294955362</v>
      </c>
      <c r="AH15">
        <f>MAX(-100,LN(AF15/AG15))</f>
        <v>-0.14545304909434556</v>
      </c>
      <c r="AI15">
        <f>LN(_xlfn.NORM.DIST(AH15,0,sdresid,FALSE))</f>
        <v>0.41320726793682855</v>
      </c>
      <c r="AL15" t="s">
        <v>70</v>
      </c>
      <c r="AM15">
        <v>0.35</v>
      </c>
      <c r="AN15">
        <f>AM14</f>
        <v>0.25</v>
      </c>
      <c r="AO15" t="e">
        <f t="dataTable" ref="AO15:BH34" dt2D="1" dtr="1" r1="C3" r2="C2"/>
        <v>#NUM!</v>
      </c>
      <c r="AP15" t="e">
        <v>#NUM!</v>
      </c>
      <c r="AQ15" t="e">
        <v>#NUM!</v>
      </c>
      <c r="AR15" t="e">
        <v>#NUM!</v>
      </c>
      <c r="AS15" t="e">
        <v>#NUM!</v>
      </c>
      <c r="AT15" t="e">
        <v>#NUM!</v>
      </c>
      <c r="AU15" t="e">
        <v>#NUM!</v>
      </c>
      <c r="AV15" t="e">
        <v>#NUM!</v>
      </c>
      <c r="AW15" t="e">
        <v>#NUM!</v>
      </c>
      <c r="AX15" t="e">
        <v>#NUM!</v>
      </c>
      <c r="AY15" t="e">
        <v>#NUM!</v>
      </c>
      <c r="AZ15" t="e">
        <v>#NUM!</v>
      </c>
      <c r="BA15" t="e">
        <v>#NUM!</v>
      </c>
      <c r="BB15" t="e">
        <v>#NUM!</v>
      </c>
      <c r="BC15" t="e">
        <v>#NUM!</v>
      </c>
      <c r="BD15" t="e">
        <v>#NUM!</v>
      </c>
      <c r="BE15" t="e">
        <v>#NUM!</v>
      </c>
      <c r="BF15" t="e">
        <v>#NUM!</v>
      </c>
      <c r="BG15" t="e">
        <v>#NUM!</v>
      </c>
      <c r="BH15" t="e">
        <v>#NUM!</v>
      </c>
    </row>
    <row r="16" spans="1:60" x14ac:dyDescent="0.3">
      <c r="A16" t="s">
        <v>43</v>
      </c>
      <c r="B16" t="s">
        <v>24</v>
      </c>
      <c r="C16">
        <v>0</v>
      </c>
      <c r="E16">
        <v>2</v>
      </c>
      <c r="F16">
        <f t="shared" ref="F16:F47" si="18">Z15*maxsj/(1+sjscale*Z15)</f>
        <v>2551.2966978021609</v>
      </c>
      <c r="G16">
        <f>F15*F$6*(1-F$12*$AA15)</f>
        <v>1236.6314872992871</v>
      </c>
      <c r="H16">
        <f t="shared" ref="H16:W16" si="19">G15*G$6*(1-G$12*$AA15)</f>
        <v>711.55073023684065</v>
      </c>
      <c r="I16">
        <f t="shared" si="19"/>
        <v>451.30951749257491</v>
      </c>
      <c r="J16">
        <f t="shared" si="19"/>
        <v>305.42556408247907</v>
      </c>
      <c r="K16">
        <f t="shared" si="19"/>
        <v>216.55060684149802</v>
      </c>
      <c r="L16">
        <f t="shared" si="19"/>
        <v>158.9901164061331</v>
      </c>
      <c r="M16">
        <f t="shared" si="19"/>
        <v>119.91591232158677</v>
      </c>
      <c r="N16">
        <f t="shared" si="19"/>
        <v>92.384621927477184</v>
      </c>
      <c r="O16">
        <f t="shared" si="19"/>
        <v>72.392953563018239</v>
      </c>
      <c r="P16">
        <f t="shared" si="19"/>
        <v>57.512240406094584</v>
      </c>
      <c r="Q16">
        <f t="shared" si="19"/>
        <v>46.205752850424147</v>
      </c>
      <c r="R16">
        <f t="shared" si="19"/>
        <v>37.465931447798546</v>
      </c>
      <c r="S16">
        <f t="shared" si="19"/>
        <v>30.611668932322321</v>
      </c>
      <c r="T16">
        <f t="shared" si="19"/>
        <v>25.170120614478726</v>
      </c>
      <c r="U16">
        <f t="shared" si="19"/>
        <v>20.805245706304447</v>
      </c>
      <c r="V16">
        <f t="shared" si="19"/>
        <v>17.273215921419677</v>
      </c>
      <c r="W16">
        <f t="shared" si="19"/>
        <v>14.393805750076762</v>
      </c>
      <c r="X16">
        <f t="shared" ref="X16" si="20">W15*W$6*(1-W$12*$AA15)</f>
        <v>12.03157755620528</v>
      </c>
      <c r="Y16">
        <f>X15*X$6*(1-X$12*$AA15)+Y15*Y$6*(1-Y$12*$AA15)</f>
        <v>62.981532642286908</v>
      </c>
      <c r="Z16">
        <f t="shared" si="15"/>
        <v>39562.723927117993</v>
      </c>
      <c r="AA16">
        <f t="shared" ref="AA16:AA79" si="21">MIN(0.99,AE16/AD16)</f>
        <v>4.8543396559127877E-3</v>
      </c>
      <c r="AB16">
        <f t="shared" ref="AB16:AB79" si="22">SUM(F16:Y16)</f>
        <v>6240.8992998004669</v>
      </c>
      <c r="AC16">
        <f t="shared" si="16"/>
        <v>54954.330844200435</v>
      </c>
      <c r="AD16">
        <f t="shared" si="17"/>
        <v>48026.988587164145</v>
      </c>
      <c r="AE16">
        <v>233.13931525274177</v>
      </c>
      <c r="AF16">
        <v>46.627863050548356</v>
      </c>
      <c r="AG16">
        <f>q*AD16</f>
        <v>51.899068488027076</v>
      </c>
      <c r="AH16">
        <f t="shared" ref="AH16:AH79" si="23">MAX(-100,LN(AF16/AG16))</f>
        <v>-0.10710255981460289</v>
      </c>
      <c r="AI16">
        <f>LN(_xlfn.NORM.DIST(AH16,0,sdresid,FALSE))</f>
        <v>0.81439014134174237</v>
      </c>
      <c r="AL16" t="s">
        <v>72</v>
      </c>
      <c r="AM16">
        <v>20</v>
      </c>
      <c r="AN16">
        <f>AN15+$AM$17</f>
        <v>0.25526315789473686</v>
      </c>
      <c r="AO16" t="e">
        <v>#NUM!</v>
      </c>
      <c r="AP16" t="e">
        <v>#NUM!</v>
      </c>
      <c r="AQ16" t="e">
        <v>#NUM!</v>
      </c>
      <c r="AR16" t="e">
        <v>#NUM!</v>
      </c>
      <c r="AS16" t="e">
        <v>#NUM!</v>
      </c>
      <c r="AT16" t="e">
        <v>#NUM!</v>
      </c>
      <c r="AU16" t="e">
        <v>#NUM!</v>
      </c>
      <c r="AV16" t="e">
        <v>#NUM!</v>
      </c>
      <c r="AW16" t="e">
        <v>#NUM!</v>
      </c>
      <c r="AX16" t="e">
        <v>#NUM!</v>
      </c>
      <c r="AY16" t="e">
        <v>#NUM!</v>
      </c>
      <c r="AZ16" t="e">
        <v>#NUM!</v>
      </c>
      <c r="BA16" t="e">
        <v>#NUM!</v>
      </c>
      <c r="BB16" t="e">
        <v>#NUM!</v>
      </c>
      <c r="BC16" t="e">
        <v>#NUM!</v>
      </c>
      <c r="BD16" t="e">
        <v>#NUM!</v>
      </c>
      <c r="BE16" t="e">
        <v>#NUM!</v>
      </c>
      <c r="BF16" t="e">
        <v>#NUM!</v>
      </c>
      <c r="BG16" t="e">
        <v>#NUM!</v>
      </c>
      <c r="BH16" t="e">
        <v>#NUM!</v>
      </c>
    </row>
    <row r="17" spans="1:60" x14ac:dyDescent="0.3">
      <c r="A17" t="s">
        <v>44</v>
      </c>
      <c r="B17" t="s">
        <v>30</v>
      </c>
      <c r="C17">
        <f>SUMPRODUCT(survship,fecundity,pmature)</f>
        <v>15.519790234608823</v>
      </c>
      <c r="E17">
        <v>3</v>
      </c>
      <c r="F17">
        <f t="shared" si="18"/>
        <v>2550.8415709997776</v>
      </c>
      <c r="G17">
        <f t="shared" ref="G17:G80" si="24">F16*F$6*(1-F$12*$AA16)</f>
        <v>1236.3321074712658</v>
      </c>
      <c r="H17">
        <f t="shared" ref="H17:H80" si="25">G16*G$6*(1-G$12*$AA16)</f>
        <v>710.84698481644512</v>
      </c>
      <c r="I17">
        <f t="shared" ref="I17:I80" si="26">H16*H$6*(1-H$12*$AA16)</f>
        <v>450.25741997387382</v>
      </c>
      <c r="J17">
        <f t="shared" ref="J17:J80" si="27">I16*I$6*(1-I$12*$AA16)</f>
        <v>304.33715160831275</v>
      </c>
      <c r="K17">
        <f t="shared" ref="K17:K80" si="28">J16*J$6*(1-J$12*$AA16)</f>
        <v>215.62704686627302</v>
      </c>
      <c r="L17">
        <f t="shared" ref="L17:L80" si="29">K16*K$6*(1-K$12*$AA16)</f>
        <v>158.26185950285333</v>
      </c>
      <c r="M17">
        <f t="shared" ref="M17:M80" si="30">L16*L$6*(1-L$12*$AA16)</f>
        <v>119.35031654037661</v>
      </c>
      <c r="N17">
        <f t="shared" ref="N17:N80" si="31">M16*M$6*(1-M$12*$AA16)</f>
        <v>91.943175692926289</v>
      </c>
      <c r="O17">
        <f t="shared" ref="O17:O80" si="32">N16*N$6*(1-N$12*$AA16)</f>
        <v>72.044843013940962</v>
      </c>
      <c r="P17">
        <f t="shared" ref="P17:P80" si="33">O16*O$6*(1-O$12*$AA16)</f>
        <v>57.234763404221475</v>
      </c>
      <c r="Q17">
        <f t="shared" ref="Q17:Q80" si="34">P16*P$6*(1-P$12*$AA16)</f>
        <v>45.982405051982028</v>
      </c>
      <c r="R17">
        <f t="shared" ref="R17:R80" si="35">Q16*Q$6*(1-Q$12*$AA16)</f>
        <v>37.284624084031108</v>
      </c>
      <c r="S17">
        <f t="shared" ref="S17:S80" si="36">R16*R$6*(1-R$12*$AA16)</f>
        <v>30.463424287339862</v>
      </c>
      <c r="T17">
        <f t="shared" ref="T17:T80" si="37">S16*S$6*(1-S$12*$AA16)</f>
        <v>25.048169704314422</v>
      </c>
      <c r="U17">
        <f t="shared" ref="U17:U80" si="38">T16*T$6*(1-T$12*$AA16)</f>
        <v>20.70440968249002</v>
      </c>
      <c r="V17">
        <f t="shared" ref="V17:V80" si="39">U16*U$6*(1-U$12*$AA16)</f>
        <v>17.189478836131933</v>
      </c>
      <c r="W17">
        <f t="shared" ref="W17:W80" si="40">V16*V$6*(1-V$12*$AA16)</f>
        <v>14.324015520668441</v>
      </c>
      <c r="X17">
        <f t="shared" ref="X17:X80" si="41">W16*W$6*(1-W$12*$AA16)</f>
        <v>11.973233431326285</v>
      </c>
      <c r="Y17">
        <f t="shared" ref="Y17:Y80" si="42">X16*X$6*(1-X$12*$AA16)+Y16*Y$6*(1-Y$12*$AA16)</f>
        <v>62.676067358989357</v>
      </c>
      <c r="Z17">
        <f t="shared" si="15"/>
        <v>39395.724562103096</v>
      </c>
      <c r="AA17">
        <f t="shared" si="21"/>
        <v>8.7891844243615062E-3</v>
      </c>
      <c r="AB17">
        <f t="shared" si="22"/>
        <v>6232.7230678475416</v>
      </c>
      <c r="AC17">
        <f t="shared" si="16"/>
        <v>54743.219649544422</v>
      </c>
      <c r="AD17">
        <f t="shared" si="17"/>
        <v>47824.245537842449</v>
      </c>
      <c r="AE17">
        <v>420.33611398804516</v>
      </c>
      <c r="AF17">
        <v>46.704012665338354</v>
      </c>
      <c r="AG17">
        <f>q*AD17</f>
        <v>51.679979685839918</v>
      </c>
      <c r="AH17">
        <f t="shared" si="23"/>
        <v>-0.10124038110353301</v>
      </c>
      <c r="AI17">
        <f>LN(_xlfn.NORM.DIST(AH17,0,sdresid,FALSE))</f>
        <v>0.8649786995106854</v>
      </c>
      <c r="AL17" t="s">
        <v>71</v>
      </c>
      <c r="AM17">
        <f>(AM15-AM14)/(AM16-1)</f>
        <v>5.2631578947368411E-3</v>
      </c>
      <c r="AN17">
        <f t="shared" ref="AN17:AN34" si="43">AN16+$AM$17</f>
        <v>0.26052631578947372</v>
      </c>
      <c r="AO17">
        <v>102.40198777406705</v>
      </c>
      <c r="AP17">
        <v>2673.5888284878047</v>
      </c>
      <c r="AQ17" t="e">
        <v>#NUM!</v>
      </c>
      <c r="AR17" t="e">
        <v>#NUM!</v>
      </c>
      <c r="AS17" t="e">
        <v>#NUM!</v>
      </c>
      <c r="AT17" t="e">
        <v>#NUM!</v>
      </c>
      <c r="AU17" t="e">
        <v>#NUM!</v>
      </c>
      <c r="AV17" t="e">
        <v>#NUM!</v>
      </c>
      <c r="AW17" t="e">
        <v>#NUM!</v>
      </c>
      <c r="AX17" t="e">
        <v>#NUM!</v>
      </c>
      <c r="AY17" t="e">
        <v>#NUM!</v>
      </c>
      <c r="AZ17" t="e">
        <v>#NUM!</v>
      </c>
      <c r="BA17" t="e">
        <v>#NUM!</v>
      </c>
      <c r="BB17" t="e">
        <v>#NUM!</v>
      </c>
      <c r="BC17" t="e">
        <v>#NUM!</v>
      </c>
      <c r="BD17" t="e">
        <v>#NUM!</v>
      </c>
      <c r="BE17" t="e">
        <v>#NUM!</v>
      </c>
      <c r="BF17" t="e">
        <v>#NUM!</v>
      </c>
      <c r="BG17" t="e">
        <v>#NUM!</v>
      </c>
      <c r="BH17" t="e">
        <v>#NUM!</v>
      </c>
    </row>
    <row r="18" spans="1:60" x14ac:dyDescent="0.3">
      <c r="A18" t="s">
        <v>45</v>
      </c>
      <c r="B18" t="s">
        <v>46</v>
      </c>
      <c r="C18">
        <f>(maxsj*epro-1)/(sjscale*epro)</f>
        <v>2551.2966978021609</v>
      </c>
      <c r="E18">
        <v>4</v>
      </c>
      <c r="F18">
        <f t="shared" si="18"/>
        <v>2548.5197444345713</v>
      </c>
      <c r="G18">
        <f t="shared" si="24"/>
        <v>1235.8110977648096</v>
      </c>
      <c r="H18">
        <f t="shared" si="25"/>
        <v>710.00985629116076</v>
      </c>
      <c r="I18">
        <f t="shared" si="26"/>
        <v>448.85751151453667</v>
      </c>
      <c r="J18">
        <f t="shared" si="27"/>
        <v>302.69142108429332</v>
      </c>
      <c r="K18">
        <f t="shared" si="28"/>
        <v>214.09287696294203</v>
      </c>
      <c r="L18">
        <f t="shared" si="29"/>
        <v>156.99289268224791</v>
      </c>
      <c r="M18">
        <f t="shared" si="30"/>
        <v>118.34523979463594</v>
      </c>
      <c r="N18">
        <f t="shared" si="31"/>
        <v>91.152648861977227</v>
      </c>
      <c r="O18">
        <f t="shared" si="32"/>
        <v>71.419476864706553</v>
      </c>
      <c r="P18">
        <f t="shared" si="33"/>
        <v>56.735582983153158</v>
      </c>
      <c r="Q18">
        <f t="shared" si="34"/>
        <v>45.580329749277439</v>
      </c>
      <c r="R18">
        <f t="shared" si="35"/>
        <v>36.958116142721465</v>
      </c>
      <c r="S18">
        <f t="shared" si="36"/>
        <v>30.196405793136368</v>
      </c>
      <c r="T18">
        <f t="shared" si="37"/>
        <v>24.828486795466485</v>
      </c>
      <c r="U18">
        <f t="shared" si="38"/>
        <v>20.522750734302239</v>
      </c>
      <c r="V18">
        <f t="shared" si="39"/>
        <v>17.03861750401288</v>
      </c>
      <c r="W18">
        <f t="shared" si="40"/>
        <v>14.198277306904521</v>
      </c>
      <c r="X18">
        <f t="shared" si="41"/>
        <v>11.86811512358552</v>
      </c>
      <c r="Y18">
        <f t="shared" si="42"/>
        <v>62.125686681710818</v>
      </c>
      <c r="Z18">
        <f t="shared" si="15"/>
        <v>39111.171775098657</v>
      </c>
      <c r="AA18">
        <f t="shared" si="21"/>
        <v>1.0986431475321787E-2</v>
      </c>
      <c r="AB18">
        <f t="shared" si="22"/>
        <v>6217.945135070152</v>
      </c>
      <c r="AC18">
        <f t="shared" si="16"/>
        <v>54378.761028265784</v>
      </c>
      <c r="AD18">
        <f t="shared" si="17"/>
        <v>47472.713233344279</v>
      </c>
      <c r="AE18">
        <v>521.55571088573868</v>
      </c>
      <c r="AF18">
        <v>40.119670068133743</v>
      </c>
      <c r="AG18">
        <f>q*AD18</f>
        <v>51.300105792356192</v>
      </c>
      <c r="AH18">
        <f t="shared" si="23"/>
        <v>-0.24582607496962147</v>
      </c>
      <c r="AI18">
        <f>LN(_xlfn.NORM.DIST(AH18,0,sdresid,FALSE))</f>
        <v>-1.2135327548618409</v>
      </c>
      <c r="AN18">
        <f t="shared" si="43"/>
        <v>0.26578947368421058</v>
      </c>
      <c r="AO18">
        <v>-19.012406640163697</v>
      </c>
      <c r="AP18">
        <v>-62.246805718121472</v>
      </c>
      <c r="AQ18">
        <v>-73.188650164022846</v>
      </c>
      <c r="AR18">
        <v>-1.3983802062372281</v>
      </c>
      <c r="AS18">
        <v>461.144762021519</v>
      </c>
      <c r="AT18" t="e">
        <v>#NUM!</v>
      </c>
      <c r="AU18" t="e">
        <v>#NUM!</v>
      </c>
      <c r="AV18" t="e">
        <v>#NUM!</v>
      </c>
      <c r="AW18" t="e">
        <v>#NUM!</v>
      </c>
      <c r="AX18" t="e">
        <v>#NUM!</v>
      </c>
      <c r="AY18" t="e">
        <v>#NUM!</v>
      </c>
      <c r="AZ18" t="e">
        <v>#NUM!</v>
      </c>
      <c r="BA18" t="e">
        <v>#NUM!</v>
      </c>
      <c r="BB18" t="e">
        <v>#NUM!</v>
      </c>
      <c r="BC18" t="e">
        <v>#NUM!</v>
      </c>
      <c r="BD18" t="e">
        <v>#NUM!</v>
      </c>
      <c r="BE18" t="e">
        <v>#NUM!</v>
      </c>
      <c r="BF18" t="e">
        <v>#NUM!</v>
      </c>
      <c r="BG18" t="e">
        <v>#NUM!</v>
      </c>
      <c r="BH18" t="e">
        <v>#NUM!</v>
      </c>
    </row>
    <row r="19" spans="1:60" x14ac:dyDescent="0.3">
      <c r="A19" t="s">
        <v>47</v>
      </c>
      <c r="B19" t="s">
        <v>48</v>
      </c>
      <c r="C19">
        <f>SUMPRODUCT(fecundity, pmature,survshiphr)</f>
        <v>15.519790234608823</v>
      </c>
      <c r="E19">
        <v>5</v>
      </c>
      <c r="F19">
        <f t="shared" si="18"/>
        <v>2544.527778121445</v>
      </c>
      <c r="G19">
        <f t="shared" si="24"/>
        <v>1234.5186116175978</v>
      </c>
      <c r="H19">
        <f t="shared" si="25"/>
        <v>709.33944158470354</v>
      </c>
      <c r="I19">
        <f t="shared" si="26"/>
        <v>447.79649215180177</v>
      </c>
      <c r="J19">
        <f t="shared" si="27"/>
        <v>301.22912713699679</v>
      </c>
      <c r="K19">
        <f t="shared" si="28"/>
        <v>212.50985505573169</v>
      </c>
      <c r="L19">
        <f t="shared" si="29"/>
        <v>155.54656578101711</v>
      </c>
      <c r="M19">
        <f t="shared" si="30"/>
        <v>117.14241390364064</v>
      </c>
      <c r="N19">
        <f t="shared" si="31"/>
        <v>90.187431963931829</v>
      </c>
      <c r="O19">
        <f t="shared" si="32"/>
        <v>70.649788079869921</v>
      </c>
      <c r="P19">
        <f t="shared" si="33"/>
        <v>56.119129450869629</v>
      </c>
      <c r="Q19">
        <f t="shared" si="34"/>
        <v>45.083033256524594</v>
      </c>
      <c r="R19">
        <f t="shared" si="35"/>
        <v>36.553979083558843</v>
      </c>
      <c r="S19">
        <f t="shared" si="36"/>
        <v>29.865770984787382</v>
      </c>
      <c r="T19">
        <f t="shared" si="37"/>
        <v>24.556404640745424</v>
      </c>
      <c r="U19">
        <f t="shared" si="38"/>
        <v>20.297732524940873</v>
      </c>
      <c r="V19">
        <f t="shared" si="39"/>
        <v>16.851732627772098</v>
      </c>
      <c r="W19">
        <f t="shared" si="40"/>
        <v>14.042506416807365</v>
      </c>
      <c r="X19">
        <f t="shared" si="41"/>
        <v>11.737884654605752</v>
      </c>
      <c r="Y19">
        <f t="shared" si="42"/>
        <v>61.443771784907099</v>
      </c>
      <c r="Z19">
        <f t="shared" si="15"/>
        <v>38789.785210229602</v>
      </c>
      <c r="AA19">
        <f t="shared" si="21"/>
        <v>2.3359139728180982E-2</v>
      </c>
      <c r="AB19">
        <f t="shared" si="22"/>
        <v>6199.9994508222562</v>
      </c>
      <c r="AC19">
        <f t="shared" si="16"/>
        <v>53954.702451980193</v>
      </c>
      <c r="AD19">
        <f t="shared" si="17"/>
        <v>47062.633134119431</v>
      </c>
      <c r="AE19">
        <v>1099.3426233560158</v>
      </c>
      <c r="AF19">
        <v>64.667213138589162</v>
      </c>
      <c r="AG19">
        <f>q*AD19</f>
        <v>50.856963805291542</v>
      </c>
      <c r="AH19">
        <f t="shared" si="23"/>
        <v>0.24023725984820204</v>
      </c>
      <c r="AI19">
        <f>LN(_xlfn.NORM.DIST(AH19,0,sdresid,FALSE))</f>
        <v>-1.101013444151121</v>
      </c>
      <c r="AL19" t="s">
        <v>69</v>
      </c>
      <c r="AM19">
        <v>8.0000000000000007E-5</v>
      </c>
      <c r="AN19">
        <f t="shared" si="43"/>
        <v>0.27105263157894743</v>
      </c>
      <c r="AO19">
        <v>193.82054998492552</v>
      </c>
      <c r="AP19">
        <v>120.77563373164622</v>
      </c>
      <c r="AQ19">
        <v>53.387148475067548</v>
      </c>
      <c r="AR19">
        <v>-5.9707964025710858</v>
      </c>
      <c r="AS19">
        <v>-52.662216257226312</v>
      </c>
      <c r="AT19">
        <v>-76.444539535620251</v>
      </c>
      <c r="AU19">
        <v>-49.623407682165315</v>
      </c>
      <c r="AV19">
        <v>139.50191346951217</v>
      </c>
      <c r="AW19" t="e">
        <v>#NUM!</v>
      </c>
      <c r="AX19" t="e">
        <v>#NUM!</v>
      </c>
      <c r="AY19" t="e">
        <v>#NUM!</v>
      </c>
      <c r="AZ19" t="e">
        <v>#NUM!</v>
      </c>
      <c r="BA19" t="e">
        <v>#NUM!</v>
      </c>
      <c r="BB19" t="e">
        <v>#NUM!</v>
      </c>
      <c r="BC19" t="e">
        <v>#NUM!</v>
      </c>
      <c r="BD19" t="e">
        <v>#NUM!</v>
      </c>
      <c r="BE19" t="e">
        <v>#NUM!</v>
      </c>
      <c r="BF19" t="e">
        <v>#NUM!</v>
      </c>
      <c r="BG19" t="e">
        <v>#NUM!</v>
      </c>
      <c r="BH19" t="e">
        <v>#NUM!</v>
      </c>
    </row>
    <row r="20" spans="1:60" x14ac:dyDescent="0.3">
      <c r="A20" t="s">
        <v>49</v>
      </c>
      <c r="B20" t="s">
        <v>50</v>
      </c>
      <c r="C20">
        <f>MAX(0,(maxsj*eprh-1)/(sjscale*eprh))</f>
        <v>2551.2966978021609</v>
      </c>
      <c r="E20">
        <v>6</v>
      </c>
      <c r="F20">
        <f t="shared" si="18"/>
        <v>2539.9640157756862</v>
      </c>
      <c r="G20">
        <f t="shared" ref="G20:P25" si="44">F19*F$6*(1-F$12*$AA19)</f>
        <v>1231.6424521856211</v>
      </c>
      <c r="H20">
        <f t="shared" si="44"/>
        <v>706.5094980015075</v>
      </c>
      <c r="I20">
        <f t="shared" si="44"/>
        <v>444.37842480854044</v>
      </c>
      <c r="J20">
        <f t="shared" si="44"/>
        <v>297.58920468558244</v>
      </c>
      <c r="K20">
        <f t="shared" si="44"/>
        <v>209.09995474146984</v>
      </c>
      <c r="L20">
        <f t="shared" si="44"/>
        <v>152.55566863085184</v>
      </c>
      <c r="M20">
        <f t="shared" si="44"/>
        <v>114.64658512594944</v>
      </c>
      <c r="N20">
        <f t="shared" si="44"/>
        <v>88.169420286438836</v>
      </c>
      <c r="O20">
        <f t="shared" si="44"/>
        <v>69.034632959963034</v>
      </c>
      <c r="P20">
        <f t="shared" si="44"/>
        <v>54.82375045094048</v>
      </c>
      <c r="Q20">
        <f t="shared" si="34"/>
        <v>44.037534047705968</v>
      </c>
      <c r="R20">
        <f t="shared" si="35"/>
        <v>35.704188701583085</v>
      </c>
      <c r="S20">
        <f t="shared" si="36"/>
        <v>29.170494565957405</v>
      </c>
      <c r="T20">
        <f t="shared" si="37"/>
        <v>23.984245455351548</v>
      </c>
      <c r="U20">
        <f t="shared" si="38"/>
        <v>19.824542236015773</v>
      </c>
      <c r="V20">
        <f t="shared" si="39"/>
        <v>16.458733687643775</v>
      </c>
      <c r="W20">
        <f t="shared" si="40"/>
        <v>13.714938067903987</v>
      </c>
      <c r="X20">
        <f t="shared" si="41"/>
        <v>11.464025920520854</v>
      </c>
      <c r="Y20">
        <f t="shared" ref="Y20:Y25" si="45">X19*X$6*(1-X$12*$AA19)+Y19*Y$6*(1-Y$12*$AA19)</f>
        <v>60.009811093673378</v>
      </c>
      <c r="Z20">
        <f t="shared" si="15"/>
        <v>38090.826420550853</v>
      </c>
      <c r="AA20">
        <f t="shared" si="21"/>
        <v>2.1399746203950312E-2</v>
      </c>
      <c r="AB20">
        <f t="shared" si="22"/>
        <v>6162.782121428907</v>
      </c>
      <c r="AC20">
        <f t="shared" si="16"/>
        <v>53037.82985328629</v>
      </c>
      <c r="AD20">
        <f t="shared" si="17"/>
        <v>46180.74136950422</v>
      </c>
      <c r="AE20">
        <v>988.25614481765899</v>
      </c>
      <c r="AF20">
        <v>47.05981641988852</v>
      </c>
      <c r="AG20">
        <f>q*AD20</f>
        <v>49.903971280937753</v>
      </c>
      <c r="AH20">
        <f t="shared" si="23"/>
        <v>-5.868110206734032E-2</v>
      </c>
      <c r="AI20">
        <f>LN(_xlfn.NORM.DIST(AH20,0,sdresid,FALSE))</f>
        <v>1.146891975738797</v>
      </c>
      <c r="AL20" t="s">
        <v>70</v>
      </c>
      <c r="AM20">
        <v>9.5000000000000005E-5</v>
      </c>
      <c r="AN20">
        <f t="shared" si="43"/>
        <v>0.27631578947368429</v>
      </c>
      <c r="AO20">
        <v>433.93018554004999</v>
      </c>
      <c r="AP20">
        <v>353.57561635908496</v>
      </c>
      <c r="AQ20">
        <v>276.09530333310215</v>
      </c>
      <c r="AR20">
        <v>201.8820671369694</v>
      </c>
      <c r="AS20">
        <v>131.56394481439133</v>
      </c>
      <c r="AT20">
        <v>66.177551452062687</v>
      </c>
      <c r="AU20">
        <v>7.5179799469023472</v>
      </c>
      <c r="AV20">
        <v>-41.083771270673047</v>
      </c>
      <c r="AW20">
        <v>-72.79017734190306</v>
      </c>
      <c r="AX20">
        <v>-71.190712961481225</v>
      </c>
      <c r="AY20">
        <v>15.564960763116055</v>
      </c>
      <c r="AZ20">
        <v>509.47638676420024</v>
      </c>
      <c r="BA20" t="e">
        <v>#NUM!</v>
      </c>
      <c r="BB20" t="e">
        <v>#NUM!</v>
      </c>
      <c r="BC20" t="e">
        <v>#NUM!</v>
      </c>
      <c r="BD20" t="e">
        <v>#NUM!</v>
      </c>
      <c r="BE20" t="e">
        <v>#NUM!</v>
      </c>
      <c r="BF20" t="e">
        <v>#NUM!</v>
      </c>
      <c r="BG20" t="e">
        <v>#NUM!</v>
      </c>
      <c r="BH20" t="e">
        <v>#NUM!</v>
      </c>
    </row>
    <row r="21" spans="1:60" x14ac:dyDescent="0.3">
      <c r="A21" t="s">
        <v>51</v>
      </c>
      <c r="B21" t="s">
        <v>53</v>
      </c>
      <c r="C21">
        <f>SUMPRODUCT(survshiphr,Weight,vul)</f>
        <v>18.840083329894998</v>
      </c>
      <c r="E21">
        <v>7</v>
      </c>
      <c r="F21">
        <f t="shared" si="18"/>
        <v>2529.8316297337765</v>
      </c>
      <c r="G21">
        <f t="shared" si="44"/>
        <v>1229.5824068697518</v>
      </c>
      <c r="H21">
        <f t="shared" si="44"/>
        <v>705.19339036358349</v>
      </c>
      <c r="I21">
        <f t="shared" si="44"/>
        <v>443.07800261600096</v>
      </c>
      <c r="J21">
        <f t="shared" si="44"/>
        <v>295.77781237716079</v>
      </c>
      <c r="K21">
        <f t="shared" si="44"/>
        <v>206.94614542548882</v>
      </c>
      <c r="L21">
        <f t="shared" si="44"/>
        <v>150.39461866517769</v>
      </c>
      <c r="M21">
        <f t="shared" si="44"/>
        <v>112.66215535114463</v>
      </c>
      <c r="N21">
        <f t="shared" si="44"/>
        <v>86.461590186444354</v>
      </c>
      <c r="O21">
        <f t="shared" si="44"/>
        <v>67.624167289930099</v>
      </c>
      <c r="P21">
        <f t="shared" si="44"/>
        <v>53.677264445477057</v>
      </c>
      <c r="Q21">
        <f t="shared" si="34"/>
        <v>43.106995115499316</v>
      </c>
      <c r="R21">
        <f t="shared" si="35"/>
        <v>34.945951772167128</v>
      </c>
      <c r="S21">
        <f t="shared" si="36"/>
        <v>28.549382659015276</v>
      </c>
      <c r="T21">
        <f t="shared" si="37"/>
        <v>23.472801685230529</v>
      </c>
      <c r="U21">
        <f t="shared" si="38"/>
        <v>19.40142033201521</v>
      </c>
      <c r="V21">
        <f t="shared" si="39"/>
        <v>16.10724751043298</v>
      </c>
      <c r="W21">
        <f t="shared" si="40"/>
        <v>13.421934741577141</v>
      </c>
      <c r="X21">
        <f t="shared" si="41"/>
        <v>11.21904525945542</v>
      </c>
      <c r="Y21">
        <f t="shared" si="45"/>
        <v>58.72685952276732</v>
      </c>
      <c r="Z21">
        <f t="shared" si="15"/>
        <v>37558.542472749577</v>
      </c>
      <c r="AA21">
        <f t="shared" si="21"/>
        <v>2.6625468678647429E-2</v>
      </c>
      <c r="AB21">
        <f t="shared" si="22"/>
        <v>6130.1808219220957</v>
      </c>
      <c r="AC21">
        <f t="shared" si="16"/>
        <v>52307.70987718887</v>
      </c>
      <c r="AD21">
        <f t="shared" si="17"/>
        <v>45473.37849153475</v>
      </c>
      <c r="AE21">
        <v>1210.7500147386381</v>
      </c>
      <c r="AF21">
        <v>48.430000589545529</v>
      </c>
      <c r="AG21">
        <f>q*AD21</f>
        <v>49.139578685657753</v>
      </c>
      <c r="AH21">
        <f t="shared" si="23"/>
        <v>-1.4545324712554604E-2</v>
      </c>
      <c r="AI21">
        <f>LN(_xlfn.NORM.DIST(AH21,0,sdresid,FALSE))</f>
        <v>1.2807588367932807</v>
      </c>
      <c r="AL21" t="s">
        <v>72</v>
      </c>
      <c r="AM21">
        <v>20</v>
      </c>
      <c r="AN21">
        <f t="shared" si="43"/>
        <v>0.28157894736842115</v>
      </c>
      <c r="AO21">
        <v>677.55869831914129</v>
      </c>
      <c r="AP21">
        <v>593.56464807140253</v>
      </c>
      <c r="AQ21">
        <v>511.8150356441684</v>
      </c>
      <c r="AR21">
        <v>432.39821100221229</v>
      </c>
      <c r="AS21">
        <v>355.45255333270899</v>
      </c>
      <c r="AT21">
        <v>281.19096579890817</v>
      </c>
      <c r="AU21">
        <v>209.94125628499637</v>
      </c>
      <c r="AV21">
        <v>142.21561203664231</v>
      </c>
      <c r="AW21">
        <v>78.836527062502611</v>
      </c>
      <c r="AX21">
        <v>21.180384439641564</v>
      </c>
      <c r="AY21">
        <v>-28.310392473902773</v>
      </c>
      <c r="AZ21">
        <v>-64.923647411746998</v>
      </c>
      <c r="BA21">
        <v>-78.36585096517031</v>
      </c>
      <c r="BB21">
        <v>-41.125627672733465</v>
      </c>
      <c r="BC21">
        <v>156.1851466228585</v>
      </c>
      <c r="BD21">
        <v>5503.7753940034027</v>
      </c>
      <c r="BE21" t="e">
        <v>#NUM!</v>
      </c>
      <c r="BF21" t="e">
        <v>#NUM!</v>
      </c>
      <c r="BG21" t="e">
        <v>#NUM!</v>
      </c>
      <c r="BH21" t="e">
        <v>#NUM!</v>
      </c>
    </row>
    <row r="22" spans="1:60" x14ac:dyDescent="0.3">
      <c r="A22" t="s">
        <v>52</v>
      </c>
      <c r="B22" t="s">
        <v>54</v>
      </c>
      <c r="C22">
        <f>yprh*req*hr</f>
        <v>0</v>
      </c>
      <c r="E22">
        <v>8</v>
      </c>
      <c r="F22">
        <f t="shared" si="18"/>
        <v>2521.9190926822839</v>
      </c>
      <c r="G22">
        <f t="shared" si="44"/>
        <v>1224.2816321337943</v>
      </c>
      <c r="H22">
        <f t="shared" si="44"/>
        <v>703.1354939206318</v>
      </c>
      <c r="I22">
        <f t="shared" si="44"/>
        <v>440.99495016581869</v>
      </c>
      <c r="J22">
        <f t="shared" si="44"/>
        <v>293.68867120403758</v>
      </c>
      <c r="K22">
        <f t="shared" si="44"/>
        <v>204.69810802954291</v>
      </c>
      <c r="L22">
        <f t="shared" si="44"/>
        <v>148.08838525910252</v>
      </c>
      <c r="M22">
        <f t="shared" si="44"/>
        <v>110.48771338124121</v>
      </c>
      <c r="N22">
        <f t="shared" si="44"/>
        <v>84.517633873717998</v>
      </c>
      <c r="O22">
        <f t="shared" si="44"/>
        <v>65.963221306709286</v>
      </c>
      <c r="P22">
        <f t="shared" si="44"/>
        <v>52.301386993115315</v>
      </c>
      <c r="Q22">
        <f t="shared" si="34"/>
        <v>41.981058290717108</v>
      </c>
      <c r="R22">
        <f t="shared" si="35"/>
        <v>34.025398944479406</v>
      </c>
      <c r="S22">
        <f t="shared" si="36"/>
        <v>27.794218774906</v>
      </c>
      <c r="T22">
        <f t="shared" si="37"/>
        <v>22.850560916029263</v>
      </c>
      <c r="U22">
        <f t="shared" si="38"/>
        <v>18.886464973929446</v>
      </c>
      <c r="V22">
        <f t="shared" si="39"/>
        <v>15.679400528416734</v>
      </c>
      <c r="W22">
        <f t="shared" si="40"/>
        <v>13.065240880783801</v>
      </c>
      <c r="X22">
        <f t="shared" si="41"/>
        <v>10.920795379055139</v>
      </c>
      <c r="Y22">
        <f t="shared" si="45"/>
        <v>57.164802358011897</v>
      </c>
      <c r="Z22">
        <f t="shared" si="15"/>
        <v>36937.765271770906</v>
      </c>
      <c r="AA22">
        <f t="shared" si="21"/>
        <v>2.1529065993444049E-2</v>
      </c>
      <c r="AB22">
        <f t="shared" si="22"/>
        <v>6092.4442299963248</v>
      </c>
      <c r="AC22">
        <f t="shared" si="16"/>
        <v>51441.891112084253</v>
      </c>
      <c r="AD22">
        <f t="shared" si="17"/>
        <v>44639.429004221289</v>
      </c>
      <c r="AE22">
        <v>961.04521294154051</v>
      </c>
      <c r="AF22">
        <v>33.139490101432429</v>
      </c>
      <c r="AG22">
        <f>q*AD22</f>
        <v>48.238393688828623</v>
      </c>
      <c r="AH22">
        <f t="shared" si="23"/>
        <v>-0.3754296278570019</v>
      </c>
      <c r="AI22">
        <f>LN(_xlfn.NORM.DIST(AH22,0,sdresid,FALSE))</f>
        <v>-4.5485781758556714</v>
      </c>
      <c r="AL22" t="s">
        <v>71</v>
      </c>
      <c r="AM22">
        <f>(AM20-AM19)/(AM21-1)</f>
        <v>7.8947368421052629E-7</v>
      </c>
      <c r="AN22">
        <f t="shared" si="43"/>
        <v>0.28684210526315801</v>
      </c>
      <c r="AO22">
        <v>920.11842564832818</v>
      </c>
      <c r="AP22">
        <v>833.47873084533717</v>
      </c>
      <c r="AQ22">
        <v>748.88468765510049</v>
      </c>
      <c r="AR22">
        <v>666.34758958186683</v>
      </c>
      <c r="AS22">
        <v>585.894622022877</v>
      </c>
      <c r="AT22">
        <v>507.5744116602757</v>
      </c>
      <c r="AU22">
        <v>431.46525301861215</v>
      </c>
      <c r="AV22">
        <v>357.68759432783486</v>
      </c>
      <c r="AW22">
        <v>286.42351936868869</v>
      </c>
      <c r="AX22">
        <v>217.94815368845914</v>
      </c>
      <c r="AY22">
        <v>152.68230103056879</v>
      </c>
      <c r="AZ22">
        <v>91.284903237410916</v>
      </c>
      <c r="BA22">
        <v>34.825117628742738</v>
      </c>
      <c r="BB22">
        <v>-14.87319890487993</v>
      </c>
      <c r="BC22">
        <v>-54.473011160111398</v>
      </c>
      <c r="BD22">
        <v>-77.221969008815037</v>
      </c>
      <c r="BE22">
        <v>-67.177133544917368</v>
      </c>
      <c r="BF22">
        <v>24.901923138291309</v>
      </c>
      <c r="BG22">
        <v>488.65732242559125</v>
      </c>
      <c r="BH22" t="e">
        <v>#NUM!</v>
      </c>
    </row>
    <row r="23" spans="1:60" x14ac:dyDescent="0.3">
      <c r="E23">
        <v>9</v>
      </c>
      <c r="F23">
        <f t="shared" si="18"/>
        <v>2512.4683290433654</v>
      </c>
      <c r="G23">
        <f t="shared" si="44"/>
        <v>1220.8371975541627</v>
      </c>
      <c r="H23">
        <f t="shared" si="44"/>
        <v>700.95721059726577</v>
      </c>
      <c r="I23">
        <f t="shared" si="44"/>
        <v>440.93100845410123</v>
      </c>
      <c r="J23">
        <f t="shared" si="44"/>
        <v>293.49563786722558</v>
      </c>
      <c r="K23">
        <f t="shared" si="44"/>
        <v>204.20939375894113</v>
      </c>
      <c r="L23">
        <f t="shared" si="44"/>
        <v>147.21006890386622</v>
      </c>
      <c r="M23">
        <f t="shared" si="44"/>
        <v>109.34897589921269</v>
      </c>
      <c r="N23">
        <f t="shared" si="44"/>
        <v>83.314287953127661</v>
      </c>
      <c r="O23">
        <f t="shared" si="44"/>
        <v>64.814828122530741</v>
      </c>
      <c r="P23">
        <f t="shared" si="44"/>
        <v>51.282376476601691</v>
      </c>
      <c r="Q23">
        <f t="shared" si="34"/>
        <v>41.118290427656675</v>
      </c>
      <c r="R23">
        <f t="shared" si="35"/>
        <v>33.309647723301282</v>
      </c>
      <c r="S23">
        <f t="shared" si="36"/>
        <v>27.203420604285892</v>
      </c>
      <c r="T23">
        <f t="shared" si="37"/>
        <v>22.362395347425984</v>
      </c>
      <c r="U23">
        <f t="shared" si="38"/>
        <v>18.481917376649864</v>
      </c>
      <c r="V23">
        <f t="shared" si="39"/>
        <v>15.34304375973878</v>
      </c>
      <c r="W23">
        <f t="shared" si="40"/>
        <v>12.784708533565194</v>
      </c>
      <c r="X23">
        <f t="shared" si="41"/>
        <v>10.686171398591428</v>
      </c>
      <c r="Y23">
        <f t="shared" si="45"/>
        <v>55.935508110991066</v>
      </c>
      <c r="Z23">
        <f t="shared" si="15"/>
        <v>36582.1287861253</v>
      </c>
      <c r="AA23">
        <f t="shared" si="21"/>
        <v>3.4372996033021901E-2</v>
      </c>
      <c r="AB23">
        <f t="shared" si="22"/>
        <v>6066.0944179126082</v>
      </c>
      <c r="AC23">
        <f t="shared" si="16"/>
        <v>50888.251167937633</v>
      </c>
      <c r="AD23">
        <f t="shared" si="17"/>
        <v>44104.685856549222</v>
      </c>
      <c r="AE23">
        <v>1516.0101919848437</v>
      </c>
      <c r="AF23">
        <v>45.939702787419506</v>
      </c>
      <c r="AG23">
        <f>q*AD23</f>
        <v>47.660537944361785</v>
      </c>
      <c r="AH23">
        <f t="shared" si="23"/>
        <v>-3.6774031073181786E-2</v>
      </c>
      <c r="AI23">
        <f>LN(_xlfn.NORM.DIST(AH23,0,sdresid,FALSE))</f>
        <v>1.2335079631942145</v>
      </c>
      <c r="AN23">
        <f t="shared" si="43"/>
        <v>0.29210526315789487</v>
      </c>
      <c r="AO23">
        <v>1160.5373063937272</v>
      </c>
      <c r="AP23">
        <v>1071.612141342069</v>
      </c>
      <c r="AQ23">
        <v>984.65714736408609</v>
      </c>
      <c r="AR23">
        <v>899.65762532827875</v>
      </c>
      <c r="AS23">
        <v>816.60568873498073</v>
      </c>
      <c r="AT23">
        <v>735.50191852807393</v>
      </c>
      <c r="AU23">
        <v>656.3576670430507</v>
      </c>
      <c r="AV23">
        <v>579.1983086195138</v>
      </c>
      <c r="AW23">
        <v>504.06789956338827</v>
      </c>
      <c r="AX23">
        <v>431.03598513360276</v>
      </c>
      <c r="AY23">
        <v>360.20776332348498</v>
      </c>
      <c r="AZ23">
        <v>291.73965443275171</v>
      </c>
      <c r="BA23">
        <v>225.86387826487797</v>
      </c>
      <c r="BB23">
        <v>162.92865106218463</v>
      </c>
      <c r="BC23">
        <v>103.4667793600578</v>
      </c>
      <c r="BD23">
        <v>48.318913172872207</v>
      </c>
      <c r="BE23">
        <v>-1.1303073508585497</v>
      </c>
      <c r="BF23">
        <v>-42.461098004196892</v>
      </c>
      <c r="BG23">
        <v>-71.079131700379918</v>
      </c>
      <c r="BH23">
        <v>-77.133237642908512</v>
      </c>
    </row>
    <row r="24" spans="1:60" x14ac:dyDescent="0.3">
      <c r="A24" t="s">
        <v>67</v>
      </c>
      <c r="B24" t="s">
        <v>66</v>
      </c>
      <c r="C24">
        <f>-SUM(AI15:AI114)</f>
        <v>292.14977531611891</v>
      </c>
      <c r="E24">
        <v>10</v>
      </c>
      <c r="F24">
        <f t="shared" si="18"/>
        <v>2506.94258902205</v>
      </c>
      <c r="G24">
        <f t="shared" si="44"/>
        <v>1215.2961791066</v>
      </c>
      <c r="H24">
        <f t="shared" si="44"/>
        <v>696.84153759440687</v>
      </c>
      <c r="I24">
        <f t="shared" si="44"/>
        <v>436.49244723704288</v>
      </c>
      <c r="J24">
        <f t="shared" si="44"/>
        <v>290.46030158880046</v>
      </c>
      <c r="K24">
        <f t="shared" si="44"/>
        <v>201.66464963378615</v>
      </c>
      <c r="L24">
        <f t="shared" si="44"/>
        <v>145.0223652190715</v>
      </c>
      <c r="M24">
        <f t="shared" si="44"/>
        <v>107.30865463009181</v>
      </c>
      <c r="N24">
        <f t="shared" si="44"/>
        <v>81.388357141426937</v>
      </c>
      <c r="O24">
        <f t="shared" si="44"/>
        <v>63.060535351247978</v>
      </c>
      <c r="P24">
        <f t="shared" si="44"/>
        <v>49.731894732734602</v>
      </c>
      <c r="Q24">
        <f t="shared" si="34"/>
        <v>39.790061845483258</v>
      </c>
      <c r="R24">
        <f t="shared" si="35"/>
        <v>32.198109732355427</v>
      </c>
      <c r="S24">
        <f t="shared" si="36"/>
        <v>26.282408568539264</v>
      </c>
      <c r="T24">
        <f t="shared" si="37"/>
        <v>21.600292006699064</v>
      </c>
      <c r="U24">
        <f t="shared" si="38"/>
        <v>17.850029787061505</v>
      </c>
      <c r="V24">
        <f t="shared" si="39"/>
        <v>14.817572174062011</v>
      </c>
      <c r="W24">
        <f t="shared" si="40"/>
        <v>12.346422579214382</v>
      </c>
      <c r="X24">
        <f t="shared" si="41"/>
        <v>10.319604971472442</v>
      </c>
      <c r="Y24">
        <f t="shared" si="45"/>
        <v>54.015019447704901</v>
      </c>
      <c r="Z24">
        <f t="shared" si="15"/>
        <v>35858.150467402949</v>
      </c>
      <c r="AA24">
        <f t="shared" si="21"/>
        <v>3.754974824150939E-2</v>
      </c>
      <c r="AB24">
        <f t="shared" si="22"/>
        <v>6023.4290323698515</v>
      </c>
      <c r="AC24">
        <f t="shared" si="16"/>
        <v>49876.359620620831</v>
      </c>
      <c r="AD24">
        <f t="shared" si="17"/>
        <v>43136.03891638606</v>
      </c>
      <c r="AE24">
        <v>1619.747401446248</v>
      </c>
      <c r="AF24">
        <v>43.776956795844541</v>
      </c>
      <c r="AG24">
        <f>q*AD24</f>
        <v>46.613795781941853</v>
      </c>
      <c r="AH24">
        <f t="shared" si="23"/>
        <v>-6.2788965749719747E-2</v>
      </c>
      <c r="AI24">
        <f>LN(_xlfn.NORM.DIST(AH24,0,sdresid,FALSE))</f>
        <v>1.1262239137836167</v>
      </c>
      <c r="AN24">
        <f t="shared" si="43"/>
        <v>0.29736842105263173</v>
      </c>
      <c r="AO24">
        <v>1398.6183180791872</v>
      </c>
      <c r="AP24">
        <v>1307.5748407312626</v>
      </c>
      <c r="AQ24">
        <v>1218.4698201308088</v>
      </c>
      <c r="AR24">
        <v>1131.2778208380564</v>
      </c>
      <c r="AS24">
        <v>1045.9771712160782</v>
      </c>
      <c r="AT24">
        <v>962.55054590621035</v>
      </c>
      <c r="AU24">
        <v>880.98574956916423</v>
      </c>
      <c r="AV24">
        <v>801.2767766342929</v>
      </c>
      <c r="AW24">
        <v>723.42525535710422</v>
      </c>
      <c r="AX24">
        <v>647.44243577378177</v>
      </c>
      <c r="AY24">
        <v>573.35196115979602</v>
      </c>
      <c r="AZ24">
        <v>501.19379032291107</v>
      </c>
      <c r="BA24">
        <v>431.02984718816072</v>
      </c>
      <c r="BB24">
        <v>362.95232648781553</v>
      </c>
      <c r="BC24">
        <v>297.09619761017001</v>
      </c>
      <c r="BD24">
        <v>233.6585562414505</v>
      </c>
      <c r="BE24">
        <v>172.92956133893705</v>
      </c>
      <c r="BF24">
        <v>115.34383295552476</v>
      </c>
      <c r="BG24">
        <v>61.569889604949978</v>
      </c>
      <c r="BH24">
        <v>12.674872393010393</v>
      </c>
    </row>
    <row r="25" spans="1:60" x14ac:dyDescent="0.3">
      <c r="E25">
        <v>11</v>
      </c>
      <c r="F25">
        <f t="shared" si="18"/>
        <v>2495.4335821404138</v>
      </c>
      <c r="G25">
        <f t="shared" si="44"/>
        <v>1212.3849467849534</v>
      </c>
      <c r="H25">
        <f t="shared" si="44"/>
        <v>693.15100524119191</v>
      </c>
      <c r="I25">
        <f t="shared" si="44"/>
        <v>433.1740869058554</v>
      </c>
      <c r="J25">
        <f t="shared" si="44"/>
        <v>286.80366165620939</v>
      </c>
      <c r="K25">
        <f t="shared" si="44"/>
        <v>198.98899030760168</v>
      </c>
      <c r="L25">
        <f t="shared" si="44"/>
        <v>142.76666997065209</v>
      </c>
      <c r="M25">
        <f t="shared" si="44"/>
        <v>105.37481241185597</v>
      </c>
      <c r="N25">
        <f t="shared" si="44"/>
        <v>79.610703505130019</v>
      </c>
      <c r="O25">
        <f t="shared" si="44"/>
        <v>61.401901443889003</v>
      </c>
      <c r="P25">
        <f t="shared" si="44"/>
        <v>48.22757653115621</v>
      </c>
      <c r="Q25">
        <f t="shared" si="34"/>
        <v>38.460611718956443</v>
      </c>
      <c r="R25">
        <f t="shared" si="35"/>
        <v>31.055830840978192</v>
      </c>
      <c r="S25">
        <f t="shared" si="36"/>
        <v>25.321984920681789</v>
      </c>
      <c r="T25">
        <f t="shared" si="37"/>
        <v>20.800456558578201</v>
      </c>
      <c r="U25">
        <f t="shared" si="38"/>
        <v>17.185073553227728</v>
      </c>
      <c r="V25">
        <f t="shared" si="39"/>
        <v>14.263949683689761</v>
      </c>
      <c r="W25">
        <f t="shared" si="40"/>
        <v>11.884399810070164</v>
      </c>
      <c r="X25">
        <f t="shared" si="41"/>
        <v>9.9330767097060981</v>
      </c>
      <c r="Y25">
        <f t="shared" si="45"/>
        <v>51.98929285626857</v>
      </c>
      <c r="Z25">
        <f t="shared" si="15"/>
        <v>35128.997099292646</v>
      </c>
      <c r="AA25">
        <f t="shared" si="21"/>
        <v>4.3482727249059411E-2</v>
      </c>
      <c r="AB25">
        <f t="shared" si="22"/>
        <v>5978.2126135510662</v>
      </c>
      <c r="AC25">
        <f t="shared" si="16"/>
        <v>48861.666459187632</v>
      </c>
      <c r="AD25">
        <f t="shared" si="17"/>
        <v>42160.220993969626</v>
      </c>
      <c r="AE25">
        <v>1833.2413902408496</v>
      </c>
      <c r="AF25">
        <v>44.71320464002072</v>
      </c>
      <c r="AG25">
        <f>q*AD25</f>
        <v>45.559304491166436</v>
      </c>
      <c r="AH25">
        <f t="shared" si="23"/>
        <v>-1.8746008871890145E-2</v>
      </c>
      <c r="AI25">
        <f>LN(_xlfn.NORM.DIST(AH25,0,sdresid,FALSE))</f>
        <v>1.2749663416407098</v>
      </c>
      <c r="AN25">
        <f t="shared" si="43"/>
        <v>0.30263157894736858</v>
      </c>
      <c r="AO25">
        <v>1634.4048152357664</v>
      </c>
      <c r="AP25">
        <v>1541.3414251833476</v>
      </c>
      <c r="AQ25">
        <v>1450.2028980698271</v>
      </c>
      <c r="AR25">
        <v>1360.9585814475902</v>
      </c>
      <c r="AS25">
        <v>1273.5803789331824</v>
      </c>
      <c r="AT25">
        <v>1188.0429715835808</v>
      </c>
      <c r="AU25">
        <v>1104.32411447257</v>
      </c>
      <c r="AV25">
        <v>1022.4050314526625</v>
      </c>
      <c r="AW25">
        <v>942.27093978478138</v>
      </c>
      <c r="AX25">
        <v>863.91174882396717</v>
      </c>
      <c r="AY25">
        <v>787.32299520325284</v>
      </c>
      <c r="AZ25">
        <v>712.50710403707012</v>
      </c>
      <c r="BA25">
        <v>639.47510655523604</v>
      </c>
      <c r="BB25">
        <v>568.24900753614497</v>
      </c>
      <c r="BC25">
        <v>498.86509495229944</v>
      </c>
      <c r="BD25">
        <v>431.37864383053659</v>
      </c>
      <c r="BE25">
        <v>365.87073045326048</v>
      </c>
      <c r="BF25">
        <v>302.45832355859403</v>
      </c>
      <c r="BG25">
        <v>241.30961453655303</v>
      </c>
      <c r="BH25">
        <v>182.66800909934719</v>
      </c>
    </row>
    <row r="26" spans="1:60" x14ac:dyDescent="0.3">
      <c r="A26" t="s">
        <v>79</v>
      </c>
      <c r="E26">
        <v>12</v>
      </c>
      <c r="F26">
        <f t="shared" si="18"/>
        <v>2483.4758190181187</v>
      </c>
      <c r="G26">
        <f t="shared" si="24"/>
        <v>1206.375870302255</v>
      </c>
      <c r="H26">
        <f t="shared" si="25"/>
        <v>690.50724340120109</v>
      </c>
      <c r="I26">
        <f t="shared" si="26"/>
        <v>429.47645521649946</v>
      </c>
      <c r="J26">
        <f t="shared" si="27"/>
        <v>283.26515411408815</v>
      </c>
      <c r="K26">
        <f t="shared" si="28"/>
        <v>195.39579281299388</v>
      </c>
      <c r="L26">
        <f t="shared" si="29"/>
        <v>140.0459322807634</v>
      </c>
      <c r="M26">
        <f t="shared" si="30"/>
        <v>103.11230708539104</v>
      </c>
      <c r="N26">
        <f t="shared" si="31"/>
        <v>77.700936193881091</v>
      </c>
      <c r="O26">
        <f t="shared" si="32"/>
        <v>59.693777441012209</v>
      </c>
      <c r="P26">
        <f t="shared" si="33"/>
        <v>46.671280386466123</v>
      </c>
      <c r="Q26">
        <f t="shared" si="34"/>
        <v>37.068253465400147</v>
      </c>
      <c r="R26">
        <f t="shared" si="35"/>
        <v>29.833719651929894</v>
      </c>
      <c r="S26">
        <f t="shared" si="36"/>
        <v>24.273442988048213</v>
      </c>
      <c r="T26">
        <f t="shared" si="37"/>
        <v>19.917053488927301</v>
      </c>
      <c r="U26">
        <f t="shared" si="38"/>
        <v>16.446876445334691</v>
      </c>
      <c r="V26">
        <f t="shared" si="39"/>
        <v>13.648044466759952</v>
      </c>
      <c r="W26">
        <f t="shared" si="40"/>
        <v>11.369928496923471</v>
      </c>
      <c r="X26">
        <f t="shared" si="41"/>
        <v>9.5024873962445859</v>
      </c>
      <c r="Y26">
        <f t="shared" si="42"/>
        <v>49.73174202857269</v>
      </c>
      <c r="Z26">
        <f t="shared" si="15"/>
        <v>34320.370433002834</v>
      </c>
      <c r="AA26">
        <f t="shared" si="21"/>
        <v>5.138012634962473E-2</v>
      </c>
      <c r="AB26">
        <f t="shared" si="22"/>
        <v>5927.5121166808112</v>
      </c>
      <c r="AC26">
        <f t="shared" si="16"/>
        <v>47743.201051933844</v>
      </c>
      <c r="AD26">
        <f t="shared" si="17"/>
        <v>41085.602913716852</v>
      </c>
      <c r="AE26">
        <v>2110.9834688572819</v>
      </c>
      <c r="AF26">
        <v>46.910743752384043</v>
      </c>
      <c r="AG26">
        <f>q*AD26</f>
        <v>44.398047477429444</v>
      </c>
      <c r="AH26">
        <f t="shared" si="23"/>
        <v>5.5051234356248736E-2</v>
      </c>
      <c r="AI26">
        <f>LN(_xlfn.NORM.DIST(AH26,0,sdresid,FALSE))</f>
        <v>1.1639917042860304</v>
      </c>
      <c r="AN26">
        <f t="shared" si="43"/>
        <v>0.30789473684210544</v>
      </c>
      <c r="AO26">
        <v>1867.9996030149405</v>
      </c>
      <c r="AP26">
        <v>1772.9871338654814</v>
      </c>
      <c r="AQ26">
        <v>1679.8944266200817</v>
      </c>
      <c r="AR26">
        <v>1588.6879144103139</v>
      </c>
      <c r="AS26">
        <v>1499.3360443397901</v>
      </c>
      <c r="AT26">
        <v>1411.8093575773185</v>
      </c>
      <c r="AU26">
        <v>1326.0806023478226</v>
      </c>
      <c r="AV26">
        <v>1242.1248880081434</v>
      </c>
      <c r="AW26">
        <v>1159.9198910960849</v>
      </c>
      <c r="AX26">
        <v>1079.4461279496034</v>
      </c>
      <c r="AY26">
        <v>1000.6873136437348</v>
      </c>
      <c r="AZ26">
        <v>923.63083423487365</v>
      </c>
      <c r="BA26">
        <v>848.26836961988306</v>
      </c>
      <c r="BB26">
        <v>774.59671922808764</v>
      </c>
      <c r="BC26">
        <v>702.61890464693886</v>
      </c>
      <c r="BD26">
        <v>632.3456559419825</v>
      </c>
      <c r="BE26">
        <v>563.79743808304715</v>
      </c>
      <c r="BF26">
        <v>497.00725091978046</v>
      </c>
      <c r="BG26">
        <v>432.02455837834128</v>
      </c>
      <c r="BH26">
        <v>368.92090142247929</v>
      </c>
    </row>
    <row r="27" spans="1:60" x14ac:dyDescent="0.3">
      <c r="E27">
        <v>13</v>
      </c>
      <c r="F27">
        <f t="shared" si="18"/>
        <v>2469.7630766804768</v>
      </c>
      <c r="G27">
        <f t="shared" si="24"/>
        <v>1200.0079785086134</v>
      </c>
      <c r="H27">
        <f t="shared" si="25"/>
        <v>685.78238956100677</v>
      </c>
      <c r="I27">
        <f t="shared" si="26"/>
        <v>425.97729795742316</v>
      </c>
      <c r="J27">
        <f t="shared" si="27"/>
        <v>279.05478611924389</v>
      </c>
      <c r="K27">
        <f t="shared" si="28"/>
        <v>191.55454777807469</v>
      </c>
      <c r="L27">
        <f t="shared" si="29"/>
        <v>136.43675788622028</v>
      </c>
      <c r="M27">
        <f t="shared" si="30"/>
        <v>100.33315556114583</v>
      </c>
      <c r="N27">
        <f t="shared" si="31"/>
        <v>75.413817491633267</v>
      </c>
      <c r="O27">
        <f t="shared" si="32"/>
        <v>57.784989290475714</v>
      </c>
      <c r="P27">
        <f t="shared" si="33"/>
        <v>45.000506702599758</v>
      </c>
      <c r="Q27">
        <f t="shared" si="34"/>
        <v>35.577106727534151</v>
      </c>
      <c r="R27">
        <f t="shared" si="35"/>
        <v>28.516994518321493</v>
      </c>
      <c r="S27">
        <f t="shared" si="36"/>
        <v>23.126163328112991</v>
      </c>
      <c r="T27">
        <f t="shared" si="37"/>
        <v>18.934987880807672</v>
      </c>
      <c r="U27">
        <f t="shared" si="38"/>
        <v>15.618553545939472</v>
      </c>
      <c r="V27">
        <f t="shared" si="39"/>
        <v>12.95408672215572</v>
      </c>
      <c r="W27">
        <f t="shared" si="40"/>
        <v>10.789270869453828</v>
      </c>
      <c r="X27">
        <f t="shared" si="41"/>
        <v>9.0161485817343134</v>
      </c>
      <c r="Y27">
        <f t="shared" si="42"/>
        <v>47.180391658077404</v>
      </c>
      <c r="Z27">
        <f t="shared" si="15"/>
        <v>33401.870394493213</v>
      </c>
      <c r="AA27">
        <f t="shared" si="21"/>
        <v>4.6882356576442442E-2</v>
      </c>
      <c r="AB27">
        <f t="shared" si="22"/>
        <v>5868.8230073690511</v>
      </c>
      <c r="AC27">
        <f t="shared" si="16"/>
        <v>46469.090924664888</v>
      </c>
      <c r="AD27">
        <f t="shared" si="17"/>
        <v>39863.858692344009</v>
      </c>
      <c r="AE27">
        <v>1868.9116377273865</v>
      </c>
      <c r="AF27">
        <v>38.141053831171156</v>
      </c>
      <c r="AG27">
        <f>q*AD27</f>
        <v>43.077802571696857</v>
      </c>
      <c r="AH27">
        <f t="shared" si="23"/>
        <v>-0.12171661250935994</v>
      </c>
      <c r="AI27">
        <f>LN(_xlfn.NORM.DIST(AH27,0,sdresid,FALSE))</f>
        <v>0.67588128708553241</v>
      </c>
      <c r="AN27">
        <f t="shared" si="43"/>
        <v>0.3131578947368423</v>
      </c>
      <c r="AO27">
        <v>2099.5099710093659</v>
      </c>
      <c r="AP27">
        <v>2002.6068723268284</v>
      </c>
      <c r="AQ27">
        <v>1907.6228705890908</v>
      </c>
      <c r="AR27">
        <v>1814.5225618510376</v>
      </c>
      <c r="AS27">
        <v>1723.2722878173167</v>
      </c>
      <c r="AT27">
        <v>1633.8401537103562</v>
      </c>
      <c r="AU27">
        <v>1546.1960627986382</v>
      </c>
      <c r="AV27">
        <v>1460.3117708244231</v>
      </c>
      <c r="AW27">
        <v>1376.160964538092</v>
      </c>
      <c r="AX27">
        <v>1293.7193698261692</v>
      </c>
      <c r="AY27">
        <v>1212.9648966290799</v>
      </c>
      <c r="AZ27">
        <v>1133.8778301493605</v>
      </c>
      <c r="BA27">
        <v>1056.4410809919618</v>
      </c>
      <c r="BB27">
        <v>980.64051120631234</v>
      </c>
      <c r="BC27">
        <v>906.46535923431736</v>
      </c>
      <c r="BD27">
        <v>833.90879528900541</v>
      </c>
      <c r="BE27">
        <v>762.96865088351444</v>
      </c>
      <c r="BF27">
        <v>693.64838394248261</v>
      </c>
      <c r="BG27">
        <v>625.9583670678827</v>
      </c>
      <c r="BH27">
        <v>559.91762578818611</v>
      </c>
    </row>
    <row r="28" spans="1:60" x14ac:dyDescent="0.3">
      <c r="E28">
        <v>14</v>
      </c>
      <c r="F28">
        <f t="shared" si="18"/>
        <v>2453.5789043789919</v>
      </c>
      <c r="G28">
        <f t="shared" si="24"/>
        <v>1193.7145508662204</v>
      </c>
      <c r="H28">
        <f t="shared" si="25"/>
        <v>682.90031057851718</v>
      </c>
      <c r="I28">
        <f t="shared" si="26"/>
        <v>424.11519341712994</v>
      </c>
      <c r="J28">
        <f t="shared" si="27"/>
        <v>277.79367705503529</v>
      </c>
      <c r="K28">
        <f t="shared" si="28"/>
        <v>189.50993723072304</v>
      </c>
      <c r="L28">
        <f t="shared" si="29"/>
        <v>134.35775464518406</v>
      </c>
      <c r="M28">
        <f t="shared" si="30"/>
        <v>98.199144289548755</v>
      </c>
      <c r="N28">
        <f t="shared" si="31"/>
        <v>73.724137657816158</v>
      </c>
      <c r="O28">
        <f t="shared" si="32"/>
        <v>56.347653535301731</v>
      </c>
      <c r="P28">
        <f t="shared" si="33"/>
        <v>43.766885317043396</v>
      </c>
      <c r="Q28">
        <f t="shared" si="34"/>
        <v>34.465464215412382</v>
      </c>
      <c r="R28">
        <f t="shared" si="35"/>
        <v>27.499212209786499</v>
      </c>
      <c r="S28">
        <f t="shared" si="36"/>
        <v>22.210039859270623</v>
      </c>
      <c r="T28">
        <f t="shared" si="37"/>
        <v>18.125399281599812</v>
      </c>
      <c r="U28">
        <f t="shared" si="38"/>
        <v>14.918726502347461</v>
      </c>
      <c r="V28">
        <f t="shared" si="39"/>
        <v>12.359919741393993</v>
      </c>
      <c r="W28">
        <f t="shared" si="40"/>
        <v>10.289168578738876</v>
      </c>
      <c r="X28">
        <f t="shared" si="41"/>
        <v>8.5962195233591956</v>
      </c>
      <c r="Y28">
        <f t="shared" si="42"/>
        <v>44.972886642334551</v>
      </c>
      <c r="Z28">
        <f t="shared" si="15"/>
        <v>32767.503453760859</v>
      </c>
      <c r="AA28">
        <f t="shared" si="21"/>
        <v>4.5770993060312952E-2</v>
      </c>
      <c r="AB28">
        <f t="shared" si="22"/>
        <v>5821.4451855257566</v>
      </c>
      <c r="AC28">
        <f t="shared" si="16"/>
        <v>45533.357410581732</v>
      </c>
      <c r="AD28">
        <f t="shared" si="17"/>
        <v>38965.371215231884</v>
      </c>
      <c r="AE28">
        <v>1783.4837354848967</v>
      </c>
      <c r="AF28">
        <v>33.650636518582957</v>
      </c>
      <c r="AG28">
        <f>q*AD28</f>
        <v>42.10687633871752</v>
      </c>
      <c r="AH28">
        <f t="shared" si="23"/>
        <v>-0.2241790890434191</v>
      </c>
      <c r="AI28">
        <f>LN(_xlfn.NORM.DIST(AH28,0,sdresid,FALSE))</f>
        <v>-0.79211335733863752</v>
      </c>
      <c r="AN28">
        <f t="shared" si="43"/>
        <v>0.31842105263157916</v>
      </c>
      <c r="AO28">
        <v>2329.0319544994882</v>
      </c>
      <c r="AP28">
        <v>2230.2903090160048</v>
      </c>
      <c r="AQ28">
        <v>2133.4696515215423</v>
      </c>
      <c r="AR28">
        <v>2038.5332967171107</v>
      </c>
      <c r="AS28">
        <v>1945.4461614710858</v>
      </c>
      <c r="AT28">
        <v>1854.1747524742193</v>
      </c>
      <c r="AU28">
        <v>1764.6871636196565</v>
      </c>
      <c r="AV28">
        <v>1676.9530844761434</v>
      </c>
      <c r="AW28">
        <v>1590.9438216135848</v>
      </c>
      <c r="AX28">
        <v>1506.6323350406005</v>
      </c>
      <c r="AY28">
        <v>1423.9932926598044</v>
      </c>
      <c r="AZ28">
        <v>1343.0031464882654</v>
      </c>
      <c r="BA28">
        <v>1263.640235497121</v>
      </c>
      <c r="BB28">
        <v>1185.8849213924038</v>
      </c>
      <c r="BC28">
        <v>1109.7197656258081</v>
      </c>
      <c r="BD28">
        <v>1035.1297585850632</v>
      </c>
      <c r="BE28">
        <v>962.10261555252816</v>
      </c>
      <c r="BF28">
        <v>890.62915905307534</v>
      </c>
      <c r="BG28">
        <v>820.70381425649703</v>
      </c>
      <c r="BH28">
        <v>752.32525408805338</v>
      </c>
    </row>
    <row r="29" spans="1:60" x14ac:dyDescent="0.3">
      <c r="E29">
        <v>15</v>
      </c>
      <c r="F29">
        <f t="shared" si="18"/>
        <v>2442.0030944836485</v>
      </c>
      <c r="G29">
        <f t="shared" si="24"/>
        <v>1185.973855489111</v>
      </c>
      <c r="H29">
        <f t="shared" si="25"/>
        <v>679.50020733955694</v>
      </c>
      <c r="I29">
        <f t="shared" si="26"/>
        <v>422.59181680757985</v>
      </c>
      <c r="J29">
        <f t="shared" si="27"/>
        <v>276.82842230126533</v>
      </c>
      <c r="K29">
        <f t="shared" si="28"/>
        <v>188.85092031308668</v>
      </c>
      <c r="L29">
        <f t="shared" si="29"/>
        <v>133.07109974182899</v>
      </c>
      <c r="M29">
        <f t="shared" si="30"/>
        <v>96.812713597836805</v>
      </c>
      <c r="N29">
        <f t="shared" si="31"/>
        <v>72.239011812001394</v>
      </c>
      <c r="O29">
        <f t="shared" si="32"/>
        <v>55.148823795542533</v>
      </c>
      <c r="P29">
        <f t="shared" si="33"/>
        <v>42.727707324478267</v>
      </c>
      <c r="Q29">
        <f t="shared" si="34"/>
        <v>33.559570458559314</v>
      </c>
      <c r="R29">
        <f t="shared" si="35"/>
        <v>26.670939719064499</v>
      </c>
      <c r="S29">
        <f t="shared" si="36"/>
        <v>21.442269131698158</v>
      </c>
      <c r="T29">
        <f t="shared" si="37"/>
        <v>17.427635488958405</v>
      </c>
      <c r="U29">
        <f t="shared" si="38"/>
        <v>14.297483374359645</v>
      </c>
      <c r="V29">
        <f t="shared" si="39"/>
        <v>11.81985107374407</v>
      </c>
      <c r="W29">
        <f t="shared" si="40"/>
        <v>9.8286672139048328</v>
      </c>
      <c r="X29">
        <f t="shared" si="41"/>
        <v>8.2073177021885417</v>
      </c>
      <c r="Y29">
        <f t="shared" si="42"/>
        <v>42.920146769742288</v>
      </c>
      <c r="Z29">
        <f t="shared" si="15"/>
        <v>32270.998879039449</v>
      </c>
      <c r="AA29">
        <f t="shared" si="21"/>
        <v>6.0340696440656351E-2</v>
      </c>
      <c r="AB29">
        <f t="shared" si="22"/>
        <v>5781.9215539381548</v>
      </c>
      <c r="AC29">
        <f t="shared" si="16"/>
        <v>44761.964452140324</v>
      </c>
      <c r="AD29">
        <f t="shared" si="17"/>
        <v>38229.384704741045</v>
      </c>
      <c r="AE29">
        <v>2306.7876975818504</v>
      </c>
      <c r="AF29">
        <v>40.469959606699128</v>
      </c>
      <c r="AG29">
        <f>q*AD29</f>
        <v>41.31155238779138</v>
      </c>
      <c r="AH29">
        <f t="shared" si="23"/>
        <v>-2.0582218903203678E-2</v>
      </c>
      <c r="AI29">
        <f>LN(_xlfn.NORM.DIST(AH29,0,sdresid,FALSE))</f>
        <v>1.2719751709987779</v>
      </c>
      <c r="AN29">
        <f t="shared" si="43"/>
        <v>0.32368421052631602</v>
      </c>
      <c r="AO29">
        <v>2556.6474166032017</v>
      </c>
      <c r="AP29">
        <v>2456.1154545860904</v>
      </c>
      <c r="AQ29">
        <v>2357.507979502629</v>
      </c>
      <c r="AR29">
        <v>2260.7873370501538</v>
      </c>
      <c r="AS29">
        <v>2165.9173936275379</v>
      </c>
      <c r="AT29">
        <v>2072.8635080489889</v>
      </c>
      <c r="AU29">
        <v>1981.5925097514478</v>
      </c>
      <c r="AV29">
        <v>1892.0726840817319</v>
      </c>
      <c r="AW29">
        <v>1804.2737654256364</v>
      </c>
      <c r="AX29">
        <v>1718.1669391596326</v>
      </c>
      <c r="AY29">
        <v>1633.7248536789821</v>
      </c>
      <c r="AZ29">
        <v>1550.9216441011515</v>
      </c>
      <c r="BA29">
        <v>1469.7329696830104</v>
      </c>
      <c r="BB29">
        <v>1390.1360675549879</v>
      </c>
      <c r="BC29">
        <v>1312.109826107265</v>
      </c>
      <c r="BD29">
        <v>1235.6348823195922</v>
      </c>
      <c r="BE29">
        <v>1160.6937485876319</v>
      </c>
      <c r="BF29">
        <v>1087.2709762774166</v>
      </c>
      <c r="BG29">
        <v>1015.353365495061</v>
      </c>
      <c r="BH29">
        <v>944.93023362057147</v>
      </c>
    </row>
    <row r="30" spans="1:60" x14ac:dyDescent="0.3">
      <c r="E30">
        <v>16</v>
      </c>
      <c r="F30">
        <f t="shared" si="18"/>
        <v>2432.7052572091397</v>
      </c>
      <c r="G30">
        <f t="shared" si="24"/>
        <v>1179.3134596830671</v>
      </c>
      <c r="H30">
        <f t="shared" si="25"/>
        <v>672.7317986160715</v>
      </c>
      <c r="I30">
        <f t="shared" si="26"/>
        <v>417.10903754848556</v>
      </c>
      <c r="J30">
        <f t="shared" si="27"/>
        <v>272.58037908979367</v>
      </c>
      <c r="K30">
        <f t="shared" si="28"/>
        <v>185.61558744376725</v>
      </c>
      <c r="L30">
        <f t="shared" si="29"/>
        <v>130.68203875297951</v>
      </c>
      <c r="M30">
        <f t="shared" si="30"/>
        <v>94.458463499830373</v>
      </c>
      <c r="N30">
        <f t="shared" si="31"/>
        <v>70.147239186860858</v>
      </c>
      <c r="O30">
        <f t="shared" si="32"/>
        <v>53.220075623006572</v>
      </c>
      <c r="P30">
        <f t="shared" si="33"/>
        <v>41.183864855138495</v>
      </c>
      <c r="Q30">
        <f t="shared" si="34"/>
        <v>32.264565513699068</v>
      </c>
      <c r="R30">
        <f t="shared" si="35"/>
        <v>25.574605069647792</v>
      </c>
      <c r="S30">
        <f t="shared" si="36"/>
        <v>20.479652314486046</v>
      </c>
      <c r="T30">
        <f t="shared" si="37"/>
        <v>16.568781288717304</v>
      </c>
      <c r="U30">
        <f t="shared" si="38"/>
        <v>13.537517686808888</v>
      </c>
      <c r="V30">
        <f t="shared" si="39"/>
        <v>11.154930508500277</v>
      </c>
      <c r="W30">
        <f t="shared" si="40"/>
        <v>9.2558620377176144</v>
      </c>
      <c r="X30">
        <f t="shared" si="41"/>
        <v>7.7204147725914698</v>
      </c>
      <c r="Y30">
        <f t="shared" si="42"/>
        <v>40.338985097555685</v>
      </c>
      <c r="Z30">
        <f t="shared" si="15"/>
        <v>31424.003301628687</v>
      </c>
      <c r="AA30">
        <f t="shared" si="21"/>
        <v>6.0889404754819389E-2</v>
      </c>
      <c r="AB30">
        <f t="shared" si="22"/>
        <v>5726.6425157978647</v>
      </c>
      <c r="AC30">
        <f t="shared" si="16"/>
        <v>43573.361251227776</v>
      </c>
      <c r="AD30">
        <f t="shared" si="17"/>
        <v>37099.483089840571</v>
      </c>
      <c r="AE30">
        <v>2258.96544205188</v>
      </c>
      <c r="AF30">
        <v>37.032220361506226</v>
      </c>
      <c r="AG30">
        <f>q*AD30</f>
        <v>40.090554714992784</v>
      </c>
      <c r="AH30">
        <f t="shared" si="23"/>
        <v>-7.9352409019628034E-2</v>
      </c>
      <c r="AI30">
        <f>LN(_xlfn.NORM.DIST(AH30,0,sdresid,FALSE))</f>
        <v>1.0287057323813249</v>
      </c>
      <c r="AN30">
        <f t="shared" si="43"/>
        <v>0.32894736842105288</v>
      </c>
      <c r="AO30">
        <v>2782.4251900806503</v>
      </c>
      <c r="AP30">
        <v>2680.1483887385034</v>
      </c>
      <c r="AQ30">
        <v>2579.8006637366661</v>
      </c>
      <c r="AR30">
        <v>2481.3435812871926</v>
      </c>
      <c r="AS30">
        <v>2384.7401799697814</v>
      </c>
      <c r="AT30">
        <v>2289.9549333996783</v>
      </c>
      <c r="AU30">
        <v>2196.9537177711395</v>
      </c>
      <c r="AV30">
        <v>2105.7037845072878</v>
      </c>
      <c r="AW30">
        <v>2016.1737383354978</v>
      </c>
      <c r="AX30">
        <v>1928.3335212131865</v>
      </c>
      <c r="AY30">
        <v>1842.1544026570141</v>
      </c>
      <c r="AZ30">
        <v>1757.6089771854943</v>
      </c>
      <c r="BA30">
        <v>1674.6711697789212</v>
      </c>
      <c r="BB30">
        <v>1593.3162505025336</v>
      </c>
      <c r="BC30">
        <v>1513.5208597431574</v>
      </c>
      <c r="BD30">
        <v>1435.2630458956276</v>
      </c>
      <c r="BE30">
        <v>1358.5223178288488</v>
      </c>
      <c r="BF30">
        <v>1283.2797150976255</v>
      </c>
      <c r="BG30">
        <v>1209.5178996933782</v>
      </c>
      <c r="BH30">
        <v>1137.221274210825</v>
      </c>
    </row>
    <row r="31" spans="1:60" x14ac:dyDescent="0.3">
      <c r="E31">
        <v>17</v>
      </c>
      <c r="F31">
        <f t="shared" si="18"/>
        <v>2416.3396006487719</v>
      </c>
      <c r="G31">
        <f t="shared" si="24"/>
        <v>1174.7833086549442</v>
      </c>
      <c r="H31">
        <f t="shared" si="25"/>
        <v>668.8652942935355</v>
      </c>
      <c r="I31">
        <f t="shared" si="26"/>
        <v>412.82829283932017</v>
      </c>
      <c r="J31">
        <f t="shared" si="27"/>
        <v>268.92292647266834</v>
      </c>
      <c r="K31">
        <f t="shared" si="28"/>
        <v>182.67159996040144</v>
      </c>
      <c r="L31">
        <f t="shared" si="29"/>
        <v>128.37193263542127</v>
      </c>
      <c r="M31">
        <f t="shared" si="30"/>
        <v>92.709843061609391</v>
      </c>
      <c r="N31">
        <f t="shared" si="31"/>
        <v>68.402043019608996</v>
      </c>
      <c r="O31">
        <f t="shared" si="32"/>
        <v>51.649112886907965</v>
      </c>
      <c r="P31">
        <f t="shared" si="33"/>
        <v>39.720449881934428</v>
      </c>
      <c r="Q31">
        <f t="shared" si="34"/>
        <v>31.080694342174436</v>
      </c>
      <c r="R31">
        <f t="shared" si="35"/>
        <v>24.573412578966135</v>
      </c>
      <c r="S31">
        <f t="shared" si="36"/>
        <v>19.626376722840124</v>
      </c>
      <c r="T31">
        <f t="shared" si="37"/>
        <v>15.815729090569551</v>
      </c>
      <c r="U31">
        <f t="shared" si="38"/>
        <v>12.862869633636244</v>
      </c>
      <c r="V31">
        <f t="shared" si="39"/>
        <v>10.555844424299465</v>
      </c>
      <c r="W31">
        <f t="shared" si="40"/>
        <v>8.7300829220887763</v>
      </c>
      <c r="X31">
        <f t="shared" si="41"/>
        <v>7.2662355830334633</v>
      </c>
      <c r="Y31">
        <f t="shared" si="42"/>
        <v>37.896185954355268</v>
      </c>
      <c r="Z31">
        <f t="shared" si="15"/>
        <v>30678.728257883515</v>
      </c>
      <c r="AA31">
        <f t="shared" si="21"/>
        <v>6.5383949097772814E-2</v>
      </c>
      <c r="AB31">
        <f t="shared" si="22"/>
        <v>5673.6718356070869</v>
      </c>
      <c r="AC31">
        <f t="shared" si="16"/>
        <v>42530.431755733858</v>
      </c>
      <c r="AD31">
        <f t="shared" si="17"/>
        <v>36103.052010496715</v>
      </c>
      <c r="AE31">
        <v>2360.5601149285617</v>
      </c>
      <c r="AF31">
        <v>36.316309460439413</v>
      </c>
      <c r="AG31">
        <f>q*AD31</f>
        <v>39.013788372738986</v>
      </c>
      <c r="AH31">
        <f t="shared" si="23"/>
        <v>-7.1648194866996598E-2</v>
      </c>
      <c r="AI31">
        <f>LN(_xlfn.NORM.DIST(AH31,0,sdresid,FALSE))</f>
        <v>1.0768918002417425</v>
      </c>
      <c r="AN31">
        <f t="shared" si="43"/>
        <v>0.33421052631578974</v>
      </c>
      <c r="AO31">
        <v>3006.4232520242504</v>
      </c>
      <c r="AP31">
        <v>2902.4448431894293</v>
      </c>
      <c r="AQ31">
        <v>2800.4008859409337</v>
      </c>
      <c r="AR31">
        <v>2700.2522900702756</v>
      </c>
      <c r="AS31">
        <v>2601.9614082471876</v>
      </c>
      <c r="AT31">
        <v>2505.491993209474</v>
      </c>
      <c r="AU31">
        <v>2410.8091589682513</v>
      </c>
      <c r="AV31">
        <v>2317.8793460861798</v>
      </c>
      <c r="AW31">
        <v>2226.6702911356306</v>
      </c>
      <c r="AX31">
        <v>2137.151000500804</v>
      </c>
      <c r="AY31">
        <v>2049.2917287544751</v>
      </c>
      <c r="AZ31">
        <v>1963.0639619189112</v>
      </c>
      <c r="BA31">
        <v>1878.4404060150903</v>
      </c>
      <c r="BB31">
        <v>1795.3949814187677</v>
      </c>
      <c r="BC31">
        <v>1713.9028236817016</v>
      </c>
      <c r="BD31">
        <v>1633.9402916487168</v>
      </c>
      <c r="BE31">
        <v>1555.4849839154911</v>
      </c>
      <c r="BF31">
        <v>1478.5157649404252</v>
      </c>
      <c r="BG31">
        <v>1403.0128024628498</v>
      </c>
      <c r="BH31">
        <v>1328.9576183112661</v>
      </c>
    </row>
    <row r="32" spans="1:60" x14ac:dyDescent="0.3">
      <c r="E32">
        <v>18</v>
      </c>
      <c r="F32">
        <f t="shared" si="18"/>
        <v>2401.3870050661171</v>
      </c>
      <c r="G32">
        <f t="shared" si="24"/>
        <v>1166.5550300651319</v>
      </c>
      <c r="H32">
        <f t="shared" si="25"/>
        <v>665.57413481315189</v>
      </c>
      <c r="I32">
        <f t="shared" si="26"/>
        <v>409.4295987556859</v>
      </c>
      <c r="J32">
        <f t="shared" si="27"/>
        <v>265.18246831543917</v>
      </c>
      <c r="K32">
        <f t="shared" si="28"/>
        <v>179.44762978211793</v>
      </c>
      <c r="L32">
        <f t="shared" si="29"/>
        <v>125.76107303719719</v>
      </c>
      <c r="M32">
        <f t="shared" si="30"/>
        <v>90.646277770909279</v>
      </c>
      <c r="N32">
        <f t="shared" si="31"/>
        <v>66.819139513526025</v>
      </c>
      <c r="O32">
        <f t="shared" si="32"/>
        <v>50.125249661177754</v>
      </c>
      <c r="P32">
        <f t="shared" si="33"/>
        <v>38.364576922848059</v>
      </c>
      <c r="Q32">
        <f t="shared" si="34"/>
        <v>29.833416205571691</v>
      </c>
      <c r="R32">
        <f t="shared" si="35"/>
        <v>23.558809231141669</v>
      </c>
      <c r="S32">
        <f t="shared" si="36"/>
        <v>18.768008606152577</v>
      </c>
      <c r="T32">
        <f t="shared" si="37"/>
        <v>15.084375168104309</v>
      </c>
      <c r="U32">
        <f t="shared" si="38"/>
        <v>12.219583459596253</v>
      </c>
      <c r="V32">
        <f t="shared" si="39"/>
        <v>9.9818539226046141</v>
      </c>
      <c r="W32">
        <f t="shared" si="40"/>
        <v>8.2217359164917898</v>
      </c>
      <c r="X32">
        <f t="shared" si="41"/>
        <v>6.8207125280565259</v>
      </c>
      <c r="Y32">
        <f t="shared" si="42"/>
        <v>35.441539755004534</v>
      </c>
      <c r="Z32">
        <f t="shared" si="15"/>
        <v>29928.580865292737</v>
      </c>
      <c r="AA32">
        <f t="shared" si="21"/>
        <v>7.940210264117542E-2</v>
      </c>
      <c r="AB32">
        <f t="shared" si="22"/>
        <v>5619.2222184960265</v>
      </c>
      <c r="AC32">
        <f t="shared" si="16"/>
        <v>41481.344397241475</v>
      </c>
      <c r="AD32">
        <f t="shared" si="17"/>
        <v>35103.471440745445</v>
      </c>
      <c r="AE32">
        <v>2787.2894423996399</v>
      </c>
      <c r="AF32">
        <v>40.395499165212172</v>
      </c>
      <c r="AG32">
        <f>q*AD32</f>
        <v>37.933618618712664</v>
      </c>
      <c r="AH32">
        <f t="shared" si="23"/>
        <v>6.2880618259185991E-2</v>
      </c>
      <c r="AI32">
        <f>LN(_xlfn.NORM.DIST(AH32,0,sdresid,FALSE))</f>
        <v>1.1257468362169143</v>
      </c>
      <c r="AN32">
        <f t="shared" si="43"/>
        <v>0.33947368421052659</v>
      </c>
      <c r="AO32">
        <v>3228.6909007160129</v>
      </c>
      <c r="AP32">
        <v>3123.0521269952328</v>
      </c>
      <c r="AQ32">
        <v>3019.3537732184873</v>
      </c>
      <c r="AR32">
        <v>2917.5561775470078</v>
      </c>
      <c r="AS32">
        <v>2817.6211028461466</v>
      </c>
      <c r="AT32">
        <v>2719.5116903563389</v>
      </c>
      <c r="AU32">
        <v>2623.1924168990372</v>
      </c>
      <c r="AV32">
        <v>2528.6290555852652</v>
      </c>
      <c r="AW32">
        <v>2435.7886400255511</v>
      </c>
      <c r="AX32">
        <v>2344.639432074327</v>
      </c>
      <c r="AY32">
        <v>2255.1508931805774</v>
      </c>
      <c r="AZ32">
        <v>2167.2936594605612</v>
      </c>
      <c r="BA32">
        <v>2081.0395206592889</v>
      </c>
      <c r="BB32">
        <v>1996.3614032271796</v>
      </c>
      <c r="BC32">
        <v>1913.2333578088881</v>
      </c>
      <c r="BD32">
        <v>1831.6305515258684</v>
      </c>
      <c r="BE32">
        <v>1751.5292655364403</v>
      </c>
      <c r="BF32">
        <v>1672.9068984816543</v>
      </c>
      <c r="BG32">
        <v>1595.7419765783559</v>
      </c>
      <c r="BH32">
        <v>1520.0141713105606</v>
      </c>
    </row>
    <row r="33" spans="5:60" x14ac:dyDescent="0.3">
      <c r="E33">
        <v>19</v>
      </c>
      <c r="F33">
        <f t="shared" si="18"/>
        <v>2385.7844675510705</v>
      </c>
      <c r="G33">
        <f t="shared" si="24"/>
        <v>1158.3285558893576</v>
      </c>
      <c r="H33">
        <f t="shared" si="25"/>
        <v>658.67687473901913</v>
      </c>
      <c r="I33">
        <f t="shared" si="26"/>
        <v>404.23079482319554</v>
      </c>
      <c r="J33">
        <f t="shared" si="27"/>
        <v>259.96627086982483</v>
      </c>
      <c r="K33">
        <f t="shared" si="28"/>
        <v>174.57458729719929</v>
      </c>
      <c r="L33">
        <f t="shared" si="29"/>
        <v>121.78041382300356</v>
      </c>
      <c r="M33">
        <f t="shared" si="30"/>
        <v>87.5050078870904</v>
      </c>
      <c r="N33">
        <f t="shared" si="31"/>
        <v>64.366259620225918</v>
      </c>
      <c r="O33">
        <f t="shared" si="32"/>
        <v>48.237476403375204</v>
      </c>
      <c r="P33">
        <f t="shared" si="33"/>
        <v>36.677542283690606</v>
      </c>
      <c r="Q33">
        <f t="shared" si="34"/>
        <v>28.384662266852274</v>
      </c>
      <c r="R33">
        <f t="shared" si="35"/>
        <v>22.275269151865906</v>
      </c>
      <c r="S33">
        <f t="shared" si="36"/>
        <v>17.723880356049314</v>
      </c>
      <c r="T33">
        <f t="shared" si="37"/>
        <v>14.208723226524354</v>
      </c>
      <c r="U33">
        <f t="shared" si="38"/>
        <v>11.48000373497625</v>
      </c>
      <c r="V33">
        <f t="shared" si="39"/>
        <v>9.3406204347587494</v>
      </c>
      <c r="W33">
        <f t="shared" si="40"/>
        <v>7.6581981870476383</v>
      </c>
      <c r="X33">
        <f t="shared" si="41"/>
        <v>6.3273068823511638</v>
      </c>
      <c r="Y33">
        <f t="shared" si="42"/>
        <v>32.668594491229769</v>
      </c>
      <c r="Z33">
        <f t="shared" si="15"/>
        <v>28930.547718713809</v>
      </c>
      <c r="AA33">
        <f t="shared" si="21"/>
        <v>7.4807970698022516E-2</v>
      </c>
      <c r="AB33">
        <f t="shared" si="22"/>
        <v>5550.1955099187071</v>
      </c>
      <c r="AC33">
        <f t="shared" si="16"/>
        <v>40120.211722400243</v>
      </c>
      <c r="AD33">
        <f t="shared" si="17"/>
        <v>33810.793716202134</v>
      </c>
      <c r="AE33">
        <v>2529.3168655985332</v>
      </c>
      <c r="AF33">
        <v>34.648176241075795</v>
      </c>
      <c r="AG33">
        <f>q*AD33</f>
        <v>36.536721337983494</v>
      </c>
      <c r="AH33">
        <f t="shared" si="23"/>
        <v>-5.3072728384003363E-2</v>
      </c>
      <c r="AI33">
        <f>LN(_xlfn.NORM.DIST(AH33,0,sdresid,FALSE))</f>
        <v>1.1728525214888339</v>
      </c>
      <c r="AN33">
        <f t="shared" si="43"/>
        <v>0.34473684210526345</v>
      </c>
      <c r="AO33">
        <v>3449.2706240031521</v>
      </c>
      <c r="AP33">
        <v>3342.0108881810693</v>
      </c>
      <c r="AQ33">
        <v>3236.6980034977523</v>
      </c>
      <c r="AR33">
        <v>3133.291797940678</v>
      </c>
      <c r="AS33">
        <v>3031.7535131480427</v>
      </c>
      <c r="AT33">
        <v>2932.0457556941556</v>
      </c>
      <c r="AU33">
        <v>2834.1324516306026</v>
      </c>
      <c r="AV33">
        <v>2737.9788042014134</v>
      </c>
      <c r="AW33">
        <v>2643.5512546725695</v>
      </c>
      <c r="AX33">
        <v>2550.8174462394559</v>
      </c>
      <c r="AY33">
        <v>2459.7461910007441</v>
      </c>
      <c r="AZ33">
        <v>2370.3074400148657</v>
      </c>
      <c r="BA33">
        <v>2282.4722564854078</v>
      </c>
      <c r="BB33">
        <v>2196.212792156472</v>
      </c>
      <c r="BC33">
        <v>2111.5022670381222</v>
      </c>
      <c r="BD33">
        <v>2028.3149526278212</v>
      </c>
      <c r="BE33">
        <v>1946.6261588471054</v>
      </c>
      <c r="BF33">
        <v>1866.4122249760544</v>
      </c>
      <c r="BG33">
        <v>1787.6505149437735</v>
      </c>
      <c r="BH33">
        <v>1710.319417424397</v>
      </c>
    </row>
    <row r="34" spans="5:60" x14ac:dyDescent="0.3">
      <c r="E34">
        <v>20</v>
      </c>
      <c r="F34">
        <f t="shared" si="18"/>
        <v>2364.1133932747125</v>
      </c>
      <c r="G34">
        <f t="shared" si="24"/>
        <v>1151.1306479723523</v>
      </c>
      <c r="H34">
        <f t="shared" si="25"/>
        <v>654.759401852819</v>
      </c>
      <c r="I34">
        <f t="shared" si="26"/>
        <v>401.07453796907032</v>
      </c>
      <c r="J34">
        <f t="shared" si="27"/>
        <v>257.64668828659927</v>
      </c>
      <c r="K34">
        <f t="shared" si="28"/>
        <v>171.90438327899662</v>
      </c>
      <c r="L34">
        <f t="shared" si="29"/>
        <v>119.03485843329545</v>
      </c>
      <c r="M34">
        <f t="shared" si="30"/>
        <v>85.147075905688368</v>
      </c>
      <c r="N34">
        <f t="shared" si="31"/>
        <v>62.441187969185776</v>
      </c>
      <c r="O34">
        <f t="shared" si="32"/>
        <v>46.696484428937332</v>
      </c>
      <c r="P34">
        <f t="shared" si="33"/>
        <v>35.471301300316078</v>
      </c>
      <c r="Q34">
        <f t="shared" si="34"/>
        <v>27.271326485760348</v>
      </c>
      <c r="R34">
        <f t="shared" si="35"/>
        <v>21.298979048529702</v>
      </c>
      <c r="S34">
        <f t="shared" si="36"/>
        <v>16.841665541284392</v>
      </c>
      <c r="T34">
        <f t="shared" si="37"/>
        <v>13.485072824618493</v>
      </c>
      <c r="U34">
        <f t="shared" si="38"/>
        <v>10.86746112022584</v>
      </c>
      <c r="V34">
        <f t="shared" si="39"/>
        <v>8.8190173646415655</v>
      </c>
      <c r="W34">
        <f t="shared" si="40"/>
        <v>7.2019538855115979</v>
      </c>
      <c r="X34">
        <f t="shared" si="41"/>
        <v>5.9229965405075635</v>
      </c>
      <c r="Y34">
        <f t="shared" si="42"/>
        <v>30.293943597879572</v>
      </c>
      <c r="Z34">
        <f t="shared" si="15"/>
        <v>28221.644546776497</v>
      </c>
      <c r="AA34">
        <f t="shared" si="21"/>
        <v>6.2706711345423674E-2</v>
      </c>
      <c r="AB34">
        <f t="shared" si="22"/>
        <v>5491.4223770809331</v>
      </c>
      <c r="AC34">
        <f t="shared" si="16"/>
        <v>39107.867393702392</v>
      </c>
      <c r="AD34">
        <f t="shared" si="17"/>
        <v>32847.857347553589</v>
      </c>
      <c r="AE34">
        <v>2059.7811090086971</v>
      </c>
      <c r="AF34">
        <v>26.750404013099963</v>
      </c>
      <c r="AG34">
        <f>q*AD34</f>
        <v>35.496150150485398</v>
      </c>
      <c r="AH34">
        <f t="shared" si="23"/>
        <v>-0.28287466761400848</v>
      </c>
      <c r="AI34">
        <f>LN(_xlfn.NORM.DIST(AH34,0,sdresid,FALSE))</f>
        <v>-2.0248600613097483</v>
      </c>
      <c r="AN34">
        <f t="shared" si="43"/>
        <v>0.35000000000000031</v>
      </c>
      <c r="AO34">
        <v>3668.1996074026015</v>
      </c>
      <c r="AP34">
        <v>3559.3565774568378</v>
      </c>
      <c r="AQ34">
        <v>3452.4671993727352</v>
      </c>
      <c r="AR34">
        <v>3347.4908374433844</v>
      </c>
      <c r="AS34">
        <v>3244.3882632247455</v>
      </c>
      <c r="AT34">
        <v>3143.1216051221313</v>
      </c>
      <c r="AU34">
        <v>3043.6543010649207</v>
      </c>
      <c r="AV34">
        <v>2945.9510541595068</v>
      </c>
      <c r="AW34">
        <v>2849.9777912275558</v>
      </c>
      <c r="AX34">
        <v>2755.7016241541855</v>
      </c>
      <c r="AY34">
        <v>2663.0908139887715</v>
      </c>
      <c r="AZ34">
        <v>2572.1147377601228</v>
      </c>
      <c r="BA34">
        <v>2482.7438579880759</v>
      </c>
      <c r="BB34">
        <v>2394.9496948956221</v>
      </c>
      <c r="BC34">
        <v>2308.7048013499366</v>
      </c>
      <c r="BD34">
        <v>2223.9827405878332</v>
      </c>
      <c r="BE34">
        <v>2140.7580668118753</v>
      </c>
      <c r="BF34">
        <v>2059.006308778623</v>
      </c>
      <c r="BG34">
        <v>1978.7039565413825</v>
      </c>
      <c r="BH34">
        <v>1899.8284515577479</v>
      </c>
    </row>
    <row r="35" spans="5:60" x14ac:dyDescent="0.3">
      <c r="E35">
        <v>21</v>
      </c>
      <c r="F35">
        <f t="shared" si="18"/>
        <v>2348.0476103938631</v>
      </c>
      <c r="G35">
        <f t="shared" si="24"/>
        <v>1141.5308441942134</v>
      </c>
      <c r="H35">
        <f t="shared" si="25"/>
        <v>652.59501013293732</v>
      </c>
      <c r="I35">
        <f t="shared" si="26"/>
        <v>401.39326913317666</v>
      </c>
      <c r="J35">
        <f t="shared" si="27"/>
        <v>258.19981882421871</v>
      </c>
      <c r="K35">
        <f t="shared" si="28"/>
        <v>172.36427649104959</v>
      </c>
      <c r="L35">
        <f t="shared" si="29"/>
        <v>118.67053829475306</v>
      </c>
      <c r="M35">
        <f t="shared" si="30"/>
        <v>84.28774299856758</v>
      </c>
      <c r="N35">
        <f t="shared" si="31"/>
        <v>61.541621502181975</v>
      </c>
      <c r="O35">
        <f t="shared" si="32"/>
        <v>45.887008524700413</v>
      </c>
      <c r="P35">
        <f t="shared" si="33"/>
        <v>34.784568125803673</v>
      </c>
      <c r="Q35">
        <f t="shared" si="34"/>
        <v>26.717942861238424</v>
      </c>
      <c r="R35">
        <f t="shared" si="35"/>
        <v>20.730381396422239</v>
      </c>
      <c r="S35">
        <f t="shared" si="36"/>
        <v>16.313636339969118</v>
      </c>
      <c r="T35">
        <f t="shared" si="37"/>
        <v>12.981117500646263</v>
      </c>
      <c r="U35">
        <f t="shared" si="38"/>
        <v>10.44866322580039</v>
      </c>
      <c r="V35">
        <f t="shared" si="39"/>
        <v>8.4574994148689324</v>
      </c>
      <c r="W35">
        <f t="shared" si="40"/>
        <v>6.8886083155645483</v>
      </c>
      <c r="X35">
        <f t="shared" si="41"/>
        <v>5.6429035108073</v>
      </c>
      <c r="Y35">
        <f t="shared" si="42"/>
        <v>28.502681176844384</v>
      </c>
      <c r="Z35">
        <f t="shared" si="15"/>
        <v>27948.377079280188</v>
      </c>
      <c r="AA35">
        <f t="shared" si="21"/>
        <v>9.2193540782196881E-2</v>
      </c>
      <c r="AB35">
        <f t="shared" si="22"/>
        <v>5455.9857423576286</v>
      </c>
      <c r="AC35">
        <f t="shared" si="16"/>
        <v>38614.743422726708</v>
      </c>
      <c r="AD35">
        <f t="shared" si="17"/>
        <v>32383.561892043752</v>
      </c>
      <c r="AE35">
        <v>2985.5552339669325</v>
      </c>
      <c r="AF35">
        <v>36.858706592184355</v>
      </c>
      <c r="AG35">
        <f>q*AD35</f>
        <v>34.994421802465993</v>
      </c>
      <c r="AH35">
        <f t="shared" si="23"/>
        <v>5.190319017090015E-2</v>
      </c>
      <c r="AI35">
        <f>LN(_xlfn.NORM.DIST(AH35,0,sdresid,FALSE))</f>
        <v>1.1779378446583797</v>
      </c>
    </row>
    <row r="36" spans="5:60" x14ac:dyDescent="0.3">
      <c r="E36">
        <v>22</v>
      </c>
      <c r="F36">
        <f t="shared" si="18"/>
        <v>2341.6977306683511</v>
      </c>
      <c r="G36">
        <f t="shared" si="24"/>
        <v>1131.7007778814234</v>
      </c>
      <c r="H36">
        <f t="shared" si="25"/>
        <v>642.5512262553857</v>
      </c>
      <c r="I36">
        <f t="shared" si="26"/>
        <v>393.49913952196363</v>
      </c>
      <c r="J36">
        <f t="shared" si="27"/>
        <v>252.15033636760677</v>
      </c>
      <c r="K36">
        <f t="shared" si="28"/>
        <v>167.86581189694814</v>
      </c>
      <c r="L36">
        <f t="shared" si="29"/>
        <v>115.429806672037</v>
      </c>
      <c r="M36">
        <f t="shared" si="30"/>
        <v>81.454025648041238</v>
      </c>
      <c r="N36">
        <f t="shared" si="31"/>
        <v>59.031887315050682</v>
      </c>
      <c r="O36">
        <f t="shared" si="32"/>
        <v>43.815906118990149</v>
      </c>
      <c r="P36">
        <f t="shared" si="33"/>
        <v>33.112632763632369</v>
      </c>
      <c r="Q36">
        <f t="shared" si="34"/>
        <v>25.3798638374322</v>
      </c>
      <c r="R36">
        <f t="shared" si="35"/>
        <v>19.672775588913158</v>
      </c>
      <c r="S36">
        <f t="shared" si="36"/>
        <v>15.37981443782123</v>
      </c>
      <c r="T36">
        <f t="shared" si="37"/>
        <v>12.179320729041924</v>
      </c>
      <c r="U36">
        <f t="shared" si="38"/>
        <v>9.7422708179450854</v>
      </c>
      <c r="V36">
        <f t="shared" si="39"/>
        <v>7.8761145063253721</v>
      </c>
      <c r="W36">
        <f t="shared" si="40"/>
        <v>6.3986487758426263</v>
      </c>
      <c r="X36">
        <f t="shared" si="41"/>
        <v>5.2277760300289957</v>
      </c>
      <c r="Y36">
        <f t="shared" si="42"/>
        <v>26.027820006889165</v>
      </c>
      <c r="Z36">
        <f t="shared" si="15"/>
        <v>26972.660925986485</v>
      </c>
      <c r="AA36">
        <f t="shared" si="21"/>
        <v>8.5166802571082029E-2</v>
      </c>
      <c r="AB36">
        <f t="shared" si="22"/>
        <v>5390.1936858396693</v>
      </c>
      <c r="AC36">
        <f t="shared" si="16"/>
        <v>37291.975039603305</v>
      </c>
      <c r="AD36">
        <f t="shared" si="17"/>
        <v>31141.900930148229</v>
      </c>
      <c r="AE36">
        <v>2652.2561282061301</v>
      </c>
      <c r="AF36">
        <v>31.203013273013294</v>
      </c>
      <c r="AG36">
        <f>q*AD36</f>
        <v>33.652654408839567</v>
      </c>
      <c r="AH36">
        <f t="shared" si="23"/>
        <v>-7.5577266442287128E-2</v>
      </c>
      <c r="AI36">
        <f>LN(_xlfn.NORM.DIST(AH36,0,sdresid,FALSE))</f>
        <v>1.0529317722203042</v>
      </c>
    </row>
    <row r="37" spans="5:60" x14ac:dyDescent="0.3">
      <c r="E37">
        <v>23</v>
      </c>
      <c r="F37">
        <f t="shared" si="18"/>
        <v>2318.2760616749611</v>
      </c>
      <c r="G37">
        <f t="shared" si="24"/>
        <v>1129.1328542553472</v>
      </c>
      <c r="H37">
        <f t="shared" si="25"/>
        <v>638.10512199027426</v>
      </c>
      <c r="I37">
        <f t="shared" si="26"/>
        <v>388.98387970901848</v>
      </c>
      <c r="J37">
        <f t="shared" si="27"/>
        <v>248.65252156422491</v>
      </c>
      <c r="K37">
        <f t="shared" si="28"/>
        <v>165.06579374393252</v>
      </c>
      <c r="L37">
        <f t="shared" si="29"/>
        <v>113.24304629765587</v>
      </c>
      <c r="M37">
        <f t="shared" si="30"/>
        <v>79.826666784421292</v>
      </c>
      <c r="N37">
        <f t="shared" si="31"/>
        <v>57.482193477745241</v>
      </c>
      <c r="O37">
        <f t="shared" si="32"/>
        <v>42.351353400412862</v>
      </c>
      <c r="P37">
        <f t="shared" si="33"/>
        <v>31.86133426847957</v>
      </c>
      <c r="Q37">
        <f t="shared" si="34"/>
        <v>24.346168536884814</v>
      </c>
      <c r="R37">
        <f t="shared" si="35"/>
        <v>18.831714243841702</v>
      </c>
      <c r="S37">
        <f t="shared" si="36"/>
        <v>14.707869746459675</v>
      </c>
      <c r="T37">
        <f t="shared" si="37"/>
        <v>11.570851572952483</v>
      </c>
      <c r="U37">
        <f t="shared" si="38"/>
        <v>9.2111580815495415</v>
      </c>
      <c r="V37">
        <f t="shared" si="39"/>
        <v>7.4004024536839141</v>
      </c>
      <c r="W37">
        <f t="shared" si="40"/>
        <v>6.0048581866103703</v>
      </c>
      <c r="X37">
        <f t="shared" si="41"/>
        <v>4.8934891911447433</v>
      </c>
      <c r="Y37">
        <f t="shared" si="42"/>
        <v>24.00902748441144</v>
      </c>
      <c r="Z37">
        <f t="shared" si="15"/>
        <v>26310.777722570008</v>
      </c>
      <c r="AA37">
        <f t="shared" si="21"/>
        <v>8.7594272015712724E-2</v>
      </c>
      <c r="AB37">
        <f t="shared" si="22"/>
        <v>5333.9563666640133</v>
      </c>
      <c r="AC37">
        <f t="shared" si="16"/>
        <v>36378.383015707426</v>
      </c>
      <c r="AD37">
        <f t="shared" si="17"/>
        <v>30275.773877148331</v>
      </c>
      <c r="AE37">
        <v>2651.9843724811403</v>
      </c>
      <c r="AF37">
        <v>29.797577218889217</v>
      </c>
      <c r="AG37">
        <f>q*AD37</f>
        <v>32.716697594445662</v>
      </c>
      <c r="AH37">
        <f t="shared" si="23"/>
        <v>-9.3458488549071225E-2</v>
      </c>
      <c r="AI37">
        <f>LN(_xlfn.NORM.DIST(AH37,0,sdresid,FALSE))</f>
        <v>0.92773583580125896</v>
      </c>
    </row>
    <row r="38" spans="5:60" x14ac:dyDescent="0.3">
      <c r="E38">
        <v>24</v>
      </c>
      <c r="F38">
        <f t="shared" si="18"/>
        <v>2301.6872950223747</v>
      </c>
      <c r="G38">
        <f t="shared" si="24"/>
        <v>1117.6708043725534</v>
      </c>
      <c r="H38">
        <f t="shared" si="25"/>
        <v>636.28250947023014</v>
      </c>
      <c r="I38">
        <f t="shared" si="26"/>
        <v>385.7636842716214</v>
      </c>
      <c r="J38">
        <f t="shared" si="27"/>
        <v>245.30033422095693</v>
      </c>
      <c r="K38">
        <f t="shared" si="28"/>
        <v>162.39003639539163</v>
      </c>
      <c r="L38">
        <f t="shared" si="29"/>
        <v>111.07361917516899</v>
      </c>
      <c r="M38">
        <f t="shared" si="30"/>
        <v>78.112043034574512</v>
      </c>
      <c r="N38">
        <f t="shared" si="31"/>
        <v>56.18651386565756</v>
      </c>
      <c r="O38">
        <f t="shared" si="32"/>
        <v>41.131131827890641</v>
      </c>
      <c r="P38">
        <f t="shared" si="33"/>
        <v>30.715145162604546</v>
      </c>
      <c r="Q38">
        <f t="shared" si="34"/>
        <v>23.364253519922677</v>
      </c>
      <c r="R38">
        <f t="shared" si="35"/>
        <v>18.016936882495084</v>
      </c>
      <c r="S38">
        <f t="shared" si="36"/>
        <v>14.041804991450272</v>
      </c>
      <c r="T38">
        <f t="shared" si="37"/>
        <v>11.03601789288107</v>
      </c>
      <c r="U38">
        <f t="shared" si="38"/>
        <v>8.727794292242832</v>
      </c>
      <c r="V38">
        <f t="shared" si="39"/>
        <v>6.9784201283552152</v>
      </c>
      <c r="W38">
        <f t="shared" si="40"/>
        <v>5.6272162664851599</v>
      </c>
      <c r="X38">
        <f t="shared" si="41"/>
        <v>4.5801584092053487</v>
      </c>
      <c r="Y38">
        <f t="shared" si="42"/>
        <v>22.142552902161601</v>
      </c>
      <c r="Z38">
        <f t="shared" si="15"/>
        <v>25701.13367378046</v>
      </c>
      <c r="AA38">
        <f t="shared" si="21"/>
        <v>8.5556855054844685E-2</v>
      </c>
      <c r="AB38">
        <f t="shared" si="22"/>
        <v>5280.8282721042242</v>
      </c>
      <c r="AC38">
        <f t="shared" si="16"/>
        <v>35530.823763703716</v>
      </c>
      <c r="AD38">
        <f t="shared" si="17"/>
        <v>29477.996166155779</v>
      </c>
      <c r="AE38">
        <v>2522.0446452950573</v>
      </c>
      <c r="AF38">
        <v>27.118759626828574</v>
      </c>
      <c r="AG38">
        <f>q*AD38</f>
        <v>31.854600651059755</v>
      </c>
      <c r="AH38">
        <f t="shared" si="23"/>
        <v>-0.16095609347727363</v>
      </c>
      <c r="AI38">
        <f>LN(_xlfn.NORM.DIST(AH38,0,sdresid,FALSE))</f>
        <v>0.21644892000660321</v>
      </c>
    </row>
    <row r="39" spans="5:60" x14ac:dyDescent="0.3">
      <c r="E39">
        <v>25</v>
      </c>
      <c r="F39">
        <f t="shared" si="18"/>
        <v>2285.875975990562</v>
      </c>
      <c r="G39">
        <f t="shared" si="24"/>
        <v>1109.8135247741743</v>
      </c>
      <c r="H39">
        <f t="shared" si="25"/>
        <v>630.13477906158971</v>
      </c>
      <c r="I39">
        <f t="shared" si="26"/>
        <v>385.10426028461865</v>
      </c>
      <c r="J39">
        <f t="shared" si="27"/>
        <v>243.68496391504431</v>
      </c>
      <c r="K39">
        <f t="shared" si="28"/>
        <v>160.52037672287571</v>
      </c>
      <c r="L39">
        <f t="shared" si="29"/>
        <v>109.50471866321661</v>
      </c>
      <c r="M39">
        <f t="shared" si="30"/>
        <v>76.782209809251768</v>
      </c>
      <c r="N39">
        <f t="shared" si="31"/>
        <v>55.100600318749912</v>
      </c>
      <c r="O39">
        <f t="shared" si="32"/>
        <v>40.292963150533147</v>
      </c>
      <c r="P39">
        <f t="shared" si="33"/>
        <v>29.896389414627542</v>
      </c>
      <c r="Q39">
        <f t="shared" si="34"/>
        <v>22.573820658805975</v>
      </c>
      <c r="R39">
        <f t="shared" si="35"/>
        <v>17.328774893822754</v>
      </c>
      <c r="S39">
        <f t="shared" si="36"/>
        <v>13.464193521720681</v>
      </c>
      <c r="T39">
        <f t="shared" si="37"/>
        <v>10.559718159208654</v>
      </c>
      <c r="U39">
        <f t="shared" si="38"/>
        <v>8.3429312628755987</v>
      </c>
      <c r="V39">
        <f t="shared" si="39"/>
        <v>6.6269653405285984</v>
      </c>
      <c r="W39">
        <f t="shared" si="40"/>
        <v>5.3181780195756536</v>
      </c>
      <c r="X39">
        <f t="shared" si="41"/>
        <v>4.3016885934347462</v>
      </c>
      <c r="Y39">
        <f t="shared" si="42"/>
        <v>20.518157183951814</v>
      </c>
      <c r="Z39">
        <f t="shared" si="15"/>
        <v>25261.27484468359</v>
      </c>
      <c r="AA39">
        <f t="shared" si="21"/>
        <v>9.0071201102904688E-2</v>
      </c>
      <c r="AB39">
        <f t="shared" si="22"/>
        <v>5235.7451897391675</v>
      </c>
      <c r="AC39">
        <f t="shared" si="16"/>
        <v>34863.608050004579</v>
      </c>
      <c r="AD39">
        <f t="shared" si="17"/>
        <v>28855.219869144312</v>
      </c>
      <c r="AE39">
        <v>2599.0243117022283</v>
      </c>
      <c r="AF39">
        <v>26.794065069095137</v>
      </c>
      <c r="AG39">
        <f>q*AD39</f>
        <v>31.181614260654332</v>
      </c>
      <c r="AH39">
        <f t="shared" si="23"/>
        <v>-0.1516482242535564</v>
      </c>
      <c r="AI39">
        <f>LN(_xlfn.NORM.DIST(AH39,0,sdresid,FALSE))</f>
        <v>0.33696908082734073</v>
      </c>
    </row>
    <row r="40" spans="5:60" x14ac:dyDescent="0.3">
      <c r="E40">
        <v>26</v>
      </c>
      <c r="F40">
        <f t="shared" si="18"/>
        <v>2274.1363656803169</v>
      </c>
      <c r="G40">
        <f t="shared" si="24"/>
        <v>1101.8808158904837</v>
      </c>
      <c r="H40">
        <f t="shared" si="25"/>
        <v>625.01999956620591</v>
      </c>
      <c r="I40">
        <f t="shared" si="26"/>
        <v>380.41257558247696</v>
      </c>
      <c r="J40">
        <f t="shared" si="27"/>
        <v>242.34969678168767</v>
      </c>
      <c r="K40">
        <f t="shared" si="28"/>
        <v>158.75985248983872</v>
      </c>
      <c r="L40">
        <f t="shared" si="29"/>
        <v>107.73662920635221</v>
      </c>
      <c r="M40">
        <f t="shared" si="30"/>
        <v>75.333789897381777</v>
      </c>
      <c r="N40">
        <f t="shared" si="31"/>
        <v>53.899132583042444</v>
      </c>
      <c r="O40">
        <f t="shared" si="32"/>
        <v>39.320945896938781</v>
      </c>
      <c r="P40">
        <f t="shared" si="33"/>
        <v>29.143459556122384</v>
      </c>
      <c r="Q40">
        <f t="shared" si="34"/>
        <v>21.864078639031863</v>
      </c>
      <c r="R40">
        <f t="shared" si="35"/>
        <v>16.660137603304669</v>
      </c>
      <c r="S40">
        <f t="shared" si="36"/>
        <v>12.886152923483477</v>
      </c>
      <c r="T40">
        <f t="shared" si="37"/>
        <v>10.075456672167395</v>
      </c>
      <c r="U40">
        <f t="shared" si="38"/>
        <v>7.9435180488303443</v>
      </c>
      <c r="V40">
        <f t="shared" si="39"/>
        <v>6.3035128248256864</v>
      </c>
      <c r="W40">
        <f t="shared" si="40"/>
        <v>5.0254372993363239</v>
      </c>
      <c r="X40">
        <f t="shared" si="41"/>
        <v>4.0453988821286941</v>
      </c>
      <c r="Y40">
        <f t="shared" si="42"/>
        <v>18.963035262614959</v>
      </c>
      <c r="Z40">
        <f t="shared" si="15"/>
        <v>24780.079216675651</v>
      </c>
      <c r="AA40">
        <f t="shared" si="21"/>
        <v>9.7130435763563963E-2</v>
      </c>
      <c r="AB40">
        <f t="shared" si="22"/>
        <v>5191.7599912865699</v>
      </c>
      <c r="AC40">
        <f t="shared" si="16"/>
        <v>34167.632376571339</v>
      </c>
      <c r="AD40">
        <f t="shared" si="17"/>
        <v>28207.805327602269</v>
      </c>
      <c r="AE40">
        <v>2739.8364234037895</v>
      </c>
      <c r="AF40">
        <v>27.127093301027617</v>
      </c>
      <c r="AG40">
        <f>q*AD40</f>
        <v>30.482003216529545</v>
      </c>
      <c r="AH40">
        <f t="shared" si="23"/>
        <v>-0.11660346971480984</v>
      </c>
      <c r="AI40">
        <f>LN(_xlfn.NORM.DIST(AH40,0,sdresid,FALSE))</f>
        <v>0.72635474033578673</v>
      </c>
    </row>
    <row r="41" spans="5:60" x14ac:dyDescent="0.3">
      <c r="E41">
        <v>27</v>
      </c>
      <c r="F41">
        <f t="shared" si="18"/>
        <v>2260.9613209151685</v>
      </c>
      <c r="G41">
        <f t="shared" si="24"/>
        <v>1095.7413065111623</v>
      </c>
      <c r="H41">
        <f t="shared" si="25"/>
        <v>619.48914233786661</v>
      </c>
      <c r="I41">
        <f t="shared" si="26"/>
        <v>375.81899037400535</v>
      </c>
      <c r="J41">
        <f t="shared" si="27"/>
        <v>237.9780567475168</v>
      </c>
      <c r="K41">
        <f t="shared" si="28"/>
        <v>156.79594480482811</v>
      </c>
      <c r="L41">
        <f t="shared" si="29"/>
        <v>105.7704052347592</v>
      </c>
      <c r="M41">
        <f t="shared" si="30"/>
        <v>73.557606730987075</v>
      </c>
      <c r="N41">
        <f t="shared" si="31"/>
        <v>52.478265897913097</v>
      </c>
      <c r="O41">
        <f t="shared" si="32"/>
        <v>38.167909046668143</v>
      </c>
      <c r="P41">
        <f t="shared" si="33"/>
        <v>28.221118820481959</v>
      </c>
      <c r="Q41">
        <f t="shared" si="34"/>
        <v>21.148802335083548</v>
      </c>
      <c r="R41">
        <f t="shared" si="35"/>
        <v>16.011542199486428</v>
      </c>
      <c r="S41">
        <f t="shared" si="36"/>
        <v>12.293061387710434</v>
      </c>
      <c r="T41">
        <f t="shared" si="37"/>
        <v>9.5682407300897765</v>
      </c>
      <c r="U41">
        <f t="shared" si="38"/>
        <v>7.5205323740216281</v>
      </c>
      <c r="V41">
        <f t="shared" si="39"/>
        <v>5.9552409273301041</v>
      </c>
      <c r="W41">
        <f t="shared" si="40"/>
        <v>4.7431152544669457</v>
      </c>
      <c r="X41">
        <f t="shared" si="41"/>
        <v>3.7930954133651724</v>
      </c>
      <c r="Y41">
        <f t="shared" si="42"/>
        <v>17.442724800106397</v>
      </c>
      <c r="Z41">
        <f t="shared" si="15"/>
        <v>24203.261647712447</v>
      </c>
      <c r="AA41">
        <f t="shared" si="21"/>
        <v>0.1016440439915496</v>
      </c>
      <c r="AB41">
        <f t="shared" si="22"/>
        <v>5143.4564228430172</v>
      </c>
      <c r="AC41">
        <f t="shared" si="16"/>
        <v>33383.246764309457</v>
      </c>
      <c r="AD41">
        <f t="shared" si="17"/>
        <v>27475.469866094707</v>
      </c>
      <c r="AE41">
        <v>2792.7178677578258</v>
      </c>
      <c r="AF41">
        <v>26.597313026265009</v>
      </c>
      <c r="AG41">
        <f>q*AD41</f>
        <v>29.690624673108861</v>
      </c>
      <c r="AH41">
        <f t="shared" si="23"/>
        <v>-0.11002113176786316</v>
      </c>
      <c r="AI41">
        <f>LN(_xlfn.NORM.DIST(AH41,0,sdresid,FALSE))</f>
        <v>0.78814239160705613</v>
      </c>
    </row>
    <row r="42" spans="5:60" x14ac:dyDescent="0.3">
      <c r="E42">
        <v>28</v>
      </c>
      <c r="F42">
        <f t="shared" si="18"/>
        <v>2244.6912150545381</v>
      </c>
      <c r="G42">
        <f t="shared" si="24"/>
        <v>1089.0877215752978</v>
      </c>
      <c r="H42">
        <f t="shared" si="25"/>
        <v>615.36133800584003</v>
      </c>
      <c r="I42">
        <f t="shared" si="26"/>
        <v>371.53906602778181</v>
      </c>
      <c r="J42">
        <f t="shared" si="27"/>
        <v>234.20799236679434</v>
      </c>
      <c r="K42">
        <f t="shared" si="28"/>
        <v>153.28070471212277</v>
      </c>
      <c r="L42">
        <f t="shared" si="29"/>
        <v>103.96652604080835</v>
      </c>
      <c r="M42">
        <f t="shared" si="30"/>
        <v>71.863744931267476</v>
      </c>
      <c r="N42">
        <f t="shared" si="31"/>
        <v>50.988664975367456</v>
      </c>
      <c r="O42">
        <f t="shared" si="32"/>
        <v>36.977693428162105</v>
      </c>
      <c r="P42">
        <f t="shared" si="33"/>
        <v>27.257469092523159</v>
      </c>
      <c r="Q42">
        <f t="shared" si="34"/>
        <v>20.377542838331021</v>
      </c>
      <c r="R42">
        <f t="shared" si="35"/>
        <v>15.410553507837152</v>
      </c>
      <c r="S42">
        <f t="shared" si="36"/>
        <v>11.755565794268019</v>
      </c>
      <c r="T42">
        <f t="shared" si="37"/>
        <v>9.082318226032184</v>
      </c>
      <c r="U42">
        <f t="shared" si="38"/>
        <v>7.1062921403852641</v>
      </c>
      <c r="V42">
        <f t="shared" si="39"/>
        <v>5.6099840666724718</v>
      </c>
      <c r="W42">
        <f t="shared" si="40"/>
        <v>4.458682832022709</v>
      </c>
      <c r="X42">
        <f t="shared" si="41"/>
        <v>3.562127848339089</v>
      </c>
      <c r="Y42">
        <f t="shared" si="42"/>
        <v>16.018402762115965</v>
      </c>
      <c r="Z42">
        <f t="shared" si="15"/>
        <v>23614.520670867558</v>
      </c>
      <c r="AA42">
        <f t="shared" si="21"/>
        <v>9.6897377859255826E-2</v>
      </c>
      <c r="AB42">
        <f t="shared" si="22"/>
        <v>5092.6036062265057</v>
      </c>
      <c r="AC42">
        <f t="shared" si="16"/>
        <v>32597.921490561363</v>
      </c>
      <c r="AD42">
        <f t="shared" si="17"/>
        <v>26740.714872679942</v>
      </c>
      <c r="AE42">
        <v>2591.1051532446904</v>
      </c>
      <c r="AF42">
        <v>23.771606910501745</v>
      </c>
      <c r="AG42">
        <f>q*AD42</f>
        <v>28.896631527860016</v>
      </c>
      <c r="AH42">
        <f t="shared" si="23"/>
        <v>-0.19523315064746374</v>
      </c>
      <c r="AI42">
        <f>LN(_xlfn.NORM.DIST(AH42,0,sdresid,FALSE))</f>
        <v>-0.28925787276591203</v>
      </c>
    </row>
    <row r="43" spans="5:60" x14ac:dyDescent="0.3">
      <c r="E43">
        <v>29</v>
      </c>
      <c r="F43">
        <f t="shared" si="18"/>
        <v>2227.5228572809656</v>
      </c>
      <c r="G43">
        <f t="shared" si="24"/>
        <v>1081.5694850736727</v>
      </c>
      <c r="H43">
        <f t="shared" si="25"/>
        <v>612.33142676865339</v>
      </c>
      <c r="I43">
        <f t="shared" si="26"/>
        <v>370.06026759510007</v>
      </c>
      <c r="J43">
        <f t="shared" si="27"/>
        <v>232.47273576510372</v>
      </c>
      <c r="K43">
        <f t="shared" si="28"/>
        <v>151.56331097365597</v>
      </c>
      <c r="L43">
        <f t="shared" si="29"/>
        <v>102.14504816332052</v>
      </c>
      <c r="M43">
        <f t="shared" si="30"/>
        <v>71.001389648772175</v>
      </c>
      <c r="N43">
        <f t="shared" si="31"/>
        <v>50.073725222577785</v>
      </c>
      <c r="O43">
        <f t="shared" si="32"/>
        <v>36.116136064771574</v>
      </c>
      <c r="P43">
        <f t="shared" si="33"/>
        <v>26.546146535150118</v>
      </c>
      <c r="Q43">
        <f t="shared" si="34"/>
        <v>19.785261977810865</v>
      </c>
      <c r="R43">
        <f t="shared" si="35"/>
        <v>14.926759205477103</v>
      </c>
      <c r="S43">
        <f t="shared" si="36"/>
        <v>11.373955197481241</v>
      </c>
      <c r="T43">
        <f t="shared" si="37"/>
        <v>8.7310045041595448</v>
      </c>
      <c r="U43">
        <f t="shared" si="38"/>
        <v>6.7809799620671676</v>
      </c>
      <c r="V43">
        <f t="shared" si="39"/>
        <v>5.3289474171676492</v>
      </c>
      <c r="W43">
        <f t="shared" si="40"/>
        <v>4.22235371995541</v>
      </c>
      <c r="X43">
        <f t="shared" si="41"/>
        <v>3.3661886491429831</v>
      </c>
      <c r="Y43">
        <f t="shared" si="42"/>
        <v>14.847656960530724</v>
      </c>
      <c r="Z43">
        <f t="shared" si="15"/>
        <v>23233.695652899773</v>
      </c>
      <c r="AA43">
        <f t="shared" si="21"/>
        <v>0.11350694458062728</v>
      </c>
      <c r="AB43">
        <f t="shared" si="22"/>
        <v>5050.7656366855363</v>
      </c>
      <c r="AC43">
        <f t="shared" si="16"/>
        <v>32050.664142934103</v>
      </c>
      <c r="AD43">
        <f t="shared" si="17"/>
        <v>26231.592947361692</v>
      </c>
      <c r="AE43">
        <v>2977.467966937757</v>
      </c>
      <c r="AF43">
        <v>26.349274043696965</v>
      </c>
      <c r="AG43">
        <f>q*AD43</f>
        <v>28.346462665556832</v>
      </c>
      <c r="AH43">
        <f t="shared" si="23"/>
        <v>-7.3061524603161732E-2</v>
      </c>
      <c r="AI43">
        <f>LN(_xlfn.NORM.DIST(AH43,0,sdresid,FALSE))</f>
        <v>1.0684203911323829</v>
      </c>
    </row>
    <row r="44" spans="5:60" x14ac:dyDescent="0.3">
      <c r="E44">
        <v>30</v>
      </c>
      <c r="F44">
        <f t="shared" si="18"/>
        <v>2216.1014768350706</v>
      </c>
      <c r="G44">
        <f t="shared" si="24"/>
        <v>1072.1896482081534</v>
      </c>
      <c r="H44">
        <f t="shared" si="25"/>
        <v>605.64853709449528</v>
      </c>
      <c r="I44">
        <f t="shared" si="26"/>
        <v>364.76714031513046</v>
      </c>
      <c r="J44">
        <f t="shared" si="27"/>
        <v>228.29929065446495</v>
      </c>
      <c r="K44">
        <f t="shared" si="28"/>
        <v>147.9712531531305</v>
      </c>
      <c r="L44">
        <f t="shared" si="29"/>
        <v>99.238174198481161</v>
      </c>
      <c r="M44">
        <f t="shared" si="30"/>
        <v>68.508614076098681</v>
      </c>
      <c r="N44">
        <f t="shared" si="31"/>
        <v>48.576697082941301</v>
      </c>
      <c r="O44">
        <f t="shared" si="32"/>
        <v>34.821822191512972</v>
      </c>
      <c r="P44">
        <f t="shared" si="33"/>
        <v>25.453723922929004</v>
      </c>
      <c r="Q44">
        <f t="shared" si="34"/>
        <v>18.916087962328131</v>
      </c>
      <c r="R44">
        <f t="shared" si="35"/>
        <v>14.227218099248747</v>
      </c>
      <c r="S44">
        <f t="shared" si="36"/>
        <v>10.814773321938508</v>
      </c>
      <c r="T44">
        <f t="shared" si="37"/>
        <v>8.2925266883014057</v>
      </c>
      <c r="U44">
        <f t="shared" si="38"/>
        <v>6.3989971136553043</v>
      </c>
      <c r="V44">
        <f t="shared" si="39"/>
        <v>4.9916121700033251</v>
      </c>
      <c r="W44">
        <f t="shared" si="40"/>
        <v>3.9371591960957542</v>
      </c>
      <c r="X44">
        <f t="shared" si="41"/>
        <v>3.1292045789841469</v>
      </c>
      <c r="Y44">
        <f t="shared" si="42"/>
        <v>13.557465194735506</v>
      </c>
      <c r="Z44">
        <f t="shared" si="15"/>
        <v>22567.447257472002</v>
      </c>
      <c r="AA44">
        <f t="shared" si="21"/>
        <v>0.13446583353567623</v>
      </c>
      <c r="AB44">
        <f t="shared" si="22"/>
        <v>4995.8414220576979</v>
      </c>
      <c r="AC44">
        <f t="shared" si="16"/>
        <v>31167.310678958384</v>
      </c>
      <c r="AD44">
        <f t="shared" si="17"/>
        <v>25411.771558440207</v>
      </c>
      <c r="AE44">
        <v>3417.0150442238528</v>
      </c>
      <c r="AF44">
        <v>29.205256788238056</v>
      </c>
      <c r="AG44">
        <f>q*AD44</f>
        <v>27.460544816796329</v>
      </c>
      <c r="AH44">
        <f t="shared" si="23"/>
        <v>6.1598479544168971E-2</v>
      </c>
      <c r="AI44">
        <f>LN(_xlfn.NORM.DIST(AH44,0,sdresid,FALSE))</f>
        <v>1.1323575126956777</v>
      </c>
    </row>
    <row r="45" spans="5:60" x14ac:dyDescent="0.3">
      <c r="E45">
        <v>31</v>
      </c>
      <c r="F45">
        <f t="shared" si="18"/>
        <v>2195.4934703603644</v>
      </c>
      <c r="G45">
        <f t="shared" si="24"/>
        <v>1065.301733135527</v>
      </c>
      <c r="H45">
        <f t="shared" si="25"/>
        <v>597.32407770583472</v>
      </c>
      <c r="I45">
        <f t="shared" si="26"/>
        <v>356.45399216950159</v>
      </c>
      <c r="J45">
        <f t="shared" si="27"/>
        <v>220.99374655952042</v>
      </c>
      <c r="K45">
        <f t="shared" si="28"/>
        <v>142.25507307039248</v>
      </c>
      <c r="L45">
        <f t="shared" si="29"/>
        <v>94.715015111180406</v>
      </c>
      <c r="M45">
        <f t="shared" si="30"/>
        <v>65.027962724276065</v>
      </c>
      <c r="N45">
        <f t="shared" si="31"/>
        <v>45.780114827970465</v>
      </c>
      <c r="O45">
        <f t="shared" si="32"/>
        <v>32.989681608350537</v>
      </c>
      <c r="P45">
        <f t="shared" si="33"/>
        <v>23.964944819448622</v>
      </c>
      <c r="Q45">
        <f t="shared" si="34"/>
        <v>17.710733660754215</v>
      </c>
      <c r="R45">
        <f t="shared" si="35"/>
        <v>13.281677464871411</v>
      </c>
      <c r="S45">
        <f t="shared" si="36"/>
        <v>10.064856755632457</v>
      </c>
      <c r="T45">
        <f t="shared" si="37"/>
        <v>7.6988051363621324</v>
      </c>
      <c r="U45">
        <f t="shared" si="38"/>
        <v>5.9341910343484088</v>
      </c>
      <c r="V45">
        <f t="shared" si="39"/>
        <v>4.5992249527647564</v>
      </c>
      <c r="W45">
        <f t="shared" si="40"/>
        <v>3.6008484419783957</v>
      </c>
      <c r="X45">
        <f t="shared" si="41"/>
        <v>2.8489403851515656</v>
      </c>
      <c r="Y45">
        <f t="shared" si="42"/>
        <v>12.127274625562764</v>
      </c>
      <c r="Z45">
        <f t="shared" si="15"/>
        <v>21576.607166520167</v>
      </c>
      <c r="AA45">
        <f t="shared" si="21"/>
        <v>0.10346521575313576</v>
      </c>
      <c r="AB45">
        <f t="shared" si="22"/>
        <v>4918.166364549792</v>
      </c>
      <c r="AC45">
        <f t="shared" si="16"/>
        <v>29915.6137784684</v>
      </c>
      <c r="AD45">
        <f t="shared" si="17"/>
        <v>24242.952735367951</v>
      </c>
      <c r="AE45">
        <v>2508.302335257918</v>
      </c>
      <c r="AF45">
        <v>20.729771365767917</v>
      </c>
      <c r="AG45">
        <f>q*AD45</f>
        <v>26.197492313751521</v>
      </c>
      <c r="AH45">
        <f t="shared" si="23"/>
        <v>-0.23409279573150416</v>
      </c>
      <c r="AI45">
        <f>LN(_xlfn.NORM.DIST(AH45,0,sdresid,FALSE))</f>
        <v>-0.98029347547737133</v>
      </c>
    </row>
    <row r="46" spans="5:60" x14ac:dyDescent="0.3">
      <c r="E46">
        <v>32</v>
      </c>
      <c r="F46">
        <f t="shared" si="18"/>
        <v>2163.2782388743435</v>
      </c>
      <c r="G46">
        <f t="shared" si="24"/>
        <v>1057.4326700617926</v>
      </c>
      <c r="H46">
        <f t="shared" si="25"/>
        <v>598.00144711690268</v>
      </c>
      <c r="I46">
        <f t="shared" si="26"/>
        <v>357.87429575554114</v>
      </c>
      <c r="J46">
        <f t="shared" si="27"/>
        <v>221.79679663217559</v>
      </c>
      <c r="K46">
        <f t="shared" si="28"/>
        <v>142.08381823654923</v>
      </c>
      <c r="L46">
        <f t="shared" si="29"/>
        <v>94.14355125373821</v>
      </c>
      <c r="M46">
        <f t="shared" si="30"/>
        <v>64.225394515653491</v>
      </c>
      <c r="N46">
        <f t="shared" si="31"/>
        <v>44.986093400583435</v>
      </c>
      <c r="O46">
        <f t="shared" si="32"/>
        <v>32.193201285463822</v>
      </c>
      <c r="P46">
        <f t="shared" si="33"/>
        <v>23.511992897413553</v>
      </c>
      <c r="Q46">
        <f t="shared" si="34"/>
        <v>17.26937276039801</v>
      </c>
      <c r="R46">
        <f t="shared" si="35"/>
        <v>12.879249722937905</v>
      </c>
      <c r="S46">
        <f t="shared" si="36"/>
        <v>9.7315992481992488</v>
      </c>
      <c r="T46">
        <f t="shared" si="37"/>
        <v>7.4210395943038652</v>
      </c>
      <c r="U46">
        <f t="shared" si="38"/>
        <v>5.7062984154829817</v>
      </c>
      <c r="V46">
        <f t="shared" si="39"/>
        <v>4.4176829131313129</v>
      </c>
      <c r="W46">
        <f t="shared" si="40"/>
        <v>3.4364633249540915</v>
      </c>
      <c r="X46">
        <f t="shared" si="41"/>
        <v>2.6987979214446582</v>
      </c>
      <c r="Y46">
        <f t="shared" si="42"/>
        <v>11.273552421873362</v>
      </c>
      <c r="Z46">
        <f t="shared" si="15"/>
        <v>21396.510754593102</v>
      </c>
      <c r="AA46">
        <f t="shared" si="21"/>
        <v>0.16111958705004742</v>
      </c>
      <c r="AB46">
        <f t="shared" si="22"/>
        <v>4874.3615563528838</v>
      </c>
      <c r="AC46">
        <f t="shared" si="16"/>
        <v>29595.790727791322</v>
      </c>
      <c r="AD46">
        <f t="shared" si="17"/>
        <v>23946.676370416433</v>
      </c>
      <c r="AE46">
        <v>3858.2786080226238</v>
      </c>
      <c r="AF46">
        <v>30.866228864180989</v>
      </c>
      <c r="AG46">
        <f>q*AD46</f>
        <v>25.877329259428517</v>
      </c>
      <c r="AH46">
        <f t="shared" si="23"/>
        <v>0.17629540199552932</v>
      </c>
      <c r="AI46">
        <f>LN(_xlfn.NORM.DIST(AH46,0,sdresid,FALSE))</f>
        <v>2.1726271800175203E-3</v>
      </c>
    </row>
    <row r="47" spans="5:60" x14ac:dyDescent="0.3">
      <c r="E47">
        <v>33</v>
      </c>
      <c r="F47">
        <f t="shared" si="18"/>
        <v>2157.2100023298722</v>
      </c>
      <c r="G47">
        <f t="shared" si="24"/>
        <v>1038.1830624341583</v>
      </c>
      <c r="H47">
        <f t="shared" si="25"/>
        <v>585.24990620315396</v>
      </c>
      <c r="I47">
        <f t="shared" si="26"/>
        <v>346.51361733138094</v>
      </c>
      <c r="J47">
        <f t="shared" si="27"/>
        <v>211.77697348985404</v>
      </c>
      <c r="K47">
        <f t="shared" si="28"/>
        <v>134.4230262122984</v>
      </c>
      <c r="L47">
        <f t="shared" si="29"/>
        <v>88.295221525311874</v>
      </c>
      <c r="M47">
        <f t="shared" si="30"/>
        <v>59.842541572475426</v>
      </c>
      <c r="N47">
        <f t="shared" si="31"/>
        <v>41.617070529924668</v>
      </c>
      <c r="O47">
        <f t="shared" si="32"/>
        <v>29.619530707434695</v>
      </c>
      <c r="P47">
        <f t="shared" si="33"/>
        <v>21.477990262275988</v>
      </c>
      <c r="Q47">
        <f t="shared" si="34"/>
        <v>15.858167300738051</v>
      </c>
      <c r="R47">
        <f t="shared" si="35"/>
        <v>11.753316292938665</v>
      </c>
      <c r="S47">
        <f t="shared" si="36"/>
        <v>8.8314105503660674</v>
      </c>
      <c r="T47">
        <f t="shared" si="37"/>
        <v>6.7148307750093972</v>
      </c>
      <c r="U47">
        <f t="shared" si="38"/>
        <v>5.1473003215639395</v>
      </c>
      <c r="V47">
        <f t="shared" si="39"/>
        <v>3.9752446826656889</v>
      </c>
      <c r="W47">
        <f t="shared" si="40"/>
        <v>3.0888203312584861</v>
      </c>
      <c r="X47">
        <f t="shared" si="41"/>
        <v>2.4101511701213316</v>
      </c>
      <c r="Y47">
        <f t="shared" si="42"/>
        <v>9.842093459214869</v>
      </c>
      <c r="Z47">
        <f t="shared" ref="Z47:Z78" si="46">SUMPRODUCT(F47:Y47,fecundity,pmature)</f>
        <v>20130.511550408126</v>
      </c>
      <c r="AA47">
        <f t="shared" si="21"/>
        <v>0.11699576613286758</v>
      </c>
      <c r="AB47">
        <f t="shared" si="22"/>
        <v>4781.8302774820168</v>
      </c>
      <c r="AC47">
        <f t="shared" ref="AC47:AC78" si="47">SUMPRODUCT(F47:Y47,Weight)</f>
        <v>27999.482271830606</v>
      </c>
      <c r="AD47">
        <f t="shared" ref="AD47:AD78" si="48">SUMPRODUCT(F47:Y47,Weight,vul)</f>
        <v>22473.463967221076</v>
      </c>
      <c r="AE47">
        <v>2629.3001345044236</v>
      </c>
      <c r="AF47">
        <v>20.38217158530561</v>
      </c>
      <c r="AG47">
        <f>q*AD47</f>
        <v>24.285342052650339</v>
      </c>
      <c r="AH47">
        <f t="shared" si="23"/>
        <v>-0.17521238379015219</v>
      </c>
      <c r="AI47">
        <f>LN(_xlfn.NORM.DIST(AH47,0,sdresid,FALSE))</f>
        <v>1.794093769158658E-2</v>
      </c>
    </row>
    <row r="48" spans="5:60" x14ac:dyDescent="0.3">
      <c r="E48">
        <v>34</v>
      </c>
      <c r="F48">
        <f t="shared" ref="F48:F79" si="49">Z47*maxsj/(1+sjscale*Z47)</f>
        <v>2112.5605635888496</v>
      </c>
      <c r="G48">
        <f t="shared" si="24"/>
        <v>1038.1201619664275</v>
      </c>
      <c r="H48">
        <f t="shared" si="25"/>
        <v>580.85820971458156</v>
      </c>
      <c r="I48">
        <f t="shared" si="26"/>
        <v>347.93778022242492</v>
      </c>
      <c r="J48">
        <f t="shared" si="27"/>
        <v>213.13392271648138</v>
      </c>
      <c r="K48">
        <f t="shared" si="28"/>
        <v>134.32572613620997</v>
      </c>
      <c r="L48">
        <f t="shared" si="29"/>
        <v>87.687007196236905</v>
      </c>
      <c r="M48">
        <f t="shared" si="30"/>
        <v>58.992794538800183</v>
      </c>
      <c r="N48">
        <f t="shared" si="31"/>
        <v>40.783547276197169</v>
      </c>
      <c r="O48">
        <f t="shared" si="32"/>
        <v>28.828152521978193</v>
      </c>
      <c r="P48">
        <f t="shared" si="33"/>
        <v>20.793444713779976</v>
      </c>
      <c r="Q48">
        <f t="shared" si="34"/>
        <v>15.244687125221006</v>
      </c>
      <c r="R48">
        <f t="shared" si="35"/>
        <v>11.358585822754019</v>
      </c>
      <c r="S48">
        <f t="shared" si="36"/>
        <v>8.4821147760071298</v>
      </c>
      <c r="T48">
        <f t="shared" si="37"/>
        <v>6.4135195392633513</v>
      </c>
      <c r="U48">
        <f t="shared" si="38"/>
        <v>4.9019984547363151</v>
      </c>
      <c r="V48">
        <f t="shared" si="39"/>
        <v>3.7741387033767122</v>
      </c>
      <c r="W48">
        <f t="shared" si="40"/>
        <v>2.9254661098064054</v>
      </c>
      <c r="X48">
        <f t="shared" si="41"/>
        <v>2.2801395331319143</v>
      </c>
      <c r="Y48">
        <f t="shared" si="42"/>
        <v>9.0838590709162919</v>
      </c>
      <c r="Z48">
        <f t="shared" si="46"/>
        <v>19948.894864110556</v>
      </c>
      <c r="AA48">
        <f t="shared" si="21"/>
        <v>0.12172340962716741</v>
      </c>
      <c r="AB48">
        <f t="shared" si="22"/>
        <v>4728.4858197271797</v>
      </c>
      <c r="AC48">
        <f t="shared" si="47"/>
        <v>27654.036612422868</v>
      </c>
      <c r="AD48">
        <f t="shared" si="48"/>
        <v>22155.711164046817</v>
      </c>
      <c r="AE48">
        <v>2696.8687056024769</v>
      </c>
      <c r="AF48">
        <v>20.277208312800578</v>
      </c>
      <c r="AG48">
        <f>q*AD48</f>
        <v>23.941971065225761</v>
      </c>
      <c r="AH48">
        <f t="shared" si="23"/>
        <v>-0.16613551820459418</v>
      </c>
      <c r="AI48">
        <f>LN(_xlfn.NORM.DIST(AH48,0,sdresid,FALSE))</f>
        <v>0.14627667193243796</v>
      </c>
    </row>
    <row r="49" spans="5:35" x14ac:dyDescent="0.3">
      <c r="E49">
        <v>35</v>
      </c>
      <c r="F49">
        <f t="shared" si="49"/>
        <v>2105.8540274058291</v>
      </c>
      <c r="G49">
        <f t="shared" si="24"/>
        <v>1016.3344173106652</v>
      </c>
      <c r="H49">
        <f t="shared" si="25"/>
        <v>580.15208956496099</v>
      </c>
      <c r="I49">
        <f t="shared" si="26"/>
        <v>344.38967542453418</v>
      </c>
      <c r="J49">
        <f t="shared" si="27"/>
        <v>213.14063217920702</v>
      </c>
      <c r="K49">
        <f t="shared" si="28"/>
        <v>134.54207982937723</v>
      </c>
      <c r="L49">
        <f t="shared" si="29"/>
        <v>87.178945915084753</v>
      </c>
      <c r="M49">
        <f t="shared" si="30"/>
        <v>58.28127865004452</v>
      </c>
      <c r="N49">
        <f t="shared" si="31"/>
        <v>39.992499168002226</v>
      </c>
      <c r="O49">
        <f t="shared" si="32"/>
        <v>28.100954277821444</v>
      </c>
      <c r="P49">
        <f t="shared" si="33"/>
        <v>20.130211314916238</v>
      </c>
      <c r="Q49">
        <f t="shared" si="34"/>
        <v>14.680140664820296</v>
      </c>
      <c r="R49">
        <f t="shared" si="35"/>
        <v>10.860904985754788</v>
      </c>
      <c r="S49">
        <f t="shared" si="36"/>
        <v>8.1534703385871374</v>
      </c>
      <c r="T49">
        <f t="shared" si="37"/>
        <v>6.1269431192957491</v>
      </c>
      <c r="U49">
        <f t="shared" si="38"/>
        <v>4.6570089532786572</v>
      </c>
      <c r="V49">
        <f t="shared" si="39"/>
        <v>3.575061325897837</v>
      </c>
      <c r="W49">
        <f t="shared" si="40"/>
        <v>2.762616598384616</v>
      </c>
      <c r="X49">
        <f t="shared" si="41"/>
        <v>2.1480039932629826</v>
      </c>
      <c r="Y49">
        <f t="shared" si="42"/>
        <v>8.3801736197745029</v>
      </c>
      <c r="Z49">
        <f t="shared" si="46"/>
        <v>19706.187406524532</v>
      </c>
      <c r="AA49">
        <f t="shared" si="21"/>
        <v>0.14821683208422917</v>
      </c>
      <c r="AB49">
        <f t="shared" si="22"/>
        <v>4689.4411346394991</v>
      </c>
      <c r="AC49">
        <f t="shared" si="47"/>
        <v>27250.084894822463</v>
      </c>
      <c r="AD49">
        <f t="shared" si="48"/>
        <v>21802.895576154715</v>
      </c>
      <c r="AE49">
        <v>3231.5561125609065</v>
      </c>
      <c r="AF49">
        <v>23.588000821612457</v>
      </c>
      <c r="AG49">
        <f>q*AD49</f>
        <v>23.560710426191037</v>
      </c>
      <c r="AH49">
        <f t="shared" si="23"/>
        <v>1.1576307282574012E-3</v>
      </c>
      <c r="AI49">
        <f>LN(_xlfn.NORM.DIST(AH49,0,sdresid,FALSE))</f>
        <v>1.2894665001877725</v>
      </c>
    </row>
    <row r="50" spans="5:35" x14ac:dyDescent="0.3">
      <c r="E50">
        <v>36</v>
      </c>
      <c r="F50">
        <f t="shared" si="49"/>
        <v>2096.767062192188</v>
      </c>
      <c r="G50">
        <f t="shared" si="24"/>
        <v>1011.4378639046108</v>
      </c>
      <c r="H50">
        <f t="shared" si="25"/>
        <v>564.29622064485579</v>
      </c>
      <c r="I50">
        <f t="shared" si="26"/>
        <v>338.7254428893674</v>
      </c>
      <c r="J50">
        <f t="shared" si="27"/>
        <v>206.14548725134247</v>
      </c>
      <c r="K50">
        <f t="shared" si="28"/>
        <v>130.9354106251337</v>
      </c>
      <c r="L50">
        <f t="shared" si="29"/>
        <v>84.823892074705327</v>
      </c>
      <c r="M50">
        <f t="shared" si="30"/>
        <v>56.243467456126069</v>
      </c>
      <c r="N50">
        <f t="shared" si="31"/>
        <v>38.336810044616854</v>
      </c>
      <c r="O50">
        <f t="shared" si="32"/>
        <v>26.732622761052848</v>
      </c>
      <c r="P50">
        <f t="shared" si="33"/>
        <v>19.034256409564996</v>
      </c>
      <c r="Q50">
        <f t="shared" si="34"/>
        <v>13.785107198084214</v>
      </c>
      <c r="R50">
        <f t="shared" si="35"/>
        <v>10.144257022078763</v>
      </c>
      <c r="S50">
        <f t="shared" si="36"/>
        <v>7.561653717947026</v>
      </c>
      <c r="T50">
        <f t="shared" si="37"/>
        <v>5.7122608518380256</v>
      </c>
      <c r="U50">
        <f t="shared" si="38"/>
        <v>4.3149489912463235</v>
      </c>
      <c r="V50">
        <f t="shared" si="39"/>
        <v>3.2940881879954258</v>
      </c>
      <c r="W50">
        <f t="shared" si="40"/>
        <v>2.5380584522086784</v>
      </c>
      <c r="X50">
        <f t="shared" si="41"/>
        <v>1.9673160990880583</v>
      </c>
      <c r="Y50">
        <f t="shared" si="42"/>
        <v>7.5297936825962815</v>
      </c>
      <c r="Z50">
        <f t="shared" si="46"/>
        <v>19022.635316279044</v>
      </c>
      <c r="AA50">
        <f t="shared" si="21"/>
        <v>0.12396659451171446</v>
      </c>
      <c r="AB50">
        <f t="shared" si="22"/>
        <v>4630.3260204566486</v>
      </c>
      <c r="AC50">
        <f t="shared" si="47"/>
        <v>26343.512460138805</v>
      </c>
      <c r="AD50">
        <f t="shared" si="48"/>
        <v>20978.766021233114</v>
      </c>
      <c r="AE50">
        <v>2600.6661807103387</v>
      </c>
      <c r="AF50">
        <v>18.444440997945666</v>
      </c>
      <c r="AG50">
        <f>q*AD50</f>
        <v>22.670137074162991</v>
      </c>
      <c r="AH50">
        <f t="shared" si="23"/>
        <v>-0.20628548683957124</v>
      </c>
      <c r="AI50">
        <f>LN(_xlfn.NORM.DIST(AH50,0,sdresid,FALSE))</f>
        <v>-0.47307003902459821</v>
      </c>
    </row>
    <row r="51" spans="5:35" x14ac:dyDescent="0.3">
      <c r="E51">
        <v>37</v>
      </c>
      <c r="F51">
        <f t="shared" si="49"/>
        <v>2070.3808231642656</v>
      </c>
      <c r="G51">
        <f t="shared" si="24"/>
        <v>1008.5955057291521</v>
      </c>
      <c r="H51">
        <f t="shared" si="25"/>
        <v>564.93056101247078</v>
      </c>
      <c r="I51">
        <f t="shared" si="26"/>
        <v>334.13810344140961</v>
      </c>
      <c r="J51">
        <f t="shared" si="27"/>
        <v>207.09578339144056</v>
      </c>
      <c r="K51">
        <f t="shared" si="28"/>
        <v>129.83488810010223</v>
      </c>
      <c r="L51">
        <f t="shared" si="29"/>
        <v>84.772965899427263</v>
      </c>
      <c r="M51">
        <f t="shared" si="30"/>
        <v>56.238245295615883</v>
      </c>
      <c r="N51">
        <f t="shared" si="31"/>
        <v>38.032798287900526</v>
      </c>
      <c r="O51">
        <f t="shared" si="32"/>
        <v>26.348266214005648</v>
      </c>
      <c r="P51">
        <f t="shared" si="33"/>
        <v>18.61956362951021</v>
      </c>
      <c r="Q51">
        <f t="shared" si="34"/>
        <v>13.403987506640052</v>
      </c>
      <c r="R51">
        <f t="shared" si="35"/>
        <v>9.7960432412156546</v>
      </c>
      <c r="S51">
        <f t="shared" si="36"/>
        <v>7.2632451136312053</v>
      </c>
      <c r="T51">
        <f t="shared" si="37"/>
        <v>5.4481387721643788</v>
      </c>
      <c r="U51">
        <f t="shared" si="38"/>
        <v>4.1372329067545177</v>
      </c>
      <c r="V51">
        <f t="shared" si="39"/>
        <v>3.1388965667981696</v>
      </c>
      <c r="W51">
        <f t="shared" si="40"/>
        <v>2.4050759313221084</v>
      </c>
      <c r="X51">
        <f t="shared" si="41"/>
        <v>1.8587984051560913</v>
      </c>
      <c r="Y51">
        <f t="shared" si="42"/>
        <v>6.9855019531896794</v>
      </c>
      <c r="Z51">
        <f t="shared" si="46"/>
        <v>18844.923293976735</v>
      </c>
      <c r="AA51">
        <f t="shared" si="21"/>
        <v>0.14537703517736092</v>
      </c>
      <c r="AB51">
        <f t="shared" si="22"/>
        <v>4593.4244245621749</v>
      </c>
      <c r="AC51">
        <f t="shared" si="47"/>
        <v>26078.445449244944</v>
      </c>
      <c r="AD51">
        <f t="shared" si="48"/>
        <v>20738.802313609889</v>
      </c>
      <c r="AE51">
        <v>3014.9455934819989</v>
      </c>
      <c r="AF51">
        <v>20.792728230910338</v>
      </c>
      <c r="AG51">
        <f>q*AD51</f>
        <v>22.410826772540059</v>
      </c>
      <c r="AH51">
        <f t="shared" si="23"/>
        <v>-7.4940858852311845E-2</v>
      </c>
      <c r="AI51">
        <f>LN(_xlfn.NORM.DIST(AH51,0,sdresid,FALSE))</f>
        <v>1.0568994702200891</v>
      </c>
    </row>
    <row r="52" spans="5:35" x14ac:dyDescent="0.3">
      <c r="E52">
        <v>38</v>
      </c>
      <c r="F52">
        <f t="shared" si="49"/>
        <v>2063.321749877919</v>
      </c>
      <c r="G52">
        <f t="shared" si="24"/>
        <v>994.57614848658773</v>
      </c>
      <c r="H52">
        <f t="shared" si="25"/>
        <v>560.39091904814882</v>
      </c>
      <c r="I52">
        <f t="shared" si="26"/>
        <v>330.38577220667304</v>
      </c>
      <c r="J52">
        <f t="shared" si="27"/>
        <v>200.51052079855745</v>
      </c>
      <c r="K52">
        <f t="shared" si="28"/>
        <v>127.59804286125015</v>
      </c>
      <c r="L52">
        <f t="shared" si="29"/>
        <v>82.114306573110525</v>
      </c>
      <c r="M52">
        <f t="shared" si="30"/>
        <v>54.868455481504803</v>
      </c>
      <c r="N52">
        <f t="shared" si="31"/>
        <v>37.114284016568377</v>
      </c>
      <c r="O52">
        <f t="shared" si="32"/>
        <v>25.506600463304093</v>
      </c>
      <c r="P52">
        <f t="shared" si="33"/>
        <v>17.906180942507813</v>
      </c>
      <c r="Q52">
        <f t="shared" si="34"/>
        <v>12.792934498349041</v>
      </c>
      <c r="R52">
        <f t="shared" si="35"/>
        <v>9.293185665424291</v>
      </c>
      <c r="S52">
        <f t="shared" si="36"/>
        <v>6.8429463778217583</v>
      </c>
      <c r="T52">
        <f t="shared" si="37"/>
        <v>5.1055043156255806</v>
      </c>
      <c r="U52">
        <f t="shared" si="38"/>
        <v>3.8496646926267184</v>
      </c>
      <c r="V52">
        <f t="shared" si="39"/>
        <v>2.9361714581478395</v>
      </c>
      <c r="W52">
        <f t="shared" si="40"/>
        <v>2.2358295573828411</v>
      </c>
      <c r="X52">
        <f t="shared" si="41"/>
        <v>1.7184072216172355</v>
      </c>
      <c r="Y52">
        <f t="shared" si="42"/>
        <v>6.3464602931168796</v>
      </c>
      <c r="Z52">
        <f t="shared" si="46"/>
        <v>18323.781250454376</v>
      </c>
      <c r="AA52">
        <f t="shared" si="21"/>
        <v>0.13745522872406671</v>
      </c>
      <c r="AB52">
        <f t="shared" si="22"/>
        <v>4545.414084836244</v>
      </c>
      <c r="AC52">
        <f t="shared" si="47"/>
        <v>25418.681851855163</v>
      </c>
      <c r="AD52">
        <f t="shared" si="48"/>
        <v>20140.956010135455</v>
      </c>
      <c r="AE52">
        <v>2768.4797150945351</v>
      </c>
      <c r="AF52">
        <v>18.580400772446545</v>
      </c>
      <c r="AG52">
        <f>q*AD52</f>
        <v>21.764780306540604</v>
      </c>
      <c r="AH52">
        <f t="shared" si="23"/>
        <v>-0.15818577781346638</v>
      </c>
      <c r="AI52">
        <f>LN(_xlfn.NORM.DIST(AH52,0,sdresid,FALSE))</f>
        <v>0.2530696925868865</v>
      </c>
    </row>
    <row r="53" spans="5:35" x14ac:dyDescent="0.3">
      <c r="E53">
        <v>39</v>
      </c>
      <c r="F53">
        <f t="shared" si="49"/>
        <v>2042.124739754923</v>
      </c>
      <c r="G53">
        <f t="shared" si="24"/>
        <v>991.67437870827246</v>
      </c>
      <c r="H53">
        <f t="shared" si="25"/>
        <v>553.67862628620412</v>
      </c>
      <c r="I53">
        <f t="shared" si="26"/>
        <v>329.24592944289179</v>
      </c>
      <c r="J53">
        <f t="shared" si="27"/>
        <v>199.64190624320051</v>
      </c>
      <c r="K53">
        <f t="shared" si="28"/>
        <v>124.55637913966157</v>
      </c>
      <c r="L53">
        <f t="shared" si="29"/>
        <v>81.407269361591105</v>
      </c>
      <c r="M53">
        <f t="shared" si="30"/>
        <v>53.626487677623125</v>
      </c>
      <c r="N53">
        <f t="shared" si="31"/>
        <v>36.540590240518803</v>
      </c>
      <c r="O53">
        <f t="shared" si="32"/>
        <v>25.119053372866112</v>
      </c>
      <c r="P53">
        <f t="shared" si="33"/>
        <v>17.493818887446036</v>
      </c>
      <c r="Q53">
        <f t="shared" si="34"/>
        <v>12.416306917018447</v>
      </c>
      <c r="R53">
        <f t="shared" si="35"/>
        <v>8.9514682383708202</v>
      </c>
      <c r="S53">
        <f t="shared" si="36"/>
        <v>6.5516937342823045</v>
      </c>
      <c r="T53">
        <f t="shared" si="37"/>
        <v>4.8545575003252761</v>
      </c>
      <c r="U53">
        <f t="shared" si="38"/>
        <v>3.6409387383809237</v>
      </c>
      <c r="V53">
        <f t="shared" si="39"/>
        <v>2.757371879923336</v>
      </c>
      <c r="W53">
        <f t="shared" si="40"/>
        <v>2.1107891007686619</v>
      </c>
      <c r="X53">
        <f t="shared" si="41"/>
        <v>1.6122719305764397</v>
      </c>
      <c r="Y53">
        <f t="shared" si="42"/>
        <v>5.8407090191100881</v>
      </c>
      <c r="Z53">
        <f t="shared" si="46"/>
        <v>18044.133639102183</v>
      </c>
      <c r="AA53">
        <f t="shared" si="21"/>
        <v>0.13043064175330704</v>
      </c>
      <c r="AB53">
        <f t="shared" si="22"/>
        <v>4503.8452861739552</v>
      </c>
      <c r="AC53">
        <f t="shared" si="47"/>
        <v>25017.102074750532</v>
      </c>
      <c r="AD53">
        <f t="shared" si="48"/>
        <v>19778.979251962788</v>
      </c>
      <c r="AE53">
        <v>2579.7849570588514</v>
      </c>
      <c r="AF53">
        <v>16.861339588619945</v>
      </c>
      <c r="AG53">
        <f>q*AD53</f>
        <v>21.373619896193784</v>
      </c>
      <c r="AH53">
        <f t="shared" si="23"/>
        <v>-0.23713404340615737</v>
      </c>
      <c r="AI53">
        <f>LN(_xlfn.NORM.DIST(AH53,0,sdresid,FALSE))</f>
        <v>-1.0396537998491608</v>
      </c>
    </row>
    <row r="54" spans="5:35" x14ac:dyDescent="0.3">
      <c r="E54">
        <v>40</v>
      </c>
      <c r="F54">
        <f t="shared" si="49"/>
        <v>2030.4348597372204</v>
      </c>
      <c r="G54">
        <f t="shared" si="24"/>
        <v>981.91608105224975</v>
      </c>
      <c r="H54">
        <f t="shared" si="25"/>
        <v>553.01551543266339</v>
      </c>
      <c r="I54">
        <f t="shared" si="26"/>
        <v>326.6296318831092</v>
      </c>
      <c r="J54">
        <f t="shared" si="27"/>
        <v>200.17534945029979</v>
      </c>
      <c r="K54">
        <f t="shared" si="28"/>
        <v>124.91357551781782</v>
      </c>
      <c r="L54">
        <f t="shared" si="29"/>
        <v>80.079246541210111</v>
      </c>
      <c r="M54">
        <f t="shared" si="30"/>
        <v>53.58567781258197</v>
      </c>
      <c r="N54">
        <f t="shared" si="31"/>
        <v>35.999737233491786</v>
      </c>
      <c r="O54">
        <f t="shared" si="32"/>
        <v>24.930222265450276</v>
      </c>
      <c r="P54">
        <f t="shared" si="33"/>
        <v>17.367418288329482</v>
      </c>
      <c r="Q54">
        <f t="shared" si="34"/>
        <v>12.228712438733393</v>
      </c>
      <c r="R54">
        <f t="shared" si="35"/>
        <v>8.7584504234394913</v>
      </c>
      <c r="S54">
        <f t="shared" si="36"/>
        <v>6.3620434171821421</v>
      </c>
      <c r="T54">
        <f t="shared" si="37"/>
        <v>4.685708352560285</v>
      </c>
      <c r="U54">
        <f t="shared" si="38"/>
        <v>3.4901232244576543</v>
      </c>
      <c r="V54">
        <f t="shared" si="39"/>
        <v>2.6290756421965522</v>
      </c>
      <c r="W54">
        <f t="shared" si="40"/>
        <v>1.9983736494216879</v>
      </c>
      <c r="X54">
        <f t="shared" si="41"/>
        <v>1.5344857276583441</v>
      </c>
      <c r="Y54">
        <f t="shared" si="42"/>
        <v>5.4414454575496816</v>
      </c>
      <c r="Z54">
        <f t="shared" si="46"/>
        <v>17916.414396343804</v>
      </c>
      <c r="AA54">
        <f t="shared" si="21"/>
        <v>0.15246102565651129</v>
      </c>
      <c r="AB54">
        <f t="shared" si="22"/>
        <v>4476.1757335476241</v>
      </c>
      <c r="AC54">
        <f t="shared" si="47"/>
        <v>24805.154414178873</v>
      </c>
      <c r="AD54">
        <f t="shared" si="48"/>
        <v>19596.442048560282</v>
      </c>
      <c r="AE54">
        <v>2987.6936539418857</v>
      </c>
      <c r="AF54">
        <v>19.029895884980164</v>
      </c>
      <c r="AG54">
        <f>q*AD54</f>
        <v>21.176365995841358</v>
      </c>
      <c r="AH54">
        <f t="shared" si="23"/>
        <v>-0.10687453810268971</v>
      </c>
      <c r="AI54">
        <f>LN(_xlfn.NORM.DIST(AH54,0,sdresid,FALSE))</f>
        <v>0.81641110243362847</v>
      </c>
    </row>
    <row r="55" spans="5:35" x14ac:dyDescent="0.3">
      <c r="E55">
        <v>41</v>
      </c>
      <c r="F55">
        <f t="shared" si="49"/>
        <v>2025.0202597231969</v>
      </c>
      <c r="G55">
        <f t="shared" si="24"/>
        <v>974.95621030141535</v>
      </c>
      <c r="H55">
        <f t="shared" si="25"/>
        <v>544.61652530109586</v>
      </c>
      <c r="I55">
        <f t="shared" si="26"/>
        <v>322.08055925266592</v>
      </c>
      <c r="J55">
        <f t="shared" si="27"/>
        <v>194.78205997634288</v>
      </c>
      <c r="K55">
        <f t="shared" si="28"/>
        <v>122.42737544425503</v>
      </c>
      <c r="L55">
        <f t="shared" si="29"/>
        <v>78.382310186969377</v>
      </c>
      <c r="M55">
        <f t="shared" si="30"/>
        <v>51.412922021689319</v>
      </c>
      <c r="N55">
        <f t="shared" si="31"/>
        <v>35.075271159395477</v>
      </c>
      <c r="O55">
        <f t="shared" si="32"/>
        <v>23.944977141300928</v>
      </c>
      <c r="P55">
        <f t="shared" si="33"/>
        <v>16.802961304387026</v>
      </c>
      <c r="Q55">
        <f t="shared" si="34"/>
        <v>11.834167474327623</v>
      </c>
      <c r="R55">
        <f t="shared" si="35"/>
        <v>8.408312000029456</v>
      </c>
      <c r="S55">
        <f t="shared" si="36"/>
        <v>6.0675651349155082</v>
      </c>
      <c r="T55">
        <f t="shared" si="37"/>
        <v>4.4350390834260809</v>
      </c>
      <c r="U55">
        <f t="shared" si="38"/>
        <v>3.2835345019369884</v>
      </c>
      <c r="V55">
        <f t="shared" si="39"/>
        <v>2.4564213707989366</v>
      </c>
      <c r="W55">
        <f t="shared" si="40"/>
        <v>1.8571832353169757</v>
      </c>
      <c r="X55">
        <f t="shared" si="41"/>
        <v>1.4160006937813705</v>
      </c>
      <c r="Y55">
        <f t="shared" si="42"/>
        <v>4.9642066723487037</v>
      </c>
      <c r="Z55">
        <f t="shared" si="46"/>
        <v>17439.284710586293</v>
      </c>
      <c r="AA55">
        <f t="shared" si="21"/>
        <v>0.14138051663239565</v>
      </c>
      <c r="AB55">
        <f t="shared" si="22"/>
        <v>4434.2238619795962</v>
      </c>
      <c r="AC55">
        <f t="shared" si="47"/>
        <v>24200.243822122091</v>
      </c>
      <c r="AD55">
        <f t="shared" si="48"/>
        <v>19050.195797373643</v>
      </c>
      <c r="AE55">
        <v>2693.3265237809778</v>
      </c>
      <c r="AF55">
        <v>16.728736172552658</v>
      </c>
      <c r="AG55">
        <f>q*AD55</f>
        <v>20.586079733145297</v>
      </c>
      <c r="AH55">
        <f t="shared" si="23"/>
        <v>-0.20748713670992414</v>
      </c>
      <c r="AI55">
        <f>LN(_xlfn.NORM.DIST(AH55,0,sdresid,FALSE))</f>
        <v>-0.49366467663853436</v>
      </c>
    </row>
    <row r="56" spans="5:35" x14ac:dyDescent="0.3">
      <c r="E56">
        <v>42</v>
      </c>
      <c r="F56">
        <f t="shared" si="49"/>
        <v>2004.3597768340271</v>
      </c>
      <c r="G56">
        <f t="shared" si="24"/>
        <v>973.02795901080594</v>
      </c>
      <c r="H56">
        <f t="shared" si="25"/>
        <v>542.23307793050515</v>
      </c>
      <c r="I56">
        <f t="shared" si="26"/>
        <v>319.24843090062006</v>
      </c>
      <c r="J56">
        <f t="shared" si="27"/>
        <v>193.95522141913764</v>
      </c>
      <c r="K56">
        <f t="shared" si="28"/>
        <v>120.50896722726831</v>
      </c>
      <c r="L56">
        <f t="shared" si="29"/>
        <v>77.771956089806821</v>
      </c>
      <c r="M56">
        <f t="shared" si="30"/>
        <v>50.96275276504398</v>
      </c>
      <c r="N56">
        <f t="shared" si="31"/>
        <v>34.085962857653158</v>
      </c>
      <c r="O56">
        <f t="shared" si="32"/>
        <v>23.632063655410214</v>
      </c>
      <c r="P56">
        <f t="shared" si="33"/>
        <v>16.348517364046955</v>
      </c>
      <c r="Q56">
        <f t="shared" si="34"/>
        <v>11.598542369400084</v>
      </c>
      <c r="R56">
        <f t="shared" si="35"/>
        <v>8.243043734717789</v>
      </c>
      <c r="S56">
        <f t="shared" si="36"/>
        <v>5.9009521278603838</v>
      </c>
      <c r="T56">
        <f t="shared" si="37"/>
        <v>4.284935168054</v>
      </c>
      <c r="U56">
        <f t="shared" si="38"/>
        <v>3.1484352977810799</v>
      </c>
      <c r="V56">
        <f t="shared" si="39"/>
        <v>2.3411870825181653</v>
      </c>
      <c r="W56">
        <f t="shared" si="40"/>
        <v>1.7578751476317866</v>
      </c>
      <c r="X56">
        <f t="shared" si="41"/>
        <v>1.3331401457918539</v>
      </c>
      <c r="Y56">
        <f t="shared" si="42"/>
        <v>4.5995554280690731</v>
      </c>
      <c r="Z56">
        <f t="shared" si="46"/>
        <v>17212.507449023033</v>
      </c>
      <c r="AA56">
        <f t="shared" si="21"/>
        <v>0.11999466728256503</v>
      </c>
      <c r="AB56">
        <f t="shared" si="22"/>
        <v>4399.3423525561493</v>
      </c>
      <c r="AC56">
        <f t="shared" si="47"/>
        <v>23897.578780697389</v>
      </c>
      <c r="AD56">
        <f t="shared" si="48"/>
        <v>18776.425975696253</v>
      </c>
      <c r="AE56">
        <v>2253.0709877093832</v>
      </c>
      <c r="AF56">
        <v>13.654975683087171</v>
      </c>
      <c r="AG56">
        <f>q*AD56</f>
        <v>20.290237767134812</v>
      </c>
      <c r="AH56">
        <f t="shared" si="23"/>
        <v>-0.39603589809085532</v>
      </c>
      <c r="AI56">
        <f>LN(_xlfn.NORM.DIST(AH56,0,sdresid,FALSE))</f>
        <v>-5.2070396533613961</v>
      </c>
    </row>
    <row r="57" spans="5:35" x14ac:dyDescent="0.3">
      <c r="E57">
        <v>43</v>
      </c>
      <c r="F57">
        <f t="shared" si="49"/>
        <v>1994.2934694297824</v>
      </c>
      <c r="G57">
        <f t="shared" si="24"/>
        <v>964.3836893097257</v>
      </c>
      <c r="H57">
        <f t="shared" si="25"/>
        <v>544.00535032714754</v>
      </c>
      <c r="I57">
        <f t="shared" si="26"/>
        <v>321.80882295841263</v>
      </c>
      <c r="J57">
        <f t="shared" si="27"/>
        <v>195.8576881149389</v>
      </c>
      <c r="K57">
        <f t="shared" si="28"/>
        <v>122.64981766955312</v>
      </c>
      <c r="L57">
        <f t="shared" si="29"/>
        <v>78.357559761486982</v>
      </c>
      <c r="M57">
        <f t="shared" si="30"/>
        <v>51.790193371253636</v>
      </c>
      <c r="N57">
        <f t="shared" si="31"/>
        <v>34.615707288331869</v>
      </c>
      <c r="O57">
        <f t="shared" si="32"/>
        <v>23.531925909392459</v>
      </c>
      <c r="P57">
        <f t="shared" si="33"/>
        <v>16.53414575094201</v>
      </c>
      <c r="Q57">
        <f t="shared" si="34"/>
        <v>11.564645813910012</v>
      </c>
      <c r="R57">
        <f t="shared" si="35"/>
        <v>8.2794612968893002</v>
      </c>
      <c r="S57">
        <f t="shared" si="36"/>
        <v>5.9286748819712258</v>
      </c>
      <c r="T57">
        <f t="shared" si="37"/>
        <v>4.2708470435939203</v>
      </c>
      <c r="U57">
        <f t="shared" si="38"/>
        <v>3.1175069009518186</v>
      </c>
      <c r="V57">
        <f t="shared" si="39"/>
        <v>2.3006885303481659</v>
      </c>
      <c r="W57">
        <f t="shared" si="40"/>
        <v>1.7170848767282394</v>
      </c>
      <c r="X57">
        <f t="shared" si="41"/>
        <v>1.2932456908498464</v>
      </c>
      <c r="Y57">
        <f t="shared" si="42"/>
        <v>4.3833310957482148</v>
      </c>
      <c r="Z57">
        <f t="shared" si="46"/>
        <v>17370.346510781208</v>
      </c>
      <c r="AA57">
        <f t="shared" si="21"/>
        <v>0.12278674791276056</v>
      </c>
      <c r="AB57">
        <f t="shared" si="22"/>
        <v>4390.6838560219567</v>
      </c>
      <c r="AC57">
        <f t="shared" si="47"/>
        <v>24022.945987340849</v>
      </c>
      <c r="AD57">
        <f t="shared" si="48"/>
        <v>18905.355981117293</v>
      </c>
      <c r="AE57">
        <v>2321.3271790544491</v>
      </c>
      <c r="AF57">
        <v>13.735663781387272</v>
      </c>
      <c r="AG57">
        <f>q*AD57</f>
        <v>20.429562496382911</v>
      </c>
      <c r="AH57">
        <f t="shared" si="23"/>
        <v>-0.39698734772615613</v>
      </c>
      <c r="AI57">
        <f>LN(_xlfn.NORM.DIST(AH57,0,sdresid,FALSE))</f>
        <v>-5.2382922552267708</v>
      </c>
    </row>
    <row r="58" spans="5:35" x14ac:dyDescent="0.3">
      <c r="E58">
        <v>44</v>
      </c>
      <c r="F58">
        <f t="shared" si="49"/>
        <v>2001.3168391254303</v>
      </c>
      <c r="G58">
        <f t="shared" si="24"/>
        <v>959.37367243654683</v>
      </c>
      <c r="H58">
        <f t="shared" si="25"/>
        <v>538.80437262601299</v>
      </c>
      <c r="I58">
        <f t="shared" si="26"/>
        <v>322.3422700189555</v>
      </c>
      <c r="J58">
        <f t="shared" si="27"/>
        <v>196.95365523748512</v>
      </c>
      <c r="K58">
        <f t="shared" si="28"/>
        <v>123.50317675408766</v>
      </c>
      <c r="L58">
        <f t="shared" si="29"/>
        <v>79.509841635828707</v>
      </c>
      <c r="M58">
        <f t="shared" si="30"/>
        <v>52.019118195022614</v>
      </c>
      <c r="N58">
        <f t="shared" si="31"/>
        <v>35.067851108085335</v>
      </c>
      <c r="O58">
        <f t="shared" si="32"/>
        <v>23.822547081254267</v>
      </c>
      <c r="P58">
        <f t="shared" si="33"/>
        <v>16.412177577460458</v>
      </c>
      <c r="Q58">
        <f t="shared" si="34"/>
        <v>11.659012376297197</v>
      </c>
      <c r="R58">
        <f t="shared" si="35"/>
        <v>8.2291590689256715</v>
      </c>
      <c r="S58">
        <f t="shared" si="36"/>
        <v>5.936022588544251</v>
      </c>
      <c r="T58">
        <f t="shared" si="37"/>
        <v>4.2773255905752885</v>
      </c>
      <c r="U58">
        <f t="shared" si="38"/>
        <v>3.0974154341742226</v>
      </c>
      <c r="V58">
        <f t="shared" si="39"/>
        <v>2.2708707097013812</v>
      </c>
      <c r="W58">
        <f t="shared" si="40"/>
        <v>1.6820354736140219</v>
      </c>
      <c r="X58">
        <f t="shared" si="41"/>
        <v>1.2592334960528369</v>
      </c>
      <c r="Y58">
        <f t="shared" si="42"/>
        <v>4.180777397741636</v>
      </c>
      <c r="Z58">
        <f t="shared" si="46"/>
        <v>17461.280871861967</v>
      </c>
      <c r="AA58">
        <f t="shared" si="21"/>
        <v>0.14735131295629286</v>
      </c>
      <c r="AB58">
        <f t="shared" si="22"/>
        <v>4391.7173739317932</v>
      </c>
      <c r="AC58">
        <f t="shared" si="47"/>
        <v>24067.794363362045</v>
      </c>
      <c r="AD58">
        <f t="shared" si="48"/>
        <v>18964.241176714248</v>
      </c>
      <c r="AE58">
        <v>2794.4058366086365</v>
      </c>
      <c r="AF58">
        <v>16.152634893691541</v>
      </c>
      <c r="AG58">
        <f>q*AD58</f>
        <v>20.49319519310448</v>
      </c>
      <c r="AH58">
        <f t="shared" si="23"/>
        <v>-0.2380097015665997</v>
      </c>
      <c r="AI58">
        <f>LN(_xlfn.NORM.DIST(AH58,0,sdresid,FALSE))</f>
        <v>-1.0568873230495974</v>
      </c>
    </row>
    <row r="59" spans="5:35" x14ac:dyDescent="0.3">
      <c r="E59">
        <v>45</v>
      </c>
      <c r="F59">
        <f t="shared" si="49"/>
        <v>2005.3275684992598</v>
      </c>
      <c r="G59">
        <f t="shared" si="24"/>
        <v>961.2806945725456</v>
      </c>
      <c r="H59">
        <f t="shared" si="25"/>
        <v>532.78359570985674</v>
      </c>
      <c r="I59">
        <f t="shared" si="26"/>
        <v>314.74347380024352</v>
      </c>
      <c r="J59">
        <f t="shared" si="27"/>
        <v>193.09574043282527</v>
      </c>
      <c r="K59">
        <f t="shared" si="28"/>
        <v>121.1005202250727</v>
      </c>
      <c r="L59">
        <f t="shared" si="29"/>
        <v>77.939100902046306</v>
      </c>
      <c r="M59">
        <f t="shared" si="30"/>
        <v>51.346403252068086</v>
      </c>
      <c r="N59">
        <f t="shared" si="31"/>
        <v>34.251840308662956</v>
      </c>
      <c r="O59">
        <f t="shared" si="32"/>
        <v>23.464370414750089</v>
      </c>
      <c r="P59">
        <f t="shared" si="33"/>
        <v>16.152555255793033</v>
      </c>
      <c r="Q59">
        <f t="shared" si="34"/>
        <v>11.250376751020987</v>
      </c>
      <c r="R59">
        <f t="shared" si="35"/>
        <v>8.0647583269362322</v>
      </c>
      <c r="S59">
        <f t="shared" si="36"/>
        <v>5.735167828955082</v>
      </c>
      <c r="T59">
        <f t="shared" si="37"/>
        <v>4.1629501415979835</v>
      </c>
      <c r="U59">
        <f t="shared" si="38"/>
        <v>3.0153964103700206</v>
      </c>
      <c r="V59">
        <f t="shared" si="39"/>
        <v>2.1931483290284941</v>
      </c>
      <c r="W59">
        <f t="shared" si="40"/>
        <v>1.6138048397749838</v>
      </c>
      <c r="X59">
        <f t="shared" si="41"/>
        <v>1.1990277186325742</v>
      </c>
      <c r="Y59">
        <f t="shared" si="42"/>
        <v>3.8944336614417994</v>
      </c>
      <c r="Z59">
        <f t="shared" si="46"/>
        <v>17093.901834108441</v>
      </c>
      <c r="AA59">
        <f t="shared" si="21"/>
        <v>0.12563513026325668</v>
      </c>
      <c r="AB59">
        <f t="shared" si="22"/>
        <v>4372.6149273808833</v>
      </c>
      <c r="AC59">
        <f t="shared" si="47"/>
        <v>23650.587621664632</v>
      </c>
      <c r="AD59">
        <f t="shared" si="48"/>
        <v>18583.45401638058</v>
      </c>
      <c r="AE59">
        <v>2334.7346660892144</v>
      </c>
      <c r="AF59">
        <v>13.19059133383737</v>
      </c>
      <c r="AG59">
        <f>q*AD59</f>
        <v>20.08170782954323</v>
      </c>
      <c r="AH59">
        <f t="shared" si="23"/>
        <v>-0.42030554477304233</v>
      </c>
      <c r="AI59">
        <f>LN(_xlfn.NORM.DIST(AH59,0,sdresid,FALSE))</f>
        <v>-6.0276741251368193</v>
      </c>
    </row>
    <row r="60" spans="5:35" x14ac:dyDescent="0.3">
      <c r="E60">
        <v>46</v>
      </c>
      <c r="F60">
        <f t="shared" si="49"/>
        <v>1988.9636247198532</v>
      </c>
      <c r="G60">
        <f t="shared" si="24"/>
        <v>964.51074437606349</v>
      </c>
      <c r="H60">
        <f t="shared" si="25"/>
        <v>536.69640878714449</v>
      </c>
      <c r="I60">
        <f t="shared" si="26"/>
        <v>315.17506683238793</v>
      </c>
      <c r="J60">
        <f t="shared" si="27"/>
        <v>192.15575214372095</v>
      </c>
      <c r="K60">
        <f t="shared" si="28"/>
        <v>121.40985021152449</v>
      </c>
      <c r="L60">
        <f t="shared" si="29"/>
        <v>78.263992365454683</v>
      </c>
      <c r="M60">
        <f t="shared" si="30"/>
        <v>51.577903931903272</v>
      </c>
      <c r="N60">
        <f t="shared" si="31"/>
        <v>34.656216372914145</v>
      </c>
      <c r="O60">
        <f t="shared" si="32"/>
        <v>23.496326136500162</v>
      </c>
      <c r="P60">
        <f t="shared" si="33"/>
        <v>16.312259879819567</v>
      </c>
      <c r="Q60">
        <f t="shared" si="34"/>
        <v>11.353116020535129</v>
      </c>
      <c r="R60">
        <f t="shared" si="35"/>
        <v>7.9796234811374456</v>
      </c>
      <c r="S60">
        <f t="shared" si="36"/>
        <v>5.7633631713454756</v>
      </c>
      <c r="T60">
        <f t="shared" si="37"/>
        <v>4.1243096820258369</v>
      </c>
      <c r="U60">
        <f t="shared" si="38"/>
        <v>3.0093771699124576</v>
      </c>
      <c r="V60">
        <f t="shared" si="39"/>
        <v>2.1893692810785241</v>
      </c>
      <c r="W60">
        <f t="shared" si="40"/>
        <v>1.5982131225962983</v>
      </c>
      <c r="X60">
        <f t="shared" si="41"/>
        <v>1.1796541173406505</v>
      </c>
      <c r="Y60">
        <f t="shared" si="42"/>
        <v>3.7390846803046935</v>
      </c>
      <c r="Z60">
        <f t="shared" si="46"/>
        <v>17112.110692705155</v>
      </c>
      <c r="AA60">
        <f t="shared" si="21"/>
        <v>0.14967744622390192</v>
      </c>
      <c r="AB60">
        <f t="shared" si="22"/>
        <v>4364.1542564835627</v>
      </c>
      <c r="AC60">
        <f t="shared" si="47"/>
        <v>23693.878497444508</v>
      </c>
      <c r="AD60">
        <f t="shared" si="48"/>
        <v>18618.270560216773</v>
      </c>
      <c r="AE60">
        <v>2786.7351905589026</v>
      </c>
      <c r="AF60">
        <v>15.396327019662445</v>
      </c>
      <c r="AG60">
        <f>q*AD60</f>
        <v>20.119331387593128</v>
      </c>
      <c r="AH60">
        <f t="shared" si="23"/>
        <v>-0.26755213769045622</v>
      </c>
      <c r="AI60">
        <f>LN(_xlfn.NORM.DIST(AH60,0,sdresid,FALSE))</f>
        <v>-1.6755231217934556</v>
      </c>
    </row>
    <row r="61" spans="5:35" x14ac:dyDescent="0.3">
      <c r="E61">
        <v>47</v>
      </c>
      <c r="F61">
        <f t="shared" si="49"/>
        <v>1989.7848260371966</v>
      </c>
      <c r="G61">
        <f t="shared" si="24"/>
        <v>955.2086521706749</v>
      </c>
      <c r="H61">
        <f t="shared" si="25"/>
        <v>535.32973618992332</v>
      </c>
      <c r="I61">
        <f t="shared" si="26"/>
        <v>313.08603759358601</v>
      </c>
      <c r="J61">
        <f t="shared" si="27"/>
        <v>188.41487325645713</v>
      </c>
      <c r="K61">
        <f t="shared" si="28"/>
        <v>117.86461800435966</v>
      </c>
      <c r="L61">
        <f t="shared" si="29"/>
        <v>76.420348859838356</v>
      </c>
      <c r="M61">
        <f t="shared" si="30"/>
        <v>50.407842990589401</v>
      </c>
      <c r="N61">
        <f t="shared" si="31"/>
        <v>33.870153620777053</v>
      </c>
      <c r="O61">
        <f t="shared" si="32"/>
        <v>23.126300946006353</v>
      </c>
      <c r="P61">
        <f t="shared" si="33"/>
        <v>15.888186387928775</v>
      </c>
      <c r="Q61">
        <f t="shared" si="34"/>
        <v>11.151518861277726</v>
      </c>
      <c r="R61">
        <f t="shared" si="35"/>
        <v>7.8318127939516833</v>
      </c>
      <c r="S61">
        <f t="shared" si="36"/>
        <v>5.5461268210949308</v>
      </c>
      <c r="T61">
        <f t="shared" si="37"/>
        <v>4.030860483935454</v>
      </c>
      <c r="U61">
        <f t="shared" si="38"/>
        <v>2.8996064928568366</v>
      </c>
      <c r="V61">
        <f t="shared" si="39"/>
        <v>2.1250079474891894</v>
      </c>
      <c r="W61">
        <f t="shared" si="40"/>
        <v>1.55164652036366</v>
      </c>
      <c r="X61">
        <f t="shared" si="41"/>
        <v>1.1361711672527739</v>
      </c>
      <c r="Y61">
        <f t="shared" si="42"/>
        <v>3.5116012952513911</v>
      </c>
      <c r="Z61">
        <f t="shared" si="46"/>
        <v>16764.887112334418</v>
      </c>
      <c r="AA61">
        <f t="shared" si="21"/>
        <v>0.11683283461473776</v>
      </c>
      <c r="AB61">
        <f t="shared" si="22"/>
        <v>4339.185928440811</v>
      </c>
      <c r="AC61">
        <f t="shared" si="47"/>
        <v>23295.286247511816</v>
      </c>
      <c r="AD61">
        <f t="shared" si="48"/>
        <v>18254.402795313919</v>
      </c>
      <c r="AE61">
        <v>2132.7136227757178</v>
      </c>
      <c r="AF61">
        <v>11.52818174473361</v>
      </c>
      <c r="AG61">
        <f>q*AD61</f>
        <v>19.726127511880513</v>
      </c>
      <c r="AH61">
        <f t="shared" si="23"/>
        <v>-0.53714940258657973</v>
      </c>
      <c r="AI61">
        <f>LN(_xlfn.NORM.DIST(AH61,0,sdresid,FALSE))</f>
        <v>-10.661489141688076</v>
      </c>
    </row>
    <row r="62" spans="5:35" x14ac:dyDescent="0.3">
      <c r="E62">
        <v>48</v>
      </c>
      <c r="F62">
        <f t="shared" si="49"/>
        <v>1973.9386850740918</v>
      </c>
      <c r="G62">
        <f t="shared" si="24"/>
        <v>957.55938408898544</v>
      </c>
      <c r="H62">
        <f t="shared" si="25"/>
        <v>534.45571970580022</v>
      </c>
      <c r="I62">
        <f t="shared" si="26"/>
        <v>318.28943403710582</v>
      </c>
      <c r="J62">
        <f t="shared" si="27"/>
        <v>192.60021265441662</v>
      </c>
      <c r="K62">
        <f t="shared" si="28"/>
        <v>119.52726276969696</v>
      </c>
      <c r="L62">
        <f t="shared" si="29"/>
        <v>76.899048837936718</v>
      </c>
      <c r="M62">
        <f t="shared" si="30"/>
        <v>51.067986600335288</v>
      </c>
      <c r="N62">
        <f t="shared" si="31"/>
        <v>34.359906430906136</v>
      </c>
      <c r="O62">
        <f t="shared" si="32"/>
        <v>23.466149708855191</v>
      </c>
      <c r="P62">
        <f t="shared" si="33"/>
        <v>16.238057132413928</v>
      </c>
      <c r="Q62">
        <f t="shared" si="34"/>
        <v>11.279217544706114</v>
      </c>
      <c r="R62">
        <f t="shared" si="35"/>
        <v>7.9888663562231548</v>
      </c>
      <c r="S62">
        <f t="shared" si="36"/>
        <v>5.6530905538095624</v>
      </c>
      <c r="T62">
        <f t="shared" si="37"/>
        <v>4.0284326441860729</v>
      </c>
      <c r="U62">
        <f t="shared" si="38"/>
        <v>2.9431734334455104</v>
      </c>
      <c r="V62">
        <f t="shared" si="39"/>
        <v>2.1264610014562813</v>
      </c>
      <c r="W62">
        <f t="shared" si="40"/>
        <v>1.564126194215546</v>
      </c>
      <c r="X62">
        <f t="shared" si="41"/>
        <v>1.1456226842643331</v>
      </c>
      <c r="Y62">
        <f t="shared" si="42"/>
        <v>3.4461520766939322</v>
      </c>
      <c r="Z62">
        <f t="shared" si="46"/>
        <v>17021.503511416449</v>
      </c>
      <c r="AA62">
        <f t="shared" si="21"/>
        <v>0.14976770320592914</v>
      </c>
      <c r="AB62">
        <f t="shared" si="22"/>
        <v>4338.5769895295452</v>
      </c>
      <c r="AC62">
        <f t="shared" si="47"/>
        <v>23540.41516775938</v>
      </c>
      <c r="AD62">
        <f t="shared" si="48"/>
        <v>18484.7751207441</v>
      </c>
      <c r="AE62">
        <v>2768.4223141119451</v>
      </c>
      <c r="AF62">
        <v>14.647737111703414</v>
      </c>
      <c r="AG62">
        <f>q*AD62</f>
        <v>19.975073145303849</v>
      </c>
      <c r="AH62">
        <f t="shared" si="23"/>
        <v>-0.31019929332070195</v>
      </c>
      <c r="AI62">
        <f>LN(_xlfn.NORM.DIST(AH62,0,sdresid,FALSE))</f>
        <v>-2.6960996085800972</v>
      </c>
    </row>
    <row r="63" spans="5:35" x14ac:dyDescent="0.3">
      <c r="E63">
        <v>49</v>
      </c>
      <c r="F63">
        <f t="shared" si="49"/>
        <v>1985.6879108619864</v>
      </c>
      <c r="G63">
        <f t="shared" si="24"/>
        <v>947.98752466422491</v>
      </c>
      <c r="H63">
        <f t="shared" si="25"/>
        <v>531.45972698191838</v>
      </c>
      <c r="I63">
        <f t="shared" si="26"/>
        <v>311.76245125804479</v>
      </c>
      <c r="J63">
        <f t="shared" si="27"/>
        <v>190.26149245707174</v>
      </c>
      <c r="K63">
        <f t="shared" si="28"/>
        <v>118.12612545762481</v>
      </c>
      <c r="L63">
        <f t="shared" si="29"/>
        <v>75.227818232948295</v>
      </c>
      <c r="M63">
        <f t="shared" si="30"/>
        <v>49.523608675771911</v>
      </c>
      <c r="N63">
        <f t="shared" si="31"/>
        <v>33.531798791301853</v>
      </c>
      <c r="O63">
        <f t="shared" si="32"/>
        <v>22.926161846345853</v>
      </c>
      <c r="P63">
        <f t="shared" si="33"/>
        <v>15.866107869031213</v>
      </c>
      <c r="Q63">
        <f t="shared" si="34"/>
        <v>11.099618924451413</v>
      </c>
      <c r="R63">
        <f t="shared" si="35"/>
        <v>7.7800117402817399</v>
      </c>
      <c r="S63">
        <f t="shared" si="36"/>
        <v>5.5519631491019226</v>
      </c>
      <c r="T63">
        <f t="shared" si="37"/>
        <v>3.9533177328400444</v>
      </c>
      <c r="U63">
        <f t="shared" si="38"/>
        <v>2.831899811829059</v>
      </c>
      <c r="V63">
        <f t="shared" si="39"/>
        <v>2.0780393242332451</v>
      </c>
      <c r="W63">
        <f t="shared" si="40"/>
        <v>1.506902507831082</v>
      </c>
      <c r="X63">
        <f t="shared" si="41"/>
        <v>1.111820854997756</v>
      </c>
      <c r="Y63">
        <f t="shared" si="42"/>
        <v>3.2777575478063019</v>
      </c>
      <c r="Z63">
        <f t="shared" si="46"/>
        <v>16700.158625103377</v>
      </c>
      <c r="AA63">
        <f t="shared" si="21"/>
        <v>0.17643982250851609</v>
      </c>
      <c r="AB63">
        <f t="shared" si="22"/>
        <v>4321.5520586896446</v>
      </c>
      <c r="AC63">
        <f t="shared" si="47"/>
        <v>23155.981837531166</v>
      </c>
      <c r="AD63">
        <f t="shared" si="48"/>
        <v>18140.342572344409</v>
      </c>
      <c r="AE63">
        <v>3200.6788237081255</v>
      </c>
      <c r="AF63">
        <v>16.583828102114641</v>
      </c>
      <c r="AG63">
        <f>q*AD63</f>
        <v>19.602871411554531</v>
      </c>
      <c r="AH63">
        <f t="shared" si="23"/>
        <v>-0.16724804630100135</v>
      </c>
      <c r="AI63">
        <f>LN(_xlfn.NORM.DIST(AH63,0,sdresid,FALSE))</f>
        <v>0.13091389831616534</v>
      </c>
    </row>
    <row r="64" spans="5:35" x14ac:dyDescent="0.3">
      <c r="E64">
        <v>50</v>
      </c>
      <c r="F64">
        <f t="shared" si="49"/>
        <v>1970.9404882323638</v>
      </c>
      <c r="G64">
        <f t="shared" si="24"/>
        <v>952.04469218742133</v>
      </c>
      <c r="H64">
        <f t="shared" si="25"/>
        <v>522.69064718663026</v>
      </c>
      <c r="I64">
        <f t="shared" si="26"/>
        <v>305.17708383199152</v>
      </c>
      <c r="J64">
        <f t="shared" si="27"/>
        <v>181.96562694476268</v>
      </c>
      <c r="K64">
        <f t="shared" si="28"/>
        <v>113.4466942326473</v>
      </c>
      <c r="L64">
        <f t="shared" si="29"/>
        <v>72.140206465473028</v>
      </c>
      <c r="M64">
        <f t="shared" si="30"/>
        <v>46.970365708610466</v>
      </c>
      <c r="N64">
        <f t="shared" si="31"/>
        <v>31.513993608568608</v>
      </c>
      <c r="O64">
        <f t="shared" si="32"/>
        <v>21.67868339298602</v>
      </c>
      <c r="P64">
        <f t="shared" si="33"/>
        <v>15.017916550777045</v>
      </c>
      <c r="Q64">
        <f t="shared" si="34"/>
        <v>10.506715839930944</v>
      </c>
      <c r="R64">
        <f t="shared" si="35"/>
        <v>7.4167774913296096</v>
      </c>
      <c r="S64">
        <f t="shared" si="36"/>
        <v>5.2376543060305671</v>
      </c>
      <c r="T64">
        <f t="shared" si="37"/>
        <v>3.7610603319493454</v>
      </c>
      <c r="U64">
        <f t="shared" si="38"/>
        <v>2.6920704959214237</v>
      </c>
      <c r="V64">
        <f t="shared" si="39"/>
        <v>1.9368461518959594</v>
      </c>
      <c r="W64">
        <f t="shared" si="40"/>
        <v>1.4264553553587791</v>
      </c>
      <c r="X64">
        <f t="shared" si="41"/>
        <v>1.0375830870365352</v>
      </c>
      <c r="Y64">
        <f t="shared" si="42"/>
        <v>3.0352032054480231</v>
      </c>
      <c r="Z64">
        <f t="shared" si="46"/>
        <v>16008.664170552023</v>
      </c>
      <c r="AA64">
        <f t="shared" si="21"/>
        <v>0.14964304654941363</v>
      </c>
      <c r="AB64">
        <f t="shared" si="22"/>
        <v>4270.6367646071321</v>
      </c>
      <c r="AC64">
        <f t="shared" si="47"/>
        <v>22367.916877769745</v>
      </c>
      <c r="AD64">
        <f t="shared" si="48"/>
        <v>17409.388493036098</v>
      </c>
      <c r="AE64">
        <v>2605.1939326602269</v>
      </c>
      <c r="AF64">
        <v>13.224334683554451</v>
      </c>
      <c r="AG64">
        <f>q*AD64</f>
        <v>18.812985621510148</v>
      </c>
      <c r="AH64">
        <f t="shared" si="23"/>
        <v>-0.35248868694671193</v>
      </c>
      <c r="AI64">
        <f>LN(_xlfn.NORM.DIST(AH64,0,sdresid,FALSE))</f>
        <v>-3.8568932192429055</v>
      </c>
    </row>
    <row r="65" spans="5:35" x14ac:dyDescent="0.3">
      <c r="E65">
        <v>51</v>
      </c>
      <c r="F65">
        <f t="shared" si="49"/>
        <v>1938.0082767897047</v>
      </c>
      <c r="G65">
        <f t="shared" si="24"/>
        <v>946.55499005048068</v>
      </c>
      <c r="H65">
        <f t="shared" si="25"/>
        <v>528.41521473436546</v>
      </c>
      <c r="I65">
        <f t="shared" si="26"/>
        <v>304.92180366541402</v>
      </c>
      <c r="J65">
        <f t="shared" si="27"/>
        <v>182.44352462350653</v>
      </c>
      <c r="K65">
        <f t="shared" si="28"/>
        <v>111.61819522174018</v>
      </c>
      <c r="L65">
        <f t="shared" si="29"/>
        <v>71.410743390000889</v>
      </c>
      <c r="M65">
        <f t="shared" si="30"/>
        <v>46.465495236516077</v>
      </c>
      <c r="N65">
        <f t="shared" si="31"/>
        <v>30.845705411793336</v>
      </c>
      <c r="O65">
        <f t="shared" si="32"/>
        <v>21.030319198783364</v>
      </c>
      <c r="P65">
        <f t="shared" si="33"/>
        <v>14.659687786463854</v>
      </c>
      <c r="Q65">
        <f t="shared" si="34"/>
        <v>10.26708284161136</v>
      </c>
      <c r="R65">
        <f t="shared" si="35"/>
        <v>7.2482258513258007</v>
      </c>
      <c r="S65">
        <f t="shared" si="36"/>
        <v>5.1551364957014787</v>
      </c>
      <c r="T65">
        <f t="shared" si="37"/>
        <v>3.6633308368772104</v>
      </c>
      <c r="U65">
        <f t="shared" si="38"/>
        <v>2.6443298863499236</v>
      </c>
      <c r="V65">
        <f t="shared" si="39"/>
        <v>1.9010253450077439</v>
      </c>
      <c r="W65">
        <f t="shared" si="40"/>
        <v>1.3727341628777174</v>
      </c>
      <c r="X65">
        <f t="shared" si="41"/>
        <v>1.0141093883152839</v>
      </c>
      <c r="Y65">
        <f t="shared" si="42"/>
        <v>2.9076792522102957</v>
      </c>
      <c r="Z65">
        <f t="shared" si="46"/>
        <v>15858.761766419504</v>
      </c>
      <c r="AA65">
        <f t="shared" si="21"/>
        <v>0.14852651919532034</v>
      </c>
      <c r="AB65">
        <f t="shared" si="22"/>
        <v>4232.5476101690438</v>
      </c>
      <c r="AC65">
        <f t="shared" si="47"/>
        <v>22182.151546842018</v>
      </c>
      <c r="AD65">
        <f t="shared" si="48"/>
        <v>17236.026926456736</v>
      </c>
      <c r="AE65">
        <v>2560.0070841434344</v>
      </c>
      <c r="AF65">
        <v>12.736353652454898</v>
      </c>
      <c r="AG65">
        <f>q*AD65</f>
        <v>18.625647125348458</v>
      </c>
      <c r="AH65">
        <f t="shared" si="23"/>
        <v>-0.38007911199294958</v>
      </c>
      <c r="AI65">
        <f>LN(_xlfn.NORM.DIST(AH65,0,sdresid,FALSE))</f>
        <v>-4.6940767443249181</v>
      </c>
    </row>
    <row r="66" spans="5:35" x14ac:dyDescent="0.3">
      <c r="E66">
        <v>52</v>
      </c>
      <c r="F66">
        <f t="shared" si="49"/>
        <v>1930.6441571305832</v>
      </c>
      <c r="G66">
        <f t="shared" si="24"/>
        <v>930.80388867125805</v>
      </c>
      <c r="H66">
        <f t="shared" si="25"/>
        <v>525.51273164399367</v>
      </c>
      <c r="I66">
        <f t="shared" si="26"/>
        <v>308.46269491288967</v>
      </c>
      <c r="J66">
        <f t="shared" si="27"/>
        <v>182.47082458997332</v>
      </c>
      <c r="K66">
        <f t="shared" si="28"/>
        <v>112.04159845175224</v>
      </c>
      <c r="L66">
        <f t="shared" si="29"/>
        <v>70.34701594504304</v>
      </c>
      <c r="M66">
        <f t="shared" si="30"/>
        <v>46.05433827747683</v>
      </c>
      <c r="N66">
        <f t="shared" si="31"/>
        <v>30.553577646915173</v>
      </c>
      <c r="O66">
        <f t="shared" si="32"/>
        <v>20.611109107989787</v>
      </c>
      <c r="P66">
        <f t="shared" si="33"/>
        <v>14.23979758276824</v>
      </c>
      <c r="Q66">
        <f t="shared" si="34"/>
        <v>10.035276301234443</v>
      </c>
      <c r="R66">
        <f t="shared" si="35"/>
        <v>7.0921792904777563</v>
      </c>
      <c r="S66">
        <f t="shared" si="36"/>
        <v>5.0445796108846945</v>
      </c>
      <c r="T66">
        <f t="shared" si="37"/>
        <v>3.6103401066219272</v>
      </c>
      <c r="U66">
        <f t="shared" si="38"/>
        <v>2.5789938968643393</v>
      </c>
      <c r="V66">
        <f t="shared" si="39"/>
        <v>1.8697610005009948</v>
      </c>
      <c r="W66">
        <f t="shared" si="40"/>
        <v>1.3491129650372349</v>
      </c>
      <c r="X66">
        <f t="shared" si="41"/>
        <v>0.9771972449363231</v>
      </c>
      <c r="Y66">
        <f t="shared" si="42"/>
        <v>2.803526815335899</v>
      </c>
      <c r="Z66">
        <f t="shared" si="46"/>
        <v>15805.953219226974</v>
      </c>
      <c r="AA66">
        <f t="shared" si="21"/>
        <v>0.18193468293676424</v>
      </c>
      <c r="AB66">
        <f t="shared" si="22"/>
        <v>4207.1027011925362</v>
      </c>
      <c r="AC66">
        <f t="shared" si="47"/>
        <v>22034.410266886222</v>
      </c>
      <c r="AD66">
        <f t="shared" si="48"/>
        <v>17119.071286381219</v>
      </c>
      <c r="AE66">
        <v>3114.5528066596316</v>
      </c>
      <c r="AF66">
        <v>15.809912724160567</v>
      </c>
      <c r="AG66">
        <f>q*AD66</f>
        <v>18.49926217070313</v>
      </c>
      <c r="AH66">
        <f t="shared" si="23"/>
        <v>-0.15709371771155431</v>
      </c>
      <c r="AI66">
        <f>LN(_xlfn.NORM.DIST(AH66,0,sdresid,FALSE))</f>
        <v>0.26733091407924964</v>
      </c>
    </row>
    <row r="67" spans="5:35" x14ac:dyDescent="0.3">
      <c r="E67">
        <v>53</v>
      </c>
      <c r="F67">
        <f t="shared" si="49"/>
        <v>1928.0301362598718</v>
      </c>
      <c r="G67">
        <f t="shared" si="24"/>
        <v>925.33621457192191</v>
      </c>
      <c r="H67">
        <f t="shared" si="25"/>
        <v>512.5169333626983</v>
      </c>
      <c r="I67">
        <f t="shared" si="26"/>
        <v>300.77668265061709</v>
      </c>
      <c r="J67">
        <f t="shared" si="27"/>
        <v>179.14395979689021</v>
      </c>
      <c r="K67">
        <f t="shared" si="28"/>
        <v>108.1602210579176</v>
      </c>
      <c r="L67">
        <f t="shared" si="29"/>
        <v>67.993341152370689</v>
      </c>
      <c r="M67">
        <f t="shared" si="30"/>
        <v>43.638380978971291</v>
      </c>
      <c r="N67">
        <f t="shared" si="31"/>
        <v>29.11404666489495</v>
      </c>
      <c r="O67">
        <f t="shared" si="32"/>
        <v>19.622778670827127</v>
      </c>
      <c r="P67">
        <f t="shared" si="33"/>
        <v>13.41195349870577</v>
      </c>
      <c r="Q67">
        <f t="shared" si="34"/>
        <v>9.3671381196181169</v>
      </c>
      <c r="R67">
        <f t="shared" si="35"/>
        <v>6.6610005459741242</v>
      </c>
      <c r="S67">
        <f t="shared" si="36"/>
        <v>4.7428232285479481</v>
      </c>
      <c r="T67">
        <f t="shared" si="37"/>
        <v>3.3945938096408228</v>
      </c>
      <c r="U67">
        <f t="shared" si="38"/>
        <v>2.4421416981016764</v>
      </c>
      <c r="V67">
        <f t="shared" si="39"/>
        <v>1.7521239258872985</v>
      </c>
      <c r="W67">
        <f t="shared" si="40"/>
        <v>1.2749325763787298</v>
      </c>
      <c r="X67">
        <f t="shared" si="41"/>
        <v>0.92274631132859286</v>
      </c>
      <c r="Y67">
        <f t="shared" si="42"/>
        <v>2.5967540065013885</v>
      </c>
      <c r="Z67">
        <f t="shared" si="46"/>
        <v>15265.378755054766</v>
      </c>
      <c r="AA67">
        <f t="shared" si="21"/>
        <v>0.13299478604847897</v>
      </c>
      <c r="AB67">
        <f t="shared" si="22"/>
        <v>4160.8989028876658</v>
      </c>
      <c r="AC67">
        <f t="shared" si="47"/>
        <v>21342.835647249514</v>
      </c>
      <c r="AD67">
        <f t="shared" si="48"/>
        <v>16499.786916822504</v>
      </c>
      <c r="AE67">
        <v>2194.3856308483014</v>
      </c>
      <c r="AF67">
        <v>11.369873734965292</v>
      </c>
      <c r="AG67">
        <f>q*AD67</f>
        <v>17.830049237417484</v>
      </c>
      <c r="AH67">
        <f t="shared" si="23"/>
        <v>-0.44991799076749783</v>
      </c>
      <c r="AI67">
        <f>LN(_xlfn.NORM.DIST(AH67,0,sdresid,FALSE))</f>
        <v>-7.0950553613387033</v>
      </c>
    </row>
    <row r="68" spans="5:35" x14ac:dyDescent="0.3">
      <c r="E68">
        <v>54</v>
      </c>
      <c r="F68">
        <f t="shared" si="49"/>
        <v>1900.6632746247069</v>
      </c>
      <c r="G68">
        <f t="shared" si="24"/>
        <v>926.90791364197094</v>
      </c>
      <c r="H68">
        <f t="shared" si="25"/>
        <v>515.69712453358716</v>
      </c>
      <c r="I68">
        <f t="shared" si="26"/>
        <v>301.89876159010862</v>
      </c>
      <c r="J68">
        <f t="shared" si="27"/>
        <v>182.45902003251979</v>
      </c>
      <c r="K68">
        <f t="shared" si="28"/>
        <v>111.79451784417944</v>
      </c>
      <c r="L68">
        <f t="shared" si="29"/>
        <v>69.343736908613423</v>
      </c>
      <c r="M68">
        <f t="shared" si="30"/>
        <v>44.627734174025534</v>
      </c>
      <c r="N68">
        <f t="shared" si="31"/>
        <v>29.209640857790209</v>
      </c>
      <c r="O68">
        <f t="shared" si="32"/>
        <v>19.805374399721529</v>
      </c>
      <c r="P68">
        <f t="shared" si="33"/>
        <v>13.527520515390556</v>
      </c>
      <c r="Q68">
        <f t="shared" si="34"/>
        <v>9.347843167669982</v>
      </c>
      <c r="R68">
        <f t="shared" si="35"/>
        <v>6.588150975036176</v>
      </c>
      <c r="S68">
        <f t="shared" si="36"/>
        <v>4.7202244015483954</v>
      </c>
      <c r="T68">
        <f t="shared" si="37"/>
        <v>3.382040337168339</v>
      </c>
      <c r="U68">
        <f t="shared" si="38"/>
        <v>2.4333168126587861</v>
      </c>
      <c r="V68">
        <f t="shared" si="39"/>
        <v>1.7582473780688279</v>
      </c>
      <c r="W68">
        <f t="shared" si="40"/>
        <v>1.2660922362906972</v>
      </c>
      <c r="X68">
        <f t="shared" si="41"/>
        <v>0.92411118007588511</v>
      </c>
      <c r="Y68">
        <f t="shared" si="42"/>
        <v>2.5617731787084623</v>
      </c>
      <c r="Z68">
        <f t="shared" si="46"/>
        <v>15495.863826857219</v>
      </c>
      <c r="AA68">
        <f t="shared" si="21"/>
        <v>0.16028295287491801</v>
      </c>
      <c r="AB68">
        <f t="shared" si="22"/>
        <v>4148.9164187898396</v>
      </c>
      <c r="AC68">
        <f t="shared" si="47"/>
        <v>21560.524346114078</v>
      </c>
      <c r="AD68">
        <f t="shared" si="48"/>
        <v>16706.722342351666</v>
      </c>
      <c r="AE68">
        <v>2677.802789893492</v>
      </c>
      <c r="AF68">
        <v>14.168268729595196</v>
      </c>
      <c r="AG68">
        <f>q*AD68</f>
        <v>18.053668417759084</v>
      </c>
      <c r="AH68">
        <f t="shared" si="23"/>
        <v>-0.2423440329067218</v>
      </c>
      <c r="AI68">
        <f>LN(_xlfn.NORM.DIST(AH68,0,sdresid,FALSE))</f>
        <v>-1.1431251366055792</v>
      </c>
    </row>
    <row r="69" spans="5:35" x14ac:dyDescent="0.3">
      <c r="E69">
        <v>55</v>
      </c>
      <c r="F69">
        <f t="shared" si="49"/>
        <v>1912.4691390267367</v>
      </c>
      <c r="G69">
        <f t="shared" si="24"/>
        <v>912.19860575487269</v>
      </c>
      <c r="H69">
        <f t="shared" si="25"/>
        <v>513.11528909936294</v>
      </c>
      <c r="I69">
        <f t="shared" si="26"/>
        <v>298.96939255527064</v>
      </c>
      <c r="J69">
        <f t="shared" si="27"/>
        <v>178.78616718938173</v>
      </c>
      <c r="K69">
        <f t="shared" si="28"/>
        <v>110.67943497884279</v>
      </c>
      <c r="L69">
        <f t="shared" si="29"/>
        <v>69.538006268835048</v>
      </c>
      <c r="M69">
        <f t="shared" si="30"/>
        <v>44.121193288536446</v>
      </c>
      <c r="N69">
        <f t="shared" si="31"/>
        <v>28.94645962582489</v>
      </c>
      <c r="O69">
        <f t="shared" si="32"/>
        <v>19.251062042247433</v>
      </c>
      <c r="P69">
        <f t="shared" si="33"/>
        <v>13.226428213266573</v>
      </c>
      <c r="Q69">
        <f t="shared" si="34"/>
        <v>9.1329829868798225</v>
      </c>
      <c r="R69">
        <f t="shared" si="35"/>
        <v>6.3683465879607279</v>
      </c>
      <c r="S69">
        <f t="shared" si="36"/>
        <v>4.5220441942525671</v>
      </c>
      <c r="T69">
        <f t="shared" si="37"/>
        <v>3.2602092523072637</v>
      </c>
      <c r="U69">
        <f t="shared" si="38"/>
        <v>2.3481491162078267</v>
      </c>
      <c r="V69">
        <f t="shared" si="39"/>
        <v>1.6968376228682505</v>
      </c>
      <c r="W69">
        <f t="shared" si="40"/>
        <v>1.2305815804925946</v>
      </c>
      <c r="X69">
        <f t="shared" si="41"/>
        <v>0.88885373690877845</v>
      </c>
      <c r="Y69">
        <f t="shared" si="42"/>
        <v>2.4575110373889677</v>
      </c>
      <c r="Z69">
        <f t="shared" si="46"/>
        <v>15285.079644071131</v>
      </c>
      <c r="AA69">
        <f t="shared" si="21"/>
        <v>0.12755753658593397</v>
      </c>
      <c r="AB69">
        <f t="shared" si="22"/>
        <v>4133.2066941584435</v>
      </c>
      <c r="AC69">
        <f t="shared" si="47"/>
        <v>21290.063334312727</v>
      </c>
      <c r="AD69">
        <f t="shared" si="48"/>
        <v>16476.127694558265</v>
      </c>
      <c r="AE69">
        <v>2101.6542611931359</v>
      </c>
      <c r="AF69">
        <v>11.36029330374668</v>
      </c>
      <c r="AG69">
        <f>q*AD69</f>
        <v>17.804482537676634</v>
      </c>
      <c r="AH69">
        <f t="shared" si="23"/>
        <v>-0.44932602160257668</v>
      </c>
      <c r="AI69">
        <f>LN(_xlfn.NORM.DIST(AH69,0,sdresid,FALSE))</f>
        <v>-7.0730062496396116</v>
      </c>
    </row>
    <row r="70" spans="5:35" x14ac:dyDescent="0.3">
      <c r="E70">
        <v>56</v>
      </c>
      <c r="F70">
        <f t="shared" si="49"/>
        <v>1901.6805347560194</v>
      </c>
      <c r="G70">
        <f t="shared" si="24"/>
        <v>919.73818283542528</v>
      </c>
      <c r="H70">
        <f t="shared" si="25"/>
        <v>509.05346701677934</v>
      </c>
      <c r="I70">
        <f t="shared" si="26"/>
        <v>303.20337828928268</v>
      </c>
      <c r="J70">
        <f t="shared" si="27"/>
        <v>182.22170847364507</v>
      </c>
      <c r="K70">
        <f t="shared" si="28"/>
        <v>112.19285775489999</v>
      </c>
      <c r="L70">
        <f t="shared" si="29"/>
        <v>71.380167181135249</v>
      </c>
      <c r="M70">
        <f t="shared" si="30"/>
        <v>45.919894948318152</v>
      </c>
      <c r="N70">
        <f t="shared" si="31"/>
        <v>29.715112593266799</v>
      </c>
      <c r="O70">
        <f t="shared" si="32"/>
        <v>19.813664066399923</v>
      </c>
      <c r="P70">
        <f t="shared" si="33"/>
        <v>13.353961039717882</v>
      </c>
      <c r="Q70">
        <f t="shared" si="34"/>
        <v>9.2760868366848186</v>
      </c>
      <c r="R70">
        <f t="shared" si="35"/>
        <v>6.4636117823351826</v>
      </c>
      <c r="S70">
        <f t="shared" si="36"/>
        <v>4.5410668120027484</v>
      </c>
      <c r="T70">
        <f t="shared" si="37"/>
        <v>3.2447857994281488</v>
      </c>
      <c r="U70">
        <f t="shared" si="38"/>
        <v>2.3516173181547484</v>
      </c>
      <c r="V70">
        <f t="shared" si="39"/>
        <v>1.701162510367989</v>
      </c>
      <c r="W70">
        <f t="shared" si="40"/>
        <v>1.2338214629368909</v>
      </c>
      <c r="X70">
        <f t="shared" si="41"/>
        <v>0.89755134455726604</v>
      </c>
      <c r="Y70">
        <f t="shared" si="42"/>
        <v>2.4509927718872371</v>
      </c>
      <c r="Z70">
        <f t="shared" si="46"/>
        <v>15582.263421559184</v>
      </c>
      <c r="AA70">
        <f t="shared" si="21"/>
        <v>0.13620545821005184</v>
      </c>
      <c r="AB70">
        <f t="shared" si="22"/>
        <v>4140.4336255932458</v>
      </c>
      <c r="AC70">
        <f t="shared" si="47"/>
        <v>21582.342781476545</v>
      </c>
      <c r="AD70">
        <f t="shared" si="48"/>
        <v>16752.444254138492</v>
      </c>
      <c r="AE70">
        <v>2281.7743457732836</v>
      </c>
      <c r="AF70">
        <v>12.606488098194937</v>
      </c>
      <c r="AG70">
        <f>q*AD70</f>
        <v>18.103076567239899</v>
      </c>
      <c r="AH70">
        <f t="shared" si="23"/>
        <v>-0.36187029006263077</v>
      </c>
      <c r="AI70">
        <f>LN(_xlfn.NORM.DIST(AH70,0,sdresid,FALSE))</f>
        <v>-4.134485906121788</v>
      </c>
    </row>
    <row r="71" spans="5:35" x14ac:dyDescent="0.3">
      <c r="E71">
        <v>57</v>
      </c>
      <c r="F71">
        <f t="shared" si="49"/>
        <v>1916.841588267175</v>
      </c>
      <c r="G71">
        <f t="shared" si="24"/>
        <v>914.05746950835373</v>
      </c>
      <c r="H71">
        <f t="shared" si="25"/>
        <v>512.17361172367441</v>
      </c>
      <c r="I71">
        <f t="shared" si="26"/>
        <v>299.30080990387336</v>
      </c>
      <c r="J71">
        <f t="shared" si="27"/>
        <v>183.41667526386647</v>
      </c>
      <c r="K71">
        <f t="shared" si="28"/>
        <v>113.34106497579795</v>
      </c>
      <c r="L71">
        <f t="shared" si="29"/>
        <v>71.676959165634187</v>
      </c>
      <c r="M71">
        <f t="shared" si="30"/>
        <v>46.681996388514776</v>
      </c>
      <c r="N71">
        <f t="shared" si="31"/>
        <v>30.624752741896003</v>
      </c>
      <c r="O71">
        <f t="shared" si="32"/>
        <v>20.140129133710644</v>
      </c>
      <c r="P71">
        <f t="shared" si="33"/>
        <v>13.608855328548797</v>
      </c>
      <c r="Q71">
        <f t="shared" si="34"/>
        <v>9.2731124936488172</v>
      </c>
      <c r="R71">
        <f t="shared" si="35"/>
        <v>6.5000334547859095</v>
      </c>
      <c r="S71">
        <f t="shared" si="36"/>
        <v>4.5634300559131704</v>
      </c>
      <c r="T71">
        <f t="shared" si="37"/>
        <v>3.2262044261730249</v>
      </c>
      <c r="U71">
        <f t="shared" si="38"/>
        <v>2.3173330520608051</v>
      </c>
      <c r="V71">
        <f t="shared" si="39"/>
        <v>1.6868130252434914</v>
      </c>
      <c r="W71">
        <f t="shared" si="40"/>
        <v>1.2247211217525316</v>
      </c>
      <c r="X71">
        <f t="shared" si="41"/>
        <v>0.89100467414789164</v>
      </c>
      <c r="Y71">
        <f t="shared" si="42"/>
        <v>2.4282898914727449</v>
      </c>
      <c r="Z71">
        <f t="shared" si="46"/>
        <v>15661.592693593198</v>
      </c>
      <c r="AA71">
        <f t="shared" si="21"/>
        <v>0.11982967530371183</v>
      </c>
      <c r="AB71">
        <f t="shared" si="22"/>
        <v>4153.9748545962439</v>
      </c>
      <c r="AC71">
        <f t="shared" si="47"/>
        <v>21685.072160851349</v>
      </c>
      <c r="AD71">
        <f t="shared" si="48"/>
        <v>16854.956025427891</v>
      </c>
      <c r="AE71">
        <v>2019.7239077853656</v>
      </c>
      <c r="AF71">
        <v>11.410869535510541</v>
      </c>
      <c r="AG71">
        <f>q*AD71</f>
        <v>18.213853145065965</v>
      </c>
      <c r="AH71">
        <f t="shared" si="23"/>
        <v>-0.46761609719704161</v>
      </c>
      <c r="AI71">
        <f>LN(_xlfn.NORM.DIST(AH71,0,sdresid,FALSE))</f>
        <v>-7.7676655906414886</v>
      </c>
    </row>
    <row r="72" spans="5:35" x14ac:dyDescent="0.3">
      <c r="E72">
        <v>58</v>
      </c>
      <c r="F72">
        <f t="shared" si="49"/>
        <v>1920.8311129115036</v>
      </c>
      <c r="G72">
        <f t="shared" si="24"/>
        <v>922.28439219685288</v>
      </c>
      <c r="H72">
        <f t="shared" si="25"/>
        <v>511.05645008858869</v>
      </c>
      <c r="I72">
        <f t="shared" si="26"/>
        <v>303.9977304544434</v>
      </c>
      <c r="J72">
        <f t="shared" si="27"/>
        <v>183.64599531780704</v>
      </c>
      <c r="K72">
        <f t="shared" si="28"/>
        <v>116.00499809899229</v>
      </c>
      <c r="L72">
        <f t="shared" si="29"/>
        <v>73.709925335639539</v>
      </c>
      <c r="M72">
        <f t="shared" si="30"/>
        <v>47.74009521603903</v>
      </c>
      <c r="N72">
        <f t="shared" si="31"/>
        <v>31.713918746867908</v>
      </c>
      <c r="O72">
        <f t="shared" si="32"/>
        <v>21.146336445981724</v>
      </c>
      <c r="P72">
        <f t="shared" si="33"/>
        <v>14.093643053988584</v>
      </c>
      <c r="Q72">
        <f t="shared" si="34"/>
        <v>9.62845524652049</v>
      </c>
      <c r="R72">
        <f t="shared" si="35"/>
        <v>6.6207218717739451</v>
      </c>
      <c r="S72">
        <f t="shared" si="36"/>
        <v>4.6759174106488386</v>
      </c>
      <c r="T72">
        <f t="shared" si="37"/>
        <v>3.3034259351442508</v>
      </c>
      <c r="U72">
        <f t="shared" si="38"/>
        <v>2.3476660960247009</v>
      </c>
      <c r="V72">
        <f t="shared" si="39"/>
        <v>1.6936856505380871</v>
      </c>
      <c r="W72">
        <f t="shared" si="40"/>
        <v>1.2373823073765389</v>
      </c>
      <c r="X72">
        <f t="shared" si="41"/>
        <v>0.90118000009452215</v>
      </c>
      <c r="Y72">
        <f t="shared" si="42"/>
        <v>2.4526634447057716</v>
      </c>
      <c r="Z72">
        <f t="shared" si="46"/>
        <v>15963.240439071113</v>
      </c>
      <c r="AA72">
        <f t="shared" si="21"/>
        <v>0.11609349529396705</v>
      </c>
      <c r="AB72">
        <f t="shared" si="22"/>
        <v>4179.0856958295326</v>
      </c>
      <c r="AC72">
        <f t="shared" si="47"/>
        <v>22038.839343516735</v>
      </c>
      <c r="AD72">
        <f t="shared" si="48"/>
        <v>17180.073632344101</v>
      </c>
      <c r="AE72">
        <v>1994.4947973865474</v>
      </c>
      <c r="AF72">
        <v>11.528871661193916</v>
      </c>
      <c r="AG72">
        <f>q*AD72</f>
        <v>18.565182708804578</v>
      </c>
      <c r="AH72">
        <f t="shared" si="23"/>
        <v>-0.47643346078948023</v>
      </c>
      <c r="AI72">
        <f>LN(_xlfn.NORM.DIST(AH72,0,sdresid,FALSE))</f>
        <v>-8.1124503024581713</v>
      </c>
    </row>
    <row r="73" spans="5:35" x14ac:dyDescent="0.3">
      <c r="E73">
        <v>59</v>
      </c>
      <c r="F73">
        <f t="shared" si="49"/>
        <v>1935.7854876756428</v>
      </c>
      <c r="G73">
        <f t="shared" si="24"/>
        <v>924.4187725658071</v>
      </c>
      <c r="H73">
        <f t="shared" si="25"/>
        <v>516.12724458859736</v>
      </c>
      <c r="I73">
        <f t="shared" si="26"/>
        <v>303.9862887270271</v>
      </c>
      <c r="J73">
        <f t="shared" si="27"/>
        <v>187.12815937129065</v>
      </c>
      <c r="K73">
        <f t="shared" si="28"/>
        <v>116.58878933424174</v>
      </c>
      <c r="L73">
        <f t="shared" si="29"/>
        <v>75.74581195737079</v>
      </c>
      <c r="M73">
        <f t="shared" si="30"/>
        <v>49.296857464423994</v>
      </c>
      <c r="N73">
        <f t="shared" si="31"/>
        <v>32.568289379763897</v>
      </c>
      <c r="O73">
        <f t="shared" si="32"/>
        <v>21.990471395419089</v>
      </c>
      <c r="P73">
        <f t="shared" si="33"/>
        <v>14.860182959159511</v>
      </c>
      <c r="Q73">
        <f t="shared" si="34"/>
        <v>10.013587983688991</v>
      </c>
      <c r="R73">
        <f t="shared" si="35"/>
        <v>6.9035101336860594</v>
      </c>
      <c r="S73">
        <f t="shared" si="36"/>
        <v>4.7829019017202885</v>
      </c>
      <c r="T73">
        <f t="shared" si="37"/>
        <v>3.3991928653321661</v>
      </c>
      <c r="U73">
        <f t="shared" si="38"/>
        <v>2.4140454994067819</v>
      </c>
      <c r="V73">
        <f t="shared" si="39"/>
        <v>1.7231281027577845</v>
      </c>
      <c r="W73">
        <f t="shared" si="40"/>
        <v>1.2476908292149476</v>
      </c>
      <c r="X73">
        <f t="shared" si="41"/>
        <v>0.91435681965502036</v>
      </c>
      <c r="Y73">
        <f t="shared" si="42"/>
        <v>2.4886995276324875</v>
      </c>
      <c r="Z73">
        <f t="shared" si="46"/>
        <v>16250.003955163837</v>
      </c>
      <c r="AA73">
        <f t="shared" si="21"/>
        <v>0.10905378174804965</v>
      </c>
      <c r="AB73">
        <f t="shared" si="22"/>
        <v>4212.3834690818385</v>
      </c>
      <c r="AC73">
        <f t="shared" si="47"/>
        <v>22406.850037126856</v>
      </c>
      <c r="AD73">
        <f t="shared" si="48"/>
        <v>17516.574507543963</v>
      </c>
      <c r="AE73">
        <v>1910.2486933191497</v>
      </c>
      <c r="AF73">
        <v>11.303246706030471</v>
      </c>
      <c r="AG73">
        <f>q*AD73</f>
        <v>18.92881329406568</v>
      </c>
      <c r="AH73">
        <f t="shared" si="23"/>
        <v>-0.515595270521222</v>
      </c>
      <c r="AI73">
        <f>LN(_xlfn.NORM.DIST(AH73,0,sdresid,FALSE))</f>
        <v>-9.7216185744347765</v>
      </c>
    </row>
    <row r="74" spans="5:35" x14ac:dyDescent="0.3">
      <c r="E74">
        <v>60</v>
      </c>
      <c r="F74">
        <f t="shared" si="49"/>
        <v>1949.6930685261416</v>
      </c>
      <c r="G74">
        <f t="shared" si="24"/>
        <v>932.02364372145757</v>
      </c>
      <c r="H74">
        <f t="shared" si="25"/>
        <v>518.21130818081178</v>
      </c>
      <c r="I74">
        <f t="shared" si="26"/>
        <v>308.24250503324731</v>
      </c>
      <c r="J74">
        <f t="shared" si="27"/>
        <v>188.25199330839501</v>
      </c>
      <c r="K74">
        <f t="shared" si="28"/>
        <v>119.64183829976371</v>
      </c>
      <c r="L74">
        <f t="shared" si="29"/>
        <v>76.701603227464389</v>
      </c>
      <c r="M74">
        <f t="shared" si="30"/>
        <v>51.050954270526788</v>
      </c>
      <c r="N74">
        <f t="shared" si="31"/>
        <v>33.894024449045858</v>
      </c>
      <c r="O74">
        <f t="shared" si="32"/>
        <v>22.761040665024002</v>
      </c>
      <c r="P74">
        <f t="shared" si="33"/>
        <v>15.575683437186038</v>
      </c>
      <c r="Q74">
        <f t="shared" si="34"/>
        <v>10.641933599271187</v>
      </c>
      <c r="R74">
        <f t="shared" si="35"/>
        <v>7.2366392400958137</v>
      </c>
      <c r="S74">
        <f t="shared" si="36"/>
        <v>5.0268100203608226</v>
      </c>
      <c r="T74">
        <f t="shared" si="37"/>
        <v>3.5046004909103545</v>
      </c>
      <c r="U74">
        <f t="shared" si="38"/>
        <v>2.5037786429874012</v>
      </c>
      <c r="V74">
        <f t="shared" si="39"/>
        <v>1.7859396519616397</v>
      </c>
      <c r="W74">
        <f t="shared" si="40"/>
        <v>1.2794769079320518</v>
      </c>
      <c r="X74">
        <f t="shared" si="41"/>
        <v>0.92930862426103444</v>
      </c>
      <c r="Y74">
        <f t="shared" si="42"/>
        <v>2.5453093369456345</v>
      </c>
      <c r="Z74">
        <f t="shared" si="46"/>
        <v>16600.21667366174</v>
      </c>
      <c r="AA74">
        <f t="shared" si="21"/>
        <v>9.1042998977770823E-2</v>
      </c>
      <c r="AB74">
        <f t="shared" si="22"/>
        <v>4251.5014596337905</v>
      </c>
      <c r="AC74">
        <f t="shared" si="47"/>
        <v>22848.123812913964</v>
      </c>
      <c r="AD74">
        <f t="shared" si="48"/>
        <v>17917.250949841953</v>
      </c>
      <c r="AE74">
        <v>1631.2402599109244</v>
      </c>
      <c r="AF74">
        <v>9.8863046055207544</v>
      </c>
      <c r="AG74">
        <f>q*AD74</f>
        <v>19.361793473171058</v>
      </c>
      <c r="AH74">
        <f t="shared" si="23"/>
        <v>-0.6721512894180417</v>
      </c>
      <c r="AI74">
        <f>LN(_xlfn.NORM.DIST(AH74,0,sdresid,FALSE))</f>
        <v>-17.423698263887182</v>
      </c>
    </row>
    <row r="75" spans="5:35" x14ac:dyDescent="0.3">
      <c r="E75">
        <v>61</v>
      </c>
      <c r="F75">
        <f t="shared" si="49"/>
        <v>1966.2834280794273</v>
      </c>
      <c r="G75">
        <f t="shared" si="24"/>
        <v>939.77090721254297</v>
      </c>
      <c r="H75">
        <f t="shared" si="25"/>
        <v>524.76924161718955</v>
      </c>
      <c r="I75">
        <f t="shared" si="26"/>
        <v>312.67247060830937</v>
      </c>
      <c r="J75">
        <f t="shared" si="27"/>
        <v>193.82158073643151</v>
      </c>
      <c r="K75">
        <f t="shared" si="28"/>
        <v>122.52849300625286</v>
      </c>
      <c r="L75">
        <f t="shared" si="29"/>
        <v>80.218739533409547</v>
      </c>
      <c r="M75">
        <f t="shared" si="30"/>
        <v>52.712013904928163</v>
      </c>
      <c r="N75">
        <f t="shared" si="31"/>
        <v>35.798754810340363</v>
      </c>
      <c r="O75">
        <f t="shared" si="32"/>
        <v>24.161894399569359</v>
      </c>
      <c r="P75">
        <f t="shared" si="33"/>
        <v>16.445337146969088</v>
      </c>
      <c r="Q75">
        <f t="shared" si="34"/>
        <v>11.378826623544454</v>
      </c>
      <c r="R75">
        <f t="shared" si="35"/>
        <v>7.845695940462611</v>
      </c>
      <c r="S75">
        <f t="shared" si="36"/>
        <v>5.3756307134690164</v>
      </c>
      <c r="T75">
        <f t="shared" si="37"/>
        <v>3.757627514035903</v>
      </c>
      <c r="U75">
        <f t="shared" si="38"/>
        <v>2.6335149178233435</v>
      </c>
      <c r="V75">
        <f t="shared" si="39"/>
        <v>1.8897158276672879</v>
      </c>
      <c r="W75">
        <f t="shared" si="40"/>
        <v>1.352889893254275</v>
      </c>
      <c r="X75">
        <f t="shared" si="41"/>
        <v>0.97222634064174018</v>
      </c>
      <c r="Y75">
        <f t="shared" si="42"/>
        <v>2.6513251844579058</v>
      </c>
      <c r="Z75">
        <f t="shared" si="46"/>
        <v>17169.245046675951</v>
      </c>
      <c r="AA75">
        <f t="shared" si="21"/>
        <v>0.1177755825461123</v>
      </c>
      <c r="AB75">
        <f t="shared" si="22"/>
        <v>4307.0403140107283</v>
      </c>
      <c r="AC75">
        <f t="shared" si="47"/>
        <v>23549.536365288939</v>
      </c>
      <c r="AD75">
        <f t="shared" si="48"/>
        <v>18556.508054721202</v>
      </c>
      <c r="AE75">
        <v>2185.5035461664147</v>
      </c>
      <c r="AF75">
        <v>13.574556187369035</v>
      </c>
      <c r="AG75">
        <f>q*AD75</f>
        <v>20.052589403616988</v>
      </c>
      <c r="AH75">
        <f t="shared" si="23"/>
        <v>-0.39016112082060422</v>
      </c>
      <c r="AI75">
        <f>LN(_xlfn.NORM.DIST(AH75,0,sdresid,FALSE))</f>
        <v>-5.0157298364332847</v>
      </c>
    </row>
    <row r="76" spans="5:35" x14ac:dyDescent="0.3">
      <c r="E76">
        <v>62</v>
      </c>
      <c r="F76">
        <f t="shared" si="49"/>
        <v>1992.3545947470807</v>
      </c>
      <c r="G76">
        <f t="shared" si="24"/>
        <v>946.19413612494498</v>
      </c>
      <c r="H76">
        <f t="shared" si="25"/>
        <v>525.69691924076153</v>
      </c>
      <c r="I76">
        <f t="shared" si="26"/>
        <v>311.84167098906846</v>
      </c>
      <c r="J76">
        <f t="shared" si="27"/>
        <v>192.19002707824586</v>
      </c>
      <c r="K76">
        <f t="shared" si="28"/>
        <v>122.84034328836317</v>
      </c>
      <c r="L76">
        <f t="shared" si="29"/>
        <v>79.861055721471203</v>
      </c>
      <c r="M76">
        <f t="shared" si="30"/>
        <v>53.550597866664909</v>
      </c>
      <c r="N76">
        <f t="shared" si="31"/>
        <v>35.892754611706465</v>
      </c>
      <c r="O76">
        <f t="shared" si="32"/>
        <v>24.77611260100096</v>
      </c>
      <c r="P76">
        <f t="shared" si="33"/>
        <v>16.947200112233805</v>
      </c>
      <c r="Q76">
        <f t="shared" si="34"/>
        <v>11.662338639982893</v>
      </c>
      <c r="R76">
        <f t="shared" si="35"/>
        <v>8.143035017038164</v>
      </c>
      <c r="S76">
        <f t="shared" si="36"/>
        <v>5.657081890229696</v>
      </c>
      <c r="T76">
        <f t="shared" si="37"/>
        <v>3.9004333027016598</v>
      </c>
      <c r="U76">
        <f t="shared" si="38"/>
        <v>2.7407459101564942</v>
      </c>
      <c r="V76">
        <f t="shared" si="39"/>
        <v>1.9292610073243872</v>
      </c>
      <c r="W76">
        <f t="shared" si="40"/>
        <v>1.3894550204163207</v>
      </c>
      <c r="X76">
        <f t="shared" si="41"/>
        <v>0.99781025494751108</v>
      </c>
      <c r="Y76">
        <f t="shared" si="42"/>
        <v>2.6837253077418302</v>
      </c>
      <c r="Z76">
        <f t="shared" si="46"/>
        <v>17229.64362826334</v>
      </c>
      <c r="AA76">
        <f t="shared" si="21"/>
        <v>0.10269441709733459</v>
      </c>
      <c r="AB76">
        <f t="shared" si="22"/>
        <v>4341.2492987320829</v>
      </c>
      <c r="AC76">
        <f t="shared" si="47"/>
        <v>23696.856920359169</v>
      </c>
      <c r="AD76">
        <f t="shared" si="48"/>
        <v>18682.222677789643</v>
      </c>
      <c r="AE76">
        <v>1918.5599679782129</v>
      </c>
      <c r="AF76">
        <v>12.220127184574604</v>
      </c>
      <c r="AG76">
        <f>q*AD76</f>
        <v>20.188439516741077</v>
      </c>
      <c r="AH76">
        <f t="shared" si="23"/>
        <v>-0.50202577783663194</v>
      </c>
      <c r="AI76">
        <f>LN(_xlfn.NORM.DIST(AH76,0,sdresid,FALSE))</f>
        <v>-9.1496605597742615</v>
      </c>
    </row>
    <row r="77" spans="5:35" x14ac:dyDescent="0.3">
      <c r="E77">
        <v>63</v>
      </c>
      <c r="F77">
        <f t="shared" si="49"/>
        <v>1995.0598020117932</v>
      </c>
      <c r="G77">
        <f t="shared" si="24"/>
        <v>959.63927750364633</v>
      </c>
      <c r="H77">
        <f t="shared" si="25"/>
        <v>531.24073483831717</v>
      </c>
      <c r="I77">
        <f t="shared" si="26"/>
        <v>315.09866335266054</v>
      </c>
      <c r="J77">
        <f t="shared" si="27"/>
        <v>194.16464106226539</v>
      </c>
      <c r="K77">
        <f t="shared" si="28"/>
        <v>123.65973174589456</v>
      </c>
      <c r="L77">
        <f t="shared" si="29"/>
        <v>81.361288409835083</v>
      </c>
      <c r="M77">
        <f t="shared" si="30"/>
        <v>54.198370529044801</v>
      </c>
      <c r="N77">
        <f t="shared" si="31"/>
        <v>37.077462858677393</v>
      </c>
      <c r="O77">
        <f t="shared" si="32"/>
        <v>25.261771691816161</v>
      </c>
      <c r="P77">
        <f t="shared" si="33"/>
        <v>17.673208198384604</v>
      </c>
      <c r="Q77">
        <f t="shared" si="34"/>
        <v>12.222771202913382</v>
      </c>
      <c r="R77">
        <f t="shared" si="35"/>
        <v>8.488123187393688</v>
      </c>
      <c r="S77">
        <f t="shared" si="36"/>
        <v>5.9715885034098424</v>
      </c>
      <c r="T77">
        <f t="shared" si="37"/>
        <v>4.1746693332717264</v>
      </c>
      <c r="U77">
        <f t="shared" si="38"/>
        <v>2.8934541185301659</v>
      </c>
      <c r="V77">
        <f t="shared" si="39"/>
        <v>2.0420880998063335</v>
      </c>
      <c r="W77">
        <f t="shared" si="40"/>
        <v>1.4427490507132563</v>
      </c>
      <c r="X77">
        <f t="shared" si="41"/>
        <v>1.0422761876908069</v>
      </c>
      <c r="Y77">
        <f t="shared" si="42"/>
        <v>2.773218235153037</v>
      </c>
      <c r="Z77">
        <f t="shared" si="46"/>
        <v>17518.653852159779</v>
      </c>
      <c r="AA77">
        <f t="shared" si="21"/>
        <v>0.1225234679616934</v>
      </c>
      <c r="AB77">
        <f t="shared" si="22"/>
        <v>4375.4858901212165</v>
      </c>
      <c r="AC77">
        <f t="shared" si="47"/>
        <v>24108.44845046147</v>
      </c>
      <c r="AD77">
        <f t="shared" si="48"/>
        <v>19042.678232455204</v>
      </c>
      <c r="AE77">
        <v>2333.1749763190614</v>
      </c>
      <c r="AF77">
        <v>15.249509649144192</v>
      </c>
      <c r="AG77">
        <f>q*AD77</f>
        <v>20.577956079590439</v>
      </c>
      <c r="AH77">
        <f t="shared" si="23"/>
        <v>-0.29967306123124848</v>
      </c>
      <c r="AI77">
        <f>LN(_xlfn.NORM.DIST(AH77,0,sdresid,FALSE))</f>
        <v>-2.430194705068645</v>
      </c>
    </row>
    <row r="78" spans="5:35" x14ac:dyDescent="0.3">
      <c r="E78">
        <v>64</v>
      </c>
      <c r="F78">
        <f t="shared" si="49"/>
        <v>2007.8448094742496</v>
      </c>
      <c r="G78">
        <f t="shared" si="24"/>
        <v>959.75804744795471</v>
      </c>
      <c r="H78">
        <f t="shared" si="25"/>
        <v>536.18819293214619</v>
      </c>
      <c r="I78">
        <f t="shared" si="26"/>
        <v>314.82652057669463</v>
      </c>
      <c r="J78">
        <f t="shared" si="27"/>
        <v>192.89073879926909</v>
      </c>
      <c r="K78">
        <f t="shared" si="28"/>
        <v>122.46827059896397</v>
      </c>
      <c r="L78">
        <f t="shared" si="29"/>
        <v>80.18732874378928</v>
      </c>
      <c r="M78">
        <f t="shared" si="30"/>
        <v>54.028966791781592</v>
      </c>
      <c r="N78">
        <f t="shared" si="31"/>
        <v>36.709304185013053</v>
      </c>
      <c r="O78">
        <f t="shared" si="32"/>
        <v>25.524313535864255</v>
      </c>
      <c r="P78">
        <f t="shared" si="33"/>
        <v>17.623900830797403</v>
      </c>
      <c r="Q78">
        <f t="shared" si="34"/>
        <v>12.465943068539525</v>
      </c>
      <c r="R78">
        <f t="shared" si="35"/>
        <v>8.7000689983430028</v>
      </c>
      <c r="S78">
        <f t="shared" si="36"/>
        <v>6.0874460954795016</v>
      </c>
      <c r="T78">
        <f t="shared" si="37"/>
        <v>4.3095765878843135</v>
      </c>
      <c r="U78">
        <f t="shared" si="38"/>
        <v>3.0285700404295239</v>
      </c>
      <c r="V78">
        <f t="shared" si="39"/>
        <v>2.1082966449231919</v>
      </c>
      <c r="W78">
        <f t="shared" si="40"/>
        <v>1.4934199680328819</v>
      </c>
      <c r="X78">
        <f t="shared" si="41"/>
        <v>1.058365014986296</v>
      </c>
      <c r="Y78">
        <f t="shared" si="42"/>
        <v>2.8106620189425087</v>
      </c>
      <c r="Z78">
        <f t="shared" si="46"/>
        <v>17458.914724338396</v>
      </c>
      <c r="AA78">
        <f t="shared" si="21"/>
        <v>9.9157567266038374E-2</v>
      </c>
      <c r="AB78">
        <f t="shared" si="22"/>
        <v>4390.1127423540847</v>
      </c>
      <c r="AC78">
        <f t="shared" si="47"/>
        <v>24112.870685126727</v>
      </c>
      <c r="AD78">
        <f t="shared" si="48"/>
        <v>19033.09578817424</v>
      </c>
      <c r="AE78">
        <v>1887.2754758968388</v>
      </c>
      <c r="AF78">
        <v>12.66627836172375</v>
      </c>
      <c r="AG78">
        <f>q*AD78</f>
        <v>20.56760106990421</v>
      </c>
      <c r="AH78">
        <f t="shared" si="23"/>
        <v>-0.48477385917267291</v>
      </c>
      <c r="AI78">
        <f>LN(_xlfn.NORM.DIST(AH78,0,sdresid,FALSE))</f>
        <v>-8.4445116472286017</v>
      </c>
    </row>
    <row r="79" spans="5:35" x14ac:dyDescent="0.3">
      <c r="E79">
        <v>65</v>
      </c>
      <c r="F79">
        <f t="shared" si="49"/>
        <v>2005.2235344891526</v>
      </c>
      <c r="G79">
        <f t="shared" si="24"/>
        <v>967.31288796748834</v>
      </c>
      <c r="H79">
        <f t="shared" si="25"/>
        <v>539.32024012733893</v>
      </c>
      <c r="I79">
        <f t="shared" si="26"/>
        <v>322.03426433332032</v>
      </c>
      <c r="J79">
        <f t="shared" si="27"/>
        <v>196.61155276553882</v>
      </c>
      <c r="K79">
        <f t="shared" si="28"/>
        <v>124.54684096356958</v>
      </c>
      <c r="L79">
        <f t="shared" si="29"/>
        <v>81.418099038256429</v>
      </c>
      <c r="M79">
        <f t="shared" si="30"/>
        <v>54.628561762003528</v>
      </c>
      <c r="N79">
        <f t="shared" si="31"/>
        <v>37.553887628263936</v>
      </c>
      <c r="O79">
        <f t="shared" si="32"/>
        <v>25.937353657532366</v>
      </c>
      <c r="P79">
        <f t="shared" si="33"/>
        <v>18.278232080233614</v>
      </c>
      <c r="Q79">
        <f t="shared" si="34"/>
        <v>12.760708249050369</v>
      </c>
      <c r="R79">
        <f t="shared" si="35"/>
        <v>9.1086517135716907</v>
      </c>
      <c r="S79">
        <f t="shared" si="36"/>
        <v>6.4051666476261433</v>
      </c>
      <c r="T79">
        <f t="shared" si="37"/>
        <v>4.5099293573685753</v>
      </c>
      <c r="U79">
        <f t="shared" si="38"/>
        <v>3.2095483207287532</v>
      </c>
      <c r="V79">
        <f t="shared" si="39"/>
        <v>2.2654230023799244</v>
      </c>
      <c r="W79">
        <f t="shared" si="40"/>
        <v>1.5828429134164632</v>
      </c>
      <c r="X79">
        <f t="shared" si="41"/>
        <v>1.1246743584388794</v>
      </c>
      <c r="Y79">
        <f t="shared" si="42"/>
        <v>2.9259117087579849</v>
      </c>
      <c r="Z79">
        <f t="shared" ref="Z79:Z110" si="50">SUMPRODUCT(F79:Y79,fecundity,pmature)</f>
        <v>17828.69010781185</v>
      </c>
      <c r="AA79">
        <f t="shared" si="21"/>
        <v>9.8488631772858187E-2</v>
      </c>
      <c r="AB79">
        <f t="shared" si="22"/>
        <v>4416.7583110840351</v>
      </c>
      <c r="AC79">
        <f t="shared" ref="AC79:AC114" si="51">SUMPRODUCT(F79:Y79,Weight)</f>
        <v>24554.969179628879</v>
      </c>
      <c r="AD79">
        <f t="shared" ref="AD79:AD114" si="52">SUMPRODUCT(F79:Y79,Weight,vul)</f>
        <v>19430.67097923204</v>
      </c>
      <c r="AE79">
        <v>1913.7001991731461</v>
      </c>
      <c r="AF79">
        <v>13.197932408090663</v>
      </c>
      <c r="AG79">
        <f>q*AD79</f>
        <v>20.997229965590662</v>
      </c>
      <c r="AH79">
        <f t="shared" si="23"/>
        <v>-0.46433034104960647</v>
      </c>
      <c r="AI79">
        <f>LN(_xlfn.NORM.DIST(AH79,0,sdresid,FALSE))</f>
        <v>-7.6408301157087237</v>
      </c>
    </row>
    <row r="80" spans="5:35" x14ac:dyDescent="0.3">
      <c r="E80">
        <v>66</v>
      </c>
      <c r="F80">
        <f t="shared" ref="F80:F114" si="53">Z79*maxsj/(1+sjscale*Z79)</f>
        <v>2021.2732702742617</v>
      </c>
      <c r="G80">
        <f t="shared" si="24"/>
        <v>966.09019823004394</v>
      </c>
      <c r="H80">
        <f t="shared" si="25"/>
        <v>543.65401590776742</v>
      </c>
      <c r="I80">
        <f t="shared" si="26"/>
        <v>324.03849415975094</v>
      </c>
      <c r="J80">
        <f t="shared" si="27"/>
        <v>201.22668290204598</v>
      </c>
      <c r="K80">
        <f t="shared" si="28"/>
        <v>127.03342002245604</v>
      </c>
      <c r="L80">
        <f t="shared" si="29"/>
        <v>82.858280323377201</v>
      </c>
      <c r="M80">
        <f t="shared" si="30"/>
        <v>55.507128606410511</v>
      </c>
      <c r="N80">
        <f t="shared" si="31"/>
        <v>37.998416773962582</v>
      </c>
      <c r="O80">
        <f t="shared" si="32"/>
        <v>26.553622693579037</v>
      </c>
      <c r="P80">
        <f t="shared" si="33"/>
        <v>18.587721729443313</v>
      </c>
      <c r="Q80">
        <f t="shared" si="34"/>
        <v>13.24426606186886</v>
      </c>
      <c r="R80">
        <f t="shared" si="35"/>
        <v>9.3309329299764983</v>
      </c>
      <c r="S80">
        <f t="shared" si="36"/>
        <v>6.710940627015983</v>
      </c>
      <c r="T80">
        <f t="shared" si="37"/>
        <v>4.7488315416766929</v>
      </c>
      <c r="U80">
        <f t="shared" si="38"/>
        <v>3.3612505218457822</v>
      </c>
      <c r="V80">
        <f t="shared" si="39"/>
        <v>2.4025780689009899</v>
      </c>
      <c r="W80">
        <f t="shared" si="40"/>
        <v>1.7020698058385662</v>
      </c>
      <c r="X80">
        <f t="shared" si="41"/>
        <v>1.1929017128220469</v>
      </c>
      <c r="Y80">
        <f t="shared" si="42"/>
        <v>3.0654587850062702</v>
      </c>
      <c r="Z80">
        <f t="shared" si="50"/>
        <v>18167.564013871477</v>
      </c>
      <c r="AA80">
        <f t="shared" ref="AA80:AA114" si="54">MIN(0.99,AE80/AD80)</f>
        <v>9.8582188586995897E-2</v>
      </c>
      <c r="AB80">
        <f t="shared" ref="AB80:AB114" si="55">SUM(F80:Y80)</f>
        <v>4450.5804816780501</v>
      </c>
      <c r="AC80">
        <f t="shared" si="51"/>
        <v>24957.016361771832</v>
      </c>
      <c r="AD80">
        <f t="shared" si="52"/>
        <v>19801.363365089772</v>
      </c>
      <c r="AE80">
        <v>1952.0617375369116</v>
      </c>
      <c r="AF80">
        <v>13.844409486077387</v>
      </c>
      <c r="AG80">
        <f>q*AD80</f>
        <v>21.397808683673404</v>
      </c>
      <c r="AH80">
        <f t="shared" ref="AH80:AH114" si="56">MAX(-100,LN(AF80/AG80))</f>
        <v>-0.43540701489433753</v>
      </c>
      <c r="AI80">
        <f>LN(_xlfn.NORM.DIST(AH80,0,sdresid,FALSE))</f>
        <v>-6.5629301834446467</v>
      </c>
    </row>
    <row r="81" spans="5:35" x14ac:dyDescent="0.3">
      <c r="E81">
        <v>67</v>
      </c>
      <c r="F81">
        <f t="shared" si="53"/>
        <v>2035.6223145049712</v>
      </c>
      <c r="G81">
        <f t="shared" ref="G81:G114" si="57">F80*F$6*(1-F$12*$AA80)</f>
        <v>973.81708804503683</v>
      </c>
      <c r="H81">
        <f t="shared" ref="H81:H114" si="58">G80*G$6*(1-G$12*$AA80)</f>
        <v>542.95447776196818</v>
      </c>
      <c r="I81">
        <f t="shared" ref="I81:I114" si="59">H80*H$6*(1-H$12*$AA80)</f>
        <v>326.62498786907167</v>
      </c>
      <c r="J81">
        <f t="shared" ref="J81:J114" si="60">I80*I$6*(1-I$12*$AA80)</f>
        <v>202.46302755867225</v>
      </c>
      <c r="K81">
        <f t="shared" ref="K81:K114" si="61">J80*J$6*(1-J$12*$AA80)</f>
        <v>130.00328037390057</v>
      </c>
      <c r="L81">
        <f t="shared" ref="L81:L114" si="62">K80*K$6*(1-K$12*$AA80)</f>
        <v>84.504226305161737</v>
      </c>
      <c r="M81">
        <f t="shared" ref="M81:M114" si="63">L80*L$6*(1-L$12*$AA80)</f>
        <v>56.483272054357691</v>
      </c>
      <c r="N81">
        <f t="shared" ref="N81:N114" si="64">M80*M$6*(1-M$12*$AA80)</f>
        <v>38.605582191730527</v>
      </c>
      <c r="O81">
        <f t="shared" ref="O81:O114" si="65">N80*N$6*(1-N$12*$AA80)</f>
        <v>26.865178295991395</v>
      </c>
      <c r="P81">
        <f t="shared" ref="P81:P114" si="66">O80*O$6*(1-O$12*$AA80)</f>
        <v>19.027401582967432</v>
      </c>
      <c r="Q81">
        <f t="shared" ref="Q81:Q114" si="67">P80*P$6*(1-P$12*$AA80)</f>
        <v>13.467128222317378</v>
      </c>
      <c r="R81">
        <f t="shared" ref="R81:R114" si="68">Q80*Q$6*(1-Q$12*$AA80)</f>
        <v>9.6835200955381566</v>
      </c>
      <c r="S81">
        <f t="shared" ref="S81:S114" si="69">R80*R$6*(1-R$12*$AA80)</f>
        <v>6.8739981142809468</v>
      </c>
      <c r="T81">
        <f t="shared" ref="T81:T114" si="70">S80*S$6*(1-S$12*$AA80)</f>
        <v>4.9750190230434912</v>
      </c>
      <c r="U81">
        <f t="shared" ref="U81:U114" si="71">T80*T$6*(1-T$12*$AA80)</f>
        <v>3.5389376483605566</v>
      </c>
      <c r="V81">
        <f t="shared" ref="V81:V114" si="72">U80*U$6*(1-U$12*$AA80)</f>
        <v>2.5158773509693129</v>
      </c>
      <c r="W81">
        <f t="shared" ref="W81:W114" si="73">V80*V$6*(1-V$12*$AA80)</f>
        <v>1.8049307957546101</v>
      </c>
      <c r="X81">
        <f t="shared" ref="X81:X114" si="74">W80*W$6*(1-W$12*$AA80)</f>
        <v>1.2826234989235774</v>
      </c>
      <c r="Y81">
        <f t="shared" ref="Y81:Y114" si="75">X80*X$6*(1-X$12*$AA80)+Y80*Y$6*(1-Y$12*$AA80)</f>
        <v>3.2223496909608369</v>
      </c>
      <c r="Z81">
        <f t="shared" si="50"/>
        <v>18456.277419463375</v>
      </c>
      <c r="AA81">
        <f t="shared" si="54"/>
        <v>9.314423735450178E-2</v>
      </c>
      <c r="AB81">
        <f t="shared" si="55"/>
        <v>4484.3352209839777</v>
      </c>
      <c r="AC81">
        <f t="shared" si="51"/>
        <v>25310.129684605239</v>
      </c>
      <c r="AD81">
        <f t="shared" si="52"/>
        <v>20124.346848657529</v>
      </c>
      <c r="AE81">
        <v>1874.4669394756768</v>
      </c>
      <c r="AF81">
        <v>13.682240434129028</v>
      </c>
      <c r="AG81">
        <f>q*AD81</f>
        <v>21.746832064636845</v>
      </c>
      <c r="AH81">
        <f t="shared" si="56"/>
        <v>-0.4633694215163025</v>
      </c>
      <c r="AI81">
        <f>LN(_xlfn.NORM.DIST(AH81,0,sdresid,FALSE))</f>
        <v>-7.6039061002079915</v>
      </c>
    </row>
    <row r="82" spans="5:35" x14ac:dyDescent="0.3">
      <c r="E82">
        <v>68</v>
      </c>
      <c r="F82">
        <f t="shared" si="53"/>
        <v>2047.5854251299068</v>
      </c>
      <c r="G82">
        <f t="shared" si="57"/>
        <v>981.06159378018538</v>
      </c>
      <c r="H82">
        <f t="shared" si="58"/>
        <v>548.02101322730243</v>
      </c>
      <c r="I82">
        <f t="shared" si="59"/>
        <v>327.21236351692914</v>
      </c>
      <c r="J82">
        <f t="shared" si="60"/>
        <v>205.0177217653868</v>
      </c>
      <c r="K82">
        <f t="shared" si="61"/>
        <v>131.50605818707973</v>
      </c>
      <c r="L82">
        <f t="shared" si="62"/>
        <v>86.974746953768573</v>
      </c>
      <c r="M82">
        <f t="shared" si="63"/>
        <v>57.943545301850818</v>
      </c>
      <c r="N82">
        <f t="shared" si="64"/>
        <v>39.517901883850932</v>
      </c>
      <c r="O82">
        <f t="shared" si="65"/>
        <v>27.457572090149164</v>
      </c>
      <c r="P82">
        <f t="shared" si="66"/>
        <v>19.366067167121333</v>
      </c>
      <c r="Q82">
        <f t="shared" si="67"/>
        <v>13.868486606828171</v>
      </c>
      <c r="R82">
        <f t="shared" si="68"/>
        <v>9.9056738700298563</v>
      </c>
      <c r="S82">
        <f t="shared" si="69"/>
        <v>7.176672774383964</v>
      </c>
      <c r="T82">
        <f t="shared" si="70"/>
        <v>5.1265779303169587</v>
      </c>
      <c r="U82">
        <f t="shared" si="71"/>
        <v>3.7298260260193317</v>
      </c>
      <c r="V82">
        <f t="shared" si="72"/>
        <v>2.664831812130676</v>
      </c>
      <c r="W82">
        <f t="shared" si="73"/>
        <v>1.9014341268878989</v>
      </c>
      <c r="X82">
        <f t="shared" si="74"/>
        <v>1.3683320496712503</v>
      </c>
      <c r="Y82">
        <f t="shared" si="75"/>
        <v>3.4294750465620853</v>
      </c>
      <c r="Z82">
        <f t="shared" si="50"/>
        <v>18770.512797728978</v>
      </c>
      <c r="AA82">
        <f t="shared" si="54"/>
        <v>0.10402975277893711</v>
      </c>
      <c r="AB82">
        <f t="shared" si="55"/>
        <v>4520.835319246361</v>
      </c>
      <c r="AC82">
        <f t="shared" si="51"/>
        <v>25729.626034211287</v>
      </c>
      <c r="AD82">
        <f t="shared" si="52"/>
        <v>20503.909337916055</v>
      </c>
      <c r="AE82">
        <v>2133.0166194251474</v>
      </c>
      <c r="AF82">
        <v>16.037718943046222</v>
      </c>
      <c r="AG82">
        <f>q*AD82</f>
        <v>22.15699602046686</v>
      </c>
      <c r="AH82">
        <f t="shared" si="56"/>
        <v>-0.32320991225477363</v>
      </c>
      <c r="AI82">
        <f>LN(_xlfn.NORM.DIST(AH82,0,sdresid,FALSE))</f>
        <v>-3.0374471549017632</v>
      </c>
    </row>
    <row r="83" spans="5:35" x14ac:dyDescent="0.3">
      <c r="E83">
        <v>69</v>
      </c>
      <c r="F83">
        <f t="shared" si="53"/>
        <v>2060.34084263256</v>
      </c>
      <c r="G83">
        <f t="shared" si="57"/>
        <v>986.15996016758334</v>
      </c>
      <c r="H83">
        <f t="shared" si="58"/>
        <v>550.63798082626408</v>
      </c>
      <c r="I83">
        <f t="shared" si="59"/>
        <v>328.22980511416563</v>
      </c>
      <c r="J83">
        <f t="shared" si="60"/>
        <v>203.50412514791927</v>
      </c>
      <c r="K83">
        <f t="shared" si="61"/>
        <v>131.73831942066823</v>
      </c>
      <c r="L83">
        <f t="shared" si="62"/>
        <v>86.977942913547849</v>
      </c>
      <c r="M83">
        <f t="shared" si="63"/>
        <v>58.940646293871346</v>
      </c>
      <c r="N83">
        <f t="shared" si="64"/>
        <v>40.060263542874694</v>
      </c>
      <c r="O83">
        <f t="shared" si="65"/>
        <v>27.772193013259731</v>
      </c>
      <c r="P83">
        <f t="shared" si="66"/>
        <v>19.556971051742931</v>
      </c>
      <c r="Q83">
        <f t="shared" si="67"/>
        <v>13.946627610200521</v>
      </c>
      <c r="R83">
        <f t="shared" si="68"/>
        <v>10.07883687340172</v>
      </c>
      <c r="S83">
        <f t="shared" si="69"/>
        <v>7.2534136701352878</v>
      </c>
      <c r="T83">
        <f t="shared" si="70"/>
        <v>5.288192993757308</v>
      </c>
      <c r="U83">
        <f t="shared" si="71"/>
        <v>3.7973936918062376</v>
      </c>
      <c r="V83">
        <f t="shared" si="72"/>
        <v>2.7749070144867054</v>
      </c>
      <c r="W83">
        <f t="shared" si="73"/>
        <v>1.9898652108293504</v>
      </c>
      <c r="X83">
        <f t="shared" si="74"/>
        <v>1.4242084748059918</v>
      </c>
      <c r="Y83">
        <f t="shared" si="75"/>
        <v>3.6085959896559414</v>
      </c>
      <c r="Z83">
        <f t="shared" si="50"/>
        <v>18851.346173483846</v>
      </c>
      <c r="AA83">
        <f t="shared" si="54"/>
        <v>7.8346974714662412E-2</v>
      </c>
      <c r="AB83">
        <f t="shared" si="55"/>
        <v>4544.0810916535365</v>
      </c>
      <c r="AC83">
        <f t="shared" si="51"/>
        <v>25889.368580579528</v>
      </c>
      <c r="AD83">
        <f t="shared" si="52"/>
        <v>20641.613799413277</v>
      </c>
      <c r="AE83">
        <v>1617.2079944124587</v>
      </c>
      <c r="AF83">
        <v>12.536496080716734</v>
      </c>
      <c r="AG83">
        <f>q*AD83</f>
        <v>22.305802628763374</v>
      </c>
      <c r="AH83">
        <f t="shared" si="56"/>
        <v>-0.57620277542649867</v>
      </c>
      <c r="AI83">
        <f>LN(_xlfn.NORM.DIST(AH83,0,sdresid,FALSE))</f>
        <v>-12.462455366445145</v>
      </c>
    </row>
    <row r="84" spans="5:35" x14ac:dyDescent="0.3">
      <c r="E84">
        <v>70</v>
      </c>
      <c r="F84">
        <f t="shared" si="53"/>
        <v>2063.5783516768788</v>
      </c>
      <c r="G84">
        <f t="shared" si="57"/>
        <v>993.88724103687196</v>
      </c>
      <c r="H84">
        <f t="shared" si="58"/>
        <v>556.96189205017151</v>
      </c>
      <c r="I84">
        <f t="shared" si="59"/>
        <v>334.6235809546186</v>
      </c>
      <c r="J84">
        <f t="shared" si="60"/>
        <v>208.59168689646791</v>
      </c>
      <c r="K84">
        <f t="shared" si="61"/>
        <v>134.10788456110043</v>
      </c>
      <c r="L84">
        <f t="shared" si="62"/>
        <v>89.50026123433662</v>
      </c>
      <c r="M84">
        <f t="shared" si="63"/>
        <v>60.587119391521369</v>
      </c>
      <c r="N84">
        <f t="shared" si="64"/>
        <v>41.899930143757388</v>
      </c>
      <c r="O84">
        <f t="shared" si="65"/>
        <v>28.952791121918224</v>
      </c>
      <c r="P84">
        <f t="shared" si="66"/>
        <v>20.34456089354731</v>
      </c>
      <c r="Q84">
        <f t="shared" si="67"/>
        <v>14.486059591919538</v>
      </c>
      <c r="R84">
        <f t="shared" si="68"/>
        <v>10.425216429342067</v>
      </c>
      <c r="S84">
        <f t="shared" si="69"/>
        <v>7.5912298758295691</v>
      </c>
      <c r="T84">
        <f t="shared" si="70"/>
        <v>5.4976336391463567</v>
      </c>
      <c r="U84">
        <f t="shared" si="71"/>
        <v>4.0291983952995789</v>
      </c>
      <c r="V84">
        <f t="shared" si="72"/>
        <v>2.9060408604997838</v>
      </c>
      <c r="W84">
        <f t="shared" si="73"/>
        <v>2.1313789964187113</v>
      </c>
      <c r="X84">
        <f t="shared" si="74"/>
        <v>1.5331193164267938</v>
      </c>
      <c r="Y84">
        <f t="shared" si="75"/>
        <v>3.8937636337240136</v>
      </c>
      <c r="Z84">
        <f t="shared" si="50"/>
        <v>19382.102314843352</v>
      </c>
      <c r="AA84">
        <f t="shared" si="54"/>
        <v>0.10069994719109891</v>
      </c>
      <c r="AB84">
        <f t="shared" si="55"/>
        <v>4585.5289406997972</v>
      </c>
      <c r="AC84">
        <f t="shared" si="51"/>
        <v>26544.534121410834</v>
      </c>
      <c r="AD84">
        <f t="shared" si="52"/>
        <v>21238.906737774596</v>
      </c>
      <c r="AE84">
        <v>2138.7567868905767</v>
      </c>
      <c r="AF84">
        <v>17.110054295124613</v>
      </c>
      <c r="AG84">
        <f>q*AD84</f>
        <v>22.951251115694195</v>
      </c>
      <c r="AH84">
        <f t="shared" si="56"/>
        <v>-0.29370618866891324</v>
      </c>
      <c r="AI84">
        <f>LN(_xlfn.NORM.DIST(AH84,0,sdresid,FALSE))</f>
        <v>-2.2835408191017006</v>
      </c>
    </row>
    <row r="85" spans="5:35" x14ac:dyDescent="0.3">
      <c r="E85">
        <v>71</v>
      </c>
      <c r="F85">
        <f t="shared" si="53"/>
        <v>2084.4056882717377</v>
      </c>
      <c r="G85">
        <f t="shared" si="57"/>
        <v>994.06817906023036</v>
      </c>
      <c r="H85">
        <f t="shared" si="58"/>
        <v>558.28901714566462</v>
      </c>
      <c r="I85">
        <f t="shared" si="59"/>
        <v>334.2177568069522</v>
      </c>
      <c r="J85">
        <f t="shared" si="60"/>
        <v>208.70222387872644</v>
      </c>
      <c r="K85">
        <f t="shared" si="61"/>
        <v>134.47899148305726</v>
      </c>
      <c r="L85">
        <f t="shared" si="62"/>
        <v>89.011416676019309</v>
      </c>
      <c r="M85">
        <f t="shared" si="63"/>
        <v>60.871494075160676</v>
      </c>
      <c r="N85">
        <f t="shared" si="64"/>
        <v>42.041248286834353</v>
      </c>
      <c r="O85">
        <f t="shared" si="65"/>
        <v>29.554631110106218</v>
      </c>
      <c r="P85">
        <f t="shared" si="66"/>
        <v>20.698121868508796</v>
      </c>
      <c r="Q85">
        <f t="shared" si="67"/>
        <v>14.705509830327236</v>
      </c>
      <c r="R85">
        <f t="shared" si="68"/>
        <v>10.566652289658432</v>
      </c>
      <c r="S85">
        <f t="shared" si="69"/>
        <v>7.6621468494651044</v>
      </c>
      <c r="T85">
        <f t="shared" si="70"/>
        <v>5.6144090083651639</v>
      </c>
      <c r="U85">
        <f t="shared" si="71"/>
        <v>4.0873530671306915</v>
      </c>
      <c r="V85">
        <f t="shared" si="72"/>
        <v>3.0087575972350162</v>
      </c>
      <c r="W85">
        <f t="shared" si="73"/>
        <v>2.1780334549306137</v>
      </c>
      <c r="X85">
        <f t="shared" si="74"/>
        <v>1.6023675952288035</v>
      </c>
      <c r="Y85">
        <f t="shared" si="75"/>
        <v>4.0969242559413441</v>
      </c>
      <c r="Z85">
        <f t="shared" si="50"/>
        <v>19454.10935614671</v>
      </c>
      <c r="AA85">
        <f t="shared" si="54"/>
        <v>8.1593640114609553E-2</v>
      </c>
      <c r="AB85">
        <f t="shared" si="55"/>
        <v>4609.8609226112794</v>
      </c>
      <c r="AC85">
        <f t="shared" si="51"/>
        <v>26673.391087847271</v>
      </c>
      <c r="AD85">
        <f t="shared" si="52"/>
        <v>21355.036882067394</v>
      </c>
      <c r="AE85">
        <v>1742.4351939896208</v>
      </c>
      <c r="AF85">
        <v>14.400290859418353</v>
      </c>
      <c r="AG85">
        <f>q*AD85</f>
        <v>23.076744020610313</v>
      </c>
      <c r="AH85">
        <f t="shared" si="56"/>
        <v>-0.47157695310899039</v>
      </c>
      <c r="AI85">
        <f>LN(_xlfn.NORM.DIST(AH85,0,sdresid,FALSE))</f>
        <v>-7.9217498842452709</v>
      </c>
    </row>
    <row r="86" spans="5:35" x14ac:dyDescent="0.3">
      <c r="E86">
        <v>72</v>
      </c>
      <c r="F86">
        <f t="shared" si="53"/>
        <v>2087.1750686152759</v>
      </c>
      <c r="G86">
        <f t="shared" si="57"/>
        <v>1005.2932957755734</v>
      </c>
      <c r="H86">
        <f t="shared" si="58"/>
        <v>560.9870820721294</v>
      </c>
      <c r="I86">
        <f t="shared" si="59"/>
        <v>338.65452809305594</v>
      </c>
      <c r="J86">
        <f t="shared" si="60"/>
        <v>211.82363943174207</v>
      </c>
      <c r="K86">
        <f t="shared" si="61"/>
        <v>137.10010990415998</v>
      </c>
      <c r="L86">
        <f t="shared" si="62"/>
        <v>91.056549875458629</v>
      </c>
      <c r="M86">
        <f t="shared" si="63"/>
        <v>61.790873788763534</v>
      </c>
      <c r="N86">
        <f t="shared" si="64"/>
        <v>43.122359599431931</v>
      </c>
      <c r="O86">
        <f t="shared" si="65"/>
        <v>30.278452116227246</v>
      </c>
      <c r="P86">
        <f t="shared" si="66"/>
        <v>21.574482669365928</v>
      </c>
      <c r="Q86">
        <f t="shared" si="67"/>
        <v>15.27754514164849</v>
      </c>
      <c r="R86">
        <f t="shared" si="68"/>
        <v>10.953886619645539</v>
      </c>
      <c r="S86">
        <f t="shared" si="69"/>
        <v>7.9306784485930661</v>
      </c>
      <c r="T86">
        <f t="shared" si="70"/>
        <v>5.7870107853901986</v>
      </c>
      <c r="U86">
        <f t="shared" si="71"/>
        <v>4.262705898993806</v>
      </c>
      <c r="V86">
        <f t="shared" si="72"/>
        <v>3.1169357474025641</v>
      </c>
      <c r="W86">
        <f t="shared" si="73"/>
        <v>2.3028666195124958</v>
      </c>
      <c r="X86">
        <f t="shared" si="74"/>
        <v>1.6721913794837988</v>
      </c>
      <c r="Y86">
        <f t="shared" si="75"/>
        <v>4.3939090298543162</v>
      </c>
      <c r="Z86">
        <f t="shared" si="50"/>
        <v>19860.001286630177</v>
      </c>
      <c r="AA86">
        <f t="shared" si="54"/>
        <v>8.085154094190504E-2</v>
      </c>
      <c r="AB86">
        <f t="shared" si="55"/>
        <v>4644.5541716117086</v>
      </c>
      <c r="AC86">
        <f t="shared" si="51"/>
        <v>27183.072618637882</v>
      </c>
      <c r="AD86">
        <f t="shared" si="52"/>
        <v>21818.05985609355</v>
      </c>
      <c r="AE86">
        <v>1764.0237597278824</v>
      </c>
      <c r="AF86">
        <v>15.077126151520362</v>
      </c>
      <c r="AG86">
        <f>q*AD86</f>
        <v>23.577097295871379</v>
      </c>
      <c r="AH86">
        <f t="shared" si="56"/>
        <v>-0.44709701636009386</v>
      </c>
      <c r="AI86">
        <f>LN(_xlfn.NORM.DIST(AH86,0,sdresid,FALSE))</f>
        <v>-6.9902428052140895</v>
      </c>
    </row>
    <row r="87" spans="5:35" x14ac:dyDescent="0.3">
      <c r="E87">
        <v>73</v>
      </c>
      <c r="F87">
        <f t="shared" si="53"/>
        <v>2102.5425326649129</v>
      </c>
      <c r="G87">
        <f t="shared" si="57"/>
        <v>1006.6753128781709</v>
      </c>
      <c r="H87">
        <f t="shared" si="58"/>
        <v>567.42378939844673</v>
      </c>
      <c r="I87">
        <f t="shared" si="59"/>
        <v>340.43323531335483</v>
      </c>
      <c r="J87">
        <f t="shared" si="60"/>
        <v>214.76842591604884</v>
      </c>
      <c r="K87">
        <f t="shared" si="61"/>
        <v>139.25114088827328</v>
      </c>
      <c r="L87">
        <f t="shared" si="62"/>
        <v>92.902554074998832</v>
      </c>
      <c r="M87">
        <f t="shared" si="63"/>
        <v>63.260325596726133</v>
      </c>
      <c r="N87">
        <f t="shared" si="64"/>
        <v>43.808508305922878</v>
      </c>
      <c r="O87">
        <f t="shared" si="65"/>
        <v>31.081942702652658</v>
      </c>
      <c r="P87">
        <f t="shared" si="66"/>
        <v>22.12061377021417</v>
      </c>
      <c r="Q87">
        <f t="shared" si="67"/>
        <v>15.937210557396435</v>
      </c>
      <c r="R87">
        <f t="shared" si="68"/>
        <v>11.389152292630905</v>
      </c>
      <c r="S87">
        <f t="shared" si="69"/>
        <v>8.2279393839982724</v>
      </c>
      <c r="T87">
        <f t="shared" si="70"/>
        <v>5.9946557163074967</v>
      </c>
      <c r="U87">
        <f t="shared" si="71"/>
        <v>4.3972971420812739</v>
      </c>
      <c r="V87">
        <f t="shared" si="72"/>
        <v>3.2532792894566294</v>
      </c>
      <c r="W87">
        <f t="shared" si="73"/>
        <v>2.3875901477562969</v>
      </c>
      <c r="X87">
        <f t="shared" si="74"/>
        <v>1.7694594234276058</v>
      </c>
      <c r="Y87">
        <f t="shared" si="75"/>
        <v>4.6805340473047661</v>
      </c>
      <c r="Z87">
        <f t="shared" si="50"/>
        <v>20218.702477975003</v>
      </c>
      <c r="AA87">
        <f t="shared" si="54"/>
        <v>6.7467152594398325E-2</v>
      </c>
      <c r="AB87">
        <f t="shared" si="55"/>
        <v>4682.3054995100811</v>
      </c>
      <c r="AC87">
        <f t="shared" si="51"/>
        <v>27652.534039562848</v>
      </c>
      <c r="AD87">
        <f t="shared" si="52"/>
        <v>22249.220047333889</v>
      </c>
      <c r="AE87">
        <v>1501.0915240398219</v>
      </c>
      <c r="AF87">
        <v>13.283995787963025</v>
      </c>
      <c r="AG87">
        <f>q*AD87</f>
        <v>24.043018915210087</v>
      </c>
      <c r="AH87">
        <f t="shared" si="56"/>
        <v>-0.5932846941798432</v>
      </c>
      <c r="AI87">
        <f>LN(_xlfn.NORM.DIST(AH87,0,sdresid,FALSE))</f>
        <v>-13.289914744323569</v>
      </c>
    </row>
    <row r="88" spans="5:35" x14ac:dyDescent="0.3">
      <c r="E88">
        <v>74</v>
      </c>
      <c r="F88">
        <f t="shared" si="53"/>
        <v>2115.7888797590217</v>
      </c>
      <c r="G88">
        <f t="shared" si="57"/>
        <v>1014.9296682771864</v>
      </c>
      <c r="H88">
        <f t="shared" si="58"/>
        <v>570.04577194330807</v>
      </c>
      <c r="I88">
        <f t="shared" si="59"/>
        <v>346.93123691747343</v>
      </c>
      <c r="J88">
        <f t="shared" si="60"/>
        <v>218.30434029023499</v>
      </c>
      <c r="K88">
        <f t="shared" si="61"/>
        <v>143.02516840629107</v>
      </c>
      <c r="L88">
        <f t="shared" si="62"/>
        <v>95.66497635608529</v>
      </c>
      <c r="M88">
        <f t="shared" si="63"/>
        <v>65.458100985812919</v>
      </c>
      <c r="N88">
        <f t="shared" si="64"/>
        <v>45.493727310873425</v>
      </c>
      <c r="O88">
        <f t="shared" si="65"/>
        <v>32.032111743061556</v>
      </c>
      <c r="P88">
        <f t="shared" si="66"/>
        <v>23.036281867716959</v>
      </c>
      <c r="Q88">
        <f t="shared" si="67"/>
        <v>16.577573987384149</v>
      </c>
      <c r="R88">
        <f t="shared" si="68"/>
        <v>12.053380312014676</v>
      </c>
      <c r="S88">
        <f t="shared" si="69"/>
        <v>8.6791535829101303</v>
      </c>
      <c r="T88">
        <f t="shared" si="70"/>
        <v>6.3097343777721235</v>
      </c>
      <c r="U88">
        <f t="shared" si="71"/>
        <v>4.62129736133459</v>
      </c>
      <c r="V88">
        <f t="shared" si="72"/>
        <v>3.4047984900238482</v>
      </c>
      <c r="W88">
        <f t="shared" si="73"/>
        <v>2.5282730939534237</v>
      </c>
      <c r="X88">
        <f t="shared" si="74"/>
        <v>1.8612431932401479</v>
      </c>
      <c r="Y88">
        <f t="shared" si="75"/>
        <v>5.049156634642892</v>
      </c>
      <c r="Z88">
        <f t="shared" si="50"/>
        <v>20791.568716383452</v>
      </c>
      <c r="AA88">
        <f t="shared" si="54"/>
        <v>7.0307684821533656E-2</v>
      </c>
      <c r="AB88">
        <f t="shared" si="55"/>
        <v>4731.79487489034</v>
      </c>
      <c r="AC88">
        <f t="shared" si="51"/>
        <v>28355.38602386765</v>
      </c>
      <c r="AD88">
        <f t="shared" si="52"/>
        <v>22898.527047100451</v>
      </c>
      <c r="AE88">
        <v>1609.9424225049024</v>
      </c>
      <c r="AF88">
        <v>14.770113967934885</v>
      </c>
      <c r="AG88">
        <f>q*AD88</f>
        <v>24.74467499321883</v>
      </c>
      <c r="AH88">
        <f t="shared" si="56"/>
        <v>-0.51600450138653542</v>
      </c>
      <c r="AI88">
        <f>LN(_xlfn.NORM.DIST(AH88,0,sdresid,FALSE))</f>
        <v>-9.7391047194957885</v>
      </c>
    </row>
    <row r="89" spans="5:35" x14ac:dyDescent="0.3">
      <c r="E89">
        <v>75</v>
      </c>
      <c r="F89">
        <f t="shared" si="53"/>
        <v>2136.3208317201356</v>
      </c>
      <c r="G89">
        <f t="shared" si="57"/>
        <v>1021.1439772818138</v>
      </c>
      <c r="H89">
        <f t="shared" si="58"/>
        <v>574.32581944831338</v>
      </c>
      <c r="I89">
        <f t="shared" si="59"/>
        <v>347.981740570542</v>
      </c>
      <c r="J89">
        <f t="shared" si="60"/>
        <v>221.95043873172634</v>
      </c>
      <c r="K89">
        <f t="shared" si="61"/>
        <v>144.98338487197464</v>
      </c>
      <c r="L89">
        <f t="shared" si="62"/>
        <v>97.97329279090593</v>
      </c>
      <c r="M89">
        <f t="shared" si="63"/>
        <v>67.204447723647107</v>
      </c>
      <c r="N89">
        <f t="shared" si="64"/>
        <v>46.932967324721631</v>
      </c>
      <c r="O89">
        <f t="shared" si="65"/>
        <v>33.163907131460476</v>
      </c>
      <c r="P89">
        <f t="shared" si="66"/>
        <v>23.668613778245177</v>
      </c>
      <c r="Q89">
        <f t="shared" si="67"/>
        <v>17.211426572879539</v>
      </c>
      <c r="R89">
        <f t="shared" si="68"/>
        <v>12.4996188730233</v>
      </c>
      <c r="S89">
        <f t="shared" si="69"/>
        <v>9.1574204645890394</v>
      </c>
      <c r="T89">
        <f t="shared" si="70"/>
        <v>6.635521621355652</v>
      </c>
      <c r="U89">
        <f t="shared" si="71"/>
        <v>4.8494000826345056</v>
      </c>
      <c r="V89">
        <f t="shared" si="72"/>
        <v>3.5673561940400416</v>
      </c>
      <c r="W89">
        <f t="shared" si="73"/>
        <v>2.6379756411576221</v>
      </c>
      <c r="X89">
        <f t="shared" si="74"/>
        <v>1.9649155480198957</v>
      </c>
      <c r="Y89">
        <f t="shared" si="75"/>
        <v>5.3931666473062405</v>
      </c>
      <c r="Z89">
        <f t="shared" si="50"/>
        <v>21223.400477696359</v>
      </c>
      <c r="AA89">
        <f t="shared" si="54"/>
        <v>6.0331900989412338E-2</v>
      </c>
      <c r="AB89">
        <f t="shared" si="55"/>
        <v>4779.5662230184935</v>
      </c>
      <c r="AC89">
        <f t="shared" si="51"/>
        <v>28923.459311367293</v>
      </c>
      <c r="AD89">
        <f t="shared" si="52"/>
        <v>23423.088084569314</v>
      </c>
      <c r="AE89">
        <v>1413.1594311845197</v>
      </c>
      <c r="AF89">
        <v>13.458661249376378</v>
      </c>
      <c r="AG89">
        <f>q*AD89</f>
        <v>25.311527715211543</v>
      </c>
      <c r="AH89">
        <f t="shared" si="56"/>
        <v>-0.63163707502150224</v>
      </c>
      <c r="AI89">
        <f>LN(_xlfn.NORM.DIST(AH89,0,sdresid,FALSE))</f>
        <v>-15.235790646224512</v>
      </c>
    </row>
    <row r="90" spans="5:35" x14ac:dyDescent="0.3">
      <c r="E90">
        <v>76</v>
      </c>
      <c r="F90">
        <f t="shared" si="53"/>
        <v>2151.3128862743961</v>
      </c>
      <c r="G90">
        <f t="shared" si="57"/>
        <v>1031.6912743869336</v>
      </c>
      <c r="H90">
        <f t="shared" si="58"/>
        <v>579.23492785674944</v>
      </c>
      <c r="I90">
        <f t="shared" si="59"/>
        <v>352.54979857201579</v>
      </c>
      <c r="J90">
        <f t="shared" si="60"/>
        <v>224.45696886219056</v>
      </c>
      <c r="K90">
        <f t="shared" si="61"/>
        <v>148.82072547498979</v>
      </c>
      <c r="L90">
        <f t="shared" si="62"/>
        <v>100.32724694509076</v>
      </c>
      <c r="M90">
        <f t="shared" si="63"/>
        <v>69.545461986694221</v>
      </c>
      <c r="N90">
        <f t="shared" si="64"/>
        <v>48.694533797958563</v>
      </c>
      <c r="O90">
        <f t="shared" si="65"/>
        <v>34.576874436906458</v>
      </c>
      <c r="P90">
        <f t="shared" si="66"/>
        <v>24.766268508233601</v>
      </c>
      <c r="Q90">
        <f t="shared" si="67"/>
        <v>17.872820843527087</v>
      </c>
      <c r="R90">
        <f t="shared" si="68"/>
        <v>13.116364085008625</v>
      </c>
      <c r="S90">
        <f t="shared" si="69"/>
        <v>9.5980959659307405</v>
      </c>
      <c r="T90">
        <f t="shared" si="70"/>
        <v>7.076150073508563</v>
      </c>
      <c r="U90">
        <f t="shared" si="71"/>
        <v>5.154418728925064</v>
      </c>
      <c r="V90">
        <f t="shared" si="72"/>
        <v>3.7835488351506936</v>
      </c>
      <c r="W90">
        <f t="shared" si="73"/>
        <v>2.7935432734731469</v>
      </c>
      <c r="X90">
        <f t="shared" si="74"/>
        <v>2.0721483484904923</v>
      </c>
      <c r="Y90">
        <f t="shared" si="75"/>
        <v>5.8041463074301038</v>
      </c>
      <c r="Z90">
        <f t="shared" si="50"/>
        <v>21783.423521323726</v>
      </c>
      <c r="AA90">
        <f t="shared" si="54"/>
        <v>6.1805959323439026E-2</v>
      </c>
      <c r="AB90">
        <f t="shared" si="55"/>
        <v>4833.2482035636021</v>
      </c>
      <c r="AC90">
        <f t="shared" si="51"/>
        <v>29656.190542003758</v>
      </c>
      <c r="AD90">
        <f t="shared" si="52"/>
        <v>24097.415895506605</v>
      </c>
      <c r="AE90">
        <v>1489.3639066376743</v>
      </c>
      <c r="AF90">
        <v>14.746177293442321</v>
      </c>
      <c r="AG90">
        <f>q*AD90</f>
        <v>26.040221857250032</v>
      </c>
      <c r="AH90">
        <f t="shared" si="56"/>
        <v>-0.56865845451765473</v>
      </c>
      <c r="AI90">
        <f>LN(_xlfn.NORM.DIST(AH90,0,sdresid,FALSE))</f>
        <v>-12.104698927121344</v>
      </c>
    </row>
    <row r="91" spans="5:35" x14ac:dyDescent="0.3">
      <c r="E91">
        <v>77</v>
      </c>
      <c r="F91">
        <f t="shared" si="53"/>
        <v>2170.1641164069028</v>
      </c>
      <c r="G91">
        <f t="shared" si="57"/>
        <v>1038.836444369422</v>
      </c>
      <c r="H91">
        <f t="shared" si="58"/>
        <v>585.00989246316044</v>
      </c>
      <c r="I91">
        <f t="shared" si="59"/>
        <v>355.27185851781525</v>
      </c>
      <c r="J91">
        <f t="shared" si="60"/>
        <v>227.12885516830019</v>
      </c>
      <c r="K91">
        <f t="shared" si="61"/>
        <v>150.28981469379838</v>
      </c>
      <c r="L91">
        <f t="shared" si="62"/>
        <v>102.82907357256802</v>
      </c>
      <c r="M91">
        <f t="shared" si="63"/>
        <v>71.107535933353674</v>
      </c>
      <c r="N91">
        <f t="shared" si="64"/>
        <v>50.312869421782359</v>
      </c>
      <c r="O91">
        <f t="shared" si="65"/>
        <v>35.818898291134417</v>
      </c>
      <c r="P91">
        <f t="shared" si="66"/>
        <v>25.781183439301493</v>
      </c>
      <c r="Q91">
        <f t="shared" si="67"/>
        <v>18.67247517480773</v>
      </c>
      <c r="R91">
        <f t="shared" si="68"/>
        <v>13.599094720027971</v>
      </c>
      <c r="S91">
        <f t="shared" si="69"/>
        <v>10.055915377576504</v>
      </c>
      <c r="T91">
        <f t="shared" si="70"/>
        <v>7.405058275914735</v>
      </c>
      <c r="U91">
        <f t="shared" si="71"/>
        <v>5.4880865973315496</v>
      </c>
      <c r="V91">
        <f t="shared" si="72"/>
        <v>4.0152275227648069</v>
      </c>
      <c r="W91">
        <f t="shared" si="73"/>
        <v>2.9581983520999904</v>
      </c>
      <c r="X91">
        <f t="shared" si="74"/>
        <v>2.1909092942785806</v>
      </c>
      <c r="Y91">
        <f t="shared" si="75"/>
        <v>6.203235236534212</v>
      </c>
      <c r="Z91">
        <f t="shared" si="50"/>
        <v>22240.274940639585</v>
      </c>
      <c r="AA91">
        <f t="shared" si="54"/>
        <v>6.9551784289784771E-2</v>
      </c>
      <c r="AB91">
        <f t="shared" si="55"/>
        <v>4883.1387428288754</v>
      </c>
      <c r="AC91">
        <f t="shared" si="51"/>
        <v>30283.115567209032</v>
      </c>
      <c r="AD91">
        <f t="shared" si="52"/>
        <v>24674.247515522467</v>
      </c>
      <c r="AE91">
        <v>1716.1379407123763</v>
      </c>
      <c r="AF91">
        <v>17.692143718684292</v>
      </c>
      <c r="AG91">
        <f>q*AD91</f>
        <v>26.663559372966436</v>
      </c>
      <c r="AH91">
        <f t="shared" si="56"/>
        <v>-0.41017713235827746</v>
      </c>
      <c r="AI91">
        <f>LN(_xlfn.NORM.DIST(AH91,0,sdresid,FALSE))</f>
        <v>-5.6792674938698395</v>
      </c>
    </row>
    <row r="92" spans="5:35" x14ac:dyDescent="0.3">
      <c r="E92">
        <v>78</v>
      </c>
      <c r="F92">
        <f t="shared" si="53"/>
        <v>2185.0695730079929</v>
      </c>
      <c r="G92">
        <f t="shared" si="57"/>
        <v>1047.4362238464876</v>
      </c>
      <c r="H92">
        <f t="shared" si="58"/>
        <v>587.96147340310483</v>
      </c>
      <c r="I92">
        <f t="shared" si="59"/>
        <v>357.26743504800817</v>
      </c>
      <c r="J92">
        <f t="shared" si="60"/>
        <v>227.42829592331654</v>
      </c>
      <c r="K92">
        <f t="shared" si="61"/>
        <v>150.95383369249598</v>
      </c>
      <c r="L92">
        <f t="shared" si="62"/>
        <v>103.02916249711642</v>
      </c>
      <c r="M92">
        <f t="shared" si="63"/>
        <v>72.294426509894606</v>
      </c>
      <c r="N92">
        <f t="shared" si="64"/>
        <v>51.024414518153854</v>
      </c>
      <c r="O92">
        <f t="shared" si="65"/>
        <v>36.706504780780257</v>
      </c>
      <c r="P92">
        <f t="shared" si="66"/>
        <v>26.488070864198903</v>
      </c>
      <c r="Q92">
        <f t="shared" si="67"/>
        <v>19.277859541265457</v>
      </c>
      <c r="R92">
        <f t="shared" si="68"/>
        <v>14.090601995757943</v>
      </c>
      <c r="S92">
        <f t="shared" si="69"/>
        <v>10.340139595704763</v>
      </c>
      <c r="T92">
        <f t="shared" si="70"/>
        <v>7.6943436345220375</v>
      </c>
      <c r="U92">
        <f t="shared" si="71"/>
        <v>5.6958403447564088</v>
      </c>
      <c r="V92">
        <f t="shared" si="72"/>
        <v>4.2399036441892362</v>
      </c>
      <c r="W92">
        <f t="shared" si="73"/>
        <v>3.1134511673156084</v>
      </c>
      <c r="X92">
        <f t="shared" si="74"/>
        <v>2.3009107555624015</v>
      </c>
      <c r="Y92">
        <f t="shared" si="75"/>
        <v>6.5565842284356606</v>
      </c>
      <c r="Z92">
        <f t="shared" si="50"/>
        <v>22486.804031573374</v>
      </c>
      <c r="AA92">
        <f t="shared" si="54"/>
        <v>5.2837427121545134E-2</v>
      </c>
      <c r="AB92">
        <f t="shared" si="55"/>
        <v>4918.9690489990599</v>
      </c>
      <c r="AC92">
        <f t="shared" si="51"/>
        <v>30665.994067008141</v>
      </c>
      <c r="AD92">
        <f t="shared" si="52"/>
        <v>25021.382597904805</v>
      </c>
      <c r="AE92">
        <v>1322.0654794970928</v>
      </c>
      <c r="AF92">
        <v>14.215757844054762</v>
      </c>
      <c r="AG92">
        <f>q*AD92</f>
        <v>27.038681527095683</v>
      </c>
      <c r="AH92">
        <f t="shared" si="56"/>
        <v>-0.64291743322836004</v>
      </c>
      <c r="AI92">
        <f>LN(_xlfn.NORM.DIST(AH92,0,sdresid,FALSE))</f>
        <v>-15.831309837664072</v>
      </c>
    </row>
    <row r="93" spans="5:35" x14ac:dyDescent="0.3">
      <c r="E93">
        <v>79</v>
      </c>
      <c r="F93">
        <f t="shared" si="53"/>
        <v>2192.943142662024</v>
      </c>
      <c r="G93">
        <f t="shared" si="57"/>
        <v>1055.7236647862819</v>
      </c>
      <c r="H93">
        <f t="shared" si="58"/>
        <v>595.22210254630545</v>
      </c>
      <c r="I93">
        <f t="shared" si="59"/>
        <v>362.42388773991416</v>
      </c>
      <c r="J93">
        <f t="shared" si="60"/>
        <v>231.86142476218353</v>
      </c>
      <c r="K93">
        <f t="shared" si="61"/>
        <v>153.58362852248982</v>
      </c>
      <c r="L93">
        <f t="shared" si="62"/>
        <v>105.25077545992032</v>
      </c>
      <c r="M93">
        <f t="shared" si="63"/>
        <v>73.702698333831961</v>
      </c>
      <c r="N93">
        <f t="shared" si="64"/>
        <v>52.794315071581842</v>
      </c>
      <c r="O93">
        <f t="shared" si="65"/>
        <v>37.888293762924697</v>
      </c>
      <c r="P93">
        <f t="shared" si="66"/>
        <v>27.629155187556989</v>
      </c>
      <c r="Q93">
        <f t="shared" si="67"/>
        <v>20.160732755263155</v>
      </c>
      <c r="R93">
        <f t="shared" si="68"/>
        <v>14.807945285915757</v>
      </c>
      <c r="S93">
        <f t="shared" si="69"/>
        <v>10.905852901772489</v>
      </c>
      <c r="T93">
        <f t="shared" si="70"/>
        <v>8.0536666146289413</v>
      </c>
      <c r="U93">
        <f t="shared" si="71"/>
        <v>6.024495466185054</v>
      </c>
      <c r="V93">
        <f t="shared" si="72"/>
        <v>4.4793439049448152</v>
      </c>
      <c r="W93">
        <f t="shared" si="73"/>
        <v>3.3466536671895346</v>
      </c>
      <c r="X93">
        <f t="shared" si="74"/>
        <v>2.465121996553683</v>
      </c>
      <c r="Y93">
        <f t="shared" si="75"/>
        <v>7.0426865061952793</v>
      </c>
      <c r="Z93">
        <f t="shared" si="50"/>
        <v>23050.279703533954</v>
      </c>
      <c r="AA93">
        <f t="shared" si="54"/>
        <v>5.9309287135352884E-2</v>
      </c>
      <c r="AB93">
        <f t="shared" si="55"/>
        <v>4966.3095879336615</v>
      </c>
      <c r="AC93">
        <f t="shared" si="51"/>
        <v>31408.689597024579</v>
      </c>
      <c r="AD93">
        <f t="shared" si="52"/>
        <v>25704.286085088865</v>
      </c>
      <c r="AE93">
        <v>1524.5028840297912</v>
      </c>
      <c r="AF93">
        <v>17.129245887975181</v>
      </c>
      <c r="AG93">
        <f>q*AD93</f>
        <v>27.776642742126985</v>
      </c>
      <c r="AH93">
        <f t="shared" si="56"/>
        <v>-0.48340818992603912</v>
      </c>
      <c r="AI93">
        <f>LN(_xlfn.NORM.DIST(AH93,0,sdresid,FALSE))</f>
        <v>-8.3897448917025468</v>
      </c>
    </row>
    <row r="94" spans="5:35" x14ac:dyDescent="0.3">
      <c r="E94">
        <v>80</v>
      </c>
      <c r="F94">
        <f t="shared" si="53"/>
        <v>2210.5090117612303</v>
      </c>
      <c r="G94">
        <f t="shared" si="57"/>
        <v>1059.1029598348532</v>
      </c>
      <c r="H94">
        <f t="shared" si="58"/>
        <v>598.99753708764456</v>
      </c>
      <c r="I94">
        <f t="shared" si="59"/>
        <v>365.58471035475424</v>
      </c>
      <c r="J94">
        <f t="shared" si="60"/>
        <v>233.96837186870889</v>
      </c>
      <c r="K94">
        <f t="shared" si="61"/>
        <v>155.6177920063304</v>
      </c>
      <c r="L94">
        <f t="shared" si="62"/>
        <v>106.38849551213188</v>
      </c>
      <c r="M94">
        <f t="shared" si="63"/>
        <v>74.790543899574175</v>
      </c>
      <c r="N94">
        <f t="shared" si="64"/>
        <v>53.460264369770705</v>
      </c>
      <c r="O94">
        <f t="shared" si="65"/>
        <v>38.937048544837154</v>
      </c>
      <c r="P94">
        <f t="shared" si="66"/>
        <v>28.324973417989213</v>
      </c>
      <c r="Q94">
        <f t="shared" si="67"/>
        <v>20.886144955573467</v>
      </c>
      <c r="R94">
        <f t="shared" si="68"/>
        <v>15.380619122760201</v>
      </c>
      <c r="S94">
        <f t="shared" si="69"/>
        <v>11.382937578567457</v>
      </c>
      <c r="T94">
        <f t="shared" si="70"/>
        <v>8.4363574168955058</v>
      </c>
      <c r="U94">
        <f t="shared" si="71"/>
        <v>6.262819334089313</v>
      </c>
      <c r="V94">
        <f t="shared" si="72"/>
        <v>4.705477786616564</v>
      </c>
      <c r="W94">
        <f t="shared" si="73"/>
        <v>3.5115198913435957</v>
      </c>
      <c r="X94">
        <f t="shared" si="74"/>
        <v>2.6316776505465711</v>
      </c>
      <c r="Y94">
        <f t="shared" si="75"/>
        <v>7.5081587112016477</v>
      </c>
      <c r="Z94">
        <f t="shared" si="50"/>
        <v>23426.439865303644</v>
      </c>
      <c r="AA94">
        <f t="shared" si="54"/>
        <v>6.2441237934689912E-2</v>
      </c>
      <c r="AB94">
        <f t="shared" si="55"/>
        <v>5006.3874211054199</v>
      </c>
      <c r="AC94">
        <f t="shared" si="51"/>
        <v>31920.406850687508</v>
      </c>
      <c r="AD94">
        <f t="shared" si="52"/>
        <v>26178.819979483509</v>
      </c>
      <c r="AE94">
        <v>1634.6379271883438</v>
      </c>
      <c r="AF94">
        <v>19.231034437509926</v>
      </c>
      <c r="AG94">
        <f>q*AD94</f>
        <v>28.289434982689407</v>
      </c>
      <c r="AH94">
        <f t="shared" si="56"/>
        <v>-0.38596306172453743</v>
      </c>
      <c r="AI94">
        <f>LN(_xlfn.NORM.DIST(AH94,0,sdresid,FALSE))</f>
        <v>-4.8807732077365511</v>
      </c>
    </row>
    <row r="95" spans="5:35" x14ac:dyDescent="0.3">
      <c r="E95">
        <v>81</v>
      </c>
      <c r="F95">
        <f t="shared" si="53"/>
        <v>2221.913834865396</v>
      </c>
      <c r="G95">
        <f t="shared" si="57"/>
        <v>1067.3793207266106</v>
      </c>
      <c r="H95">
        <f t="shared" si="58"/>
        <v>600.46142748954617</v>
      </c>
      <c r="I95">
        <f t="shared" si="59"/>
        <v>367.26332249863293</v>
      </c>
      <c r="J95">
        <f t="shared" si="60"/>
        <v>235.40381484180205</v>
      </c>
      <c r="K95">
        <f t="shared" si="61"/>
        <v>156.56332583785115</v>
      </c>
      <c r="L95">
        <f t="shared" si="62"/>
        <v>107.45635861313927</v>
      </c>
      <c r="M95">
        <f t="shared" si="63"/>
        <v>75.353732351337513</v>
      </c>
      <c r="N95">
        <f t="shared" si="64"/>
        <v>54.071334454130664</v>
      </c>
      <c r="O95">
        <f t="shared" si="65"/>
        <v>39.298102181227854</v>
      </c>
      <c r="P95">
        <f t="shared" si="66"/>
        <v>29.012671307126006</v>
      </c>
      <c r="Q95">
        <f t="shared" si="67"/>
        <v>21.341153103943281</v>
      </c>
      <c r="R95">
        <f t="shared" si="68"/>
        <v>15.881149164442128</v>
      </c>
      <c r="S95">
        <f t="shared" si="69"/>
        <v>11.783885146503813</v>
      </c>
      <c r="T95">
        <f t="shared" si="70"/>
        <v>8.7761522093088882</v>
      </c>
      <c r="U95">
        <f t="shared" si="71"/>
        <v>6.538606412118825</v>
      </c>
      <c r="V95">
        <f t="shared" si="72"/>
        <v>4.8753588032862316</v>
      </c>
      <c r="W95">
        <f t="shared" si="73"/>
        <v>3.6765278548182754</v>
      </c>
      <c r="X95">
        <f t="shared" si="74"/>
        <v>2.7521384376115514</v>
      </c>
      <c r="Y95">
        <f t="shared" si="75"/>
        <v>7.9806214596789253</v>
      </c>
      <c r="Z95">
        <f t="shared" si="50"/>
        <v>23691.275441514805</v>
      </c>
      <c r="AA95">
        <f t="shared" si="54"/>
        <v>6.578033256231236E-2</v>
      </c>
      <c r="AB95">
        <f t="shared" si="55"/>
        <v>5037.7828377585111</v>
      </c>
      <c r="AC95">
        <f t="shared" si="51"/>
        <v>32301.651059810963</v>
      </c>
      <c r="AD95">
        <f t="shared" si="52"/>
        <v>26528.804358190519</v>
      </c>
      <c r="AE95">
        <v>1745.0735731622938</v>
      </c>
      <c r="AF95">
        <v>21.544118187188811</v>
      </c>
      <c r="AG95">
        <f>q*AD95</f>
        <v>28.667636151960913</v>
      </c>
      <c r="AH95">
        <f t="shared" si="56"/>
        <v>-0.28566598492204975</v>
      </c>
      <c r="AI95">
        <f>LN(_xlfn.NORM.DIST(AH95,0,sdresid,FALSE))</f>
        <v>-2.0905933240688963</v>
      </c>
    </row>
    <row r="96" spans="5:35" x14ac:dyDescent="0.3">
      <c r="E96">
        <v>82</v>
      </c>
      <c r="F96">
        <f t="shared" si="53"/>
        <v>2229.794309045561</v>
      </c>
      <c r="G96">
        <f t="shared" si="57"/>
        <v>1072.6642291271855</v>
      </c>
      <c r="H96">
        <f t="shared" si="58"/>
        <v>604.66650732284108</v>
      </c>
      <c r="I96">
        <f t="shared" si="59"/>
        <v>367.47660825108227</v>
      </c>
      <c r="J96">
        <f t="shared" si="60"/>
        <v>235.83663454473475</v>
      </c>
      <c r="K96">
        <f t="shared" si="61"/>
        <v>157.02123691588793</v>
      </c>
      <c r="L96">
        <f t="shared" si="62"/>
        <v>107.74326875163878</v>
      </c>
      <c r="M96">
        <f t="shared" si="63"/>
        <v>75.845972576412436</v>
      </c>
      <c r="N96">
        <f t="shared" si="64"/>
        <v>54.287302373811237</v>
      </c>
      <c r="O96">
        <f t="shared" si="65"/>
        <v>39.607003933544938</v>
      </c>
      <c r="P96">
        <f t="shared" si="66"/>
        <v>29.178031745456881</v>
      </c>
      <c r="Q96">
        <f t="shared" si="67"/>
        <v>21.781766086994313</v>
      </c>
      <c r="R96">
        <f t="shared" si="68"/>
        <v>16.169509635856755</v>
      </c>
      <c r="S96">
        <f t="shared" si="69"/>
        <v>12.124137784114456</v>
      </c>
      <c r="T96">
        <f t="shared" si="70"/>
        <v>9.0529855319927517</v>
      </c>
      <c r="U96">
        <f t="shared" si="71"/>
        <v>6.7777789775762907</v>
      </c>
      <c r="V96">
        <f t="shared" si="72"/>
        <v>5.071945357628338</v>
      </c>
      <c r="W96">
        <f t="shared" si="73"/>
        <v>3.7957108564036979</v>
      </c>
      <c r="X96">
        <f t="shared" si="74"/>
        <v>2.8712116697422911</v>
      </c>
      <c r="Y96">
        <f t="shared" si="75"/>
        <v>8.417286322007282</v>
      </c>
      <c r="Z96">
        <f t="shared" si="50"/>
        <v>23842.113075496178</v>
      </c>
      <c r="AA96">
        <f t="shared" si="54"/>
        <v>5.7030928294304666E-2</v>
      </c>
      <c r="AB96">
        <f t="shared" si="55"/>
        <v>5060.1834368104719</v>
      </c>
      <c r="AC96">
        <f t="shared" si="51"/>
        <v>32559.77869959017</v>
      </c>
      <c r="AD96">
        <f t="shared" si="52"/>
        <v>26761.373025438428</v>
      </c>
      <c r="AE96">
        <v>1526.2259460709181</v>
      </c>
      <c r="AF96">
        <v>19.821116182739196</v>
      </c>
      <c r="AG96">
        <f>q*AD96</f>
        <v>28.91895520286835</v>
      </c>
      <c r="AH96">
        <f t="shared" si="56"/>
        <v>-0.37774942619262203</v>
      </c>
      <c r="AI96">
        <f>LN(_xlfn.NORM.DIST(AH96,0,sdresid,FALSE))</f>
        <v>-4.6209489009209728</v>
      </c>
    </row>
    <row r="97" spans="5:35" x14ac:dyDescent="0.3">
      <c r="E97">
        <v>83</v>
      </c>
      <c r="F97">
        <f t="shared" si="53"/>
        <v>2234.2288403772045</v>
      </c>
      <c r="G97">
        <f t="shared" si="57"/>
        <v>1077.0526613035772</v>
      </c>
      <c r="H97">
        <f t="shared" si="58"/>
        <v>608.94338569668776</v>
      </c>
      <c r="I97">
        <f t="shared" si="59"/>
        <v>371.85561860412076</v>
      </c>
      <c r="J97">
        <f t="shared" si="60"/>
        <v>237.67267799610801</v>
      </c>
      <c r="K97">
        <f t="shared" si="61"/>
        <v>158.62941619850048</v>
      </c>
      <c r="L97">
        <f t="shared" si="62"/>
        <v>109.02021083156376</v>
      </c>
      <c r="M97">
        <f t="shared" si="63"/>
        <v>76.742388232346784</v>
      </c>
      <c r="N97">
        <f t="shared" si="64"/>
        <v>55.146202469912026</v>
      </c>
      <c r="O97">
        <f t="shared" si="65"/>
        <v>40.134267758963183</v>
      </c>
      <c r="P97">
        <f t="shared" si="66"/>
        <v>29.68115772314664</v>
      </c>
      <c r="Q97">
        <f t="shared" si="67"/>
        <v>22.110211262509718</v>
      </c>
      <c r="R97">
        <f t="shared" si="68"/>
        <v>16.657427747721457</v>
      </c>
      <c r="S97">
        <f t="shared" si="69"/>
        <v>12.459610641635702</v>
      </c>
      <c r="T97">
        <f t="shared" si="70"/>
        <v>9.4014481110373822</v>
      </c>
      <c r="U97">
        <f t="shared" si="71"/>
        <v>7.0569486204078036</v>
      </c>
      <c r="V97">
        <f t="shared" si="72"/>
        <v>5.3066394843398781</v>
      </c>
      <c r="W97">
        <f t="shared" si="73"/>
        <v>3.985699996372241</v>
      </c>
      <c r="X97">
        <f t="shared" si="74"/>
        <v>2.9920199951048616</v>
      </c>
      <c r="Y97">
        <f t="shared" si="75"/>
        <v>8.9360062145601944</v>
      </c>
      <c r="Z97">
        <f t="shared" si="50"/>
        <v>24179.008573699441</v>
      </c>
      <c r="AA97">
        <f t="shared" si="54"/>
        <v>4.8350356919114934E-2</v>
      </c>
      <c r="AB97">
        <f t="shared" si="55"/>
        <v>5088.0128392658189</v>
      </c>
      <c r="AC97">
        <f t="shared" si="51"/>
        <v>33013.459169747504</v>
      </c>
      <c r="AD97">
        <f t="shared" si="52"/>
        <v>27179.052309419101</v>
      </c>
      <c r="AE97">
        <v>1314.1168798837086</v>
      </c>
      <c r="AF97">
        <v>18.001601094297378</v>
      </c>
      <c r="AG97">
        <f>q*AD97</f>
        <v>29.370309043761395</v>
      </c>
      <c r="AH97">
        <f t="shared" si="56"/>
        <v>-0.48952356396134206</v>
      </c>
      <c r="AI97">
        <f>LN(_xlfn.NORM.DIST(AH97,0,sdresid,FALSE))</f>
        <v>-8.6361898059599955</v>
      </c>
    </row>
    <row r="98" spans="5:35" x14ac:dyDescent="0.3">
      <c r="E98">
        <v>84</v>
      </c>
      <c r="F98">
        <f t="shared" si="53"/>
        <v>2243.9953713281743</v>
      </c>
      <c r="G98">
        <f t="shared" si="57"/>
        <v>1079.7752290736571</v>
      </c>
      <c r="H98">
        <f t="shared" si="58"/>
        <v>612.71277659090583</v>
      </c>
      <c r="I98">
        <f t="shared" si="59"/>
        <v>376.28980565719598</v>
      </c>
      <c r="J98">
        <f t="shared" si="60"/>
        <v>242.21069218001037</v>
      </c>
      <c r="K98">
        <f t="shared" si="61"/>
        <v>161.18367033209307</v>
      </c>
      <c r="L98">
        <f t="shared" si="62"/>
        <v>111.10079817440671</v>
      </c>
      <c r="M98">
        <f t="shared" si="63"/>
        <v>78.348522782531745</v>
      </c>
      <c r="N98">
        <f t="shared" si="64"/>
        <v>56.304189650991106</v>
      </c>
      <c r="O98">
        <f t="shared" si="65"/>
        <v>41.141205334961775</v>
      </c>
      <c r="P98">
        <f t="shared" si="66"/>
        <v>30.351519699094222</v>
      </c>
      <c r="Q98">
        <f t="shared" si="67"/>
        <v>22.697650364456099</v>
      </c>
      <c r="R98">
        <f t="shared" si="68"/>
        <v>17.063776157203467</v>
      </c>
      <c r="S98">
        <f t="shared" si="69"/>
        <v>12.953457200720168</v>
      </c>
      <c r="T98">
        <f t="shared" si="70"/>
        <v>9.7503527665104937</v>
      </c>
      <c r="U98">
        <f t="shared" si="71"/>
        <v>7.3959356670970937</v>
      </c>
      <c r="V98">
        <f t="shared" si="72"/>
        <v>5.5760067785354819</v>
      </c>
      <c r="W98">
        <f t="shared" si="73"/>
        <v>4.2084720969898459</v>
      </c>
      <c r="X98">
        <f t="shared" si="74"/>
        <v>3.1706719337280931</v>
      </c>
      <c r="Y98">
        <f t="shared" si="75"/>
        <v>9.5291718848622526</v>
      </c>
      <c r="Z98">
        <f t="shared" si="50"/>
        <v>24681.544532216263</v>
      </c>
      <c r="AA98">
        <f t="shared" si="54"/>
        <v>5.1917000916097904E-2</v>
      </c>
      <c r="AB98">
        <f t="shared" si="55"/>
        <v>5125.7592756541253</v>
      </c>
      <c r="AC98">
        <f t="shared" si="51"/>
        <v>33642.294627274794</v>
      </c>
      <c r="AD98">
        <f t="shared" si="52"/>
        <v>27767.525299903718</v>
      </c>
      <c r="AE98">
        <v>1441.6066364328731</v>
      </c>
      <c r="AF98">
        <v>20.892849803374972</v>
      </c>
      <c r="AG98">
        <f>q*AD98</f>
        <v>30.006226492157854</v>
      </c>
      <c r="AH98">
        <f t="shared" si="56"/>
        <v>-0.36199792410014664</v>
      </c>
      <c r="AI98">
        <f>LN(_xlfn.NORM.DIST(AH98,0,sdresid,FALSE))</f>
        <v>-4.1383127475945241</v>
      </c>
    </row>
    <row r="99" spans="5:35" x14ac:dyDescent="0.3">
      <c r="E99">
        <v>85</v>
      </c>
      <c r="F99">
        <f t="shared" si="53"/>
        <v>2258.2194176950575</v>
      </c>
      <c r="G99">
        <f t="shared" si="57"/>
        <v>1084.2556892976704</v>
      </c>
      <c r="H99">
        <f t="shared" si="58"/>
        <v>613.73511511984611</v>
      </c>
      <c r="I99">
        <f t="shared" si="59"/>
        <v>377.87324600318863</v>
      </c>
      <c r="J99">
        <f t="shared" si="60"/>
        <v>244.38969769781974</v>
      </c>
      <c r="K99">
        <f t="shared" si="61"/>
        <v>163.70882401562807</v>
      </c>
      <c r="L99">
        <f t="shared" si="62"/>
        <v>112.48727234926568</v>
      </c>
      <c r="M99">
        <f t="shared" si="63"/>
        <v>79.55207735495776</v>
      </c>
      <c r="N99">
        <f t="shared" si="64"/>
        <v>57.270227938613111</v>
      </c>
      <c r="O99">
        <f t="shared" si="65"/>
        <v>41.849070630158643</v>
      </c>
      <c r="P99">
        <f t="shared" si="66"/>
        <v>30.99709087305941</v>
      </c>
      <c r="Q99">
        <f t="shared" si="67"/>
        <v>23.123656473813227</v>
      </c>
      <c r="R99">
        <f t="shared" si="68"/>
        <v>17.451687396915855</v>
      </c>
      <c r="S99">
        <f t="shared" si="69"/>
        <v>13.219835655835682</v>
      </c>
      <c r="T99">
        <f t="shared" si="70"/>
        <v>10.098897346898198</v>
      </c>
      <c r="U99">
        <f t="shared" si="71"/>
        <v>7.6417105690389269</v>
      </c>
      <c r="V99">
        <f t="shared" si="72"/>
        <v>5.8219835443472041</v>
      </c>
      <c r="W99">
        <f t="shared" si="73"/>
        <v>4.405542524681084</v>
      </c>
      <c r="X99">
        <f t="shared" si="74"/>
        <v>3.3353559172003662</v>
      </c>
      <c r="Y99">
        <f t="shared" si="75"/>
        <v>10.107804974323782</v>
      </c>
      <c r="Z99">
        <f t="shared" si="50"/>
        <v>25041.820323032687</v>
      </c>
      <c r="AA99">
        <f t="shared" si="54"/>
        <v>4.8072675181214573E-2</v>
      </c>
      <c r="AB99">
        <f t="shared" si="55"/>
        <v>5159.5442033783183</v>
      </c>
      <c r="AC99">
        <f t="shared" si="51"/>
        <v>34112.382818729544</v>
      </c>
      <c r="AD99">
        <f t="shared" si="52"/>
        <v>28209.682332323078</v>
      </c>
      <c r="AE99">
        <v>1356.114895727015</v>
      </c>
      <c r="AF99">
        <v>20.863306088107922</v>
      </c>
      <c r="AG99">
        <f>q*AD99</f>
        <v>30.484031551001962</v>
      </c>
      <c r="AH99">
        <f t="shared" si="56"/>
        <v>-0.37921106442805791</v>
      </c>
      <c r="AI99">
        <f>LN(_xlfn.NORM.DIST(AH99,0,sdresid,FALSE))</f>
        <v>-4.6667765485372108</v>
      </c>
    </row>
    <row r="100" spans="5:35" x14ac:dyDescent="0.3">
      <c r="E100">
        <v>86</v>
      </c>
      <c r="F100">
        <f t="shared" si="53"/>
        <v>2268.1715843369047</v>
      </c>
      <c r="G100">
        <f t="shared" si="57"/>
        <v>1091.3883501238934</v>
      </c>
      <c r="H100">
        <f t="shared" si="58"/>
        <v>616.85158762942285</v>
      </c>
      <c r="I100">
        <f t="shared" si="59"/>
        <v>379.30896395320116</v>
      </c>
      <c r="J100">
        <f t="shared" si="60"/>
        <v>246.18576459173897</v>
      </c>
      <c r="K100">
        <f t="shared" si="61"/>
        <v>165.78238044469808</v>
      </c>
      <c r="L100">
        <f t="shared" si="62"/>
        <v>114.69013702714209</v>
      </c>
      <c r="M100">
        <f t="shared" si="63"/>
        <v>80.863155366581694</v>
      </c>
      <c r="N100">
        <f t="shared" si="64"/>
        <v>58.382382578816269</v>
      </c>
      <c r="O100">
        <f t="shared" si="65"/>
        <v>42.738167500247329</v>
      </c>
      <c r="P100">
        <f t="shared" si="66"/>
        <v>31.657519142939101</v>
      </c>
      <c r="Q100">
        <f t="shared" si="67"/>
        <v>23.710853314028846</v>
      </c>
      <c r="R100">
        <f t="shared" si="68"/>
        <v>17.851103930949122</v>
      </c>
      <c r="S100">
        <f t="shared" si="69"/>
        <v>13.575054581969896</v>
      </c>
      <c r="T100">
        <f t="shared" si="70"/>
        <v>10.348284856864746</v>
      </c>
      <c r="U100">
        <f t="shared" si="71"/>
        <v>7.946919808881419</v>
      </c>
      <c r="V100">
        <f t="shared" si="72"/>
        <v>6.0398124462503686</v>
      </c>
      <c r="W100">
        <f t="shared" si="73"/>
        <v>4.6185153705322133</v>
      </c>
      <c r="X100">
        <f t="shared" si="74"/>
        <v>3.5056832005571299</v>
      </c>
      <c r="Y100">
        <f t="shared" si="75"/>
        <v>10.742791636684032</v>
      </c>
      <c r="Z100">
        <f t="shared" si="50"/>
        <v>25425.723859666166</v>
      </c>
      <c r="AA100">
        <f t="shared" si="54"/>
        <v>4.4072644190041206E-2</v>
      </c>
      <c r="AB100">
        <f t="shared" si="55"/>
        <v>5194.3590118423026</v>
      </c>
      <c r="AC100">
        <f t="shared" si="51"/>
        <v>34635.376193844546</v>
      </c>
      <c r="AD100">
        <f t="shared" si="52"/>
        <v>28697.420454422852</v>
      </c>
      <c r="AE100">
        <v>1264.7712008597889</v>
      </c>
      <c r="AF100">
        <v>20.733954112455557</v>
      </c>
      <c r="AG100">
        <f>q*AD100</f>
        <v>31.011092583719783</v>
      </c>
      <c r="AH100">
        <f t="shared" si="56"/>
        <v>-0.40257231401821386</v>
      </c>
      <c r="AI100">
        <f>LN(_xlfn.NORM.DIST(AH100,0,sdresid,FALSE))</f>
        <v>-5.4232556932705869</v>
      </c>
    </row>
    <row r="101" spans="5:35" x14ac:dyDescent="0.3">
      <c r="E101">
        <v>87</v>
      </c>
      <c r="F101">
        <f t="shared" si="53"/>
        <v>2278.558767183184</v>
      </c>
      <c r="G101">
        <f t="shared" si="57"/>
        <v>1096.4697827943774</v>
      </c>
      <c r="H101">
        <f t="shared" si="58"/>
        <v>621.50627640069115</v>
      </c>
      <c r="I101">
        <f t="shared" si="59"/>
        <v>382.07713643175163</v>
      </c>
      <c r="J101">
        <f t="shared" si="60"/>
        <v>247.92293402273711</v>
      </c>
      <c r="K101">
        <f t="shared" si="61"/>
        <v>167.63045327828866</v>
      </c>
      <c r="L101">
        <f t="shared" si="62"/>
        <v>116.60707299582307</v>
      </c>
      <c r="M101">
        <f t="shared" si="63"/>
        <v>82.784409923879707</v>
      </c>
      <c r="N101">
        <f t="shared" si="64"/>
        <v>59.590361207606506</v>
      </c>
      <c r="O101">
        <f t="shared" si="65"/>
        <v>43.749575559131451</v>
      </c>
      <c r="P101">
        <f t="shared" si="66"/>
        <v>32.465150855226952</v>
      </c>
      <c r="Q101">
        <f t="shared" si="67"/>
        <v>24.317377413712435</v>
      </c>
      <c r="R101">
        <f t="shared" si="68"/>
        <v>18.381091200596977</v>
      </c>
      <c r="S101">
        <f t="shared" si="69"/>
        <v>13.943956360600652</v>
      </c>
      <c r="T101">
        <f t="shared" si="70"/>
        <v>10.670911380187393</v>
      </c>
      <c r="U101">
        <f t="shared" si="71"/>
        <v>8.1773283593074986</v>
      </c>
      <c r="V101">
        <f t="shared" si="72"/>
        <v>6.3073989730430933</v>
      </c>
      <c r="W101">
        <f t="shared" si="73"/>
        <v>4.8114256834278217</v>
      </c>
      <c r="X101">
        <f t="shared" si="74"/>
        <v>3.6905815155829531</v>
      </c>
      <c r="Y101">
        <f t="shared" si="75"/>
        <v>11.434192966394047</v>
      </c>
      <c r="Z101">
        <f t="shared" si="50"/>
        <v>25847.230311740255</v>
      </c>
      <c r="AA101">
        <f t="shared" si="54"/>
        <v>4.4168163382003051E-2</v>
      </c>
      <c r="AB101">
        <f t="shared" si="55"/>
        <v>5231.0961845055508</v>
      </c>
      <c r="AC101">
        <f t="shared" si="51"/>
        <v>35213.031132319724</v>
      </c>
      <c r="AD101">
        <f t="shared" si="52"/>
        <v>29236.488230963139</v>
      </c>
      <c r="AE101">
        <v>1291.3219889011893</v>
      </c>
      <c r="AF101">
        <v>22.654771735108586</v>
      </c>
      <c r="AG101">
        <f>q*AD101</f>
        <v>31.593621621608079</v>
      </c>
      <c r="AH101">
        <f t="shared" si="56"/>
        <v>-0.33258475042906294</v>
      </c>
      <c r="AI101">
        <f>LN(_xlfn.NORM.DIST(AH101,0,sdresid,FALSE))</f>
        <v>-3.2920985823949223</v>
      </c>
    </row>
    <row r="102" spans="5:35" x14ac:dyDescent="0.3">
      <c r="E102">
        <v>88</v>
      </c>
      <c r="F102">
        <f t="shared" si="53"/>
        <v>2289.7129280561871</v>
      </c>
      <c r="G102">
        <f t="shared" si="57"/>
        <v>1101.4845950129368</v>
      </c>
      <c r="H102">
        <f t="shared" si="58"/>
        <v>624.38565129978235</v>
      </c>
      <c r="I102">
        <f t="shared" si="59"/>
        <v>384.93998463307042</v>
      </c>
      <c r="J102">
        <f t="shared" si="60"/>
        <v>249.71297342353145</v>
      </c>
      <c r="K102">
        <f t="shared" si="61"/>
        <v>168.79816680333744</v>
      </c>
      <c r="L102">
        <f t="shared" si="62"/>
        <v>117.89575016460047</v>
      </c>
      <c r="M102">
        <f t="shared" si="63"/>
        <v>84.159873428643024</v>
      </c>
      <c r="N102">
        <f t="shared" si="64"/>
        <v>61.00017948725538</v>
      </c>
      <c r="O102">
        <f t="shared" si="65"/>
        <v>44.650366803686197</v>
      </c>
      <c r="P102">
        <f t="shared" si="66"/>
        <v>33.230144287085899</v>
      </c>
      <c r="Q102">
        <f t="shared" si="67"/>
        <v>24.935269255312061</v>
      </c>
      <c r="R102">
        <f t="shared" si="68"/>
        <v>18.849401940998597</v>
      </c>
      <c r="S102">
        <f t="shared" si="69"/>
        <v>14.356511752991482</v>
      </c>
      <c r="T102">
        <f t="shared" si="70"/>
        <v>10.959799984428962</v>
      </c>
      <c r="U102">
        <f t="shared" si="71"/>
        <v>8.431430145781567</v>
      </c>
      <c r="V102">
        <f t="shared" si="72"/>
        <v>6.48962453069693</v>
      </c>
      <c r="W102">
        <f t="shared" si="73"/>
        <v>5.0240885615746302</v>
      </c>
      <c r="X102">
        <f t="shared" si="74"/>
        <v>3.8443492854284971</v>
      </c>
      <c r="Y102">
        <f t="shared" si="75"/>
        <v>12.13625280234216</v>
      </c>
      <c r="Z102">
        <f t="shared" si="50"/>
        <v>26221.186398452788</v>
      </c>
      <c r="AA102">
        <f t="shared" si="54"/>
        <v>4.0995651366528822E-2</v>
      </c>
      <c r="AB102">
        <f t="shared" si="55"/>
        <v>5264.9973416596695</v>
      </c>
      <c r="AC102">
        <f t="shared" si="51"/>
        <v>35729.276140458816</v>
      </c>
      <c r="AD102">
        <f t="shared" si="52"/>
        <v>29719.393428431827</v>
      </c>
      <c r="AE102">
        <v>1218.3658918166989</v>
      </c>
      <c r="AF102">
        <v>22.988035694654695</v>
      </c>
      <c r="AG102">
        <f>q*AD102</f>
        <v>32.115460084812284</v>
      </c>
      <c r="AH102">
        <f t="shared" si="56"/>
        <v>-0.33436364337693375</v>
      </c>
      <c r="AI102">
        <f>LN(_xlfn.NORM.DIST(AH102,0,sdresid,FALSE))</f>
        <v>-3.3412409981582374</v>
      </c>
    </row>
    <row r="103" spans="5:35" x14ac:dyDescent="0.3">
      <c r="E103">
        <v>89</v>
      </c>
      <c r="F103">
        <f t="shared" si="53"/>
        <v>2299.3963280347853</v>
      </c>
      <c r="G103">
        <f t="shared" si="57"/>
        <v>1107.0941099432453</v>
      </c>
      <c r="H103">
        <f t="shared" si="58"/>
        <v>627.7190511768589</v>
      </c>
      <c r="I103">
        <f t="shared" si="59"/>
        <v>387.39940746691997</v>
      </c>
      <c r="J103">
        <f t="shared" si="60"/>
        <v>252.22939722369125</v>
      </c>
      <c r="K103">
        <f t="shared" si="61"/>
        <v>170.52350333366218</v>
      </c>
      <c r="L103">
        <f t="shared" si="62"/>
        <v>119.09192190409482</v>
      </c>
      <c r="M103">
        <f t="shared" si="63"/>
        <v>85.365279167593599</v>
      </c>
      <c r="N103">
        <f t="shared" si="64"/>
        <v>62.21658942509017</v>
      </c>
      <c r="O103">
        <f t="shared" si="65"/>
        <v>45.857098406961839</v>
      </c>
      <c r="P103">
        <f t="shared" si="66"/>
        <v>34.026253248249169</v>
      </c>
      <c r="Q103">
        <f t="shared" si="67"/>
        <v>25.607197657959517</v>
      </c>
      <c r="R103">
        <f t="shared" si="68"/>
        <v>19.392312858090971</v>
      </c>
      <c r="S103">
        <f t="shared" si="69"/>
        <v>14.771034071132048</v>
      </c>
      <c r="T103">
        <f t="shared" si="70"/>
        <v>11.321445587881747</v>
      </c>
      <c r="U103">
        <f t="shared" si="71"/>
        <v>8.6883869953613519</v>
      </c>
      <c r="V103">
        <f t="shared" si="72"/>
        <v>6.7134614907630574</v>
      </c>
      <c r="W103">
        <f t="shared" si="73"/>
        <v>5.1863750169367462</v>
      </c>
      <c r="X103">
        <f t="shared" si="74"/>
        <v>4.027577323050008</v>
      </c>
      <c r="Y103">
        <f t="shared" si="75"/>
        <v>12.865595082203425</v>
      </c>
      <c r="Z103">
        <f t="shared" si="50"/>
        <v>26624.768677191787</v>
      </c>
      <c r="AA103">
        <f t="shared" si="54"/>
        <v>4.2880136971207614E-2</v>
      </c>
      <c r="AB103">
        <f t="shared" si="55"/>
        <v>5299.4923254145315</v>
      </c>
      <c r="AC103">
        <f t="shared" si="51"/>
        <v>36281.193864161338</v>
      </c>
      <c r="AD103">
        <f t="shared" si="52"/>
        <v>30235.807967715646</v>
      </c>
      <c r="AE103">
        <v>1296.5155870907774</v>
      </c>
      <c r="AF103">
        <v>26.459501777362807</v>
      </c>
      <c r="AG103">
        <f>q*AD103</f>
        <v>32.673509513496782</v>
      </c>
      <c r="AH103">
        <f t="shared" si="56"/>
        <v>-0.21094931373486636</v>
      </c>
      <c r="AI103">
        <f>LN(_xlfn.NORM.DIST(AH103,0,sdresid,FALSE))</f>
        <v>-0.55367047757105547</v>
      </c>
    </row>
    <row r="104" spans="5:35" x14ac:dyDescent="0.3">
      <c r="E104">
        <v>90</v>
      </c>
      <c r="F104">
        <f t="shared" si="53"/>
        <v>2309.6299386066394</v>
      </c>
      <c r="G104">
        <f t="shared" si="57"/>
        <v>1111.6463969767117</v>
      </c>
      <c r="H104">
        <f t="shared" si="58"/>
        <v>630.63061971159823</v>
      </c>
      <c r="I104">
        <f t="shared" si="59"/>
        <v>389.06390014565227</v>
      </c>
      <c r="J104">
        <f t="shared" si="60"/>
        <v>253.45512149735177</v>
      </c>
      <c r="K104">
        <f t="shared" si="61"/>
        <v>171.93796520584641</v>
      </c>
      <c r="L104">
        <f t="shared" si="62"/>
        <v>120.08422159240617</v>
      </c>
      <c r="M104">
        <f t="shared" si="63"/>
        <v>86.066197512839011</v>
      </c>
      <c r="N104">
        <f t="shared" si="64"/>
        <v>62.985461100485772</v>
      </c>
      <c r="O104">
        <f t="shared" si="65"/>
        <v>46.680436597094427</v>
      </c>
      <c r="P104">
        <f t="shared" si="66"/>
        <v>34.877583530135475</v>
      </c>
      <c r="Q104">
        <f t="shared" si="67"/>
        <v>26.169366309492396</v>
      </c>
      <c r="R104">
        <f t="shared" si="68"/>
        <v>19.875860975176302</v>
      </c>
      <c r="S104">
        <f t="shared" si="69"/>
        <v>15.166686290365616</v>
      </c>
      <c r="T104">
        <f t="shared" si="70"/>
        <v>11.625489117581647</v>
      </c>
      <c r="U104">
        <f t="shared" si="71"/>
        <v>8.9574733106484441</v>
      </c>
      <c r="V104">
        <f t="shared" si="72"/>
        <v>6.9044856208950991</v>
      </c>
      <c r="W104">
        <f t="shared" si="73"/>
        <v>5.3547305525738969</v>
      </c>
      <c r="X104">
        <f t="shared" si="74"/>
        <v>4.1495135229347175</v>
      </c>
      <c r="Y104">
        <f t="shared" si="75"/>
        <v>13.573646420941536</v>
      </c>
      <c r="Z104">
        <f t="shared" si="50"/>
        <v>26933.167108098001</v>
      </c>
      <c r="AA104">
        <f t="shared" si="54"/>
        <v>3.7112545605000415E-2</v>
      </c>
      <c r="AB104">
        <f t="shared" si="55"/>
        <v>5328.835094597368</v>
      </c>
      <c r="AC104">
        <f t="shared" si="51"/>
        <v>36723.132337734562</v>
      </c>
      <c r="AD104">
        <f t="shared" si="52"/>
        <v>30649.412247341086</v>
      </c>
      <c r="AE104">
        <v>1137.4777097959043</v>
      </c>
      <c r="AF104">
        <v>25.277282439908983</v>
      </c>
      <c r="AG104">
        <f>q*AD104</f>
        <v>33.120459810958465</v>
      </c>
      <c r="AH104">
        <f t="shared" si="56"/>
        <v>-0.27024514752283618</v>
      </c>
      <c r="AI104">
        <f>LN(_xlfn.NORM.DIST(AH104,0,sdresid,FALSE))</f>
        <v>-1.7355120361101926</v>
      </c>
    </row>
    <row r="105" spans="5:35" x14ac:dyDescent="0.3">
      <c r="E105">
        <v>91</v>
      </c>
      <c r="F105">
        <f t="shared" si="53"/>
        <v>2317.3025424444841</v>
      </c>
      <c r="G105">
        <f t="shared" si="57"/>
        <v>1116.9926111619145</v>
      </c>
      <c r="H105">
        <f t="shared" si="58"/>
        <v>634.10021001581117</v>
      </c>
      <c r="I105">
        <f t="shared" si="59"/>
        <v>392.10982426875677</v>
      </c>
      <c r="J105">
        <f t="shared" si="60"/>
        <v>255.72994006209072</v>
      </c>
      <c r="K105">
        <f t="shared" si="61"/>
        <v>173.70828368077693</v>
      </c>
      <c r="L105">
        <f t="shared" si="62"/>
        <v>121.77455907481713</v>
      </c>
      <c r="M105">
        <f t="shared" si="63"/>
        <v>87.293134322609362</v>
      </c>
      <c r="N105">
        <f t="shared" si="64"/>
        <v>63.879832543245193</v>
      </c>
      <c r="O105">
        <f t="shared" si="65"/>
        <v>47.53958278969219</v>
      </c>
      <c r="P105">
        <f t="shared" si="66"/>
        <v>35.716491593122534</v>
      </c>
      <c r="Q105">
        <f t="shared" si="67"/>
        <v>26.985098241935262</v>
      </c>
      <c r="R105">
        <f t="shared" si="68"/>
        <v>20.43423509876007</v>
      </c>
      <c r="S105">
        <f t="shared" si="69"/>
        <v>15.638319948595711</v>
      </c>
      <c r="T105">
        <f t="shared" si="70"/>
        <v>12.008680016974736</v>
      </c>
      <c r="U105">
        <f t="shared" si="71"/>
        <v>9.253370101679069</v>
      </c>
      <c r="V105">
        <f t="shared" si="72"/>
        <v>7.1611594888929302</v>
      </c>
      <c r="W105">
        <f t="shared" si="73"/>
        <v>5.5402394451275692</v>
      </c>
      <c r="X105">
        <f t="shared" si="74"/>
        <v>4.3100003151162474</v>
      </c>
      <c r="Y105">
        <f t="shared" si="75"/>
        <v>14.326409269902676</v>
      </c>
      <c r="Z105">
        <f t="shared" si="50"/>
        <v>27345.62429514842</v>
      </c>
      <c r="AA105">
        <f t="shared" si="54"/>
        <v>3.4975509864829814E-2</v>
      </c>
      <c r="AB105">
        <f t="shared" si="55"/>
        <v>5361.8045238843042</v>
      </c>
      <c r="AC105">
        <f t="shared" si="51"/>
        <v>37285.344512640353</v>
      </c>
      <c r="AD105">
        <f t="shared" si="52"/>
        <v>31175.982088775865</v>
      </c>
      <c r="AE105">
        <v>1090.3958690917379</v>
      </c>
      <c r="AF105">
        <v>26.595021197359461</v>
      </c>
      <c r="AG105">
        <f>q*AD105</f>
        <v>33.689483292719238</v>
      </c>
      <c r="AH105">
        <f t="shared" si="56"/>
        <v>-0.23646169495251895</v>
      </c>
      <c r="AI105">
        <f>LN(_xlfn.NORM.DIST(AH105,0,sdresid,FALSE))</f>
        <v>-1.0264646545238238</v>
      </c>
    </row>
    <row r="106" spans="5:35" x14ac:dyDescent="0.3">
      <c r="E106">
        <v>92</v>
      </c>
      <c r="F106">
        <f t="shared" si="53"/>
        <v>2327.3702494737822</v>
      </c>
      <c r="G106">
        <f t="shared" si="57"/>
        <v>1120.8515085649044</v>
      </c>
      <c r="H106">
        <f t="shared" si="58"/>
        <v>637.47609415857221</v>
      </c>
      <c r="I106">
        <f t="shared" si="59"/>
        <v>394.72959514115132</v>
      </c>
      <c r="J106">
        <f t="shared" si="60"/>
        <v>258.17483083423338</v>
      </c>
      <c r="K106">
        <f t="shared" si="61"/>
        <v>175.61682196660257</v>
      </c>
      <c r="L106">
        <f t="shared" si="62"/>
        <v>123.28827126520757</v>
      </c>
      <c r="M106">
        <f t="shared" si="63"/>
        <v>88.713453685884119</v>
      </c>
      <c r="N106">
        <f t="shared" si="64"/>
        <v>64.932244415709192</v>
      </c>
      <c r="O106">
        <f t="shared" si="65"/>
        <v>48.320701357514594</v>
      </c>
      <c r="P106">
        <f t="shared" si="66"/>
        <v>36.454109520131951</v>
      </c>
      <c r="Q106">
        <f t="shared" si="67"/>
        <v>27.695250472759284</v>
      </c>
      <c r="R106">
        <f t="shared" si="68"/>
        <v>21.117819829360464</v>
      </c>
      <c r="S106">
        <f t="shared" si="69"/>
        <v>16.113247434188295</v>
      </c>
      <c r="T106">
        <f t="shared" si="70"/>
        <v>12.409538920651496</v>
      </c>
      <c r="U106">
        <f t="shared" si="71"/>
        <v>9.5795532740146889</v>
      </c>
      <c r="V106">
        <f t="shared" si="72"/>
        <v>7.4141139870557549</v>
      </c>
      <c r="W106">
        <f t="shared" si="73"/>
        <v>5.7589354950305554</v>
      </c>
      <c r="X106">
        <f t="shared" si="74"/>
        <v>4.4692021305461029</v>
      </c>
      <c r="Y106">
        <f t="shared" si="75"/>
        <v>15.09812755726324</v>
      </c>
      <c r="Z106">
        <f t="shared" si="50"/>
        <v>27764.262104493569</v>
      </c>
      <c r="AA106">
        <f t="shared" si="54"/>
        <v>3.344671328844865E-2</v>
      </c>
      <c r="AB106">
        <f t="shared" si="55"/>
        <v>5395.583669484563</v>
      </c>
      <c r="AC106">
        <f t="shared" si="51"/>
        <v>37853.270109619065</v>
      </c>
      <c r="AD106">
        <f t="shared" si="52"/>
        <v>31710.539308734667</v>
      </c>
      <c r="AE106">
        <v>1060.6133164813291</v>
      </c>
      <c r="AF106">
        <v>28.665224769765651</v>
      </c>
      <c r="AG106">
        <f>q*AD106</f>
        <v>34.267138119422782</v>
      </c>
      <c r="AH106">
        <f t="shared" si="56"/>
        <v>-0.17850211501595437</v>
      </c>
      <c r="AI106">
        <f>LN(_xlfn.NORM.DIST(AH106,0,sdresid,FALSE))</f>
        <v>-3.0256920168115514E-2</v>
      </c>
    </row>
    <row r="107" spans="5:35" x14ac:dyDescent="0.3">
      <c r="E107">
        <v>93</v>
      </c>
      <c r="F107">
        <f t="shared" si="53"/>
        <v>2337.3687743729411</v>
      </c>
      <c r="G107">
        <f t="shared" si="57"/>
        <v>1125.8276480452007</v>
      </c>
      <c r="H107">
        <f t="shared" si="58"/>
        <v>639.91264678923085</v>
      </c>
      <c r="I107">
        <f t="shared" si="59"/>
        <v>397.16369830173255</v>
      </c>
      <c r="J107">
        <f t="shared" si="60"/>
        <v>260.21865385487143</v>
      </c>
      <c r="K107">
        <f t="shared" si="61"/>
        <v>177.54818790799848</v>
      </c>
      <c r="L107">
        <f t="shared" si="62"/>
        <v>124.83080613262064</v>
      </c>
      <c r="M107">
        <f t="shared" si="63"/>
        <v>89.954942079259496</v>
      </c>
      <c r="N107">
        <f t="shared" si="64"/>
        <v>66.091797825629669</v>
      </c>
      <c r="O107">
        <f t="shared" si="65"/>
        <v>49.193911566505655</v>
      </c>
      <c r="P107">
        <f t="shared" si="66"/>
        <v>37.111444684312943</v>
      </c>
      <c r="Q107">
        <f t="shared" si="67"/>
        <v>28.311812580753838</v>
      </c>
      <c r="R107">
        <f t="shared" si="68"/>
        <v>21.70779780681513</v>
      </c>
      <c r="S107">
        <f t="shared" si="69"/>
        <v>16.678601303170439</v>
      </c>
      <c r="T107">
        <f t="shared" si="70"/>
        <v>12.806627993619495</v>
      </c>
      <c r="U107">
        <f t="shared" si="71"/>
        <v>9.9149838836964754</v>
      </c>
      <c r="V107">
        <f t="shared" si="72"/>
        <v>7.687606064835113</v>
      </c>
      <c r="W107">
        <f t="shared" si="73"/>
        <v>5.9717934519382316</v>
      </c>
      <c r="X107">
        <f t="shared" si="74"/>
        <v>4.6529717238803903</v>
      </c>
      <c r="Y107">
        <f t="shared" si="75"/>
        <v>15.877494467631777</v>
      </c>
      <c r="Z107">
        <f t="shared" si="50"/>
        <v>28171.593587638199</v>
      </c>
      <c r="AA107">
        <f t="shared" si="54"/>
        <v>2.757204518995748E-2</v>
      </c>
      <c r="AB107">
        <f t="shared" si="55"/>
        <v>5428.8322008366449</v>
      </c>
      <c r="AC107">
        <f t="shared" si="51"/>
        <v>38409.209549962274</v>
      </c>
      <c r="AD107">
        <f t="shared" si="52"/>
        <v>32234.598572268707</v>
      </c>
      <c r="AE107">
        <v>888.77380851473163</v>
      </c>
      <c r="AF107">
        <v>26.932539651961566</v>
      </c>
      <c r="AG107">
        <f>q*AD107</f>
        <v>34.833448612960723</v>
      </c>
      <c r="AH107">
        <f t="shared" si="56"/>
        <v>-0.25724288413729152</v>
      </c>
      <c r="AI107">
        <f>LN(_xlfn.NORM.DIST(AH107,0,sdresid,FALSE))</f>
        <v>-1.4514285249935748</v>
      </c>
    </row>
    <row r="108" spans="5:35" x14ac:dyDescent="0.3">
      <c r="E108">
        <v>94</v>
      </c>
      <c r="F108">
        <f t="shared" si="53"/>
        <v>2346.8912391587173</v>
      </c>
      <c r="G108">
        <f t="shared" si="57"/>
        <v>1131.0753143334318</v>
      </c>
      <c r="H108">
        <f t="shared" si="58"/>
        <v>643.65775309907008</v>
      </c>
      <c r="I108">
        <f t="shared" si="59"/>
        <v>399.96470424639807</v>
      </c>
      <c r="J108">
        <f t="shared" si="60"/>
        <v>263.05628340758847</v>
      </c>
      <c r="K108">
        <f t="shared" si="61"/>
        <v>179.93127331627034</v>
      </c>
      <c r="L108">
        <f t="shared" si="62"/>
        <v>126.93387043895272</v>
      </c>
      <c r="M108">
        <f t="shared" si="63"/>
        <v>91.620228372759627</v>
      </c>
      <c r="N108">
        <f t="shared" si="64"/>
        <v>67.418283058197844</v>
      </c>
      <c r="O108">
        <f t="shared" si="65"/>
        <v>50.374101434435829</v>
      </c>
      <c r="P108">
        <f t="shared" si="66"/>
        <v>38.010405860228332</v>
      </c>
      <c r="Q108">
        <f t="shared" si="67"/>
        <v>28.996797033703</v>
      </c>
      <c r="R108">
        <f t="shared" si="68"/>
        <v>22.325534849666965</v>
      </c>
      <c r="S108">
        <f t="shared" si="69"/>
        <v>17.248518767191229</v>
      </c>
      <c r="T108">
        <f t="shared" si="70"/>
        <v>13.336381812400683</v>
      </c>
      <c r="U108">
        <f t="shared" si="71"/>
        <v>10.294343614179558</v>
      </c>
      <c r="V108">
        <f t="shared" si="72"/>
        <v>8.0050853320237199</v>
      </c>
      <c r="W108">
        <f t="shared" si="73"/>
        <v>6.2296717507826207</v>
      </c>
      <c r="X108">
        <f t="shared" si="74"/>
        <v>4.8542465116952496</v>
      </c>
      <c r="Y108">
        <f t="shared" si="75"/>
        <v>16.760236532096691</v>
      </c>
      <c r="Z108">
        <f t="shared" si="50"/>
        <v>28674.497689583575</v>
      </c>
      <c r="AA108">
        <f t="shared" si="54"/>
        <v>2.7488055403664873E-2</v>
      </c>
      <c r="AB108">
        <f t="shared" si="55"/>
        <v>5466.9842729297898</v>
      </c>
      <c r="AC108">
        <f t="shared" si="51"/>
        <v>39086.808949891754</v>
      </c>
      <c r="AD108">
        <f t="shared" si="52"/>
        <v>32873.602869844828</v>
      </c>
      <c r="AE108">
        <v>903.6314170043712</v>
      </c>
      <c r="AF108">
        <v>31.159704034633489</v>
      </c>
      <c r="AG108">
        <f>q*AD108</f>
        <v>35.523971354020325</v>
      </c>
      <c r="AH108">
        <f t="shared" si="56"/>
        <v>-0.1310819953013285</v>
      </c>
      <c r="AI108">
        <f>LN(_xlfn.NORM.DIST(AH108,0,sdresid,FALSE))</f>
        <v>0.57781614353303412</v>
      </c>
    </row>
    <row r="109" spans="5:35" x14ac:dyDescent="0.3">
      <c r="E109">
        <v>95</v>
      </c>
      <c r="F109">
        <f t="shared" si="53"/>
        <v>2358.3770827959233</v>
      </c>
      <c r="G109">
        <f t="shared" si="57"/>
        <v>1135.6892275540558</v>
      </c>
      <c r="H109">
        <f t="shared" si="58"/>
        <v>646.67093364175321</v>
      </c>
      <c r="I109">
        <f t="shared" si="59"/>
        <v>402.32395857210076</v>
      </c>
      <c r="J109">
        <f t="shared" si="60"/>
        <v>264.92924607822783</v>
      </c>
      <c r="K109">
        <f t="shared" si="61"/>
        <v>181.90751411364803</v>
      </c>
      <c r="L109">
        <f t="shared" si="62"/>
        <v>128.64818097861152</v>
      </c>
      <c r="M109">
        <f t="shared" si="63"/>
        <v>93.171631091198833</v>
      </c>
      <c r="N109">
        <f t="shared" si="64"/>
        <v>68.672208140736956</v>
      </c>
      <c r="O109">
        <f t="shared" si="65"/>
        <v>51.389526878931534</v>
      </c>
      <c r="P109">
        <f t="shared" si="66"/>
        <v>38.925639593651638</v>
      </c>
      <c r="Q109">
        <f t="shared" si="67"/>
        <v>29.701749580171661</v>
      </c>
      <c r="R109">
        <f t="shared" si="68"/>
        <v>22.867654532036568</v>
      </c>
      <c r="S109">
        <f t="shared" si="69"/>
        <v>17.740887072489151</v>
      </c>
      <c r="T109">
        <f t="shared" si="70"/>
        <v>13.793282703575809</v>
      </c>
      <c r="U109">
        <f t="shared" si="71"/>
        <v>10.721099752924152</v>
      </c>
      <c r="V109">
        <f t="shared" si="72"/>
        <v>8.3120868456247621</v>
      </c>
      <c r="W109">
        <f t="shared" si="73"/>
        <v>6.4875015331689294</v>
      </c>
      <c r="X109">
        <f t="shared" si="74"/>
        <v>5.0643030023135669</v>
      </c>
      <c r="Y109">
        <f t="shared" si="75"/>
        <v>17.646785697876574</v>
      </c>
      <c r="Z109">
        <f t="shared" si="50"/>
        <v>29119.005280411726</v>
      </c>
      <c r="AA109">
        <f t="shared" si="54"/>
        <v>2.2280130883982532E-2</v>
      </c>
      <c r="AB109">
        <f t="shared" si="55"/>
        <v>5503.0405001590234</v>
      </c>
      <c r="AC109">
        <f t="shared" si="51"/>
        <v>39701.021035728307</v>
      </c>
      <c r="AD109">
        <f t="shared" si="52"/>
        <v>33454.429059083675</v>
      </c>
      <c r="AE109">
        <v>745.36905808529286</v>
      </c>
      <c r="AF109">
        <v>29.814762323411713</v>
      </c>
      <c r="AG109">
        <f>q*AD109</f>
        <v>36.151625493114175</v>
      </c>
      <c r="AH109">
        <f t="shared" si="56"/>
        <v>-0.19271826199377967</v>
      </c>
      <c r="AI109">
        <f>LN(_xlfn.NORM.DIST(AH109,0,sdresid,FALSE))</f>
        <v>-0.24884585301546316</v>
      </c>
    </row>
    <row r="110" spans="5:35" x14ac:dyDescent="0.3">
      <c r="E110">
        <v>96</v>
      </c>
      <c r="F110">
        <f t="shared" si="53"/>
        <v>2368.2884465513866</v>
      </c>
      <c r="G110">
        <f t="shared" si="57"/>
        <v>1141.6150330073344</v>
      </c>
      <c r="H110">
        <f t="shared" si="58"/>
        <v>650.11740253928201</v>
      </c>
      <c r="I110">
        <f t="shared" si="59"/>
        <v>405.35674727382383</v>
      </c>
      <c r="J110">
        <f t="shared" si="60"/>
        <v>267.59922588312031</v>
      </c>
      <c r="K110">
        <f t="shared" si="61"/>
        <v>184.08497664546829</v>
      </c>
      <c r="L110">
        <f t="shared" si="62"/>
        <v>130.72440485095652</v>
      </c>
      <c r="M110">
        <f t="shared" si="63"/>
        <v>94.923138343237255</v>
      </c>
      <c r="N110">
        <f t="shared" si="64"/>
        <v>70.203758902042608</v>
      </c>
      <c r="O110">
        <f t="shared" si="65"/>
        <v>52.623221956483192</v>
      </c>
      <c r="P110">
        <f t="shared" si="66"/>
        <v>39.921726592458022</v>
      </c>
      <c r="Q110">
        <f t="shared" si="67"/>
        <v>30.579152854862787</v>
      </c>
      <c r="R110">
        <f t="shared" si="68"/>
        <v>23.548659728568865</v>
      </c>
      <c r="S110">
        <f t="shared" si="69"/>
        <v>18.268765293416621</v>
      </c>
      <c r="T110">
        <f t="shared" si="70"/>
        <v>14.262850020746269</v>
      </c>
      <c r="U110">
        <f t="shared" si="71"/>
        <v>11.147688576205169</v>
      </c>
      <c r="V110">
        <f t="shared" si="72"/>
        <v>8.7029630539729297</v>
      </c>
      <c r="W110">
        <f t="shared" si="73"/>
        <v>6.7723337346300978</v>
      </c>
      <c r="X110">
        <f t="shared" si="74"/>
        <v>5.3021138559459979</v>
      </c>
      <c r="Y110">
        <f t="shared" si="75"/>
        <v>18.641361812092168</v>
      </c>
      <c r="Z110">
        <f t="shared" si="50"/>
        <v>29644.517826671101</v>
      </c>
      <c r="AA110">
        <f t="shared" si="54"/>
        <v>2.1867581393817254E-2</v>
      </c>
      <c r="AB110">
        <f t="shared" si="55"/>
        <v>5542.6839714760345</v>
      </c>
      <c r="AC110">
        <f t="shared" si="51"/>
        <v>40417.812515170655</v>
      </c>
      <c r="AD110">
        <f t="shared" si="52"/>
        <v>34131.823778013328</v>
      </c>
      <c r="AE110">
        <v>746.38043458513357</v>
      </c>
      <c r="AF110">
        <v>35.541925456434932</v>
      </c>
      <c r="AG110">
        <f>q*AD110</f>
        <v>36.883633806468097</v>
      </c>
      <c r="AH110">
        <f t="shared" si="56"/>
        <v>-3.705492595500598E-2</v>
      </c>
      <c r="AI110">
        <f>LN(_xlfn.NORM.DIST(AH110,0,sdresid,FALSE))</f>
        <v>1.2326489793083788</v>
      </c>
    </row>
    <row r="111" spans="5:35" x14ac:dyDescent="0.3">
      <c r="E111">
        <v>97</v>
      </c>
      <c r="F111">
        <f t="shared" si="53"/>
        <v>2379.7251882338196</v>
      </c>
      <c r="G111">
        <f t="shared" si="57"/>
        <v>1146.4420550148832</v>
      </c>
      <c r="H111">
        <f t="shared" si="58"/>
        <v>653.57397283938872</v>
      </c>
      <c r="I111">
        <f t="shared" si="59"/>
        <v>407.60865242885075</v>
      </c>
      <c r="J111">
        <f t="shared" si="60"/>
        <v>269.70480892380647</v>
      </c>
      <c r="K111">
        <f t="shared" si="61"/>
        <v>186.01079570920069</v>
      </c>
      <c r="L111">
        <f t="shared" si="62"/>
        <v>132.34236526535886</v>
      </c>
      <c r="M111">
        <f t="shared" si="63"/>
        <v>96.494779015998887</v>
      </c>
      <c r="N111">
        <f t="shared" si="64"/>
        <v>71.553257596252038</v>
      </c>
      <c r="O111">
        <f t="shared" si="65"/>
        <v>53.819347159998649</v>
      </c>
      <c r="P111">
        <f t="shared" si="66"/>
        <v>40.897268307018223</v>
      </c>
      <c r="Q111">
        <f t="shared" si="67"/>
        <v>31.374837557032585</v>
      </c>
      <c r="R111">
        <f t="shared" si="68"/>
        <v>24.254497332870919</v>
      </c>
      <c r="S111">
        <f t="shared" si="69"/>
        <v>18.820733978776854</v>
      </c>
      <c r="T111">
        <f t="shared" si="70"/>
        <v>14.693425328719581</v>
      </c>
      <c r="U111">
        <f t="shared" si="71"/>
        <v>11.532047763447387</v>
      </c>
      <c r="V111">
        <f t="shared" si="72"/>
        <v>9.0530641594609715</v>
      </c>
      <c r="W111">
        <f t="shared" si="73"/>
        <v>7.0937914556475299</v>
      </c>
      <c r="X111">
        <f t="shared" si="74"/>
        <v>5.5372349009902706</v>
      </c>
      <c r="Y111">
        <f t="shared" si="75"/>
        <v>19.661262044198423</v>
      </c>
      <c r="Z111">
        <f t="shared" ref="Z111:Z114" si="76">SUMPRODUCT(F111:Y111,fecundity,pmature)</f>
        <v>30117.66919325426</v>
      </c>
      <c r="AA111">
        <f t="shared" si="54"/>
        <v>1.722445437291505E-2</v>
      </c>
      <c r="AB111">
        <f t="shared" si="55"/>
        <v>5580.193385015722</v>
      </c>
      <c r="AC111">
        <f t="shared" si="51"/>
        <v>41079.304457364116</v>
      </c>
      <c r="AD111">
        <f t="shared" si="52"/>
        <v>34758.319099613582</v>
      </c>
      <c r="AE111">
        <v>598.6930814105159</v>
      </c>
      <c r="AF111">
        <v>35.217240082971522</v>
      </c>
      <c r="AG111">
        <f>q*AD111</f>
        <v>37.560639060381725</v>
      </c>
      <c r="AH111">
        <f t="shared" si="56"/>
        <v>-6.4420930794678019E-2</v>
      </c>
      <c r="AI111">
        <f>LN(_xlfn.NORM.DIST(AH111,0,sdresid,FALSE))</f>
        <v>1.1176249482291258</v>
      </c>
    </row>
    <row r="112" spans="5:35" x14ac:dyDescent="0.3">
      <c r="E112">
        <v>98</v>
      </c>
      <c r="F112">
        <f t="shared" si="53"/>
        <v>2389.7712590576484</v>
      </c>
      <c r="G112">
        <f t="shared" si="57"/>
        <v>1152.3091175895433</v>
      </c>
      <c r="H112">
        <f t="shared" si="58"/>
        <v>657.06512961339502</v>
      </c>
      <c r="I112">
        <f t="shared" si="59"/>
        <v>410.81150559998076</v>
      </c>
      <c r="J112">
        <f t="shared" si="60"/>
        <v>272.20325684001585</v>
      </c>
      <c r="K112">
        <f t="shared" si="61"/>
        <v>188.27518255891411</v>
      </c>
      <c r="L112">
        <f t="shared" si="62"/>
        <v>134.33152614132939</v>
      </c>
      <c r="M112">
        <f t="shared" si="63"/>
        <v>98.141398748406189</v>
      </c>
      <c r="N112">
        <f t="shared" si="64"/>
        <v>73.078426654309396</v>
      </c>
      <c r="O112">
        <f t="shared" si="65"/>
        <v>55.112043611238143</v>
      </c>
      <c r="P112">
        <f t="shared" si="66"/>
        <v>42.024281653818917</v>
      </c>
      <c r="Q112">
        <f t="shared" si="67"/>
        <v>32.293486203235815</v>
      </c>
      <c r="R112">
        <f t="shared" si="68"/>
        <v>25.003389862154727</v>
      </c>
      <c r="S112">
        <f t="shared" si="69"/>
        <v>19.476664435185768</v>
      </c>
      <c r="T112">
        <f t="shared" si="70"/>
        <v>15.20909129928935</v>
      </c>
      <c r="U112">
        <f t="shared" si="71"/>
        <v>11.936490605911871</v>
      </c>
      <c r="V112">
        <f t="shared" si="72"/>
        <v>9.409599795776133</v>
      </c>
      <c r="W112">
        <f t="shared" si="73"/>
        <v>7.414146450832118</v>
      </c>
      <c r="X112">
        <f t="shared" si="74"/>
        <v>5.8275706856617244</v>
      </c>
      <c r="Y112">
        <f t="shared" si="75"/>
        <v>20.7900385796788</v>
      </c>
      <c r="Z112">
        <f t="shared" si="76"/>
        <v>30660.459151623734</v>
      </c>
      <c r="AA112">
        <f t="shared" si="54"/>
        <v>1.2482801537369075E-2</v>
      </c>
      <c r="AB112">
        <f t="shared" si="55"/>
        <v>5620.4836059863255</v>
      </c>
      <c r="AC112">
        <f t="shared" si="51"/>
        <v>41827.650116976205</v>
      </c>
      <c r="AD112">
        <f t="shared" si="52"/>
        <v>35467.021699594639</v>
      </c>
      <c r="AE112">
        <v>442.72779299760231</v>
      </c>
      <c r="AF112">
        <v>34.055984076738639</v>
      </c>
      <c r="AG112">
        <f>q*AD112</f>
        <v>38.326479390081055</v>
      </c>
      <c r="AH112">
        <f t="shared" si="56"/>
        <v>-0.11813526422452877</v>
      </c>
      <c r="AI112">
        <f>LN(_xlfn.NORM.DIST(AH112,0,sdresid,FALSE))</f>
        <v>0.71146113902534813</v>
      </c>
    </row>
    <row r="113" spans="5:35" x14ac:dyDescent="0.3">
      <c r="E113">
        <v>99</v>
      </c>
      <c r="F113">
        <f t="shared" si="53"/>
        <v>2401.0137232463353</v>
      </c>
      <c r="G113">
        <f t="shared" si="57"/>
        <v>1157.5128245192425</v>
      </c>
      <c r="H113">
        <f t="shared" si="58"/>
        <v>661.1746775010098</v>
      </c>
      <c r="I113">
        <f t="shared" si="59"/>
        <v>414.06920183618337</v>
      </c>
      <c r="J113">
        <f t="shared" si="60"/>
        <v>275.37152659263307</v>
      </c>
      <c r="K113">
        <f t="shared" si="61"/>
        <v>190.84463939985739</v>
      </c>
      <c r="L113">
        <f t="shared" si="62"/>
        <v>136.59179821077015</v>
      </c>
      <c r="M113">
        <f t="shared" si="63"/>
        <v>100.08536092857815</v>
      </c>
      <c r="N113">
        <f t="shared" si="64"/>
        <v>74.679082447679519</v>
      </c>
      <c r="O113">
        <f t="shared" si="65"/>
        <v>56.556011395055314</v>
      </c>
      <c r="P113">
        <f t="shared" si="66"/>
        <v>43.240120895740823</v>
      </c>
      <c r="Q113">
        <f t="shared" si="67"/>
        <v>33.342866465908855</v>
      </c>
      <c r="R113">
        <f t="shared" si="68"/>
        <v>25.859283287915453</v>
      </c>
      <c r="S113">
        <f t="shared" si="69"/>
        <v>20.174683074578219</v>
      </c>
      <c r="T113">
        <f t="shared" si="70"/>
        <v>15.814947095665241</v>
      </c>
      <c r="U113">
        <f t="shared" si="71"/>
        <v>12.414921335505163</v>
      </c>
      <c r="V113">
        <f t="shared" si="72"/>
        <v>9.7865346267988951</v>
      </c>
      <c r="W113">
        <f t="shared" si="73"/>
        <v>7.7432736994681122</v>
      </c>
      <c r="X113">
        <f t="shared" si="74"/>
        <v>6.1200989540815831</v>
      </c>
      <c r="Y113">
        <f t="shared" si="75"/>
        <v>22.066778536500465</v>
      </c>
      <c r="Z113">
        <f t="shared" si="76"/>
        <v>31271.001582056801</v>
      </c>
      <c r="AA113">
        <f t="shared" si="54"/>
        <v>9.0940396085891495E-3</v>
      </c>
      <c r="AB113">
        <f t="shared" si="55"/>
        <v>5664.4623540495049</v>
      </c>
      <c r="AC113">
        <f t="shared" si="51"/>
        <v>42662.86908098928</v>
      </c>
      <c r="AD113">
        <f t="shared" si="52"/>
        <v>36259.802422315159</v>
      </c>
      <c r="AE113">
        <v>329.74807942815085</v>
      </c>
      <c r="AF113">
        <v>36.638675492016759</v>
      </c>
      <c r="AG113">
        <f>q*AD113</f>
        <v>39.183176473009475</v>
      </c>
      <c r="AH113">
        <f t="shared" si="56"/>
        <v>-6.7143093151843969E-2</v>
      </c>
      <c r="AI113">
        <f>LN(_xlfn.NORM.DIST(AH113,0,sdresid,FALSE))</f>
        <v>1.1027906970036578</v>
      </c>
    </row>
    <row r="114" spans="5:35" x14ac:dyDescent="0.3">
      <c r="E114">
        <v>100</v>
      </c>
      <c r="F114">
        <f t="shared" si="53"/>
        <v>2413.3130817344804</v>
      </c>
      <c r="G114">
        <f t="shared" si="57"/>
        <v>1163.2018025427692</v>
      </c>
      <c r="H114">
        <f t="shared" si="58"/>
        <v>664.69670179289858</v>
      </c>
      <c r="I114">
        <f t="shared" si="59"/>
        <v>417.42361978559205</v>
      </c>
      <c r="J114">
        <f t="shared" si="60"/>
        <v>278.29671238697074</v>
      </c>
      <c r="K114">
        <f t="shared" si="61"/>
        <v>193.66266914140655</v>
      </c>
      <c r="L114">
        <f t="shared" si="62"/>
        <v>138.90868343805661</v>
      </c>
      <c r="M114">
        <f t="shared" si="63"/>
        <v>102.11012444410272</v>
      </c>
      <c r="N114">
        <f t="shared" si="64"/>
        <v>76.416039834900829</v>
      </c>
      <c r="O114">
        <f t="shared" si="65"/>
        <v>57.991411606893486</v>
      </c>
      <c r="P114">
        <f t="shared" si="66"/>
        <v>44.524449128406836</v>
      </c>
      <c r="Q114">
        <f t="shared" si="67"/>
        <v>34.424798564092661</v>
      </c>
      <c r="R114">
        <f t="shared" si="68"/>
        <v>26.790935419944724</v>
      </c>
      <c r="S114">
        <f t="shared" si="69"/>
        <v>20.936721769456561</v>
      </c>
      <c r="T114">
        <f t="shared" si="70"/>
        <v>16.43784603448454</v>
      </c>
      <c r="U114">
        <f t="shared" si="71"/>
        <v>12.953702856643153</v>
      </c>
      <c r="V114">
        <f t="shared" si="72"/>
        <v>10.213675547366364</v>
      </c>
      <c r="W114">
        <f t="shared" si="73"/>
        <v>8.0810621074345619</v>
      </c>
      <c r="X114">
        <f t="shared" si="74"/>
        <v>6.4136923607926741</v>
      </c>
      <c r="Y114">
        <f t="shared" si="75"/>
        <v>23.447958284123978</v>
      </c>
      <c r="Z114">
        <f t="shared" si="76"/>
        <v>31908.019281621164</v>
      </c>
      <c r="AA114">
        <f t="shared" si="54"/>
        <v>4.1719314889217827E-3</v>
      </c>
      <c r="AB114">
        <f t="shared" si="55"/>
        <v>5710.2456887808139</v>
      </c>
      <c r="AC114">
        <f t="shared" si="51"/>
        <v>43536.474713495387</v>
      </c>
      <c r="AD114">
        <f t="shared" si="52"/>
        <v>37090.899837382029</v>
      </c>
      <c r="AE114">
        <v>154.7406929840179</v>
      </c>
      <c r="AF114">
        <v>30.948138596803581</v>
      </c>
      <c r="AG114">
        <f>q*AD114</f>
        <v>40.081279454971281</v>
      </c>
      <c r="AH114">
        <f t="shared" si="56"/>
        <v>-0.25859652374239223</v>
      </c>
      <c r="AI114">
        <f>LN(_xlfn.NORM.DIST(AH114,0,sdresid,FALSE))</f>
        <v>-1.4803507717663229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33</vt:i4>
      </vt:variant>
    </vt:vector>
  </HeadingPairs>
  <TitlesOfParts>
    <vt:vector size="35" baseType="lpstr">
      <vt:lpstr>Juv. Survival</vt:lpstr>
      <vt:lpstr>Age Structure</vt:lpstr>
      <vt:lpstr>eprh</vt:lpstr>
      <vt:lpstr>epro</vt:lpstr>
      <vt:lpstr>fecundity</vt:lpstr>
      <vt:lpstr>hr</vt:lpstr>
      <vt:lpstr>Length</vt:lpstr>
      <vt:lpstr>lmat50</vt:lpstr>
      <vt:lpstr>lmatsd</vt:lpstr>
      <vt:lpstr>lwa</vt:lpstr>
      <vt:lpstr>lwb</vt:lpstr>
      <vt:lpstr>maxsj</vt:lpstr>
      <vt:lpstr>nll</vt:lpstr>
      <vt:lpstr>page</vt:lpstr>
      <vt:lpstr>pagehr</vt:lpstr>
      <vt:lpstr>pmature</vt:lpstr>
      <vt:lpstr>q</vt:lpstr>
      <vt:lpstr>req</vt:lpstr>
      <vt:lpstr>ro</vt:lpstr>
      <vt:lpstr>sa</vt:lpstr>
      <vt:lpstr>sdresid</vt:lpstr>
      <vt:lpstr>sjscale</vt:lpstr>
      <vt:lpstr>survival</vt:lpstr>
      <vt:lpstr>survivalhr</vt:lpstr>
      <vt:lpstr>survship</vt:lpstr>
      <vt:lpstr>survshiphr</vt:lpstr>
      <vt:lpstr>vbk</vt:lpstr>
      <vt:lpstr>vblinf</vt:lpstr>
      <vt:lpstr>vbto</vt:lpstr>
      <vt:lpstr>vul</vt:lpstr>
      <vt:lpstr>vul50_</vt:lpstr>
      <vt:lpstr>vulsd</vt:lpstr>
      <vt:lpstr>Weight</vt:lpstr>
      <vt:lpstr>yeq</vt:lpstr>
      <vt:lpstr>yprh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UF</cp:lastModifiedBy>
  <dcterms:created xsi:type="dcterms:W3CDTF">2017-09-26T17:25:18Z</dcterms:created>
  <dcterms:modified xsi:type="dcterms:W3CDTF">2017-11-15T21:08:27Z</dcterms:modified>
</cp:coreProperties>
</file>