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11640" windowHeight="10668" tabRatio="500" activeTab="1"/>
  </bookViews>
  <sheets>
    <sheet name="Juv. Survival" sheetId="2" r:id="rId1"/>
    <sheet name="Age Structure" sheetId="1" r:id="rId2"/>
  </sheets>
  <definedNames>
    <definedName name="cpe">'Age Structure'!#REF!</definedName>
    <definedName name="dep">'Age Structure'!#REF!</definedName>
    <definedName name="eprh">'Age Structure'!$C$16</definedName>
    <definedName name="epro">'Age Structure'!$C$14</definedName>
    <definedName name="erh">'Age Structure'!#REF!</definedName>
    <definedName name="ersd">'Age Structure'!#REF!</definedName>
    <definedName name="fecundity">'Age Structure'!$F$4:$Y$4</definedName>
    <definedName name="hr">'Age Structure'!$C$13</definedName>
    <definedName name="Length">'Age Structure'!$F$2:$Y$2</definedName>
    <definedName name="lmat50">'Age Structure'!$C$9</definedName>
    <definedName name="lmatsd">'Age Structure'!$C$10</definedName>
    <definedName name="lwa">'Age Structure'!$C$7</definedName>
    <definedName name="lwb">'Age Structure'!$C$8</definedName>
    <definedName name="maxsj">'Age Structure'!$C$2</definedName>
    <definedName name="No">'Age Structure'!#REF!</definedName>
    <definedName name="page">'Age Structure'!$F$10:$Y$10</definedName>
    <definedName name="pagehr">'Age Structure'!$F$11:$Y$11</definedName>
    <definedName name="pinv">'Age Structure'!#REF!</definedName>
    <definedName name="pmature">'Age Structure'!$F$5:$Y$5</definedName>
    <definedName name="q">'Age Structure'!$C$20</definedName>
    <definedName name="req">'Age Structure'!$C$17</definedName>
    <definedName name="ro">'Age Structure'!$C$15</definedName>
    <definedName name="sa">'Age Structure'!$C$1</definedName>
    <definedName name="sdq">'Age Structure'!$C$21</definedName>
    <definedName name="sdr">'Age Structure'!$C$22</definedName>
    <definedName name="sjscale">'Age Structure'!$C$3</definedName>
    <definedName name="solver_adj" localSheetId="0" hidden="1">'Juv. Survival'!$B$1:$B$2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'Juv. Survival'!$B$3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survival">'Age Structure'!$F$6:$Y$6</definedName>
    <definedName name="survivalhr">'Age Structure'!$F$7:$Y$7</definedName>
    <definedName name="survship">'Age Structure'!$F$8:$Y$8</definedName>
    <definedName name="survshiphr">'Age Structure'!$F$9:$Y$9</definedName>
    <definedName name="vbk">'Age Structure'!$C$5</definedName>
    <definedName name="vblinf">'Age Structure'!$C$4</definedName>
    <definedName name="vbto">'Age Structure'!$C$6</definedName>
    <definedName name="vul">'Age Structure'!$F$12:$Y$12</definedName>
    <definedName name="vul50_">'Age Structure'!$C$11</definedName>
    <definedName name="vulsd">'Age Structure'!$C$12</definedName>
    <definedName name="Weight">'Age Structure'!$F$3:$Y$3</definedName>
    <definedName name="yeq">'Age Structure'!$C$19</definedName>
    <definedName name="yprh">'Age Structure'!$C$18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6" i="1" l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113" i="1"/>
  <c r="AA114" i="1"/>
  <c r="AA15" i="1"/>
  <c r="F2" i="1"/>
  <c r="F6" i="1"/>
  <c r="F12" i="1"/>
  <c r="F7" i="1"/>
  <c r="G9" i="1"/>
  <c r="G2" i="1"/>
  <c r="G6" i="1"/>
  <c r="G12" i="1"/>
  <c r="G7" i="1"/>
  <c r="H9" i="1"/>
  <c r="H2" i="1"/>
  <c r="H6" i="1"/>
  <c r="H12" i="1"/>
  <c r="H7" i="1"/>
  <c r="I9" i="1"/>
  <c r="I2" i="1"/>
  <c r="I6" i="1"/>
  <c r="I12" i="1"/>
  <c r="I7" i="1"/>
  <c r="J9" i="1"/>
  <c r="J2" i="1"/>
  <c r="J6" i="1"/>
  <c r="J12" i="1"/>
  <c r="J7" i="1"/>
  <c r="K9" i="1"/>
  <c r="K2" i="1"/>
  <c r="K6" i="1"/>
  <c r="K12" i="1"/>
  <c r="K7" i="1"/>
  <c r="L9" i="1"/>
  <c r="L2" i="1"/>
  <c r="L6" i="1"/>
  <c r="L12" i="1"/>
  <c r="L7" i="1"/>
  <c r="M9" i="1"/>
  <c r="M2" i="1"/>
  <c r="M6" i="1"/>
  <c r="M12" i="1"/>
  <c r="M7" i="1"/>
  <c r="N9" i="1"/>
  <c r="N2" i="1"/>
  <c r="N6" i="1"/>
  <c r="N12" i="1"/>
  <c r="N7" i="1"/>
  <c r="O9" i="1"/>
  <c r="O2" i="1"/>
  <c r="O6" i="1"/>
  <c r="O12" i="1"/>
  <c r="O7" i="1"/>
  <c r="P9" i="1"/>
  <c r="P2" i="1"/>
  <c r="P6" i="1"/>
  <c r="P12" i="1"/>
  <c r="P7" i="1"/>
  <c r="Q9" i="1"/>
  <c r="Q2" i="1"/>
  <c r="Q6" i="1"/>
  <c r="Q12" i="1"/>
  <c r="Q7" i="1"/>
  <c r="R9" i="1"/>
  <c r="R2" i="1"/>
  <c r="R6" i="1"/>
  <c r="R12" i="1"/>
  <c r="R7" i="1"/>
  <c r="S9" i="1"/>
  <c r="S2" i="1"/>
  <c r="S6" i="1"/>
  <c r="S12" i="1"/>
  <c r="S7" i="1"/>
  <c r="T9" i="1"/>
  <c r="T2" i="1"/>
  <c r="T6" i="1"/>
  <c r="T12" i="1"/>
  <c r="T7" i="1"/>
  <c r="U9" i="1"/>
  <c r="U2" i="1"/>
  <c r="U6" i="1"/>
  <c r="U12" i="1"/>
  <c r="U7" i="1"/>
  <c r="V9" i="1"/>
  <c r="V2" i="1"/>
  <c r="V6" i="1"/>
  <c r="V12" i="1"/>
  <c r="V7" i="1"/>
  <c r="W9" i="1"/>
  <c r="W2" i="1"/>
  <c r="W6" i="1"/>
  <c r="W12" i="1"/>
  <c r="W7" i="1"/>
  <c r="X9" i="1"/>
  <c r="X2" i="1"/>
  <c r="X6" i="1"/>
  <c r="X12" i="1"/>
  <c r="X7" i="1"/>
  <c r="Y2" i="1"/>
  <c r="Y6" i="1"/>
  <c r="Y12" i="1"/>
  <c r="Y7" i="1"/>
  <c r="Y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B4" i="2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F11" i="1"/>
  <c r="O10" i="1"/>
  <c r="P10" i="1"/>
  <c r="Q10" i="1"/>
  <c r="R10" i="1"/>
  <c r="S10" i="1"/>
  <c r="T10" i="1"/>
  <c r="U10" i="1"/>
  <c r="V10" i="1"/>
  <c r="W10" i="1"/>
  <c r="X10" i="1"/>
  <c r="Y10" i="1"/>
  <c r="G10" i="1"/>
  <c r="H10" i="1"/>
  <c r="I10" i="1"/>
  <c r="J10" i="1"/>
  <c r="K10" i="1"/>
  <c r="L10" i="1"/>
  <c r="M10" i="1"/>
  <c r="N10" i="1"/>
  <c r="F10" i="1"/>
  <c r="O5" i="1"/>
  <c r="P5" i="1"/>
  <c r="Q5" i="1"/>
  <c r="R5" i="1"/>
  <c r="S5" i="1"/>
  <c r="T5" i="1"/>
  <c r="U5" i="1"/>
  <c r="V5" i="1"/>
  <c r="W5" i="1"/>
  <c r="X5" i="1"/>
  <c r="Y5" i="1"/>
  <c r="G5" i="1"/>
  <c r="H5" i="1"/>
  <c r="I5" i="1"/>
  <c r="J5" i="1"/>
  <c r="K5" i="1"/>
  <c r="L5" i="1"/>
  <c r="M5" i="1"/>
  <c r="N5" i="1"/>
  <c r="F5" i="1"/>
  <c r="P3" i="1"/>
  <c r="P4" i="1"/>
  <c r="Q3" i="1"/>
  <c r="Q4" i="1"/>
  <c r="R3" i="1"/>
  <c r="R4" i="1"/>
  <c r="S3" i="1"/>
  <c r="S4" i="1"/>
  <c r="T3" i="1"/>
  <c r="T4" i="1"/>
  <c r="U3" i="1"/>
  <c r="U4" i="1"/>
  <c r="V3" i="1"/>
  <c r="V4" i="1"/>
  <c r="W3" i="1"/>
  <c r="W4" i="1"/>
  <c r="X3" i="1"/>
  <c r="X4" i="1"/>
  <c r="Y3" i="1"/>
  <c r="Y4" i="1"/>
  <c r="J3" i="1"/>
  <c r="J4" i="1"/>
  <c r="K3" i="1"/>
  <c r="K4" i="1"/>
  <c r="L3" i="1"/>
  <c r="L4" i="1"/>
  <c r="M3" i="1"/>
  <c r="M4" i="1"/>
  <c r="N3" i="1"/>
  <c r="N4" i="1"/>
  <c r="O3" i="1"/>
  <c r="O4" i="1"/>
  <c r="I3" i="1"/>
  <c r="I4" i="1"/>
  <c r="G3" i="1"/>
  <c r="G4" i="1"/>
  <c r="H3" i="1"/>
  <c r="H4" i="1"/>
  <c r="F3" i="1"/>
  <c r="F4" i="1"/>
  <c r="B3" i="2"/>
  <c r="C18" i="1"/>
  <c r="C16" i="1"/>
  <c r="C17" i="1"/>
  <c r="C19" i="1"/>
  <c r="C14" i="1"/>
  <c r="C15" i="1"/>
  <c r="F15" i="1"/>
  <c r="G16" i="1"/>
  <c r="H17" i="1"/>
  <c r="I18" i="1"/>
  <c r="J19" i="1"/>
  <c r="K20" i="1"/>
  <c r="L21" i="1"/>
  <c r="M22" i="1"/>
  <c r="N23" i="1"/>
  <c r="O24" i="1"/>
  <c r="P25" i="1"/>
  <c r="Q26" i="1"/>
  <c r="R27" i="1"/>
  <c r="S28" i="1"/>
  <c r="T29" i="1"/>
  <c r="U30" i="1"/>
  <c r="V31" i="1"/>
  <c r="W32" i="1"/>
  <c r="X33" i="1"/>
  <c r="G15" i="1"/>
  <c r="H16" i="1"/>
  <c r="I17" i="1"/>
  <c r="J18" i="1"/>
  <c r="K19" i="1"/>
  <c r="L20" i="1"/>
  <c r="M21" i="1"/>
  <c r="N22" i="1"/>
  <c r="O23" i="1"/>
  <c r="P24" i="1"/>
  <c r="Q25" i="1"/>
  <c r="R26" i="1"/>
  <c r="S27" i="1"/>
  <c r="T28" i="1"/>
  <c r="U29" i="1"/>
  <c r="V30" i="1"/>
  <c r="W31" i="1"/>
  <c r="X32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J15" i="1"/>
  <c r="K16" i="1"/>
  <c r="L17" i="1"/>
  <c r="M18" i="1"/>
  <c r="N19" i="1"/>
  <c r="O20" i="1"/>
  <c r="P21" i="1"/>
  <c r="Q22" i="1"/>
  <c r="R23" i="1"/>
  <c r="S24" i="1"/>
  <c r="T25" i="1"/>
  <c r="U26" i="1"/>
  <c r="V27" i="1"/>
  <c r="W28" i="1"/>
  <c r="X29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L15" i="1"/>
  <c r="M16" i="1"/>
  <c r="N17" i="1"/>
  <c r="O18" i="1"/>
  <c r="P19" i="1"/>
  <c r="Q20" i="1"/>
  <c r="R21" i="1"/>
  <c r="S22" i="1"/>
  <c r="T23" i="1"/>
  <c r="U24" i="1"/>
  <c r="V25" i="1"/>
  <c r="W26" i="1"/>
  <c r="X27" i="1"/>
  <c r="M15" i="1"/>
  <c r="N16" i="1"/>
  <c r="O17" i="1"/>
  <c r="P18" i="1"/>
  <c r="Q19" i="1"/>
  <c r="R20" i="1"/>
  <c r="S21" i="1"/>
  <c r="T22" i="1"/>
  <c r="U23" i="1"/>
  <c r="V24" i="1"/>
  <c r="W25" i="1"/>
  <c r="X26" i="1"/>
  <c r="N15" i="1"/>
  <c r="O16" i="1"/>
  <c r="P17" i="1"/>
  <c r="Q18" i="1"/>
  <c r="R19" i="1"/>
  <c r="S20" i="1"/>
  <c r="T21" i="1"/>
  <c r="U22" i="1"/>
  <c r="V23" i="1"/>
  <c r="W24" i="1"/>
  <c r="X25" i="1"/>
  <c r="O15" i="1"/>
  <c r="P16" i="1"/>
  <c r="Q17" i="1"/>
  <c r="R18" i="1"/>
  <c r="S19" i="1"/>
  <c r="T20" i="1"/>
  <c r="U21" i="1"/>
  <c r="V22" i="1"/>
  <c r="W23" i="1"/>
  <c r="X24" i="1"/>
  <c r="P15" i="1"/>
  <c r="Q16" i="1"/>
  <c r="R17" i="1"/>
  <c r="S18" i="1"/>
  <c r="T19" i="1"/>
  <c r="U20" i="1"/>
  <c r="V21" i="1"/>
  <c r="W22" i="1"/>
  <c r="X23" i="1"/>
  <c r="Q15" i="1"/>
  <c r="R16" i="1"/>
  <c r="S17" i="1"/>
  <c r="T18" i="1"/>
  <c r="U19" i="1"/>
  <c r="V20" i="1"/>
  <c r="W21" i="1"/>
  <c r="X22" i="1"/>
  <c r="R15" i="1"/>
  <c r="S16" i="1"/>
  <c r="T17" i="1"/>
  <c r="U18" i="1"/>
  <c r="V19" i="1"/>
  <c r="W20" i="1"/>
  <c r="X21" i="1"/>
  <c r="S15" i="1"/>
  <c r="T16" i="1"/>
  <c r="U17" i="1"/>
  <c r="V18" i="1"/>
  <c r="W19" i="1"/>
  <c r="X20" i="1"/>
  <c r="T15" i="1"/>
  <c r="U16" i="1"/>
  <c r="V17" i="1"/>
  <c r="W18" i="1"/>
  <c r="X19" i="1"/>
  <c r="U15" i="1"/>
  <c r="V16" i="1"/>
  <c r="W17" i="1"/>
  <c r="X18" i="1"/>
  <c r="V15" i="1"/>
  <c r="W16" i="1"/>
  <c r="X17" i="1"/>
  <c r="W15" i="1"/>
  <c r="X16" i="1"/>
  <c r="X15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AC15" i="1"/>
  <c r="AB15" i="1"/>
  <c r="Z15" i="1"/>
  <c r="F16" i="1"/>
  <c r="Z16" i="1"/>
  <c r="F17" i="1"/>
  <c r="G17" i="1"/>
  <c r="Z17" i="1"/>
  <c r="F18" i="1"/>
  <c r="G18" i="1"/>
  <c r="H18" i="1"/>
  <c r="Z18" i="1"/>
  <c r="F19" i="1"/>
  <c r="G19" i="1"/>
  <c r="H19" i="1"/>
  <c r="I19" i="1"/>
  <c r="Z19" i="1"/>
  <c r="F20" i="1"/>
  <c r="G20" i="1"/>
  <c r="H20" i="1"/>
  <c r="I20" i="1"/>
  <c r="J20" i="1"/>
  <c r="Z20" i="1"/>
  <c r="F21" i="1"/>
  <c r="G21" i="1"/>
  <c r="H21" i="1"/>
  <c r="I21" i="1"/>
  <c r="J21" i="1"/>
  <c r="K21" i="1"/>
  <c r="Z21" i="1"/>
  <c r="F22" i="1"/>
  <c r="G22" i="1"/>
  <c r="H22" i="1"/>
  <c r="I22" i="1"/>
  <c r="J22" i="1"/>
  <c r="K22" i="1"/>
  <c r="L22" i="1"/>
  <c r="Z22" i="1"/>
  <c r="F23" i="1"/>
  <c r="G23" i="1"/>
  <c r="H23" i="1"/>
  <c r="I23" i="1"/>
  <c r="J23" i="1"/>
  <c r="K23" i="1"/>
  <c r="L23" i="1"/>
  <c r="M23" i="1"/>
  <c r="Z23" i="1"/>
  <c r="F24" i="1"/>
  <c r="G24" i="1"/>
  <c r="H24" i="1"/>
  <c r="I24" i="1"/>
  <c r="J24" i="1"/>
  <c r="K24" i="1"/>
  <c r="L24" i="1"/>
  <c r="M24" i="1"/>
  <c r="N24" i="1"/>
  <c r="Z24" i="1"/>
  <c r="F25" i="1"/>
  <c r="G25" i="1"/>
  <c r="H25" i="1"/>
  <c r="I25" i="1"/>
  <c r="J25" i="1"/>
  <c r="K25" i="1"/>
  <c r="L25" i="1"/>
  <c r="M25" i="1"/>
  <c r="N25" i="1"/>
  <c r="O25" i="1"/>
  <c r="Z25" i="1"/>
  <c r="F26" i="1"/>
  <c r="G26" i="1"/>
  <c r="H26" i="1"/>
  <c r="I26" i="1"/>
  <c r="J26" i="1"/>
  <c r="K26" i="1"/>
  <c r="L26" i="1"/>
  <c r="M26" i="1"/>
  <c r="N26" i="1"/>
  <c r="O26" i="1"/>
  <c r="P26" i="1"/>
  <c r="Z26" i="1"/>
  <c r="F27" i="1"/>
  <c r="G27" i="1"/>
  <c r="H27" i="1"/>
  <c r="I27" i="1"/>
  <c r="J27" i="1"/>
  <c r="K27" i="1"/>
  <c r="L27" i="1"/>
  <c r="M27" i="1"/>
  <c r="N27" i="1"/>
  <c r="O27" i="1"/>
  <c r="P27" i="1"/>
  <c r="Q27" i="1"/>
  <c r="Z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Z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Z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Z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Z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Z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Z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B34" i="1"/>
  <c r="AC34" i="1"/>
  <c r="Z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AB35" i="1"/>
  <c r="AC33" i="1"/>
  <c r="AB33" i="1"/>
  <c r="AC32" i="1"/>
  <c r="AB31" i="1"/>
  <c r="AC31" i="1"/>
  <c r="AB32" i="1"/>
  <c r="AC30" i="1"/>
  <c r="AB30" i="1"/>
  <c r="AC29" i="1"/>
  <c r="AB28" i="1"/>
  <c r="AC28" i="1"/>
  <c r="AB29" i="1"/>
  <c r="AC27" i="1"/>
  <c r="AB27" i="1"/>
  <c r="AC26" i="1"/>
  <c r="AB25" i="1"/>
  <c r="AC25" i="1"/>
  <c r="AB26" i="1"/>
  <c r="AC24" i="1"/>
  <c r="AB24" i="1"/>
  <c r="AC23" i="1"/>
  <c r="AB22" i="1"/>
  <c r="AC22" i="1"/>
  <c r="AB23" i="1"/>
  <c r="AC21" i="1"/>
  <c r="AB21" i="1"/>
  <c r="AC20" i="1"/>
  <c r="AB19" i="1"/>
  <c r="AC19" i="1"/>
  <c r="AB20" i="1"/>
  <c r="AC18" i="1"/>
  <c r="AB18" i="1"/>
  <c r="AC17" i="1"/>
  <c r="AB17" i="1"/>
  <c r="AC16" i="1"/>
  <c r="AB16" i="1"/>
  <c r="G36" i="1"/>
  <c r="H37" i="1"/>
  <c r="I38" i="1"/>
  <c r="J39" i="1"/>
  <c r="K40" i="1"/>
  <c r="L41" i="1"/>
  <c r="M42" i="1"/>
  <c r="N43" i="1"/>
  <c r="O44" i="1"/>
  <c r="P45" i="1"/>
  <c r="Q46" i="1"/>
  <c r="R47" i="1"/>
  <c r="S48" i="1"/>
  <c r="T49" i="1"/>
  <c r="U50" i="1"/>
  <c r="V51" i="1"/>
  <c r="W52" i="1"/>
  <c r="X53" i="1"/>
  <c r="H36" i="1"/>
  <c r="I37" i="1"/>
  <c r="J38" i="1"/>
  <c r="K39" i="1"/>
  <c r="L40" i="1"/>
  <c r="M41" i="1"/>
  <c r="N42" i="1"/>
  <c r="O43" i="1"/>
  <c r="P44" i="1"/>
  <c r="Q45" i="1"/>
  <c r="R46" i="1"/>
  <c r="S47" i="1"/>
  <c r="T48" i="1"/>
  <c r="U49" i="1"/>
  <c r="V50" i="1"/>
  <c r="W51" i="1"/>
  <c r="X52" i="1"/>
  <c r="I36" i="1"/>
  <c r="J37" i="1"/>
  <c r="K38" i="1"/>
  <c r="L39" i="1"/>
  <c r="M40" i="1"/>
  <c r="N41" i="1"/>
  <c r="O42" i="1"/>
  <c r="P43" i="1"/>
  <c r="Q44" i="1"/>
  <c r="R45" i="1"/>
  <c r="S46" i="1"/>
  <c r="T47" i="1"/>
  <c r="U48" i="1"/>
  <c r="V49" i="1"/>
  <c r="W50" i="1"/>
  <c r="X51" i="1"/>
  <c r="J36" i="1"/>
  <c r="K37" i="1"/>
  <c r="L38" i="1"/>
  <c r="M39" i="1"/>
  <c r="N40" i="1"/>
  <c r="O41" i="1"/>
  <c r="P42" i="1"/>
  <c r="Q43" i="1"/>
  <c r="R44" i="1"/>
  <c r="S45" i="1"/>
  <c r="T46" i="1"/>
  <c r="U47" i="1"/>
  <c r="V48" i="1"/>
  <c r="W49" i="1"/>
  <c r="X50" i="1"/>
  <c r="K36" i="1"/>
  <c r="L37" i="1"/>
  <c r="M38" i="1"/>
  <c r="N39" i="1"/>
  <c r="O40" i="1"/>
  <c r="P41" i="1"/>
  <c r="Q42" i="1"/>
  <c r="R43" i="1"/>
  <c r="S44" i="1"/>
  <c r="T45" i="1"/>
  <c r="U46" i="1"/>
  <c r="V47" i="1"/>
  <c r="W48" i="1"/>
  <c r="X49" i="1"/>
  <c r="L36" i="1"/>
  <c r="M37" i="1"/>
  <c r="N38" i="1"/>
  <c r="O39" i="1"/>
  <c r="P40" i="1"/>
  <c r="Q41" i="1"/>
  <c r="R42" i="1"/>
  <c r="S43" i="1"/>
  <c r="T44" i="1"/>
  <c r="U45" i="1"/>
  <c r="V46" i="1"/>
  <c r="W47" i="1"/>
  <c r="X48" i="1"/>
  <c r="M36" i="1"/>
  <c r="N37" i="1"/>
  <c r="O38" i="1"/>
  <c r="P39" i="1"/>
  <c r="Q40" i="1"/>
  <c r="R41" i="1"/>
  <c r="S42" i="1"/>
  <c r="T43" i="1"/>
  <c r="U44" i="1"/>
  <c r="V45" i="1"/>
  <c r="W46" i="1"/>
  <c r="X47" i="1"/>
  <c r="N36" i="1"/>
  <c r="O37" i="1"/>
  <c r="P38" i="1"/>
  <c r="Q39" i="1"/>
  <c r="R40" i="1"/>
  <c r="S41" i="1"/>
  <c r="T42" i="1"/>
  <c r="U43" i="1"/>
  <c r="V44" i="1"/>
  <c r="W45" i="1"/>
  <c r="X46" i="1"/>
  <c r="O36" i="1"/>
  <c r="P37" i="1"/>
  <c r="Q38" i="1"/>
  <c r="R39" i="1"/>
  <c r="S40" i="1"/>
  <c r="T41" i="1"/>
  <c r="U42" i="1"/>
  <c r="V43" i="1"/>
  <c r="W44" i="1"/>
  <c r="X45" i="1"/>
  <c r="P36" i="1"/>
  <c r="Q37" i="1"/>
  <c r="R38" i="1"/>
  <c r="S39" i="1"/>
  <c r="T40" i="1"/>
  <c r="U41" i="1"/>
  <c r="V42" i="1"/>
  <c r="W43" i="1"/>
  <c r="X44" i="1"/>
  <c r="Q36" i="1"/>
  <c r="R37" i="1"/>
  <c r="S38" i="1"/>
  <c r="T39" i="1"/>
  <c r="U40" i="1"/>
  <c r="V41" i="1"/>
  <c r="W42" i="1"/>
  <c r="X43" i="1"/>
  <c r="R36" i="1"/>
  <c r="S37" i="1"/>
  <c r="T38" i="1"/>
  <c r="U39" i="1"/>
  <c r="V40" i="1"/>
  <c r="W41" i="1"/>
  <c r="X42" i="1"/>
  <c r="S36" i="1"/>
  <c r="T37" i="1"/>
  <c r="U38" i="1"/>
  <c r="V39" i="1"/>
  <c r="W40" i="1"/>
  <c r="X41" i="1"/>
  <c r="T36" i="1"/>
  <c r="U37" i="1"/>
  <c r="V38" i="1"/>
  <c r="W39" i="1"/>
  <c r="X40" i="1"/>
  <c r="U36" i="1"/>
  <c r="V37" i="1"/>
  <c r="W38" i="1"/>
  <c r="X39" i="1"/>
  <c r="V36" i="1"/>
  <c r="W37" i="1"/>
  <c r="X38" i="1"/>
  <c r="W36" i="1"/>
  <c r="X37" i="1"/>
  <c r="X36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D15" i="1"/>
  <c r="AH15" i="1"/>
  <c r="AD35" i="1"/>
  <c r="AH35" i="1"/>
  <c r="AI35" i="1"/>
  <c r="AD34" i="1"/>
  <c r="AH34" i="1"/>
  <c r="AI34" i="1"/>
  <c r="AD33" i="1"/>
  <c r="AH33" i="1"/>
  <c r="AI33" i="1"/>
  <c r="AD32" i="1"/>
  <c r="AH32" i="1"/>
  <c r="AI32" i="1"/>
  <c r="AD31" i="1"/>
  <c r="AH31" i="1"/>
  <c r="AI31" i="1"/>
  <c r="AD30" i="1"/>
  <c r="AH30" i="1"/>
  <c r="AI30" i="1"/>
  <c r="AD29" i="1"/>
  <c r="AH29" i="1"/>
  <c r="AI29" i="1"/>
  <c r="AD28" i="1"/>
  <c r="AH28" i="1"/>
  <c r="AI28" i="1"/>
  <c r="AD27" i="1"/>
  <c r="AH27" i="1"/>
  <c r="AI27" i="1"/>
  <c r="AD26" i="1"/>
  <c r="AH26" i="1"/>
  <c r="AI26" i="1"/>
  <c r="AD25" i="1"/>
  <c r="AH25" i="1"/>
  <c r="AI25" i="1"/>
  <c r="AD24" i="1"/>
  <c r="AH24" i="1"/>
  <c r="AI24" i="1"/>
  <c r="AD23" i="1"/>
  <c r="AH23" i="1"/>
  <c r="AI23" i="1"/>
  <c r="AD22" i="1"/>
  <c r="AH22" i="1"/>
  <c r="AI22" i="1"/>
  <c r="AD21" i="1"/>
  <c r="AH21" i="1"/>
  <c r="AI21" i="1"/>
  <c r="AD20" i="1"/>
  <c r="AH20" i="1"/>
  <c r="AI20" i="1"/>
  <c r="AD19" i="1"/>
  <c r="AH19" i="1"/>
  <c r="AI19" i="1"/>
  <c r="AD18" i="1"/>
  <c r="AH18" i="1"/>
  <c r="AI18" i="1"/>
  <c r="AD17" i="1"/>
  <c r="AH17" i="1"/>
  <c r="AI17" i="1"/>
  <c r="AD16" i="1"/>
  <c r="AH16" i="1"/>
  <c r="AI16" i="1"/>
  <c r="Z35" i="1"/>
  <c r="F36" i="1"/>
  <c r="AD36" i="1"/>
  <c r="AH36" i="1"/>
  <c r="AI36" i="1"/>
  <c r="Z36" i="1"/>
  <c r="F37" i="1"/>
  <c r="G37" i="1"/>
  <c r="AD37" i="1"/>
  <c r="AH37" i="1"/>
  <c r="AI37" i="1"/>
  <c r="Z37" i="1"/>
  <c r="F38" i="1"/>
  <c r="G38" i="1"/>
  <c r="H38" i="1"/>
  <c r="AD38" i="1"/>
  <c r="AH38" i="1"/>
  <c r="AI38" i="1"/>
  <c r="Z38" i="1"/>
  <c r="F39" i="1"/>
  <c r="G39" i="1"/>
  <c r="H39" i="1"/>
  <c r="I39" i="1"/>
  <c r="AD39" i="1"/>
  <c r="AH39" i="1"/>
  <c r="AI39" i="1"/>
  <c r="Z39" i="1"/>
  <c r="F40" i="1"/>
  <c r="G40" i="1"/>
  <c r="H40" i="1"/>
  <c r="I40" i="1"/>
  <c r="J40" i="1"/>
  <c r="AD40" i="1"/>
  <c r="AH40" i="1"/>
  <c r="AI40" i="1"/>
  <c r="Z40" i="1"/>
  <c r="F41" i="1"/>
  <c r="G41" i="1"/>
  <c r="H41" i="1"/>
  <c r="I41" i="1"/>
  <c r="J41" i="1"/>
  <c r="K41" i="1"/>
  <c r="AD41" i="1"/>
  <c r="AH41" i="1"/>
  <c r="AI41" i="1"/>
  <c r="Z41" i="1"/>
  <c r="F42" i="1"/>
  <c r="G42" i="1"/>
  <c r="H42" i="1"/>
  <c r="I42" i="1"/>
  <c r="J42" i="1"/>
  <c r="K42" i="1"/>
  <c r="L42" i="1"/>
  <c r="AD42" i="1"/>
  <c r="AH42" i="1"/>
  <c r="AI42" i="1"/>
  <c r="Z42" i="1"/>
  <c r="F43" i="1"/>
  <c r="G43" i="1"/>
  <c r="H43" i="1"/>
  <c r="I43" i="1"/>
  <c r="J43" i="1"/>
  <c r="K43" i="1"/>
  <c r="L43" i="1"/>
  <c r="M43" i="1"/>
  <c r="AD43" i="1"/>
  <c r="AH43" i="1"/>
  <c r="AI43" i="1"/>
  <c r="Z43" i="1"/>
  <c r="F44" i="1"/>
  <c r="G44" i="1"/>
  <c r="H44" i="1"/>
  <c r="I44" i="1"/>
  <c r="J44" i="1"/>
  <c r="K44" i="1"/>
  <c r="L44" i="1"/>
  <c r="M44" i="1"/>
  <c r="N44" i="1"/>
  <c r="AD44" i="1"/>
  <c r="AH44" i="1"/>
  <c r="AI44" i="1"/>
  <c r="Z44" i="1"/>
  <c r="F45" i="1"/>
  <c r="G45" i="1"/>
  <c r="H45" i="1"/>
  <c r="I45" i="1"/>
  <c r="J45" i="1"/>
  <c r="K45" i="1"/>
  <c r="L45" i="1"/>
  <c r="M45" i="1"/>
  <c r="N45" i="1"/>
  <c r="O45" i="1"/>
  <c r="AD45" i="1"/>
  <c r="AH45" i="1"/>
  <c r="AI45" i="1"/>
  <c r="Z45" i="1"/>
  <c r="F46" i="1"/>
  <c r="G46" i="1"/>
  <c r="H46" i="1"/>
  <c r="I46" i="1"/>
  <c r="J46" i="1"/>
  <c r="K46" i="1"/>
  <c r="L46" i="1"/>
  <c r="M46" i="1"/>
  <c r="N46" i="1"/>
  <c r="O46" i="1"/>
  <c r="P46" i="1"/>
  <c r="AD46" i="1"/>
  <c r="AH46" i="1"/>
  <c r="AI46" i="1"/>
  <c r="Z46" i="1"/>
  <c r="F47" i="1"/>
  <c r="G47" i="1"/>
  <c r="H47" i="1"/>
  <c r="I47" i="1"/>
  <c r="J47" i="1"/>
  <c r="K47" i="1"/>
  <c r="L47" i="1"/>
  <c r="M47" i="1"/>
  <c r="N47" i="1"/>
  <c r="O47" i="1"/>
  <c r="P47" i="1"/>
  <c r="Q47" i="1"/>
  <c r="AD47" i="1"/>
  <c r="AH47" i="1"/>
  <c r="AI47" i="1"/>
  <c r="Z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D48" i="1"/>
  <c r="AH48" i="1"/>
  <c r="AI48" i="1"/>
  <c r="Z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D49" i="1"/>
  <c r="AH49" i="1"/>
  <c r="AI49" i="1"/>
  <c r="Z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AD50" i="1"/>
  <c r="AH50" i="1"/>
  <c r="AI50" i="1"/>
  <c r="Z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AD51" i="1"/>
  <c r="AH51" i="1"/>
  <c r="AI51" i="1"/>
  <c r="Z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AD52" i="1"/>
  <c r="AH52" i="1"/>
  <c r="AI52" i="1"/>
  <c r="Z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AD53" i="1"/>
  <c r="AH53" i="1"/>
  <c r="AI53" i="1"/>
  <c r="Z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D54" i="1"/>
  <c r="AH54" i="1"/>
  <c r="AI54" i="1"/>
  <c r="Y55" i="1"/>
  <c r="X55" i="1"/>
  <c r="Y56" i="1"/>
  <c r="W55" i="1"/>
  <c r="X56" i="1"/>
  <c r="Y57" i="1"/>
  <c r="V55" i="1"/>
  <c r="W56" i="1"/>
  <c r="X57" i="1"/>
  <c r="Y58" i="1"/>
  <c r="U55" i="1"/>
  <c r="V56" i="1"/>
  <c r="W57" i="1"/>
  <c r="X58" i="1"/>
  <c r="Y59" i="1"/>
  <c r="T55" i="1"/>
  <c r="U56" i="1"/>
  <c r="V57" i="1"/>
  <c r="W58" i="1"/>
  <c r="X59" i="1"/>
  <c r="Y60" i="1"/>
  <c r="S55" i="1"/>
  <c r="T56" i="1"/>
  <c r="U57" i="1"/>
  <c r="V58" i="1"/>
  <c r="W59" i="1"/>
  <c r="X60" i="1"/>
  <c r="Y61" i="1"/>
  <c r="R55" i="1"/>
  <c r="S56" i="1"/>
  <c r="T57" i="1"/>
  <c r="U58" i="1"/>
  <c r="V59" i="1"/>
  <c r="W60" i="1"/>
  <c r="X61" i="1"/>
  <c r="Y62" i="1"/>
  <c r="Q55" i="1"/>
  <c r="R56" i="1"/>
  <c r="S57" i="1"/>
  <c r="T58" i="1"/>
  <c r="U59" i="1"/>
  <c r="V60" i="1"/>
  <c r="W61" i="1"/>
  <c r="X62" i="1"/>
  <c r="Y63" i="1"/>
  <c r="P55" i="1"/>
  <c r="Q56" i="1"/>
  <c r="R57" i="1"/>
  <c r="S58" i="1"/>
  <c r="T59" i="1"/>
  <c r="U60" i="1"/>
  <c r="V61" i="1"/>
  <c r="W62" i="1"/>
  <c r="X63" i="1"/>
  <c r="Y64" i="1"/>
  <c r="O55" i="1"/>
  <c r="P56" i="1"/>
  <c r="Q57" i="1"/>
  <c r="R58" i="1"/>
  <c r="S59" i="1"/>
  <c r="T60" i="1"/>
  <c r="U61" i="1"/>
  <c r="V62" i="1"/>
  <c r="W63" i="1"/>
  <c r="X64" i="1"/>
  <c r="Y65" i="1"/>
  <c r="N55" i="1"/>
  <c r="O56" i="1"/>
  <c r="P57" i="1"/>
  <c r="Q58" i="1"/>
  <c r="R59" i="1"/>
  <c r="S60" i="1"/>
  <c r="T61" i="1"/>
  <c r="U62" i="1"/>
  <c r="V63" i="1"/>
  <c r="W64" i="1"/>
  <c r="X65" i="1"/>
  <c r="Y66" i="1"/>
  <c r="M55" i="1"/>
  <c r="N56" i="1"/>
  <c r="O57" i="1"/>
  <c r="P58" i="1"/>
  <c r="Q59" i="1"/>
  <c r="R60" i="1"/>
  <c r="S61" i="1"/>
  <c r="T62" i="1"/>
  <c r="U63" i="1"/>
  <c r="V64" i="1"/>
  <c r="W65" i="1"/>
  <c r="X66" i="1"/>
  <c r="Y67" i="1"/>
  <c r="L55" i="1"/>
  <c r="M56" i="1"/>
  <c r="N57" i="1"/>
  <c r="O58" i="1"/>
  <c r="P59" i="1"/>
  <c r="Q60" i="1"/>
  <c r="R61" i="1"/>
  <c r="S62" i="1"/>
  <c r="T63" i="1"/>
  <c r="U64" i="1"/>
  <c r="V65" i="1"/>
  <c r="W66" i="1"/>
  <c r="X67" i="1"/>
  <c r="Y68" i="1"/>
  <c r="K55" i="1"/>
  <c r="L56" i="1"/>
  <c r="M57" i="1"/>
  <c r="N58" i="1"/>
  <c r="O59" i="1"/>
  <c r="P60" i="1"/>
  <c r="Q61" i="1"/>
  <c r="R62" i="1"/>
  <c r="S63" i="1"/>
  <c r="T64" i="1"/>
  <c r="U65" i="1"/>
  <c r="V66" i="1"/>
  <c r="W67" i="1"/>
  <c r="X68" i="1"/>
  <c r="Y69" i="1"/>
  <c r="J55" i="1"/>
  <c r="K56" i="1"/>
  <c r="L57" i="1"/>
  <c r="M58" i="1"/>
  <c r="N59" i="1"/>
  <c r="O60" i="1"/>
  <c r="P61" i="1"/>
  <c r="Q62" i="1"/>
  <c r="R63" i="1"/>
  <c r="S64" i="1"/>
  <c r="T65" i="1"/>
  <c r="U66" i="1"/>
  <c r="V67" i="1"/>
  <c r="W68" i="1"/>
  <c r="X69" i="1"/>
  <c r="Y70" i="1"/>
  <c r="I55" i="1"/>
  <c r="J56" i="1"/>
  <c r="K57" i="1"/>
  <c r="L58" i="1"/>
  <c r="M59" i="1"/>
  <c r="N60" i="1"/>
  <c r="O61" i="1"/>
  <c r="P62" i="1"/>
  <c r="Q63" i="1"/>
  <c r="R64" i="1"/>
  <c r="S65" i="1"/>
  <c r="T66" i="1"/>
  <c r="U67" i="1"/>
  <c r="V68" i="1"/>
  <c r="W69" i="1"/>
  <c r="X70" i="1"/>
  <c r="Y71" i="1"/>
  <c r="H55" i="1"/>
  <c r="I56" i="1"/>
  <c r="J57" i="1"/>
  <c r="K58" i="1"/>
  <c r="L59" i="1"/>
  <c r="M60" i="1"/>
  <c r="N61" i="1"/>
  <c r="O62" i="1"/>
  <c r="P63" i="1"/>
  <c r="Q64" i="1"/>
  <c r="R65" i="1"/>
  <c r="S66" i="1"/>
  <c r="T67" i="1"/>
  <c r="U68" i="1"/>
  <c r="V69" i="1"/>
  <c r="W70" i="1"/>
  <c r="X71" i="1"/>
  <c r="Y72" i="1"/>
  <c r="G55" i="1"/>
  <c r="H56" i="1"/>
  <c r="I57" i="1"/>
  <c r="J58" i="1"/>
  <c r="K59" i="1"/>
  <c r="L60" i="1"/>
  <c r="M61" i="1"/>
  <c r="N62" i="1"/>
  <c r="O63" i="1"/>
  <c r="P64" i="1"/>
  <c r="Q65" i="1"/>
  <c r="R66" i="1"/>
  <c r="S67" i="1"/>
  <c r="T68" i="1"/>
  <c r="U69" i="1"/>
  <c r="V70" i="1"/>
  <c r="W71" i="1"/>
  <c r="X72" i="1"/>
  <c r="Y73" i="1"/>
  <c r="Z54" i="1"/>
  <c r="F55" i="1"/>
  <c r="G56" i="1"/>
  <c r="H57" i="1"/>
  <c r="I58" i="1"/>
  <c r="J59" i="1"/>
  <c r="K60" i="1"/>
  <c r="L61" i="1"/>
  <c r="M62" i="1"/>
  <c r="N63" i="1"/>
  <c r="O64" i="1"/>
  <c r="P65" i="1"/>
  <c r="Q66" i="1"/>
  <c r="R67" i="1"/>
  <c r="S68" i="1"/>
  <c r="T69" i="1"/>
  <c r="U70" i="1"/>
  <c r="V71" i="1"/>
  <c r="W72" i="1"/>
  <c r="X73" i="1"/>
  <c r="Y74" i="1"/>
  <c r="Z55" i="1"/>
  <c r="F56" i="1"/>
  <c r="G57" i="1"/>
  <c r="H58" i="1"/>
  <c r="I59" i="1"/>
  <c r="J60" i="1"/>
  <c r="K61" i="1"/>
  <c r="L62" i="1"/>
  <c r="M63" i="1"/>
  <c r="N64" i="1"/>
  <c r="O65" i="1"/>
  <c r="P66" i="1"/>
  <c r="Q67" i="1"/>
  <c r="R68" i="1"/>
  <c r="S69" i="1"/>
  <c r="T70" i="1"/>
  <c r="U71" i="1"/>
  <c r="V72" i="1"/>
  <c r="W73" i="1"/>
  <c r="X74" i="1"/>
  <c r="Y75" i="1"/>
  <c r="Z56" i="1"/>
  <c r="F57" i="1"/>
  <c r="G58" i="1"/>
  <c r="H59" i="1"/>
  <c r="I60" i="1"/>
  <c r="J61" i="1"/>
  <c r="K62" i="1"/>
  <c r="L63" i="1"/>
  <c r="M64" i="1"/>
  <c r="N65" i="1"/>
  <c r="O66" i="1"/>
  <c r="P67" i="1"/>
  <c r="Q68" i="1"/>
  <c r="R69" i="1"/>
  <c r="S70" i="1"/>
  <c r="T71" i="1"/>
  <c r="U72" i="1"/>
  <c r="V73" i="1"/>
  <c r="W74" i="1"/>
  <c r="X75" i="1"/>
  <c r="Y76" i="1"/>
  <c r="Z57" i="1"/>
  <c r="F58" i="1"/>
  <c r="G59" i="1"/>
  <c r="H60" i="1"/>
  <c r="I61" i="1"/>
  <c r="J62" i="1"/>
  <c r="K63" i="1"/>
  <c r="L64" i="1"/>
  <c r="M65" i="1"/>
  <c r="N66" i="1"/>
  <c r="O67" i="1"/>
  <c r="P68" i="1"/>
  <c r="Q69" i="1"/>
  <c r="R70" i="1"/>
  <c r="S71" i="1"/>
  <c r="T72" i="1"/>
  <c r="U73" i="1"/>
  <c r="V74" i="1"/>
  <c r="W75" i="1"/>
  <c r="X76" i="1"/>
  <c r="Y77" i="1"/>
  <c r="Z58" i="1"/>
  <c r="F59" i="1"/>
  <c r="G60" i="1"/>
  <c r="H61" i="1"/>
  <c r="I62" i="1"/>
  <c r="J63" i="1"/>
  <c r="K64" i="1"/>
  <c r="L65" i="1"/>
  <c r="M66" i="1"/>
  <c r="N67" i="1"/>
  <c r="O68" i="1"/>
  <c r="P69" i="1"/>
  <c r="Q70" i="1"/>
  <c r="R71" i="1"/>
  <c r="S72" i="1"/>
  <c r="T73" i="1"/>
  <c r="U74" i="1"/>
  <c r="V75" i="1"/>
  <c r="W76" i="1"/>
  <c r="X77" i="1"/>
  <c r="Y78" i="1"/>
  <c r="Z59" i="1"/>
  <c r="F60" i="1"/>
  <c r="G61" i="1"/>
  <c r="H62" i="1"/>
  <c r="I63" i="1"/>
  <c r="J64" i="1"/>
  <c r="K65" i="1"/>
  <c r="L66" i="1"/>
  <c r="M67" i="1"/>
  <c r="N68" i="1"/>
  <c r="O69" i="1"/>
  <c r="P70" i="1"/>
  <c r="Q71" i="1"/>
  <c r="R72" i="1"/>
  <c r="S73" i="1"/>
  <c r="T74" i="1"/>
  <c r="U75" i="1"/>
  <c r="V76" i="1"/>
  <c r="W77" i="1"/>
  <c r="X78" i="1"/>
  <c r="Y79" i="1"/>
  <c r="Z60" i="1"/>
  <c r="F61" i="1"/>
  <c r="G62" i="1"/>
  <c r="H63" i="1"/>
  <c r="I64" i="1"/>
  <c r="J65" i="1"/>
  <c r="K66" i="1"/>
  <c r="L67" i="1"/>
  <c r="M68" i="1"/>
  <c r="N69" i="1"/>
  <c r="O70" i="1"/>
  <c r="P71" i="1"/>
  <c r="Q72" i="1"/>
  <c r="R73" i="1"/>
  <c r="S74" i="1"/>
  <c r="T75" i="1"/>
  <c r="U76" i="1"/>
  <c r="V77" i="1"/>
  <c r="W78" i="1"/>
  <c r="X79" i="1"/>
  <c r="Y80" i="1"/>
  <c r="Z61" i="1"/>
  <c r="F62" i="1"/>
  <c r="G63" i="1"/>
  <c r="H64" i="1"/>
  <c r="I65" i="1"/>
  <c r="J66" i="1"/>
  <c r="K67" i="1"/>
  <c r="L68" i="1"/>
  <c r="M69" i="1"/>
  <c r="N70" i="1"/>
  <c r="O71" i="1"/>
  <c r="P72" i="1"/>
  <c r="Q73" i="1"/>
  <c r="R74" i="1"/>
  <c r="S75" i="1"/>
  <c r="T76" i="1"/>
  <c r="U77" i="1"/>
  <c r="V78" i="1"/>
  <c r="W79" i="1"/>
  <c r="X80" i="1"/>
  <c r="Y81" i="1"/>
  <c r="Z62" i="1"/>
  <c r="F63" i="1"/>
  <c r="G64" i="1"/>
  <c r="H65" i="1"/>
  <c r="I66" i="1"/>
  <c r="J67" i="1"/>
  <c r="K68" i="1"/>
  <c r="L69" i="1"/>
  <c r="M70" i="1"/>
  <c r="N71" i="1"/>
  <c r="O72" i="1"/>
  <c r="P73" i="1"/>
  <c r="Q74" i="1"/>
  <c r="R75" i="1"/>
  <c r="S76" i="1"/>
  <c r="T77" i="1"/>
  <c r="U78" i="1"/>
  <c r="V79" i="1"/>
  <c r="W80" i="1"/>
  <c r="X81" i="1"/>
  <c r="Y82" i="1"/>
  <c r="Z63" i="1"/>
  <c r="F64" i="1"/>
  <c r="G65" i="1"/>
  <c r="H66" i="1"/>
  <c r="I67" i="1"/>
  <c r="J68" i="1"/>
  <c r="K69" i="1"/>
  <c r="L70" i="1"/>
  <c r="M71" i="1"/>
  <c r="N72" i="1"/>
  <c r="O73" i="1"/>
  <c r="P74" i="1"/>
  <c r="Q75" i="1"/>
  <c r="R76" i="1"/>
  <c r="S77" i="1"/>
  <c r="T78" i="1"/>
  <c r="U79" i="1"/>
  <c r="V80" i="1"/>
  <c r="W81" i="1"/>
  <c r="X82" i="1"/>
  <c r="Y83" i="1"/>
  <c r="Z64" i="1"/>
  <c r="F65" i="1"/>
  <c r="G66" i="1"/>
  <c r="H67" i="1"/>
  <c r="I68" i="1"/>
  <c r="J69" i="1"/>
  <c r="K70" i="1"/>
  <c r="L71" i="1"/>
  <c r="M72" i="1"/>
  <c r="N73" i="1"/>
  <c r="O74" i="1"/>
  <c r="P75" i="1"/>
  <c r="Q76" i="1"/>
  <c r="R77" i="1"/>
  <c r="S78" i="1"/>
  <c r="T79" i="1"/>
  <c r="U80" i="1"/>
  <c r="V81" i="1"/>
  <c r="W82" i="1"/>
  <c r="X83" i="1"/>
  <c r="Y84" i="1"/>
  <c r="Z65" i="1"/>
  <c r="F66" i="1"/>
  <c r="G67" i="1"/>
  <c r="H68" i="1"/>
  <c r="I69" i="1"/>
  <c r="J70" i="1"/>
  <c r="K71" i="1"/>
  <c r="L72" i="1"/>
  <c r="M73" i="1"/>
  <c r="N74" i="1"/>
  <c r="O75" i="1"/>
  <c r="P76" i="1"/>
  <c r="Q77" i="1"/>
  <c r="R78" i="1"/>
  <c r="S79" i="1"/>
  <c r="T80" i="1"/>
  <c r="U81" i="1"/>
  <c r="V82" i="1"/>
  <c r="W83" i="1"/>
  <c r="X84" i="1"/>
  <c r="Y85" i="1"/>
  <c r="Z66" i="1"/>
  <c r="F67" i="1"/>
  <c r="G68" i="1"/>
  <c r="H69" i="1"/>
  <c r="I70" i="1"/>
  <c r="J71" i="1"/>
  <c r="K72" i="1"/>
  <c r="L73" i="1"/>
  <c r="M74" i="1"/>
  <c r="N75" i="1"/>
  <c r="O76" i="1"/>
  <c r="P77" i="1"/>
  <c r="Q78" i="1"/>
  <c r="R79" i="1"/>
  <c r="S80" i="1"/>
  <c r="T81" i="1"/>
  <c r="U82" i="1"/>
  <c r="V83" i="1"/>
  <c r="W84" i="1"/>
  <c r="X85" i="1"/>
  <c r="Y86" i="1"/>
  <c r="Z67" i="1"/>
  <c r="F68" i="1"/>
  <c r="G69" i="1"/>
  <c r="H70" i="1"/>
  <c r="I71" i="1"/>
  <c r="J72" i="1"/>
  <c r="K73" i="1"/>
  <c r="L74" i="1"/>
  <c r="M75" i="1"/>
  <c r="N76" i="1"/>
  <c r="O77" i="1"/>
  <c r="P78" i="1"/>
  <c r="Q79" i="1"/>
  <c r="R80" i="1"/>
  <c r="S81" i="1"/>
  <c r="T82" i="1"/>
  <c r="U83" i="1"/>
  <c r="V84" i="1"/>
  <c r="W85" i="1"/>
  <c r="X86" i="1"/>
  <c r="Y87" i="1"/>
  <c r="Z68" i="1"/>
  <c r="F69" i="1"/>
  <c r="G70" i="1"/>
  <c r="H71" i="1"/>
  <c r="I72" i="1"/>
  <c r="J73" i="1"/>
  <c r="K74" i="1"/>
  <c r="L75" i="1"/>
  <c r="M76" i="1"/>
  <c r="N77" i="1"/>
  <c r="O78" i="1"/>
  <c r="P79" i="1"/>
  <c r="Q80" i="1"/>
  <c r="R81" i="1"/>
  <c r="S82" i="1"/>
  <c r="T83" i="1"/>
  <c r="U84" i="1"/>
  <c r="V85" i="1"/>
  <c r="W86" i="1"/>
  <c r="X87" i="1"/>
  <c r="Y88" i="1"/>
  <c r="Z69" i="1"/>
  <c r="F70" i="1"/>
  <c r="G71" i="1"/>
  <c r="H72" i="1"/>
  <c r="I73" i="1"/>
  <c r="J74" i="1"/>
  <c r="K75" i="1"/>
  <c r="L76" i="1"/>
  <c r="M77" i="1"/>
  <c r="N78" i="1"/>
  <c r="O79" i="1"/>
  <c r="P80" i="1"/>
  <c r="Q81" i="1"/>
  <c r="R82" i="1"/>
  <c r="S83" i="1"/>
  <c r="T84" i="1"/>
  <c r="U85" i="1"/>
  <c r="V86" i="1"/>
  <c r="W87" i="1"/>
  <c r="X88" i="1"/>
  <c r="Y89" i="1"/>
  <c r="Z70" i="1"/>
  <c r="F71" i="1"/>
  <c r="G72" i="1"/>
  <c r="H73" i="1"/>
  <c r="I74" i="1"/>
  <c r="J75" i="1"/>
  <c r="K76" i="1"/>
  <c r="L77" i="1"/>
  <c r="M78" i="1"/>
  <c r="N79" i="1"/>
  <c r="O80" i="1"/>
  <c r="P81" i="1"/>
  <c r="Q82" i="1"/>
  <c r="R83" i="1"/>
  <c r="S84" i="1"/>
  <c r="T85" i="1"/>
  <c r="U86" i="1"/>
  <c r="V87" i="1"/>
  <c r="W88" i="1"/>
  <c r="X89" i="1"/>
  <c r="Y90" i="1"/>
  <c r="Z71" i="1"/>
  <c r="F72" i="1"/>
  <c r="G73" i="1"/>
  <c r="H74" i="1"/>
  <c r="I75" i="1"/>
  <c r="J76" i="1"/>
  <c r="K77" i="1"/>
  <c r="L78" i="1"/>
  <c r="M79" i="1"/>
  <c r="N80" i="1"/>
  <c r="O81" i="1"/>
  <c r="P82" i="1"/>
  <c r="Q83" i="1"/>
  <c r="R84" i="1"/>
  <c r="S85" i="1"/>
  <c r="T86" i="1"/>
  <c r="U87" i="1"/>
  <c r="V88" i="1"/>
  <c r="W89" i="1"/>
  <c r="X90" i="1"/>
  <c r="Y91" i="1"/>
  <c r="Z72" i="1"/>
  <c r="F73" i="1"/>
  <c r="G74" i="1"/>
  <c r="H75" i="1"/>
  <c r="I76" i="1"/>
  <c r="J77" i="1"/>
  <c r="K78" i="1"/>
  <c r="L79" i="1"/>
  <c r="M80" i="1"/>
  <c r="N81" i="1"/>
  <c r="O82" i="1"/>
  <c r="P83" i="1"/>
  <c r="Q84" i="1"/>
  <c r="R85" i="1"/>
  <c r="S86" i="1"/>
  <c r="T87" i="1"/>
  <c r="U88" i="1"/>
  <c r="V89" i="1"/>
  <c r="W90" i="1"/>
  <c r="X91" i="1"/>
  <c r="Y92" i="1"/>
  <c r="Z73" i="1"/>
  <c r="F74" i="1"/>
  <c r="G75" i="1"/>
  <c r="H76" i="1"/>
  <c r="I77" i="1"/>
  <c r="J78" i="1"/>
  <c r="K79" i="1"/>
  <c r="L80" i="1"/>
  <c r="M81" i="1"/>
  <c r="N82" i="1"/>
  <c r="O83" i="1"/>
  <c r="P84" i="1"/>
  <c r="Q85" i="1"/>
  <c r="R86" i="1"/>
  <c r="S87" i="1"/>
  <c r="T88" i="1"/>
  <c r="U89" i="1"/>
  <c r="V90" i="1"/>
  <c r="W91" i="1"/>
  <c r="X92" i="1"/>
  <c r="Y93" i="1"/>
  <c r="Z74" i="1"/>
  <c r="F75" i="1"/>
  <c r="G76" i="1"/>
  <c r="H77" i="1"/>
  <c r="I78" i="1"/>
  <c r="J79" i="1"/>
  <c r="K80" i="1"/>
  <c r="L81" i="1"/>
  <c r="M82" i="1"/>
  <c r="N83" i="1"/>
  <c r="O84" i="1"/>
  <c r="P85" i="1"/>
  <c r="Q86" i="1"/>
  <c r="R87" i="1"/>
  <c r="S88" i="1"/>
  <c r="T89" i="1"/>
  <c r="U90" i="1"/>
  <c r="V91" i="1"/>
  <c r="W92" i="1"/>
  <c r="X93" i="1"/>
  <c r="Y94" i="1"/>
  <c r="Z75" i="1"/>
  <c r="F76" i="1"/>
  <c r="G77" i="1"/>
  <c r="H78" i="1"/>
  <c r="I79" i="1"/>
  <c r="J80" i="1"/>
  <c r="K81" i="1"/>
  <c r="L82" i="1"/>
  <c r="M83" i="1"/>
  <c r="N84" i="1"/>
  <c r="O85" i="1"/>
  <c r="P86" i="1"/>
  <c r="Q87" i="1"/>
  <c r="R88" i="1"/>
  <c r="S89" i="1"/>
  <c r="T90" i="1"/>
  <c r="U91" i="1"/>
  <c r="V92" i="1"/>
  <c r="W93" i="1"/>
  <c r="X94" i="1"/>
  <c r="Y95" i="1"/>
  <c r="Z76" i="1"/>
  <c r="F77" i="1"/>
  <c r="G78" i="1"/>
  <c r="H79" i="1"/>
  <c r="I80" i="1"/>
  <c r="J81" i="1"/>
  <c r="K82" i="1"/>
  <c r="L83" i="1"/>
  <c r="M84" i="1"/>
  <c r="N85" i="1"/>
  <c r="O86" i="1"/>
  <c r="P87" i="1"/>
  <c r="Q88" i="1"/>
  <c r="R89" i="1"/>
  <c r="S90" i="1"/>
  <c r="T91" i="1"/>
  <c r="U92" i="1"/>
  <c r="V93" i="1"/>
  <c r="W94" i="1"/>
  <c r="X95" i="1"/>
  <c r="Y96" i="1"/>
  <c r="Z77" i="1"/>
  <c r="F78" i="1"/>
  <c r="G79" i="1"/>
  <c r="H80" i="1"/>
  <c r="I81" i="1"/>
  <c r="J82" i="1"/>
  <c r="K83" i="1"/>
  <c r="L84" i="1"/>
  <c r="M85" i="1"/>
  <c r="N86" i="1"/>
  <c r="O87" i="1"/>
  <c r="P88" i="1"/>
  <c r="Q89" i="1"/>
  <c r="R90" i="1"/>
  <c r="S91" i="1"/>
  <c r="T92" i="1"/>
  <c r="U93" i="1"/>
  <c r="V94" i="1"/>
  <c r="W95" i="1"/>
  <c r="X96" i="1"/>
  <c r="Y97" i="1"/>
  <c r="Z78" i="1"/>
  <c r="F79" i="1"/>
  <c r="G80" i="1"/>
  <c r="H81" i="1"/>
  <c r="I82" i="1"/>
  <c r="J83" i="1"/>
  <c r="K84" i="1"/>
  <c r="L85" i="1"/>
  <c r="M86" i="1"/>
  <c r="N87" i="1"/>
  <c r="O88" i="1"/>
  <c r="P89" i="1"/>
  <c r="Q90" i="1"/>
  <c r="R91" i="1"/>
  <c r="S92" i="1"/>
  <c r="T93" i="1"/>
  <c r="U94" i="1"/>
  <c r="V95" i="1"/>
  <c r="W96" i="1"/>
  <c r="X97" i="1"/>
  <c r="Y98" i="1"/>
  <c r="Z79" i="1"/>
  <c r="F80" i="1"/>
  <c r="G81" i="1"/>
  <c r="H82" i="1"/>
  <c r="I83" i="1"/>
  <c r="J84" i="1"/>
  <c r="K85" i="1"/>
  <c r="L86" i="1"/>
  <c r="M87" i="1"/>
  <c r="N88" i="1"/>
  <c r="O89" i="1"/>
  <c r="P90" i="1"/>
  <c r="Q91" i="1"/>
  <c r="R92" i="1"/>
  <c r="S93" i="1"/>
  <c r="T94" i="1"/>
  <c r="U95" i="1"/>
  <c r="V96" i="1"/>
  <c r="W97" i="1"/>
  <c r="X98" i="1"/>
  <c r="Y99" i="1"/>
  <c r="Z80" i="1"/>
  <c r="F81" i="1"/>
  <c r="G82" i="1"/>
  <c r="H83" i="1"/>
  <c r="I84" i="1"/>
  <c r="J85" i="1"/>
  <c r="K86" i="1"/>
  <c r="L87" i="1"/>
  <c r="M88" i="1"/>
  <c r="N89" i="1"/>
  <c r="O90" i="1"/>
  <c r="P91" i="1"/>
  <c r="Q92" i="1"/>
  <c r="R93" i="1"/>
  <c r="S94" i="1"/>
  <c r="T95" i="1"/>
  <c r="U96" i="1"/>
  <c r="V97" i="1"/>
  <c r="W98" i="1"/>
  <c r="X99" i="1"/>
  <c r="Y100" i="1"/>
  <c r="Z81" i="1"/>
  <c r="F82" i="1"/>
  <c r="G83" i="1"/>
  <c r="H84" i="1"/>
  <c r="I85" i="1"/>
  <c r="J86" i="1"/>
  <c r="K87" i="1"/>
  <c r="L88" i="1"/>
  <c r="M89" i="1"/>
  <c r="N90" i="1"/>
  <c r="O91" i="1"/>
  <c r="P92" i="1"/>
  <c r="Q93" i="1"/>
  <c r="R94" i="1"/>
  <c r="S95" i="1"/>
  <c r="T96" i="1"/>
  <c r="U97" i="1"/>
  <c r="V98" i="1"/>
  <c r="W99" i="1"/>
  <c r="X100" i="1"/>
  <c r="Y101" i="1"/>
  <c r="Z82" i="1"/>
  <c r="F83" i="1"/>
  <c r="G84" i="1"/>
  <c r="H85" i="1"/>
  <c r="I86" i="1"/>
  <c r="J87" i="1"/>
  <c r="K88" i="1"/>
  <c r="L89" i="1"/>
  <c r="M90" i="1"/>
  <c r="N91" i="1"/>
  <c r="O92" i="1"/>
  <c r="P93" i="1"/>
  <c r="Q94" i="1"/>
  <c r="R95" i="1"/>
  <c r="S96" i="1"/>
  <c r="T97" i="1"/>
  <c r="U98" i="1"/>
  <c r="V99" i="1"/>
  <c r="W100" i="1"/>
  <c r="X101" i="1"/>
  <c r="Y102" i="1"/>
  <c r="Z83" i="1"/>
  <c r="F84" i="1"/>
  <c r="G85" i="1"/>
  <c r="H86" i="1"/>
  <c r="I87" i="1"/>
  <c r="J88" i="1"/>
  <c r="K89" i="1"/>
  <c r="L90" i="1"/>
  <c r="M91" i="1"/>
  <c r="N92" i="1"/>
  <c r="O93" i="1"/>
  <c r="P94" i="1"/>
  <c r="Q95" i="1"/>
  <c r="R96" i="1"/>
  <c r="S97" i="1"/>
  <c r="T98" i="1"/>
  <c r="U99" i="1"/>
  <c r="V100" i="1"/>
  <c r="W101" i="1"/>
  <c r="X102" i="1"/>
  <c r="Y103" i="1"/>
  <c r="Z84" i="1"/>
  <c r="F85" i="1"/>
  <c r="G86" i="1"/>
  <c r="H87" i="1"/>
  <c r="I88" i="1"/>
  <c r="J89" i="1"/>
  <c r="K90" i="1"/>
  <c r="L91" i="1"/>
  <c r="M92" i="1"/>
  <c r="N93" i="1"/>
  <c r="O94" i="1"/>
  <c r="P95" i="1"/>
  <c r="Q96" i="1"/>
  <c r="R97" i="1"/>
  <c r="S98" i="1"/>
  <c r="T99" i="1"/>
  <c r="U100" i="1"/>
  <c r="V101" i="1"/>
  <c r="W102" i="1"/>
  <c r="X103" i="1"/>
  <c r="Y104" i="1"/>
  <c r="Z85" i="1"/>
  <c r="F86" i="1"/>
  <c r="G87" i="1"/>
  <c r="H88" i="1"/>
  <c r="I89" i="1"/>
  <c r="J90" i="1"/>
  <c r="K91" i="1"/>
  <c r="L92" i="1"/>
  <c r="M93" i="1"/>
  <c r="N94" i="1"/>
  <c r="O95" i="1"/>
  <c r="P96" i="1"/>
  <c r="Q97" i="1"/>
  <c r="R98" i="1"/>
  <c r="S99" i="1"/>
  <c r="T100" i="1"/>
  <c r="U101" i="1"/>
  <c r="V102" i="1"/>
  <c r="W103" i="1"/>
  <c r="X104" i="1"/>
  <c r="Y105" i="1"/>
  <c r="Z86" i="1"/>
  <c r="F87" i="1"/>
  <c r="G88" i="1"/>
  <c r="H89" i="1"/>
  <c r="I90" i="1"/>
  <c r="J91" i="1"/>
  <c r="K92" i="1"/>
  <c r="L93" i="1"/>
  <c r="M94" i="1"/>
  <c r="N95" i="1"/>
  <c r="O96" i="1"/>
  <c r="P97" i="1"/>
  <c r="Q98" i="1"/>
  <c r="R99" i="1"/>
  <c r="S100" i="1"/>
  <c r="T101" i="1"/>
  <c r="U102" i="1"/>
  <c r="V103" i="1"/>
  <c r="W104" i="1"/>
  <c r="X105" i="1"/>
  <c r="Y106" i="1"/>
  <c r="Z87" i="1"/>
  <c r="F88" i="1"/>
  <c r="G89" i="1"/>
  <c r="H90" i="1"/>
  <c r="I91" i="1"/>
  <c r="J92" i="1"/>
  <c r="K93" i="1"/>
  <c r="L94" i="1"/>
  <c r="M95" i="1"/>
  <c r="N96" i="1"/>
  <c r="O97" i="1"/>
  <c r="P98" i="1"/>
  <c r="Q99" i="1"/>
  <c r="R100" i="1"/>
  <c r="S101" i="1"/>
  <c r="T102" i="1"/>
  <c r="U103" i="1"/>
  <c r="V104" i="1"/>
  <c r="W105" i="1"/>
  <c r="X106" i="1"/>
  <c r="Y107" i="1"/>
  <c r="Z88" i="1"/>
  <c r="F89" i="1"/>
  <c r="G90" i="1"/>
  <c r="H91" i="1"/>
  <c r="I92" i="1"/>
  <c r="J93" i="1"/>
  <c r="K94" i="1"/>
  <c r="L95" i="1"/>
  <c r="M96" i="1"/>
  <c r="N97" i="1"/>
  <c r="O98" i="1"/>
  <c r="P99" i="1"/>
  <c r="Q100" i="1"/>
  <c r="R101" i="1"/>
  <c r="S102" i="1"/>
  <c r="T103" i="1"/>
  <c r="U104" i="1"/>
  <c r="V105" i="1"/>
  <c r="W106" i="1"/>
  <c r="X107" i="1"/>
  <c r="Y108" i="1"/>
  <c r="Z89" i="1"/>
  <c r="F90" i="1"/>
  <c r="G91" i="1"/>
  <c r="H92" i="1"/>
  <c r="I93" i="1"/>
  <c r="J94" i="1"/>
  <c r="K95" i="1"/>
  <c r="L96" i="1"/>
  <c r="M97" i="1"/>
  <c r="N98" i="1"/>
  <c r="O99" i="1"/>
  <c r="P100" i="1"/>
  <c r="Q101" i="1"/>
  <c r="R102" i="1"/>
  <c r="S103" i="1"/>
  <c r="T104" i="1"/>
  <c r="U105" i="1"/>
  <c r="V106" i="1"/>
  <c r="W107" i="1"/>
  <c r="X108" i="1"/>
  <c r="Y109" i="1"/>
  <c r="Z90" i="1"/>
  <c r="F91" i="1"/>
  <c r="G92" i="1"/>
  <c r="H93" i="1"/>
  <c r="I94" i="1"/>
  <c r="J95" i="1"/>
  <c r="K96" i="1"/>
  <c r="L97" i="1"/>
  <c r="M98" i="1"/>
  <c r="N99" i="1"/>
  <c r="O100" i="1"/>
  <c r="P101" i="1"/>
  <c r="Q102" i="1"/>
  <c r="R103" i="1"/>
  <c r="S104" i="1"/>
  <c r="T105" i="1"/>
  <c r="U106" i="1"/>
  <c r="V107" i="1"/>
  <c r="W108" i="1"/>
  <c r="X109" i="1"/>
  <c r="Y110" i="1"/>
  <c r="Z91" i="1"/>
  <c r="F92" i="1"/>
  <c r="G93" i="1"/>
  <c r="H94" i="1"/>
  <c r="I95" i="1"/>
  <c r="J96" i="1"/>
  <c r="K97" i="1"/>
  <c r="L98" i="1"/>
  <c r="M99" i="1"/>
  <c r="N100" i="1"/>
  <c r="O101" i="1"/>
  <c r="P102" i="1"/>
  <c r="Q103" i="1"/>
  <c r="R104" i="1"/>
  <c r="S105" i="1"/>
  <c r="T106" i="1"/>
  <c r="U107" i="1"/>
  <c r="V108" i="1"/>
  <c r="W109" i="1"/>
  <c r="X110" i="1"/>
  <c r="Y111" i="1"/>
  <c r="Z92" i="1"/>
  <c r="F93" i="1"/>
  <c r="G94" i="1"/>
  <c r="H95" i="1"/>
  <c r="I96" i="1"/>
  <c r="J97" i="1"/>
  <c r="K98" i="1"/>
  <c r="L99" i="1"/>
  <c r="M100" i="1"/>
  <c r="N101" i="1"/>
  <c r="O102" i="1"/>
  <c r="P103" i="1"/>
  <c r="Q104" i="1"/>
  <c r="R105" i="1"/>
  <c r="S106" i="1"/>
  <c r="T107" i="1"/>
  <c r="U108" i="1"/>
  <c r="V109" i="1"/>
  <c r="W110" i="1"/>
  <c r="X111" i="1"/>
  <c r="Y112" i="1"/>
  <c r="Z93" i="1"/>
  <c r="F94" i="1"/>
  <c r="G95" i="1"/>
  <c r="H96" i="1"/>
  <c r="I97" i="1"/>
  <c r="J98" i="1"/>
  <c r="K99" i="1"/>
  <c r="L100" i="1"/>
  <c r="M101" i="1"/>
  <c r="N102" i="1"/>
  <c r="O103" i="1"/>
  <c r="P104" i="1"/>
  <c r="Q105" i="1"/>
  <c r="R106" i="1"/>
  <c r="S107" i="1"/>
  <c r="T108" i="1"/>
  <c r="U109" i="1"/>
  <c r="V110" i="1"/>
  <c r="W111" i="1"/>
  <c r="X112" i="1"/>
  <c r="Y113" i="1"/>
  <c r="AC35" i="1"/>
  <c r="AB36" i="1"/>
  <c r="AC36" i="1"/>
  <c r="AB38" i="1"/>
  <c r="AC37" i="1"/>
  <c r="AB37" i="1"/>
  <c r="AC38" i="1"/>
  <c r="AB39" i="1"/>
  <c r="AC39" i="1"/>
  <c r="AB41" i="1"/>
  <c r="AC40" i="1"/>
  <c r="AB40" i="1"/>
  <c r="AC41" i="1"/>
  <c r="AB42" i="1"/>
  <c r="AC42" i="1"/>
  <c r="AB44" i="1"/>
  <c r="AC43" i="1"/>
  <c r="AB43" i="1"/>
  <c r="AC44" i="1"/>
  <c r="AB45" i="1"/>
  <c r="AC45" i="1"/>
  <c r="AB47" i="1"/>
  <c r="AC46" i="1"/>
  <c r="AB46" i="1"/>
  <c r="AC47" i="1"/>
  <c r="AB48" i="1"/>
  <c r="AC48" i="1"/>
  <c r="AB50" i="1"/>
  <c r="AC49" i="1"/>
  <c r="AB49" i="1"/>
  <c r="AC50" i="1"/>
  <c r="AB51" i="1"/>
  <c r="AC51" i="1"/>
  <c r="AB53" i="1"/>
  <c r="AC52" i="1"/>
  <c r="AB52" i="1"/>
  <c r="AC53" i="1"/>
  <c r="AB54" i="1"/>
  <c r="AC54" i="1"/>
  <c r="AB56" i="1"/>
  <c r="AC55" i="1"/>
  <c r="AB55" i="1"/>
  <c r="AC56" i="1"/>
  <c r="AB57" i="1"/>
  <c r="AC57" i="1"/>
  <c r="AB59" i="1"/>
  <c r="AC58" i="1"/>
  <c r="AB58" i="1"/>
  <c r="AC59" i="1"/>
  <c r="AB60" i="1"/>
  <c r="AC60" i="1"/>
  <c r="AB62" i="1"/>
  <c r="AC61" i="1"/>
  <c r="AB61" i="1"/>
  <c r="AC62" i="1"/>
  <c r="AB63" i="1"/>
  <c r="AC63" i="1"/>
  <c r="AB65" i="1"/>
  <c r="AC64" i="1"/>
  <c r="AB64" i="1"/>
  <c r="AC65" i="1"/>
  <c r="AB66" i="1"/>
  <c r="AC66" i="1"/>
  <c r="AB68" i="1"/>
  <c r="AC67" i="1"/>
  <c r="AB67" i="1"/>
  <c r="AC68" i="1"/>
  <c r="AB69" i="1"/>
  <c r="AC69" i="1"/>
  <c r="AB71" i="1"/>
  <c r="AC70" i="1"/>
  <c r="AB70" i="1"/>
  <c r="AC71" i="1"/>
  <c r="AB72" i="1"/>
  <c r="AC72" i="1"/>
  <c r="AB74" i="1"/>
  <c r="AC73" i="1"/>
  <c r="AB73" i="1"/>
  <c r="AC74" i="1"/>
  <c r="AB75" i="1"/>
  <c r="AC75" i="1"/>
  <c r="AB77" i="1"/>
  <c r="AC76" i="1"/>
  <c r="AB76" i="1"/>
  <c r="AC77" i="1"/>
  <c r="AB78" i="1"/>
  <c r="AC78" i="1"/>
  <c r="AB80" i="1"/>
  <c r="AC79" i="1"/>
  <c r="AB79" i="1"/>
  <c r="AC80" i="1"/>
  <c r="AB81" i="1"/>
  <c r="AC81" i="1"/>
  <c r="AB83" i="1"/>
  <c r="AC82" i="1"/>
  <c r="AB82" i="1"/>
  <c r="AC83" i="1"/>
  <c r="AB84" i="1"/>
  <c r="AC84" i="1"/>
  <c r="AB86" i="1"/>
  <c r="AC85" i="1"/>
  <c r="AB85" i="1"/>
  <c r="AC86" i="1"/>
  <c r="AB87" i="1"/>
  <c r="AC87" i="1"/>
  <c r="AB89" i="1"/>
  <c r="AC88" i="1"/>
  <c r="AB88" i="1"/>
  <c r="AC89" i="1"/>
  <c r="AB90" i="1"/>
  <c r="AC90" i="1"/>
  <c r="AB92" i="1"/>
  <c r="AC91" i="1"/>
  <c r="AB91" i="1"/>
  <c r="AC92" i="1"/>
  <c r="AB93" i="1"/>
  <c r="AC93" i="1"/>
  <c r="Z94" i="1"/>
  <c r="F95" i="1"/>
  <c r="AC95" i="1"/>
  <c r="AB95" i="1"/>
  <c r="AC94" i="1"/>
  <c r="AB94" i="1"/>
  <c r="Z95" i="1"/>
  <c r="F96" i="1"/>
  <c r="G96" i="1"/>
  <c r="AB96" i="1"/>
  <c r="AC96" i="1"/>
  <c r="Z96" i="1"/>
  <c r="F97" i="1"/>
  <c r="G97" i="1"/>
  <c r="H97" i="1"/>
  <c r="AB97" i="1"/>
  <c r="AC97" i="1"/>
  <c r="Z97" i="1"/>
  <c r="F98" i="1"/>
  <c r="G98" i="1"/>
  <c r="H98" i="1"/>
  <c r="I98" i="1"/>
  <c r="Z98" i="1"/>
  <c r="F99" i="1"/>
  <c r="G99" i="1"/>
  <c r="H99" i="1"/>
  <c r="I99" i="1"/>
  <c r="J99" i="1"/>
  <c r="AC99" i="1"/>
  <c r="AB99" i="1"/>
  <c r="AC98" i="1"/>
  <c r="AB98" i="1"/>
  <c r="Z99" i="1"/>
  <c r="F100" i="1"/>
  <c r="G100" i="1"/>
  <c r="H100" i="1"/>
  <c r="I100" i="1"/>
  <c r="J100" i="1"/>
  <c r="K100" i="1"/>
  <c r="AB100" i="1"/>
  <c r="AC100" i="1"/>
  <c r="Z100" i="1"/>
  <c r="F101" i="1"/>
  <c r="G101" i="1"/>
  <c r="H101" i="1"/>
  <c r="I101" i="1"/>
  <c r="J101" i="1"/>
  <c r="K101" i="1"/>
  <c r="L101" i="1"/>
  <c r="AB101" i="1"/>
  <c r="AC101" i="1"/>
  <c r="Z101" i="1"/>
  <c r="F102" i="1"/>
  <c r="G102" i="1"/>
  <c r="H102" i="1"/>
  <c r="I102" i="1"/>
  <c r="J102" i="1"/>
  <c r="K102" i="1"/>
  <c r="L102" i="1"/>
  <c r="M102" i="1"/>
  <c r="Z102" i="1"/>
  <c r="F103" i="1"/>
  <c r="G103" i="1"/>
  <c r="H103" i="1"/>
  <c r="I103" i="1"/>
  <c r="J103" i="1"/>
  <c r="K103" i="1"/>
  <c r="L103" i="1"/>
  <c r="M103" i="1"/>
  <c r="N103" i="1"/>
  <c r="AC103" i="1"/>
  <c r="AB103" i="1"/>
  <c r="AC102" i="1"/>
  <c r="AB102" i="1"/>
  <c r="Z103" i="1"/>
  <c r="F104" i="1"/>
  <c r="G104" i="1"/>
  <c r="H104" i="1"/>
  <c r="I104" i="1"/>
  <c r="J104" i="1"/>
  <c r="K104" i="1"/>
  <c r="L104" i="1"/>
  <c r="M104" i="1"/>
  <c r="N104" i="1"/>
  <c r="O104" i="1"/>
  <c r="AB104" i="1"/>
  <c r="AC104" i="1"/>
  <c r="Z104" i="1"/>
  <c r="F105" i="1"/>
  <c r="G105" i="1"/>
  <c r="H105" i="1"/>
  <c r="I105" i="1"/>
  <c r="J105" i="1"/>
  <c r="K105" i="1"/>
  <c r="L105" i="1"/>
  <c r="M105" i="1"/>
  <c r="N105" i="1"/>
  <c r="O105" i="1"/>
  <c r="P105" i="1"/>
  <c r="AB105" i="1"/>
  <c r="AC105" i="1"/>
  <c r="Z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Z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AC107" i="1"/>
  <c r="AB107" i="1"/>
  <c r="AC106" i="1"/>
  <c r="AB106" i="1"/>
  <c r="Z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AB108" i="1"/>
  <c r="AC108" i="1"/>
  <c r="Z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AB109" i="1"/>
  <c r="AC109" i="1"/>
  <c r="Z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Z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AC111" i="1"/>
  <c r="AB111" i="1"/>
  <c r="AC110" i="1"/>
  <c r="AB110" i="1"/>
  <c r="Z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AB112" i="1"/>
  <c r="AC112" i="1"/>
  <c r="Z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AB113" i="1"/>
  <c r="AC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3" i="1"/>
  <c r="F114" i="1"/>
  <c r="Z114" i="1"/>
  <c r="AC114" i="1"/>
  <c r="AB114" i="1"/>
  <c r="AD114" i="1"/>
  <c r="AH114" i="1"/>
  <c r="AI114" i="1"/>
  <c r="AD113" i="1"/>
  <c r="AH113" i="1"/>
  <c r="AI113" i="1"/>
  <c r="AD112" i="1"/>
  <c r="AH112" i="1"/>
  <c r="AI112" i="1"/>
  <c r="AD111" i="1"/>
  <c r="AH111" i="1"/>
  <c r="AI111" i="1"/>
  <c r="AD110" i="1"/>
  <c r="AH110" i="1"/>
  <c r="AI110" i="1"/>
  <c r="AD109" i="1"/>
  <c r="AH109" i="1"/>
  <c r="AI109" i="1"/>
  <c r="AD108" i="1"/>
  <c r="AH108" i="1"/>
  <c r="AI108" i="1"/>
  <c r="AD107" i="1"/>
  <c r="AH107" i="1"/>
  <c r="AI107" i="1"/>
  <c r="AD106" i="1"/>
  <c r="AH106" i="1"/>
  <c r="AI106" i="1"/>
  <c r="AD105" i="1"/>
  <c r="AH105" i="1"/>
  <c r="AI105" i="1"/>
  <c r="AD104" i="1"/>
  <c r="AH104" i="1"/>
  <c r="AI104" i="1"/>
  <c r="AD103" i="1"/>
  <c r="AH103" i="1"/>
  <c r="AI103" i="1"/>
  <c r="AD102" i="1"/>
  <c r="AH102" i="1"/>
  <c r="AI102" i="1"/>
  <c r="AD101" i="1"/>
  <c r="AH101" i="1"/>
  <c r="AI101" i="1"/>
  <c r="AD100" i="1"/>
  <c r="AH100" i="1"/>
  <c r="AI100" i="1"/>
  <c r="AD99" i="1"/>
  <c r="AH99" i="1"/>
  <c r="AI99" i="1"/>
  <c r="AD98" i="1"/>
  <c r="AH98" i="1"/>
  <c r="AI98" i="1"/>
  <c r="AD97" i="1"/>
  <c r="AH97" i="1"/>
  <c r="AI97" i="1"/>
  <c r="AD96" i="1"/>
  <c r="AH96" i="1"/>
  <c r="AI96" i="1"/>
  <c r="AD95" i="1"/>
  <c r="AH95" i="1"/>
  <c r="AI95" i="1"/>
  <c r="AD94" i="1"/>
  <c r="AH94" i="1"/>
  <c r="AI94" i="1"/>
  <c r="AD93" i="1"/>
  <c r="AH93" i="1"/>
  <c r="AI93" i="1"/>
  <c r="AD92" i="1"/>
  <c r="AH92" i="1"/>
  <c r="AI92" i="1"/>
  <c r="AD91" i="1"/>
  <c r="AH91" i="1"/>
  <c r="AI91" i="1"/>
  <c r="AD90" i="1"/>
  <c r="AH90" i="1"/>
  <c r="AI90" i="1"/>
  <c r="AD89" i="1"/>
  <c r="AH89" i="1"/>
  <c r="AI89" i="1"/>
  <c r="AD88" i="1"/>
  <c r="AH88" i="1"/>
  <c r="AI88" i="1"/>
  <c r="AD87" i="1"/>
  <c r="AH87" i="1"/>
  <c r="AI87" i="1"/>
  <c r="AD86" i="1"/>
  <c r="AH86" i="1"/>
  <c r="AI86" i="1"/>
  <c r="AD85" i="1"/>
  <c r="AH85" i="1"/>
  <c r="AI85" i="1"/>
  <c r="AD84" i="1"/>
  <c r="AH84" i="1"/>
  <c r="AI84" i="1"/>
  <c r="AD83" i="1"/>
  <c r="AH83" i="1"/>
  <c r="AI83" i="1"/>
  <c r="AD82" i="1"/>
  <c r="AH82" i="1"/>
  <c r="AI82" i="1"/>
  <c r="AD81" i="1"/>
  <c r="AH81" i="1"/>
  <c r="AI81" i="1"/>
  <c r="AD80" i="1"/>
  <c r="AH80" i="1"/>
  <c r="AI80" i="1"/>
  <c r="AD79" i="1"/>
  <c r="AH79" i="1"/>
  <c r="AI79" i="1"/>
  <c r="AD78" i="1"/>
  <c r="AH78" i="1"/>
  <c r="AI78" i="1"/>
  <c r="AD77" i="1"/>
  <c r="AH77" i="1"/>
  <c r="AI77" i="1"/>
  <c r="AD76" i="1"/>
  <c r="AH76" i="1"/>
  <c r="AI76" i="1"/>
  <c r="AD75" i="1"/>
  <c r="AH75" i="1"/>
  <c r="AI75" i="1"/>
  <c r="AD74" i="1"/>
  <c r="AH74" i="1"/>
  <c r="AI74" i="1"/>
  <c r="AD73" i="1"/>
  <c r="AH73" i="1"/>
  <c r="AI73" i="1"/>
  <c r="AD72" i="1"/>
  <c r="AH72" i="1"/>
  <c r="AI72" i="1"/>
  <c r="AD71" i="1"/>
  <c r="AH71" i="1"/>
  <c r="AI71" i="1"/>
  <c r="AD70" i="1"/>
  <c r="AH70" i="1"/>
  <c r="AI70" i="1"/>
  <c r="AD69" i="1"/>
  <c r="AH69" i="1"/>
  <c r="AI69" i="1"/>
  <c r="AD68" i="1"/>
  <c r="AH68" i="1"/>
  <c r="AI68" i="1"/>
  <c r="AD67" i="1"/>
  <c r="AH67" i="1"/>
  <c r="AI67" i="1"/>
  <c r="AD66" i="1"/>
  <c r="AH66" i="1"/>
  <c r="AI66" i="1"/>
  <c r="AD65" i="1"/>
  <c r="AH65" i="1"/>
  <c r="AI65" i="1"/>
  <c r="AD64" i="1"/>
  <c r="AH64" i="1"/>
  <c r="AI64" i="1"/>
  <c r="AD63" i="1"/>
  <c r="AH63" i="1"/>
  <c r="AI63" i="1"/>
  <c r="AD62" i="1"/>
  <c r="AH62" i="1"/>
  <c r="AI62" i="1"/>
  <c r="AD61" i="1"/>
  <c r="AH61" i="1"/>
  <c r="AI61" i="1"/>
  <c r="AD60" i="1"/>
  <c r="AH60" i="1"/>
  <c r="AI60" i="1"/>
  <c r="AD59" i="1"/>
  <c r="AH59" i="1"/>
  <c r="AI59" i="1"/>
  <c r="AD58" i="1"/>
  <c r="AH58" i="1"/>
  <c r="AI58" i="1"/>
  <c r="AD57" i="1"/>
  <c r="AH57" i="1"/>
  <c r="AI57" i="1"/>
  <c r="AD56" i="1"/>
  <c r="AH56" i="1"/>
  <c r="AI56" i="1"/>
  <c r="AD55" i="1"/>
  <c r="AH55" i="1"/>
  <c r="AI55" i="1"/>
</calcChain>
</file>

<file path=xl/sharedStrings.xml><?xml version="1.0" encoding="utf-8"?>
<sst xmlns="http://schemas.openxmlformats.org/spreadsheetml/2006/main" count="76" uniqueCount="74">
  <si>
    <t>Age</t>
  </si>
  <si>
    <t>Length</t>
  </si>
  <si>
    <t>vbk</t>
  </si>
  <si>
    <t>vbto</t>
  </si>
  <si>
    <t>vblinf</t>
  </si>
  <si>
    <t>Weight</t>
  </si>
  <si>
    <t>lwa</t>
  </si>
  <si>
    <t>lwb</t>
  </si>
  <si>
    <t>fecundity</t>
  </si>
  <si>
    <t>pmature</t>
  </si>
  <si>
    <t>lmat50</t>
  </si>
  <si>
    <t>lmatsd</t>
  </si>
  <si>
    <t>maxsj</t>
  </si>
  <si>
    <t>sjscale</t>
  </si>
  <si>
    <t>sa</t>
  </si>
  <si>
    <t>survival</t>
  </si>
  <si>
    <t>page</t>
  </si>
  <si>
    <t>vul50</t>
  </si>
  <si>
    <t>vulsd</t>
  </si>
  <si>
    <t>vul</t>
  </si>
  <si>
    <t>Eggs</t>
  </si>
  <si>
    <t>survivalhr</t>
  </si>
  <si>
    <t>survshiphr</t>
  </si>
  <si>
    <t>survship</t>
  </si>
  <si>
    <t>hr</t>
  </si>
  <si>
    <t>pagehr</t>
  </si>
  <si>
    <t>Survival</t>
  </si>
  <si>
    <t>Predicted Survival</t>
  </si>
  <si>
    <t>sjmax</t>
  </si>
  <si>
    <t>SS</t>
  </si>
  <si>
    <t>epro</t>
  </si>
  <si>
    <t>Adult survival</t>
  </si>
  <si>
    <t>Max juvenile Survival</t>
  </si>
  <si>
    <t>Density Dependnet effect of Juvenile Survival</t>
  </si>
  <si>
    <t>Max length</t>
  </si>
  <si>
    <t>Von Bertellany growth constant</t>
  </si>
  <si>
    <t>Theoretical age at length 0</t>
  </si>
  <si>
    <t>length weight scaler</t>
  </si>
  <si>
    <t>length weight power</t>
  </si>
  <si>
    <t>length at 50% maturity</t>
  </si>
  <si>
    <t>variation in age at first maturity</t>
  </si>
  <si>
    <t>length at 50% vulnerability to harvest</t>
  </si>
  <si>
    <t>variabilty in vulnerabilty at size</t>
  </si>
  <si>
    <t>harvesr rate of fully vulnerable individuals</t>
  </si>
  <si>
    <t>egg per recruit unharvested</t>
  </si>
  <si>
    <t>Equilibrium unharvested age 1 juvenile production</t>
  </si>
  <si>
    <t>ro</t>
  </si>
  <si>
    <t>egg per recruit when harveetsed</t>
  </si>
  <si>
    <t>eprh</t>
  </si>
  <si>
    <t>equilibrium recrutment</t>
  </si>
  <si>
    <t>req</t>
  </si>
  <si>
    <t>yield per recruit</t>
  </si>
  <si>
    <t>equilibrium yield</t>
  </si>
  <si>
    <t>yprh</t>
  </si>
  <si>
    <t>yeq</t>
  </si>
  <si>
    <t>Deviations</t>
  </si>
  <si>
    <t>dev squared</t>
  </si>
  <si>
    <t>Time</t>
  </si>
  <si>
    <t>harvest rate</t>
  </si>
  <si>
    <t>Total N</t>
  </si>
  <si>
    <t>Total Biomass</t>
  </si>
  <si>
    <t>Vulnerable Biomass</t>
  </si>
  <si>
    <t>Harvest</t>
  </si>
  <si>
    <t>Effort</t>
  </si>
  <si>
    <t>catchability</t>
  </si>
  <si>
    <t>q</t>
  </si>
  <si>
    <t>standard deviation in catchability</t>
  </si>
  <si>
    <t>sdq</t>
  </si>
  <si>
    <t xml:space="preserve">process error </t>
  </si>
  <si>
    <t>observation error</t>
  </si>
  <si>
    <t>standard deviation in juvenile survival</t>
  </si>
  <si>
    <t>sdr</t>
  </si>
  <si>
    <t>cpue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</si>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</sst>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'Juv. Survival'!$D$1</c:f>
              <c:strCache>
                <c:ptCount val="1"/>
                <c:pt idx="0">
                  <c:v>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Survival'!$D$2:$D$26</c:f>
              <c:numCache>
                <c:formatCode>General</c:formatCode>
                <c:ptCount val="25"/>
                <c:pt idx="0">
                  <c:v>0.28000000000000003</c:v>
                </c:pt>
                <c:pt idx="1">
                  <c:v>0.21</c:v>
                </c:pt>
                <c:pt idx="2">
                  <c:v>0.191</c:v>
                </c:pt>
                <c:pt idx="3">
                  <c:v>0.14299999999999999</c:v>
                </c:pt>
                <c:pt idx="4">
                  <c:v>0.219</c:v>
                </c:pt>
                <c:pt idx="5">
                  <c:v>0.19600000000000001</c:v>
                </c:pt>
                <c:pt idx="6">
                  <c:v>0.193</c:v>
                </c:pt>
                <c:pt idx="7">
                  <c:v>0.13500000000000001</c:v>
                </c:pt>
                <c:pt idx="8">
                  <c:v>0.10100000000000001</c:v>
                </c:pt>
                <c:pt idx="9">
                  <c:v>0.13600000000000001</c:v>
                </c:pt>
                <c:pt idx="10">
                  <c:v>0.127</c:v>
                </c:pt>
                <c:pt idx="11">
                  <c:v>0.109</c:v>
                </c:pt>
                <c:pt idx="12">
                  <c:v>0.104</c:v>
                </c:pt>
                <c:pt idx="13">
                  <c:v>7.6999999999999999E-2</c:v>
                </c:pt>
                <c:pt idx="14">
                  <c:v>9.7000000000000003E-2</c:v>
                </c:pt>
                <c:pt idx="15">
                  <c:v>0.106</c:v>
                </c:pt>
                <c:pt idx="16">
                  <c:v>9.1999999999999998E-2</c:v>
                </c:pt>
                <c:pt idx="17">
                  <c:v>6.6000000000000003E-2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4.8000000000000001E-2</c:v>
                </c:pt>
                <c:pt idx="23">
                  <c:v>6.3E-2</c:v>
                </c:pt>
                <c:pt idx="24">
                  <c:v>7.9000000000000001E-2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'Juv. Survival'!$E$1</c:f>
              <c:strCache>
                <c:ptCount val="1"/>
                <c:pt idx="0">
                  <c:v>Predicted 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Survival'!$E$2:$E$26</c:f>
              <c:numCache>
                <c:formatCode>0.00E+00</c:formatCode>
                <c:ptCount val="25"/>
                <c:pt idx="0">
                  <c:v>0.24554137704858173</c:v>
                </c:pt>
                <c:pt idx="1">
                  <c:v>0.22298319528760727</c:v>
                </c:pt>
                <c:pt idx="2">
                  <c:v>0.20906264394870022</c:v>
                </c:pt>
                <c:pt idx="3">
                  <c:v>0.1996113745979175</c:v>
                </c:pt>
                <c:pt idx="4">
                  <c:v>0.19277517063695865</c:v>
                </c:pt>
                <c:pt idx="5">
                  <c:v>0.17763128929605276</c:v>
                </c:pt>
                <c:pt idx="6">
                  <c:v>0.1627264963509597</c:v>
                </c:pt>
                <c:pt idx="7">
                  <c:v>0.15014355288717082</c:v>
                </c:pt>
                <c:pt idx="8">
                  <c:v>0.13993822529710195</c:v>
                </c:pt>
                <c:pt idx="9">
                  <c:v>0.12954549646919011</c:v>
                </c:pt>
                <c:pt idx="10">
                  <c:v>0.11973467247012198</c:v>
                </c:pt>
                <c:pt idx="11">
                  <c:v>0.11111823204146182</c:v>
                </c:pt>
                <c:pt idx="12">
                  <c:v>0.10383836199246389</c:v>
                </c:pt>
                <c:pt idx="13">
                  <c:v>9.7528563779414601E-2</c:v>
                </c:pt>
                <c:pt idx="14">
                  <c:v>9.2053644801318765E-2</c:v>
                </c:pt>
                <c:pt idx="15">
                  <c:v>8.7342987593108767E-2</c:v>
                </c:pt>
                <c:pt idx="16">
                  <c:v>8.3326514280516586E-2</c:v>
                </c:pt>
                <c:pt idx="17">
                  <c:v>7.9901791350407356E-2</c:v>
                </c:pt>
                <c:pt idx="18">
                  <c:v>7.6974490691814071E-2</c:v>
                </c:pt>
                <c:pt idx="19">
                  <c:v>7.446833828008087E-2</c:v>
                </c:pt>
                <c:pt idx="20">
                  <c:v>7.2319021904356559E-2</c:v>
                </c:pt>
                <c:pt idx="21">
                  <c:v>7.0472851624157326E-2</c:v>
                </c:pt>
                <c:pt idx="22">
                  <c:v>6.8885595033855093E-2</c:v>
                </c:pt>
                <c:pt idx="23">
                  <c:v>6.7515832824347088E-2</c:v>
                </c:pt>
                <c:pt idx="24">
                  <c:v>6.6330882305705205E-2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69856"/>
        <c:axId val="357248824"/>
      </c:scatterChart>
      <c:valAx>
        <c:axId val="2981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8824"/>
        <c:crosses val="autoZero"/>
        <c:crossBetween val="midCat"/>
      </c:valAx>
      <c:valAx>
        <c:axId val="3572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29741563352"/>
          <c:y val="3.7928463781490201E-2"/>
          <c:w val="0.83111185666102405"/>
          <c:h val="0.83485364503363002"/>
        </c:manualLayout>
      </c:layout>
      <c:lineChart>
        <c:grouping val="standard"/>
        <c:varyColors val="0"/>
        <c:ser>
          <c:idx val="0"/>
          <c:order val="0"/>
          <c:tx>
            <c:strRef>
              <c:f>'Age Structure'!$AB$14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Structure'!$AB$15:$AB$114</c:f>
              <c:numCache>
                <c:formatCode>General</c:formatCode>
                <c:ptCount val="100"/>
                <c:pt idx="0">
                  <c:v>6007.6414431145076</c:v>
                </c:pt>
                <c:pt idx="1">
                  <c:v>5925.5526413993748</c:v>
                </c:pt>
                <c:pt idx="2">
                  <c:v>6737.7801993112707</c:v>
                </c:pt>
                <c:pt idx="3">
                  <c:v>6572.3670695533428</c:v>
                </c:pt>
                <c:pt idx="4">
                  <c:v>6522.3675245792074</c:v>
                </c:pt>
                <c:pt idx="5">
                  <c:v>6744.0691367929649</c:v>
                </c:pt>
                <c:pt idx="6">
                  <c:v>6881.7497065185544</c:v>
                </c:pt>
                <c:pt idx="7">
                  <c:v>6143.9318924712315</c:v>
                </c:pt>
                <c:pt idx="8">
                  <c:v>5735.5228975445343</c:v>
                </c:pt>
                <c:pt idx="9">
                  <c:v>5365.0067986136492</c:v>
                </c:pt>
                <c:pt idx="10">
                  <c:v>5482.594493865412</c:v>
                </c:pt>
                <c:pt idx="11">
                  <c:v>6233.8909889782281</c:v>
                </c:pt>
                <c:pt idx="12">
                  <c:v>6367.9750777911513</c:v>
                </c:pt>
                <c:pt idx="13">
                  <c:v>6287.378062663518</c:v>
                </c:pt>
                <c:pt idx="14">
                  <c:v>6456.0838805740232</c:v>
                </c:pt>
                <c:pt idx="15">
                  <c:v>6021.5625999457661</c:v>
                </c:pt>
                <c:pt idx="16">
                  <c:v>5656.8143206052682</c:v>
                </c:pt>
                <c:pt idx="17">
                  <c:v>5468.2710211188742</c:v>
                </c:pt>
                <c:pt idx="18">
                  <c:v>5204.802827316058</c:v>
                </c:pt>
                <c:pt idx="19">
                  <c:v>5305.5330917391575</c:v>
                </c:pt>
                <c:pt idx="20">
                  <c:v>5647.2260284236163</c:v>
                </c:pt>
                <c:pt idx="21">
                  <c:v>5824.6952220114126</c:v>
                </c:pt>
                <c:pt idx="22">
                  <c:v>5713.7668923974034</c:v>
                </c:pt>
                <c:pt idx="23">
                  <c:v>5018.02754250424</c:v>
                </c:pt>
                <c:pt idx="24">
                  <c:v>5019.5685413325727</c:v>
                </c:pt>
                <c:pt idx="25">
                  <c:v>4922.0324180305288</c:v>
                </c:pt>
                <c:pt idx="26">
                  <c:v>5062.584989516823</c:v>
                </c:pt>
                <c:pt idx="27">
                  <c:v>5383.0787827497825</c:v>
                </c:pt>
                <c:pt idx="28">
                  <c:v>5402.8990089222743</c:v>
                </c:pt>
                <c:pt idx="29">
                  <c:v>5289.0183827670062</c:v>
                </c:pt>
                <c:pt idx="30">
                  <c:v>5028.4532258022591</c:v>
                </c:pt>
                <c:pt idx="31">
                  <c:v>5060.4496304353188</c:v>
                </c:pt>
                <c:pt idx="32">
                  <c:v>4908.5361758631898</c:v>
                </c:pt>
                <c:pt idx="33">
                  <c:v>4512.6129076458892</c:v>
                </c:pt>
                <c:pt idx="34">
                  <c:v>4633.9733987248756</c:v>
                </c:pt>
                <c:pt idx="35">
                  <c:v>4137.7462072497174</c:v>
                </c:pt>
                <c:pt idx="36">
                  <c:v>4024.3778704090937</c:v>
                </c:pt>
                <c:pt idx="37">
                  <c:v>4086.4205054652498</c:v>
                </c:pt>
                <c:pt idx="38">
                  <c:v>4256.463200788281</c:v>
                </c:pt>
                <c:pt idx="39">
                  <c:v>3932.5314065074353</c:v>
                </c:pt>
                <c:pt idx="40">
                  <c:v>4038.4722583433872</c:v>
                </c:pt>
                <c:pt idx="41">
                  <c:v>3869.8868994395743</c:v>
                </c:pt>
                <c:pt idx="42">
                  <c:v>4076.522024334874</c:v>
                </c:pt>
                <c:pt idx="43">
                  <c:v>4044.5683234176995</c:v>
                </c:pt>
                <c:pt idx="44">
                  <c:v>4197.8472272956878</c:v>
                </c:pt>
                <c:pt idx="45">
                  <c:v>4099.905888692766</c:v>
                </c:pt>
                <c:pt idx="46">
                  <c:v>4080.8304872093677</c:v>
                </c:pt>
                <c:pt idx="47">
                  <c:v>3659.2790011764992</c:v>
                </c:pt>
                <c:pt idx="48">
                  <c:v>3271.4381769795564</c:v>
                </c:pt>
                <c:pt idx="49">
                  <c:v>3518.0750313734038</c:v>
                </c:pt>
                <c:pt idx="50">
                  <c:v>3663.4132490243642</c:v>
                </c:pt>
                <c:pt idx="51">
                  <c:v>3364.141213956148</c:v>
                </c:pt>
                <c:pt idx="52">
                  <c:v>3503.3651464959244</c:v>
                </c:pt>
                <c:pt idx="53">
                  <c:v>3463.3339374749335</c:v>
                </c:pt>
                <c:pt idx="54">
                  <c:v>3645.2122765983813</c:v>
                </c:pt>
                <c:pt idx="55">
                  <c:v>3516.7332201281683</c:v>
                </c:pt>
                <c:pt idx="56">
                  <c:v>3448.9303463661063</c:v>
                </c:pt>
                <c:pt idx="57">
                  <c:v>3556.4702724846311</c:v>
                </c:pt>
                <c:pt idx="58">
                  <c:v>3294.6548221319727</c:v>
                </c:pt>
                <c:pt idx="59">
                  <c:v>3482.0973616289812</c:v>
                </c:pt>
                <c:pt idx="60">
                  <c:v>3289.7942132897956</c:v>
                </c:pt>
                <c:pt idx="61">
                  <c:v>3651.4512786885039</c:v>
                </c:pt>
                <c:pt idx="62">
                  <c:v>3597.273124611836</c:v>
                </c:pt>
                <c:pt idx="63">
                  <c:v>3709.1954923069216</c:v>
                </c:pt>
                <c:pt idx="64">
                  <c:v>3890.5020819140414</c:v>
                </c:pt>
                <c:pt idx="65">
                  <c:v>3574.4379083310018</c:v>
                </c:pt>
                <c:pt idx="66">
                  <c:v>3634.8046281558595</c:v>
                </c:pt>
                <c:pt idx="67">
                  <c:v>3396.4324480035248</c:v>
                </c:pt>
                <c:pt idx="68">
                  <c:v>3340.55138908648</c:v>
                </c:pt>
                <c:pt idx="69">
                  <c:v>3727.8154980011627</c:v>
                </c:pt>
                <c:pt idx="70">
                  <c:v>3601.0063094502966</c:v>
                </c:pt>
                <c:pt idx="71">
                  <c:v>3734.5177179426823</c:v>
                </c:pt>
                <c:pt idx="72">
                  <c:v>3729.3785237842994</c:v>
                </c:pt>
                <c:pt idx="73">
                  <c:v>4196.7782741911042</c:v>
                </c:pt>
                <c:pt idx="74">
                  <c:v>4281.6523752195126</c:v>
                </c:pt>
                <c:pt idx="75">
                  <c:v>3892.2085893726835</c:v>
                </c:pt>
                <c:pt idx="76">
                  <c:v>4375.5071556581843</c:v>
                </c:pt>
                <c:pt idx="77">
                  <c:v>4544.4648245002536</c:v>
                </c:pt>
                <c:pt idx="78">
                  <c:v>4532.4732771317622</c:v>
                </c:pt>
                <c:pt idx="79">
                  <c:v>4037.4783867742108</c:v>
                </c:pt>
                <c:pt idx="80">
                  <c:v>4198.7773323719703</c:v>
                </c:pt>
                <c:pt idx="81">
                  <c:v>4376.6420908091632</c:v>
                </c:pt>
                <c:pt idx="82">
                  <c:v>4464.9080997255815</c:v>
                </c:pt>
                <c:pt idx="83">
                  <c:v>4345.4046439808199</c:v>
                </c:pt>
                <c:pt idx="84">
                  <c:v>4410.1973027004196</c:v>
                </c:pt>
                <c:pt idx="85">
                  <c:v>4904.3703943370701</c:v>
                </c:pt>
                <c:pt idx="86">
                  <c:v>4680.4928059759523</c:v>
                </c:pt>
                <c:pt idx="87">
                  <c:v>5020.9165474108195</c:v>
                </c:pt>
                <c:pt idx="88">
                  <c:v>5099.7678611014762</c:v>
                </c:pt>
                <c:pt idx="89">
                  <c:v>5225.6820637388837</c:v>
                </c:pt>
                <c:pt idx="90">
                  <c:v>4764.8401997493484</c:v>
                </c:pt>
                <c:pt idx="91">
                  <c:v>5127.6497528811269</c:v>
                </c:pt>
                <c:pt idx="92">
                  <c:v>5207.0003010299406</c:v>
                </c:pt>
                <c:pt idx="93">
                  <c:v>5308.9714875962309</c:v>
                </c:pt>
                <c:pt idx="94">
                  <c:v>5889.1906180789647</c:v>
                </c:pt>
                <c:pt idx="95">
                  <c:v>5222.1657950023773</c:v>
                </c:pt>
                <c:pt idx="96">
                  <c:v>5491.560300146557</c:v>
                </c:pt>
                <c:pt idx="97">
                  <c:v>6031.1267805735988</c:v>
                </c:pt>
                <c:pt idx="98">
                  <c:v>5671.9913421341207</c:v>
                </c:pt>
                <c:pt idx="99">
                  <c:v>5942.3704572374945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68680"/>
        <c:axId val="298168288"/>
      </c:lineChart>
      <c:lineChart>
        <c:grouping val="standard"/>
        <c:varyColors val="0"/>
        <c:ser>
          <c:idx val="1"/>
          <c:order val="1"/>
          <c:tx>
            <c:strRef>
              <c:f>'Age Structure'!#REF!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67504"/>
        <c:axId val="298167896"/>
      </c:lineChart>
      <c:catAx>
        <c:axId val="29816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8288"/>
        <c:crosses val="autoZero"/>
        <c:auto val="1"/>
        <c:lblAlgn val="ctr"/>
        <c:lblOffset val="100"/>
        <c:noMultiLvlLbl val="0"/>
      </c:catAx>
      <c:valAx>
        <c:axId val="2981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8680"/>
        <c:crosses val="autoZero"/>
        <c:crossBetween val="between"/>
      </c:valAx>
      <c:valAx>
        <c:axId val="298167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7504"/>
        <c:crosses val="max"/>
        <c:crossBetween val="between"/>
      </c:valAx>
      <c:catAx>
        <c:axId val="29816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98167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244029</xdr:colOff>
      <xdr:row>1</xdr:row>
      <xdr:rowOff>141816</xdr:rowOff>
    </xdr:from>
    <xdr:to>
      <xdr:col>17</xdr:col>
      <xdr:colOff>683929</xdr:colOff>
      <xdr:row>25</xdr:row>
      <xdr:rowOff>155221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111845</xdr:colOff>
      <xdr:row>18</xdr:row>
      <xdr:rowOff>72269</xdr:rowOff>
    </xdr:from>
    <xdr:to>
      <xdr:col>12</xdr:col>
      <xdr:colOff>534870</xdr:colOff>
      <xdr:row>31</xdr:row>
      <xdr:rowOff>155084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250" zoomScaleNormal="250" zoomScalePageLayoutView="250" workbookViewId="0">
      <selection activeCell="H8" sqref="H8"/>
    </sheetView>
  </sheetViews>
  <sheetFormatPr defaultColWidth="11.19921875" defaultRowHeight="15.6" x14ac:dyDescent="0.3"/>
  <sheetData>
    <row r="1" spans="1:7" x14ac:dyDescent="0.3">
      <c r="A1" t="s">
        <v>28</v>
      </c>
      <c r="B1">
        <v>0.28435972084800071</v>
      </c>
      <c r="C1" t="s">
        <v>20</v>
      </c>
      <c r="D1" t="s">
        <v>26</v>
      </c>
      <c r="E1" t="s">
        <v>27</v>
      </c>
      <c r="F1" t="s">
        <v>55</v>
      </c>
      <c r="G1" t="s">
        <v>56</v>
      </c>
    </row>
    <row r="2" spans="1:7" x14ac:dyDescent="0.3">
      <c r="A2" t="s">
        <v>13</v>
      </c>
      <c r="B2" s="1">
        <v>8.9571037617823488E-5</v>
      </c>
      <c r="C2">
        <v>1765</v>
      </c>
      <c r="D2">
        <v>0.28000000000000003</v>
      </c>
      <c r="E2" s="1">
        <f>$B$1/(1+$B$2*C2)</f>
        <v>0.24554137704858173</v>
      </c>
      <c r="F2" s="1">
        <f>E2-D2</f>
        <v>-3.44586229514183E-2</v>
      </c>
      <c r="G2" s="1">
        <f>F2^2</f>
        <v>1.1873966957080121E-3</v>
      </c>
    </row>
    <row r="3" spans="1:7" x14ac:dyDescent="0.3">
      <c r="A3" t="s">
        <v>29</v>
      </c>
      <c r="B3">
        <f>SUMXMY2(D2:D26,E2:E26)</f>
        <v>1.1227145001309341E-2</v>
      </c>
      <c r="C3">
        <v>3073</v>
      </c>
      <c r="D3">
        <v>0.21</v>
      </c>
      <c r="E3" s="1">
        <f t="shared" ref="E3:E26" si="0">$B$1/(1+$B$2*C3)</f>
        <v>0.22298319528760727</v>
      </c>
      <c r="F3" s="1">
        <f t="shared" ref="F3:F26" si="1">E3-D3</f>
        <v>1.2983195287607274E-2</v>
      </c>
      <c r="G3" s="1">
        <f t="shared" ref="G3:G26" si="2">F3^2</f>
        <v>1.6856335987614773E-4</v>
      </c>
    </row>
    <row r="4" spans="1:7" x14ac:dyDescent="0.3">
      <c r="B4">
        <f>SUM(G:G)</f>
        <v>1.1227145001309341E-2</v>
      </c>
      <c r="C4">
        <v>4021</v>
      </c>
      <c r="D4">
        <v>0.191</v>
      </c>
      <c r="E4" s="1">
        <f t="shared" si="0"/>
        <v>0.20906264394870022</v>
      </c>
      <c r="F4" s="1">
        <f t="shared" si="1"/>
        <v>1.8062643948700219E-2</v>
      </c>
      <c r="G4" s="1">
        <f t="shared" si="2"/>
        <v>3.2625910641751664E-4</v>
      </c>
    </row>
    <row r="5" spans="1:7" x14ac:dyDescent="0.3">
      <c r="C5">
        <v>4740</v>
      </c>
      <c r="D5">
        <v>0.14299999999999999</v>
      </c>
      <c r="E5" s="1">
        <f t="shared" si="0"/>
        <v>0.1996113745979175</v>
      </c>
      <c r="F5" s="1">
        <f t="shared" si="1"/>
        <v>5.6611374597917513E-2</v>
      </c>
      <c r="G5" s="1">
        <f t="shared" si="2"/>
        <v>3.2048477338657401E-3</v>
      </c>
    </row>
    <row r="6" spans="1:7" x14ac:dyDescent="0.3">
      <c r="C6">
        <v>5304</v>
      </c>
      <c r="D6">
        <v>0.219</v>
      </c>
      <c r="E6" s="1">
        <f t="shared" si="0"/>
        <v>0.19277517063695865</v>
      </c>
      <c r="F6" s="1">
        <f t="shared" si="1"/>
        <v>-2.6224829363041352E-2</v>
      </c>
      <c r="G6" s="1">
        <f t="shared" si="2"/>
        <v>6.877416751206359E-4</v>
      </c>
    </row>
    <row r="7" spans="1:7" x14ac:dyDescent="0.3">
      <c r="C7">
        <v>6708</v>
      </c>
      <c r="D7">
        <v>0.19600000000000001</v>
      </c>
      <c r="E7" s="1">
        <f t="shared" si="0"/>
        <v>0.17763128929605276</v>
      </c>
      <c r="F7" s="1">
        <f t="shared" si="1"/>
        <v>-1.8368710703947244E-2</v>
      </c>
      <c r="G7" s="1">
        <f t="shared" si="2"/>
        <v>3.3740953292530604E-4</v>
      </c>
    </row>
    <row r="8" spans="1:7" x14ac:dyDescent="0.3">
      <c r="C8">
        <v>8345</v>
      </c>
      <c r="D8">
        <v>0.193</v>
      </c>
      <c r="E8" s="1">
        <f t="shared" si="0"/>
        <v>0.1627264963509597</v>
      </c>
      <c r="F8" s="1">
        <f t="shared" si="1"/>
        <v>-3.0273503649040301E-2</v>
      </c>
      <c r="G8" s="1">
        <f t="shared" si="2"/>
        <v>9.1648502318845645E-4</v>
      </c>
    </row>
    <row r="9" spans="1:7" x14ac:dyDescent="0.3">
      <c r="C9">
        <v>9980</v>
      </c>
      <c r="D9">
        <v>0.13500000000000001</v>
      </c>
      <c r="E9" s="1">
        <f t="shared" si="0"/>
        <v>0.15014355288717082</v>
      </c>
      <c r="F9" s="1">
        <f t="shared" si="1"/>
        <v>1.5143552887170814E-2</v>
      </c>
      <c r="G9" s="1">
        <f t="shared" si="2"/>
        <v>2.2932719404653948E-4</v>
      </c>
    </row>
    <row r="10" spans="1:7" x14ac:dyDescent="0.3">
      <c r="C10">
        <v>11522</v>
      </c>
      <c r="D10">
        <v>0.10100000000000001</v>
      </c>
      <c r="E10" s="1">
        <f t="shared" si="0"/>
        <v>0.13993822529710195</v>
      </c>
      <c r="F10" s="1">
        <f t="shared" si="1"/>
        <v>3.8938225297101947E-2</v>
      </c>
      <c r="G10" s="1">
        <f t="shared" si="2"/>
        <v>1.5161853892878699E-3</v>
      </c>
    </row>
    <row r="11" spans="1:7" x14ac:dyDescent="0.3">
      <c r="C11">
        <v>13342</v>
      </c>
      <c r="D11">
        <v>0.13600000000000001</v>
      </c>
      <c r="E11" s="1">
        <f t="shared" si="0"/>
        <v>0.12954549646919011</v>
      </c>
      <c r="F11" s="1">
        <f t="shared" si="1"/>
        <v>-6.4545035308098964E-3</v>
      </c>
      <c r="G11" s="1">
        <f t="shared" si="2"/>
        <v>4.1660615829237422E-5</v>
      </c>
    </row>
    <row r="12" spans="1:7" x14ac:dyDescent="0.3">
      <c r="C12">
        <v>15350</v>
      </c>
      <c r="D12">
        <v>0.127</v>
      </c>
      <c r="E12" s="1">
        <f t="shared" si="0"/>
        <v>0.11973467247012198</v>
      </c>
      <c r="F12" s="1">
        <f t="shared" si="1"/>
        <v>-7.2653275298780184E-3</v>
      </c>
      <c r="G12" s="1">
        <f t="shared" si="2"/>
        <v>5.2784984116403428E-5</v>
      </c>
    </row>
    <row r="13" spans="1:7" x14ac:dyDescent="0.3">
      <c r="C13">
        <v>17406</v>
      </c>
      <c r="D13">
        <v>0.109</v>
      </c>
      <c r="E13" s="1">
        <f t="shared" si="0"/>
        <v>0.11111823204146182</v>
      </c>
      <c r="F13" s="1">
        <f t="shared" si="1"/>
        <v>2.1182320414618178E-3</v>
      </c>
      <c r="G13" s="1">
        <f t="shared" si="2"/>
        <v>4.4869069814754997E-6</v>
      </c>
    </row>
    <row r="14" spans="1:7" x14ac:dyDescent="0.3">
      <c r="C14">
        <v>19409</v>
      </c>
      <c r="D14">
        <v>0.104</v>
      </c>
      <c r="E14" s="1">
        <f t="shared" si="0"/>
        <v>0.10383836199246389</v>
      </c>
      <c r="F14" s="1">
        <f t="shared" si="1"/>
        <v>-1.6163800753610236E-4</v>
      </c>
      <c r="G14" s="1">
        <f t="shared" si="2"/>
        <v>2.6126845480241082E-8</v>
      </c>
    </row>
    <row r="15" spans="1:7" x14ac:dyDescent="0.3">
      <c r="C15">
        <v>21387</v>
      </c>
      <c r="D15">
        <v>7.6999999999999999E-2</v>
      </c>
      <c r="E15" s="1">
        <f t="shared" si="0"/>
        <v>9.7528563779414601E-2</v>
      </c>
      <c r="F15" s="1">
        <f t="shared" si="1"/>
        <v>2.0528563779414602E-2</v>
      </c>
      <c r="G15" s="1">
        <f t="shared" si="2"/>
        <v>4.2142193084549314E-4</v>
      </c>
    </row>
    <row r="16" spans="1:7" x14ac:dyDescent="0.3">
      <c r="C16">
        <v>23323</v>
      </c>
      <c r="D16">
        <v>9.7000000000000003E-2</v>
      </c>
      <c r="E16" s="1">
        <f t="shared" si="0"/>
        <v>9.2053644801318765E-2</v>
      </c>
      <c r="F16" s="1">
        <f t="shared" si="1"/>
        <v>-4.9463551986812376E-3</v>
      </c>
      <c r="G16" s="1">
        <f t="shared" si="2"/>
        <v>2.4466429751520905E-5</v>
      </c>
    </row>
    <row r="17" spans="3:7" x14ac:dyDescent="0.3">
      <c r="C17">
        <v>25183</v>
      </c>
      <c r="D17">
        <v>0.106</v>
      </c>
      <c r="E17" s="1">
        <f t="shared" si="0"/>
        <v>8.7342987593108767E-2</v>
      </c>
      <c r="F17" s="1">
        <f t="shared" si="1"/>
        <v>-1.865701240689123E-2</v>
      </c>
      <c r="G17" s="1">
        <f t="shared" si="2"/>
        <v>3.4808411195089329E-4</v>
      </c>
    </row>
    <row r="18" spans="3:7" x14ac:dyDescent="0.3">
      <c r="C18">
        <v>26935</v>
      </c>
      <c r="D18">
        <v>9.1999999999999998E-2</v>
      </c>
      <c r="E18" s="1">
        <f t="shared" si="0"/>
        <v>8.3326514280516586E-2</v>
      </c>
      <c r="F18" s="1">
        <f t="shared" si="1"/>
        <v>-8.673485719483412E-3</v>
      </c>
      <c r="G18" s="1">
        <f t="shared" si="2"/>
        <v>7.5229354526082679E-5</v>
      </c>
    </row>
    <row r="19" spans="3:7" x14ac:dyDescent="0.3">
      <c r="C19">
        <v>28568</v>
      </c>
      <c r="D19">
        <v>6.6000000000000003E-2</v>
      </c>
      <c r="E19" s="1">
        <f t="shared" si="0"/>
        <v>7.9901791350407356E-2</v>
      </c>
      <c r="F19" s="1">
        <f t="shared" si="1"/>
        <v>1.3901791350407353E-2</v>
      </c>
      <c r="G19" s="1">
        <f t="shared" si="2"/>
        <v>1.9325980275026067E-4</v>
      </c>
    </row>
    <row r="20" spans="3:7" x14ac:dyDescent="0.3">
      <c r="C20">
        <v>30079</v>
      </c>
      <c r="D20">
        <v>9.2999999999999999E-2</v>
      </c>
      <c r="E20" s="1">
        <f t="shared" si="0"/>
        <v>7.6974490691814071E-2</v>
      </c>
      <c r="F20" s="1">
        <f t="shared" si="1"/>
        <v>-1.6025509308185928E-2</v>
      </c>
      <c r="G20" s="1">
        <f t="shared" si="2"/>
        <v>2.5681694858675384E-4</v>
      </c>
    </row>
    <row r="21" spans="3:7" x14ac:dyDescent="0.3">
      <c r="C21">
        <v>31467</v>
      </c>
      <c r="D21">
        <v>9.8000000000000004E-2</v>
      </c>
      <c r="E21" s="1">
        <f t="shared" si="0"/>
        <v>7.446833828008087E-2</v>
      </c>
      <c r="F21" s="1">
        <f t="shared" si="1"/>
        <v>-2.3531661719919134E-2</v>
      </c>
      <c r="G21" s="1">
        <f t="shared" si="2"/>
        <v>5.5373910330070754E-4</v>
      </c>
    </row>
    <row r="22" spans="3:7" x14ac:dyDescent="0.3">
      <c r="C22">
        <v>32734</v>
      </c>
      <c r="D22">
        <v>7.4999999999999997E-2</v>
      </c>
      <c r="E22" s="1">
        <f t="shared" si="0"/>
        <v>7.2319021904356559E-2</v>
      </c>
      <c r="F22" s="1">
        <f t="shared" si="1"/>
        <v>-2.6809780956434381E-3</v>
      </c>
      <c r="G22" s="1">
        <f t="shared" si="2"/>
        <v>7.1876435493199158E-6</v>
      </c>
    </row>
    <row r="23" spans="3:7" x14ac:dyDescent="0.3">
      <c r="C23">
        <v>33884</v>
      </c>
      <c r="D23">
        <v>7.8E-2</v>
      </c>
      <c r="E23" s="1">
        <f t="shared" si="0"/>
        <v>7.0472851624157326E-2</v>
      </c>
      <c r="F23" s="1">
        <f t="shared" si="1"/>
        <v>-7.5271483758426738E-3</v>
      </c>
      <c r="G23" s="1">
        <f t="shared" si="2"/>
        <v>5.6657962671951001E-5</v>
      </c>
    </row>
    <row r="24" spans="3:7" x14ac:dyDescent="0.3">
      <c r="C24">
        <v>34922</v>
      </c>
      <c r="D24">
        <v>4.8000000000000001E-2</v>
      </c>
      <c r="E24" s="1">
        <f t="shared" si="0"/>
        <v>6.8885595033855093E-2</v>
      </c>
      <c r="F24" s="1">
        <f t="shared" si="1"/>
        <v>2.0885595033855092E-2</v>
      </c>
      <c r="G24" s="1">
        <f t="shared" si="2"/>
        <v>4.362080799181925E-4</v>
      </c>
    </row>
    <row r="25" spans="3:7" x14ac:dyDescent="0.3">
      <c r="C25">
        <v>35857</v>
      </c>
      <c r="D25">
        <v>6.3E-2</v>
      </c>
      <c r="E25" s="1">
        <f t="shared" si="0"/>
        <v>6.7515832824347088E-2</v>
      </c>
      <c r="F25" s="1">
        <f t="shared" si="1"/>
        <v>4.515832824347088E-3</v>
      </c>
      <c r="G25" s="1">
        <f t="shared" si="2"/>
        <v>2.0392746097450596E-5</v>
      </c>
    </row>
    <row r="26" spans="3:7" x14ac:dyDescent="0.3">
      <c r="C26">
        <v>36697</v>
      </c>
      <c r="D26">
        <v>7.9000000000000001E-2</v>
      </c>
      <c r="E26" s="1">
        <f t="shared" si="0"/>
        <v>6.6330882305705205E-2</v>
      </c>
      <c r="F26" s="1">
        <f t="shared" si="1"/>
        <v>-1.2669117694294796E-2</v>
      </c>
      <c r="G26" s="1">
        <f t="shared" si="2"/>
        <v>1.6050654315189348E-4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tabSelected="1" topLeftCell="V1" zoomScaleNormal="100" zoomScalePageLayoutView="159" workbookViewId="0">
      <selection activeCell="AC10" sqref="AC10"/>
    </sheetView>
  </sheetViews>
  <sheetFormatPr defaultColWidth="11.19921875" defaultRowHeight="15.6" x14ac:dyDescent="0.3"/>
  <cols>
    <col min="6" max="6" width="12.5" bestFit="1" customWidth="1"/>
    <col min="31" max="31" width="12.19921875" bestFit="1" customWidth="1"/>
  </cols>
  <sheetData>
    <row r="1" spans="1:35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5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  <c r="O2">
        <f t="shared" si="0"/>
        <v>203.69912229322711</v>
      </c>
      <c r="P2">
        <f t="shared" si="0"/>
        <v>210.74177729868271</v>
      </c>
      <c r="Q2">
        <f t="shared" si="0"/>
        <v>216.71320013787178</v>
      </c>
      <c r="R2">
        <f t="shared" si="0"/>
        <v>221.77633196766701</v>
      </c>
      <c r="S2">
        <f t="shared" si="0"/>
        <v>226.06932956911746</v>
      </c>
      <c r="T2">
        <f t="shared" si="0"/>
        <v>229.70933520705182</v>
      </c>
      <c r="U2">
        <f t="shared" si="0"/>
        <v>232.79567307030092</v>
      </c>
      <c r="V2">
        <f t="shared" si="0"/>
        <v>235.41255951323797</v>
      </c>
      <c r="W2">
        <f t="shared" si="0"/>
        <v>237.6314010525173</v>
      </c>
      <c r="X2">
        <f t="shared" si="0"/>
        <v>239.512742824041</v>
      </c>
      <c r="Y2">
        <f t="shared" si="0"/>
        <v>241.10792066735357</v>
      </c>
    </row>
    <row r="3" spans="1:35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  <c r="O3">
        <f t="shared" si="1"/>
        <v>42.260776977962678</v>
      </c>
      <c r="P3">
        <f t="shared" si="1"/>
        <v>46.797420959549086</v>
      </c>
      <c r="Q3">
        <f t="shared" si="1"/>
        <v>50.889255838725042</v>
      </c>
      <c r="R3">
        <f t="shared" si="1"/>
        <v>54.540057705674201</v>
      </c>
      <c r="S3">
        <f t="shared" si="1"/>
        <v>57.769012452087082</v>
      </c>
      <c r="T3">
        <f t="shared" si="1"/>
        <v>60.60464884078548</v>
      </c>
      <c r="U3">
        <f t="shared" si="1"/>
        <v>63.080440301533002</v>
      </c>
      <c r="V3">
        <f t="shared" si="1"/>
        <v>65.231729311743365</v>
      </c>
      <c r="W3">
        <f t="shared" si="1"/>
        <v>67.093661006590224</v>
      </c>
      <c r="X3">
        <f t="shared" si="1"/>
        <v>68.699863931949409</v>
      </c>
      <c r="Y3">
        <f t="shared" si="1"/>
        <v>70.081669213929786</v>
      </c>
    </row>
    <row r="4" spans="1:35" x14ac:dyDescent="0.3">
      <c r="A4" t="s">
        <v>34</v>
      </c>
      <c r="B4" t="s">
        <v>4</v>
      </c>
      <c r="C4">
        <v>250</v>
      </c>
      <c r="E4" t="s">
        <v>8</v>
      </c>
      <c r="F4">
        <f>MAX(0,F3-6)/70*20+MAX(0,F3-6)*20</f>
        <v>0</v>
      </c>
      <c r="G4">
        <f>MAX(0,G3-6)/70*20+MAX(0,G3-6)*20</f>
        <v>0</v>
      </c>
      <c r="H4">
        <f>MAX(0,H3-6)/70*20+MAX(0,H3-6)*20</f>
        <v>0</v>
      </c>
      <c r="I4">
        <f>MAX(0,I3-6)/70*20+MAX(0,I3-6)/(I3-6)*20</f>
        <v>21.102325116429949</v>
      </c>
      <c r="J4">
        <f t="shared" ref="J4:P4" si="2">MAX(0,J3-6)/70*20+MAX(0,J3-6)/(J3-6)*20</f>
        <v>22.582310132487908</v>
      </c>
      <c r="K4">
        <f t="shared" si="2"/>
        <v>24.183059016786938</v>
      </c>
      <c r="L4">
        <f t="shared" si="2"/>
        <v>25.81710749645756</v>
      </c>
      <c r="M4">
        <f t="shared" si="2"/>
        <v>27.418736175465451</v>
      </c>
      <c r="N4">
        <f t="shared" si="2"/>
        <v>28.942577363929903</v>
      </c>
      <c r="O4">
        <f t="shared" si="2"/>
        <v>30.360221993703622</v>
      </c>
      <c r="P4">
        <f t="shared" si="2"/>
        <v>31.656405988442593</v>
      </c>
      <c r="Q4">
        <f t="shared" ref="Q4:Y4" si="3">MAX(0,Q3-6)/70*20+MAX(0,Q3-6)/(Q3-6)*20</f>
        <v>32.825501668207153</v>
      </c>
      <c r="R4">
        <f t="shared" si="3"/>
        <v>33.868587915906915</v>
      </c>
      <c r="S4">
        <f t="shared" si="3"/>
        <v>34.791146414882022</v>
      </c>
      <c r="T4">
        <f t="shared" si="3"/>
        <v>35.601328240224426</v>
      </c>
      <c r="U4">
        <f t="shared" si="3"/>
        <v>36.308697229009425</v>
      </c>
      <c r="V4">
        <f t="shared" si="3"/>
        <v>36.923351231926674</v>
      </c>
      <c r="W4">
        <f t="shared" si="3"/>
        <v>37.455331716168637</v>
      </c>
      <c r="X4">
        <f t="shared" si="3"/>
        <v>37.914246837699835</v>
      </c>
      <c r="Y4">
        <f t="shared" si="3"/>
        <v>38.309048346837081</v>
      </c>
    </row>
    <row r="5" spans="1:35" x14ac:dyDescent="0.3">
      <c r="A5" t="s">
        <v>35</v>
      </c>
      <c r="B5" t="s">
        <v>2</v>
      </c>
      <c r="C5">
        <v>0.16500000000000001</v>
      </c>
      <c r="E5" t="s">
        <v>9</v>
      </c>
      <c r="F5">
        <f t="shared" ref="F5:Y5" si="4">1/(1+EXP(-(F2-lmat50)/lmatsd))</f>
        <v>3.5548307745634453E-4</v>
      </c>
      <c r="G5">
        <f t="shared" si="4"/>
        <v>7.9046381455035973E-3</v>
      </c>
      <c r="H5">
        <f t="shared" si="4"/>
        <v>0.10010963450129044</v>
      </c>
      <c r="I5">
        <f t="shared" si="4"/>
        <v>0.50983577637622335</v>
      </c>
      <c r="J5">
        <f t="shared" si="4"/>
        <v>0.87376781953602756</v>
      </c>
      <c r="K5">
        <f t="shared" si="4"/>
        <v>0.9718523952404291</v>
      </c>
      <c r="L5">
        <f t="shared" si="4"/>
        <v>0.99264029980853929</v>
      </c>
      <c r="M5">
        <f t="shared" si="4"/>
        <v>0.99767032817445722</v>
      </c>
      <c r="N5">
        <f t="shared" si="4"/>
        <v>0.99912403348673906</v>
      </c>
      <c r="O5">
        <f t="shared" si="4"/>
        <v>0.99961807802503877</v>
      </c>
      <c r="P5">
        <f t="shared" si="4"/>
        <v>0.99981111394980715</v>
      </c>
      <c r="Q5">
        <f t="shared" si="4"/>
        <v>0.99989603164537177</v>
      </c>
      <c r="R5">
        <f t="shared" si="4"/>
        <v>0.99993733427211395</v>
      </c>
      <c r="S5">
        <f t="shared" si="4"/>
        <v>0.99995920592680032</v>
      </c>
      <c r="T5">
        <f t="shared" si="4"/>
        <v>0.99997165222088302</v>
      </c>
      <c r="U5">
        <f t="shared" si="4"/>
        <v>0.99997917982579099</v>
      </c>
      <c r="V5">
        <f t="shared" si="4"/>
        <v>0.99998397358048619</v>
      </c>
      <c r="W5">
        <f t="shared" si="4"/>
        <v>0.99998716266637233</v>
      </c>
      <c r="X5">
        <f t="shared" si="4"/>
        <v>0.99998936420031315</v>
      </c>
      <c r="Y5">
        <f t="shared" si="4"/>
        <v>0.99999093238365067</v>
      </c>
    </row>
    <row r="6" spans="1:35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5">sa*(F2/vblinf)^(2*vbk)</f>
        <v>0.48473501577645922</v>
      </c>
      <c r="G6">
        <f t="shared" si="5"/>
        <v>0.57548884550822377</v>
      </c>
      <c r="H6">
        <f t="shared" si="5"/>
        <v>0.63443999914226146</v>
      </c>
      <c r="I6">
        <f t="shared" si="5"/>
        <v>0.67690770913477638</v>
      </c>
      <c r="J6">
        <f t="shared" si="5"/>
        <v>0.70909300748712456</v>
      </c>
      <c r="K6">
        <f t="shared" si="5"/>
        <v>0.734229321239253</v>
      </c>
      <c r="L6">
        <f t="shared" si="5"/>
        <v>0.75425082300663926</v>
      </c>
      <c r="M6">
        <f t="shared" si="5"/>
        <v>0.77041920811554221</v>
      </c>
      <c r="N6">
        <f t="shared" si="5"/>
        <v>0.78360778089101213</v>
      </c>
      <c r="O6">
        <f t="shared" si="5"/>
        <v>0.79444739421492083</v>
      </c>
      <c r="P6">
        <f t="shared" si="5"/>
        <v>0.80340852088976489</v>
      </c>
      <c r="Q6">
        <f t="shared" si="5"/>
        <v>0.81085069519388397</v>
      </c>
      <c r="R6">
        <f t="shared" si="5"/>
        <v>0.81705395698350958</v>
      </c>
      <c r="S6">
        <f t="shared" si="5"/>
        <v>0.82223974594676752</v>
      </c>
      <c r="T6">
        <f t="shared" si="5"/>
        <v>0.82658529650798329</v>
      </c>
      <c r="U6">
        <f t="shared" si="5"/>
        <v>0.83023385924547533</v>
      </c>
      <c r="V6">
        <f t="shared" si="5"/>
        <v>0.83330214643263523</v>
      </c>
      <c r="W6">
        <f t="shared" si="5"/>
        <v>0.83588587461906638</v>
      </c>
      <c r="X6">
        <f t="shared" si="5"/>
        <v>0.83806396795646054</v>
      </c>
      <c r="Y6">
        <f t="shared" si="5"/>
        <v>0.83990179706923251</v>
      </c>
    </row>
    <row r="7" spans="1:35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Y7" si="6">F6*(1-F12*hr)</f>
        <v>0.48473501577645922</v>
      </c>
      <c r="G7">
        <f t="shared" si="6"/>
        <v>0.57548884550822377</v>
      </c>
      <c r="H7">
        <f t="shared" si="6"/>
        <v>0.63443999914226146</v>
      </c>
      <c r="I7">
        <f t="shared" si="6"/>
        <v>0.67690770913477638</v>
      </c>
      <c r="J7">
        <f t="shared" si="6"/>
        <v>0.70909300748712456</v>
      </c>
      <c r="K7">
        <f t="shared" si="6"/>
        <v>0.734229321239253</v>
      </c>
      <c r="L7">
        <f t="shared" si="6"/>
        <v>0.75425082300663926</v>
      </c>
      <c r="M7">
        <f t="shared" si="6"/>
        <v>0.77041920811554221</v>
      </c>
      <c r="N7">
        <f t="shared" si="6"/>
        <v>0.78360778089101213</v>
      </c>
      <c r="O7">
        <f t="shared" si="6"/>
        <v>0.79444739421492083</v>
      </c>
      <c r="P7">
        <f t="shared" si="6"/>
        <v>0.80340852088976489</v>
      </c>
      <c r="Q7">
        <f t="shared" si="6"/>
        <v>0.81085069519388397</v>
      </c>
      <c r="R7">
        <f t="shared" si="6"/>
        <v>0.81705395698350958</v>
      </c>
      <c r="S7">
        <f t="shared" si="6"/>
        <v>0.82223974594676752</v>
      </c>
      <c r="T7">
        <f t="shared" si="6"/>
        <v>0.82658529650798329</v>
      </c>
      <c r="U7">
        <f t="shared" si="6"/>
        <v>0.83023385924547533</v>
      </c>
      <c r="V7">
        <f t="shared" si="6"/>
        <v>0.83330214643263523</v>
      </c>
      <c r="W7">
        <f t="shared" si="6"/>
        <v>0.83588587461906638</v>
      </c>
      <c r="X7">
        <f t="shared" si="6"/>
        <v>0.83806396795646054</v>
      </c>
      <c r="Y7">
        <f t="shared" si="6"/>
        <v>0.83990179706923251</v>
      </c>
    </row>
    <row r="8" spans="1:35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8" si="7">F8*F6</f>
        <v>0.48473501577645922</v>
      </c>
      <c r="H8">
        <f t="shared" si="7"/>
        <v>0.27895959460660513</v>
      </c>
      <c r="I8">
        <f t="shared" si="7"/>
        <v>0.17698312496294016</v>
      </c>
      <c r="J8">
        <f t="shared" si="7"/>
        <v>0.11980124167417767</v>
      </c>
      <c r="K8">
        <f t="shared" si="7"/>
        <v>8.4950222759434493E-2</v>
      </c>
      <c r="L8">
        <f t="shared" si="7"/>
        <v>6.2372944395782927E-2</v>
      </c>
      <c r="M8">
        <f t="shared" si="7"/>
        <v>4.7044844643866622E-2</v>
      </c>
      <c r="N8">
        <f t="shared" si="7"/>
        <v>3.6244251956446427E-2</v>
      </c>
      <c r="O8">
        <f t="shared" si="7"/>
        <v>2.8401277845645709E-2</v>
      </c>
      <c r="P8">
        <f t="shared" si="7"/>
        <v>2.2563321176847194E-2</v>
      </c>
      <c r="Q8">
        <f t="shared" si="7"/>
        <v>1.8127564493051512E-2</v>
      </c>
      <c r="R8">
        <f t="shared" si="7"/>
        <v>1.4698748271362786E-2</v>
      </c>
      <c r="S8">
        <f t="shared" si="7"/>
        <v>1.2009670437821486E-2</v>
      </c>
      <c r="T8">
        <f t="shared" si="7"/>
        <v>9.8748283696987425E-3</v>
      </c>
      <c r="U8">
        <f t="shared" si="7"/>
        <v>8.1623879359328799E-3</v>
      </c>
      <c r="V8">
        <f t="shared" si="7"/>
        <v>6.7766908367082644E-3</v>
      </c>
      <c r="W8">
        <f t="shared" si="7"/>
        <v>5.6470310199393673E-3</v>
      </c>
      <c r="X8">
        <f t="shared" si="7"/>
        <v>4.7202734631030165E-3</v>
      </c>
      <c r="Y8">
        <f>X8*X6/(1-Y6)</f>
        <v>2.4709153731340593E-2</v>
      </c>
    </row>
    <row r="9" spans="1:35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0.48473501577645922</v>
      </c>
      <c r="H9">
        <f t="shared" ref="H9:X9" si="8">G9*G7</f>
        <v>0.27895959460660513</v>
      </c>
      <c r="I9">
        <f t="shared" si="8"/>
        <v>0.17698312496294016</v>
      </c>
      <c r="J9">
        <f t="shared" si="8"/>
        <v>0.11980124167417767</v>
      </c>
      <c r="K9">
        <f t="shared" si="8"/>
        <v>8.4950222759434493E-2</v>
      </c>
      <c r="L9">
        <f t="shared" si="8"/>
        <v>6.2372944395782927E-2</v>
      </c>
      <c r="M9">
        <f t="shared" si="8"/>
        <v>4.7044844643866622E-2</v>
      </c>
      <c r="N9">
        <f t="shared" si="8"/>
        <v>3.6244251956446427E-2</v>
      </c>
      <c r="O9">
        <f t="shared" si="8"/>
        <v>2.8401277845645709E-2</v>
      </c>
      <c r="P9">
        <f t="shared" si="8"/>
        <v>2.2563321176847194E-2</v>
      </c>
      <c r="Q9">
        <f t="shared" si="8"/>
        <v>1.8127564493051512E-2</v>
      </c>
      <c r="R9">
        <f t="shared" si="8"/>
        <v>1.4698748271362786E-2</v>
      </c>
      <c r="S9">
        <f t="shared" si="8"/>
        <v>1.2009670437821486E-2</v>
      </c>
      <c r="T9">
        <f t="shared" si="8"/>
        <v>9.8748283696987425E-3</v>
      </c>
      <c r="U9">
        <f t="shared" si="8"/>
        <v>8.1623879359328799E-3</v>
      </c>
      <c r="V9">
        <f t="shared" si="8"/>
        <v>6.7766908367082644E-3</v>
      </c>
      <c r="W9">
        <f t="shared" si="8"/>
        <v>5.6470310199393673E-3</v>
      </c>
      <c r="X9">
        <f t="shared" si="8"/>
        <v>4.7202734631030165E-3</v>
      </c>
      <c r="Y9">
        <f>X9*X7/(1-Y7)</f>
        <v>2.4709153731340593E-2</v>
      </c>
    </row>
    <row r="10" spans="1:35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9">F8/SUM($F$8:$AF$8)</f>
        <v>0.40870004888805711</v>
      </c>
      <c r="G10">
        <f t="shared" si="9"/>
        <v>0.198111224645592</v>
      </c>
      <c r="H10">
        <f t="shared" si="9"/>
        <v>0.1140107999535121</v>
      </c>
      <c r="I10">
        <f t="shared" si="9"/>
        <v>7.2333011824714757E-2</v>
      </c>
      <c r="J10">
        <f t="shared" si="9"/>
        <v>4.8962773329086356E-2</v>
      </c>
      <c r="K10">
        <f t="shared" si="9"/>
        <v>3.4719160194832219E-2</v>
      </c>
      <c r="L10">
        <f t="shared" si="9"/>
        <v>2.5491825423848549E-2</v>
      </c>
      <c r="M10">
        <f t="shared" si="9"/>
        <v>1.9227230305879341E-2</v>
      </c>
      <c r="N10">
        <f t="shared" si="9"/>
        <v>1.4813027546510713E-2</v>
      </c>
      <c r="O10">
        <f t="shared" si="9"/>
        <v>1.1607603643998694E-2</v>
      </c>
      <c r="P10">
        <f t="shared" si="9"/>
        <v>9.2216304680543815E-3</v>
      </c>
      <c r="Q10">
        <f t="shared" si="9"/>
        <v>7.4087364945315606E-3</v>
      </c>
      <c r="R10">
        <f t="shared" si="9"/>
        <v>6.007379137099215E-3</v>
      </c>
      <c r="S10">
        <f t="shared" si="9"/>
        <v>4.9083528950670955E-3</v>
      </c>
      <c r="T10">
        <f t="shared" si="9"/>
        <v>4.0358428374570494E-3</v>
      </c>
      <c r="U10">
        <f t="shared" si="9"/>
        <v>3.3359683484590554E-3</v>
      </c>
      <c r="V10">
        <f t="shared" si="9"/>
        <v>2.769633876261916E-3</v>
      </c>
      <c r="W10">
        <f t="shared" si="9"/>
        <v>2.3079418539215944E-3</v>
      </c>
      <c r="X10">
        <f t="shared" si="9"/>
        <v>1.9291759951352014E-3</v>
      </c>
      <c r="Y10">
        <f t="shared" si="9"/>
        <v>1.0098632337981419E-2</v>
      </c>
    </row>
    <row r="11" spans="1:35" x14ac:dyDescent="0.3">
      <c r="A11" t="s">
        <v>41</v>
      </c>
      <c r="B11" t="s">
        <v>17</v>
      </c>
      <c r="C11">
        <v>100</v>
      </c>
      <c r="E11" t="s">
        <v>25</v>
      </c>
      <c r="F11">
        <f t="shared" ref="F11:Y11" si="10">F9/SUM($F$9:$AF$9)</f>
        <v>0.40870004888805711</v>
      </c>
      <c r="G11">
        <f t="shared" si="10"/>
        <v>0.198111224645592</v>
      </c>
      <c r="H11">
        <f t="shared" si="10"/>
        <v>0.1140107999535121</v>
      </c>
      <c r="I11">
        <f t="shared" si="10"/>
        <v>7.2333011824714757E-2</v>
      </c>
      <c r="J11">
        <f t="shared" si="10"/>
        <v>4.8962773329086356E-2</v>
      </c>
      <c r="K11">
        <f t="shared" si="10"/>
        <v>3.4719160194832219E-2</v>
      </c>
      <c r="L11">
        <f t="shared" si="10"/>
        <v>2.5491825423848549E-2</v>
      </c>
      <c r="M11">
        <f t="shared" si="10"/>
        <v>1.9227230305879341E-2</v>
      </c>
      <c r="N11">
        <f t="shared" si="10"/>
        <v>1.4813027546510713E-2</v>
      </c>
      <c r="O11">
        <f t="shared" si="10"/>
        <v>1.1607603643998694E-2</v>
      </c>
      <c r="P11">
        <f t="shared" si="10"/>
        <v>9.2216304680543815E-3</v>
      </c>
      <c r="Q11">
        <f t="shared" si="10"/>
        <v>7.4087364945315606E-3</v>
      </c>
      <c r="R11">
        <f t="shared" si="10"/>
        <v>6.007379137099215E-3</v>
      </c>
      <c r="S11">
        <f t="shared" si="10"/>
        <v>4.9083528950670955E-3</v>
      </c>
      <c r="T11">
        <f t="shared" si="10"/>
        <v>4.0358428374570494E-3</v>
      </c>
      <c r="U11">
        <f t="shared" si="10"/>
        <v>3.3359683484590554E-3</v>
      </c>
      <c r="V11">
        <f t="shared" si="10"/>
        <v>2.769633876261916E-3</v>
      </c>
      <c r="W11">
        <f t="shared" si="10"/>
        <v>2.3079418539215944E-3</v>
      </c>
      <c r="X11">
        <f t="shared" si="10"/>
        <v>1.9291759951352014E-3</v>
      </c>
      <c r="Y11">
        <f t="shared" si="10"/>
        <v>1.0098632337981419E-2</v>
      </c>
    </row>
    <row r="12" spans="1:35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11">1/(1+EXP(-(F2-vul50_)/vulsd))</f>
        <v>6.1754854115866016E-2</v>
      </c>
      <c r="G12">
        <f t="shared" si="11"/>
        <v>0.2375452972973815</v>
      </c>
      <c r="H12">
        <f t="shared" si="11"/>
        <v>0.53792613484806096</v>
      </c>
      <c r="I12">
        <f t="shared" si="11"/>
        <v>0.78068695252266385</v>
      </c>
      <c r="J12">
        <f t="shared" si="11"/>
        <v>0.90179639891565289</v>
      </c>
      <c r="K12">
        <f t="shared" si="11"/>
        <v>0.95350814524763217</v>
      </c>
      <c r="L12">
        <f t="shared" si="11"/>
        <v>0.97592412598518374</v>
      </c>
      <c r="M12">
        <f t="shared" si="11"/>
        <v>0.98634429022259162</v>
      </c>
      <c r="N12">
        <f t="shared" si="11"/>
        <v>0.99158803946667096</v>
      </c>
      <c r="O12">
        <f t="shared" si="11"/>
        <v>0.99443100501176829</v>
      </c>
      <c r="P12">
        <f t="shared" si="11"/>
        <v>0.9960774726686924</v>
      </c>
      <c r="Q12">
        <f t="shared" si="11"/>
        <v>0.99708701584969106</v>
      </c>
      <c r="R12">
        <f t="shared" si="11"/>
        <v>0.99773704120705853</v>
      </c>
      <c r="S12">
        <f t="shared" si="11"/>
        <v>0.99817339231495938</v>
      </c>
      <c r="T12">
        <f t="shared" si="11"/>
        <v>0.99847687486754066</v>
      </c>
      <c r="U12">
        <f t="shared" si="11"/>
        <v>0.99869439678302374</v>
      </c>
      <c r="V12">
        <f t="shared" si="11"/>
        <v>0.99885433988968975</v>
      </c>
      <c r="W12">
        <f t="shared" si="11"/>
        <v>0.99897452161395139</v>
      </c>
      <c r="X12">
        <f t="shared" si="11"/>
        <v>0.99906650138234288</v>
      </c>
      <c r="Y12">
        <f t="shared" si="11"/>
        <v>0.99913800268522523</v>
      </c>
    </row>
    <row r="13" spans="1:35" x14ac:dyDescent="0.3">
      <c r="A13" t="s">
        <v>43</v>
      </c>
      <c r="B13" t="s">
        <v>24</v>
      </c>
      <c r="C13">
        <v>0</v>
      </c>
    </row>
    <row r="14" spans="1:35" x14ac:dyDescent="0.3">
      <c r="A14" t="s">
        <v>44</v>
      </c>
      <c r="B14" t="s">
        <v>30</v>
      </c>
      <c r="C14">
        <f>SUMPRODUCT(survship,fecundity,pmature)</f>
        <v>15.519790234608823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68</v>
      </c>
      <c r="AF14" t="s">
        <v>69</v>
      </c>
      <c r="AG14" t="s">
        <v>63</v>
      </c>
      <c r="AH14" t="s">
        <v>62</v>
      </c>
      <c r="AI14" t="s">
        <v>72</v>
      </c>
    </row>
    <row r="15" spans="1:35" x14ac:dyDescent="0.3">
      <c r="A15" t="s">
        <v>45</v>
      </c>
      <c r="B15" t="s">
        <v>46</v>
      </c>
      <c r="C15">
        <f>(maxsj*epro-1)/(sjscale*epro)</f>
        <v>2455.3233515028155</v>
      </c>
      <c r="E15">
        <v>1</v>
      </c>
      <c r="F15">
        <f t="shared" ref="F15:Y15" si="12">ro*F8</f>
        <v>2455.3233515028155</v>
      </c>
      <c r="G15">
        <f t="shared" si="12"/>
        <v>1190.1812035270259</v>
      </c>
      <c r="H15">
        <f t="shared" si="12"/>
        <v>684.93600676335643</v>
      </c>
      <c r="I15">
        <f t="shared" si="12"/>
        <v>434.55079954344785</v>
      </c>
      <c r="J15">
        <f t="shared" si="12"/>
        <v>294.15078622164071</v>
      </c>
      <c r="K15">
        <f t="shared" si="12"/>
        <v>208.58026565660546</v>
      </c>
      <c r="L15">
        <f t="shared" si="12"/>
        <v>153.1457468769525</v>
      </c>
      <c r="M15">
        <f t="shared" si="12"/>
        <v>115.51030562190788</v>
      </c>
      <c r="N15">
        <f t="shared" si="12"/>
        <v>88.991358186414516</v>
      </c>
      <c r="O15">
        <f t="shared" si="12"/>
        <v>69.734320706933488</v>
      </c>
      <c r="P15">
        <f t="shared" si="12"/>
        <v>55.400249372970904</v>
      </c>
      <c r="Q15">
        <f t="shared" si="12"/>
        <v>44.509032405662673</v>
      </c>
      <c r="R15">
        <f t="shared" si="12"/>
        <v>36.090179868538691</v>
      </c>
      <c r="S15">
        <f t="shared" si="12"/>
        <v>29.487624269836136</v>
      </c>
      <c r="T15">
        <f t="shared" si="12"/>
        <v>24.2458966882038</v>
      </c>
      <c r="U15">
        <f t="shared" si="12"/>
        <v>20.041301703120869</v>
      </c>
      <c r="V15">
        <f t="shared" si="12"/>
        <v>16.638967257284953</v>
      </c>
      <c r="W15">
        <f t="shared" si="12"/>
        <v>13.86528712991789</v>
      </c>
      <c r="X15">
        <f t="shared" si="12"/>
        <v>11.5897976594359</v>
      </c>
      <c r="Y15">
        <f t="shared" si="12"/>
        <v>60.668962152433487</v>
      </c>
      <c r="Z15">
        <f t="shared" ref="Z15:Z46" si="13">SUMPRODUCT(F15:Y15,fecundity,pmature)</f>
        <v>38106.103373460406</v>
      </c>
      <c r="AA15">
        <f t="shared" ref="AA15:AA46" si="14">1-EXP(-q*EXP(AF15*sdq)*AG15)</f>
        <v>9.708609269840629E-4</v>
      </c>
      <c r="AB15">
        <f>SUM(F15:Y15)</f>
        <v>6007.6414431145076</v>
      </c>
      <c r="AC15">
        <f t="shared" ref="AC15:AC46" si="15">SUMPRODUCT(F15:Y15,Weight)</f>
        <v>52926.915567079173</v>
      </c>
      <c r="AD15">
        <f t="shared" ref="AD15:AD46" si="16">SUMPRODUCT(F15:Y15,Weight,vul)</f>
        <v>46258.496544150104</v>
      </c>
      <c r="AE15">
        <v>7.1510645564469066E-2</v>
      </c>
      <c r="AF15">
        <v>-7.2716051471852089E-2</v>
      </c>
      <c r="AG15">
        <v>1</v>
      </c>
      <c r="AH15">
        <f t="shared" ref="AH15:AH46" si="17">AD15*AA15</f>
        <v>44.910566835742642</v>
      </c>
      <c r="AI15" t="s">
        <v>73</v>
      </c>
    </row>
    <row r="16" spans="1:35" x14ac:dyDescent="0.3">
      <c r="A16" t="s">
        <v>47</v>
      </c>
      <c r="B16" t="s">
        <v>48</v>
      </c>
      <c r="C16">
        <f>SUMPRODUCT(fecundity, pmature,survshiphr)</f>
        <v>15.519790234608823</v>
      </c>
      <c r="E16">
        <v>2</v>
      </c>
      <c r="F16">
        <f t="shared" ref="F16:F47" si="18">Z15*maxsj/(1+sjscale*EXP(AE15*sdr)*Z15)</f>
        <v>2374.8025673839938</v>
      </c>
      <c r="G16">
        <f>F15*F$6*(1-F$12*$AA15)</f>
        <v>1190.1098457667545</v>
      </c>
      <c r="H16">
        <f t="shared" ref="H16:W16" si="19">G15*G$6*(1-G$12*$AA15)</f>
        <v>684.7780444601359</v>
      </c>
      <c r="I16">
        <f t="shared" si="19"/>
        <v>434.3238547513663</v>
      </c>
      <c r="J16">
        <f t="shared" si="19"/>
        <v>293.92783802819162</v>
      </c>
      <c r="K16">
        <f t="shared" si="19"/>
        <v>208.39764969440031</v>
      </c>
      <c r="L16">
        <f t="shared" si="19"/>
        <v>153.00397621392682</v>
      </c>
      <c r="M16">
        <f t="shared" si="19"/>
        <v>115.40086115498207</v>
      </c>
      <c r="N16">
        <f t="shared" si="19"/>
        <v>88.906139783100429</v>
      </c>
      <c r="O16">
        <f t="shared" si="19"/>
        <v>69.667187888994135</v>
      </c>
      <c r="P16">
        <f t="shared" si="19"/>
        <v>55.346762969125678</v>
      </c>
      <c r="Q16">
        <f t="shared" si="19"/>
        <v>44.465989825768801</v>
      </c>
      <c r="R16">
        <f t="shared" si="19"/>
        <v>36.055243389784138</v>
      </c>
      <c r="S16">
        <f t="shared" si="19"/>
        <v>29.459060672452267</v>
      </c>
      <c r="T16">
        <f t="shared" si="19"/>
        <v>24.222400291707025</v>
      </c>
      <c r="U16">
        <f t="shared" si="19"/>
        <v>20.02187402229956</v>
      </c>
      <c r="V16">
        <f t="shared" si="19"/>
        <v>16.622834224984679</v>
      </c>
      <c r="W16">
        <f t="shared" si="19"/>
        <v>13.851841286436972</v>
      </c>
      <c r="X16">
        <f t="shared" ref="X16" si="20">W15*W$6*(1-W$12*$AA15)</f>
        <v>11.578557116503283</v>
      </c>
      <c r="Y16">
        <f>X15*X$6*(1-X$12*$AA15)+Y15*Y$6*(1-Y$12*$AA15)</f>
        <v>60.610112474465197</v>
      </c>
      <c r="Z16">
        <f t="shared" si="13"/>
        <v>38073.237724438673</v>
      </c>
      <c r="AA16">
        <f t="shared" si="14"/>
        <v>5.0445052382280808E-3</v>
      </c>
      <c r="AB16">
        <f t="shared" ref="AB16:AB79" si="21">SUM(F16:Y16)</f>
        <v>5925.5526413993748</v>
      </c>
      <c r="AC16">
        <f t="shared" si="15"/>
        <v>52847.398427795815</v>
      </c>
      <c r="AD16">
        <f t="shared" si="16"/>
        <v>46216.487889827949</v>
      </c>
      <c r="AE16">
        <v>-0.62207794773731084</v>
      </c>
      <c r="AF16">
        <v>2.8473092556077072E-2</v>
      </c>
      <c r="AG16">
        <v>5</v>
      </c>
      <c r="AH16">
        <f t="shared" si="17"/>
        <v>233.13931525274177</v>
      </c>
      <c r="AI16">
        <f t="shared" ref="AI15:AI46" si="22">AH16/AG16</f>
        <v>46.627863050548356</v>
      </c>
    </row>
    <row r="17" spans="1:35" x14ac:dyDescent="0.3">
      <c r="A17" t="s">
        <v>49</v>
      </c>
      <c r="B17" t="s">
        <v>50</v>
      </c>
      <c r="C17">
        <f>MAX(0,(maxsj*eprh-1)/(sjscale*eprh))</f>
        <v>2455.3233515028155</v>
      </c>
      <c r="E17">
        <v>3</v>
      </c>
      <c r="F17">
        <f t="shared" si="18"/>
        <v>3233.7708009913385</v>
      </c>
      <c r="G17">
        <f t="shared" ref="G17:G80" si="23">F16*F$6*(1-F$12*$AA16)</f>
        <v>1150.791350640405</v>
      </c>
      <c r="H17">
        <f t="shared" ref="H17:H80" si="24">G16*G$6*(1-G$12*$AA16)</f>
        <v>684.07423258999472</v>
      </c>
      <c r="I17">
        <f t="shared" ref="I17:I80" si="25">H16*H$6*(1-H$12*$AA16)</f>
        <v>433.27166935077139</v>
      </c>
      <c r="J17">
        <f t="shared" ref="J17:J80" si="26">I16*I$6*(1-I$12*$AA16)</f>
        <v>292.83935195503898</v>
      </c>
      <c r="K17">
        <f t="shared" ref="K17:K80" si="27">J16*J$6*(1-J$12*$AA16)</f>
        <v>207.47403786496437</v>
      </c>
      <c r="L17">
        <f t="shared" ref="L17:L80" si="28">K16*K$6*(1-K$12*$AA16)</f>
        <v>152.27568231964889</v>
      </c>
      <c r="M17">
        <f t="shared" ref="M17:M80" si="29">L16*L$6*(1-L$12*$AA16)</f>
        <v>114.83523789362404</v>
      </c>
      <c r="N17">
        <f t="shared" ref="N17:N80" si="30">M16*M$6*(1-M$12*$AA16)</f>
        <v>88.464672514530278</v>
      </c>
      <c r="O17">
        <f t="shared" ref="O17:O80" si="31">N16*N$6*(1-N$12*$AA16)</f>
        <v>69.319060902896922</v>
      </c>
      <c r="P17">
        <f t="shared" ref="P17:P80" si="32">O16*O$6*(1-O$12*$AA16)</f>
        <v>55.069272924801112</v>
      </c>
      <c r="Q17">
        <f t="shared" ref="Q17:Q80" si="33">P16*P$6*(1-P$12*$AA16)</f>
        <v>44.242631554831362</v>
      </c>
      <c r="R17">
        <f t="shared" ref="R17:R80" si="34">Q16*Q$6*(1-Q$12*$AA16)</f>
        <v>35.873927536718831</v>
      </c>
      <c r="S17">
        <f t="shared" ref="S17:S80" si="35">R16*R$6*(1-R$12*$AA16)</f>
        <v>29.310809092217152</v>
      </c>
      <c r="T17">
        <f t="shared" ref="T17:T80" si="36">S16*S$6*(1-S$12*$AA16)</f>
        <v>24.100443679512878</v>
      </c>
      <c r="U17">
        <f t="shared" ref="U17:U80" si="37">T16*T$6*(1-T$12*$AA16)</f>
        <v>19.921033285450189</v>
      </c>
      <c r="V17">
        <f t="shared" ref="V17:V80" si="38">U16*U$6*(1-U$12*$AA16)</f>
        <v>16.539093226854369</v>
      </c>
      <c r="W17">
        <f t="shared" ref="W17:W80" si="39">V16*V$6*(1-V$12*$AA16)</f>
        <v>13.782047796482555</v>
      </c>
      <c r="X17">
        <f t="shared" ref="X17:X80" si="40">W16*W$6*(1-W$12*$AA16)</f>
        <v>11.520210266193819</v>
      </c>
      <c r="Y17">
        <f t="shared" ref="Y17:Y80" si="41">X16*X$6*(1-X$12*$AA16)+Y16*Y$6*(1-Y$12*$AA16)</f>
        <v>60.304632924995218</v>
      </c>
      <c r="Z17">
        <f t="shared" si="13"/>
        <v>37906.229360356279</v>
      </c>
      <c r="AA17">
        <f t="shared" si="14"/>
        <v>9.1341720150512895E-3</v>
      </c>
      <c r="AB17">
        <f t="shared" si="21"/>
        <v>6737.7801993112707</v>
      </c>
      <c r="AC17">
        <f t="shared" si="15"/>
        <v>52955.325237003701</v>
      </c>
      <c r="AD17">
        <f t="shared" si="16"/>
        <v>46017.976593326166</v>
      </c>
      <c r="AE17">
        <v>-0.1997800255148828</v>
      </c>
      <c r="AF17">
        <v>4.8456333537097128E-2</v>
      </c>
      <c r="AG17">
        <v>9</v>
      </c>
      <c r="AH17">
        <f t="shared" si="17"/>
        <v>420.33611398804516</v>
      </c>
      <c r="AI17">
        <f t="shared" si="22"/>
        <v>46.704012665338354</v>
      </c>
    </row>
    <row r="18" spans="1:35" x14ac:dyDescent="0.3">
      <c r="A18" t="s">
        <v>51</v>
      </c>
      <c r="B18" t="s">
        <v>53</v>
      </c>
      <c r="C18">
        <f>SUMPRODUCT(survshiphr,Weight,vul)</f>
        <v>18.840083329894998</v>
      </c>
      <c r="E18">
        <v>4</v>
      </c>
      <c r="F18">
        <f t="shared" si="18"/>
        <v>2686.8527252952053</v>
      </c>
      <c r="G18">
        <f t="shared" si="23"/>
        <v>1566.6377333059977</v>
      </c>
      <c r="H18">
        <f t="shared" si="24"/>
        <v>660.83061109892719</v>
      </c>
      <c r="I18">
        <f t="shared" si="25"/>
        <v>431.8715723370766</v>
      </c>
      <c r="J18">
        <f t="shared" si="26"/>
        <v>291.19353912343792</v>
      </c>
      <c r="K18">
        <f t="shared" si="27"/>
        <v>205.93988702790693</v>
      </c>
      <c r="L18">
        <f t="shared" si="28"/>
        <v>151.00677205675947</v>
      </c>
      <c r="M18">
        <f t="shared" si="29"/>
        <v>113.83021990525161</v>
      </c>
      <c r="N18">
        <f t="shared" si="30"/>
        <v>87.67419655598006</v>
      </c>
      <c r="O18">
        <f t="shared" si="31"/>
        <v>68.693736660700097</v>
      </c>
      <c r="P18">
        <f t="shared" si="32"/>
        <v>54.570126605668271</v>
      </c>
      <c r="Q18">
        <f t="shared" si="33"/>
        <v>43.840583998646913</v>
      </c>
      <c r="R18">
        <f t="shared" si="34"/>
        <v>35.547442256031644</v>
      </c>
      <c r="S18">
        <f t="shared" si="35"/>
        <v>29.043809193746064</v>
      </c>
      <c r="T18">
        <f t="shared" si="36"/>
        <v>23.880776103369246</v>
      </c>
      <c r="U18">
        <f t="shared" si="37"/>
        <v>19.739387034576808</v>
      </c>
      <c r="V18">
        <f t="shared" si="38"/>
        <v>16.388242450025221</v>
      </c>
      <c r="W18">
        <f t="shared" si="39"/>
        <v>13.656318386542267</v>
      </c>
      <c r="X18">
        <f t="shared" si="40"/>
        <v>11.41509932240335</v>
      </c>
      <c r="Y18">
        <f t="shared" si="41"/>
        <v>59.754290835088447</v>
      </c>
      <c r="Z18">
        <f t="shared" si="13"/>
        <v>37621.686056583858</v>
      </c>
      <c r="AA18">
        <f t="shared" si="14"/>
        <v>1.1385805381390668E-2</v>
      </c>
      <c r="AB18">
        <f t="shared" si="21"/>
        <v>6572.3670695533428</v>
      </c>
      <c r="AC18">
        <f t="shared" si="15"/>
        <v>53148.905384617392</v>
      </c>
      <c r="AD18">
        <f t="shared" si="16"/>
        <v>45807.537843408631</v>
      </c>
      <c r="AE18">
        <v>-0.20637286933144114</v>
      </c>
      <c r="AF18">
        <v>-0.31715455897502565</v>
      </c>
      <c r="AG18">
        <v>13</v>
      </c>
      <c r="AH18">
        <f t="shared" si="17"/>
        <v>521.55571088573868</v>
      </c>
      <c r="AI18">
        <f t="shared" si="22"/>
        <v>40.119670068133743</v>
      </c>
    </row>
    <row r="19" spans="1:35" x14ac:dyDescent="0.3">
      <c r="A19" t="s">
        <v>52</v>
      </c>
      <c r="B19" t="s">
        <v>54</v>
      </c>
      <c r="C19">
        <f>yprh*req*hr</f>
        <v>0</v>
      </c>
      <c r="E19">
        <v>5</v>
      </c>
      <c r="F19">
        <f t="shared" si="18"/>
        <v>2689.7537184230382</v>
      </c>
      <c r="G19">
        <f t="shared" si="23"/>
        <v>1301.4958351455605</v>
      </c>
      <c r="H19">
        <f t="shared" si="24"/>
        <v>899.14408018860956</v>
      </c>
      <c r="I19">
        <f t="shared" si="25"/>
        <v>416.68953736897021</v>
      </c>
      <c r="J19">
        <f t="shared" si="26"/>
        <v>289.73868450039083</v>
      </c>
      <c r="K19">
        <f t="shared" si="27"/>
        <v>204.36319829602542</v>
      </c>
      <c r="L19">
        <f t="shared" si="28"/>
        <v>149.56552987456928</v>
      </c>
      <c r="M19">
        <f t="shared" si="29"/>
        <v>112.63139503864763</v>
      </c>
      <c r="N19">
        <f t="shared" si="30"/>
        <v>86.712122280133329</v>
      </c>
      <c r="O19">
        <f t="shared" si="31"/>
        <v>67.926533009420453</v>
      </c>
      <c r="P19">
        <f t="shared" si="32"/>
        <v>53.955656527471533</v>
      </c>
      <c r="Q19">
        <f t="shared" si="33"/>
        <v>43.344885067450875</v>
      </c>
      <c r="R19">
        <f t="shared" si="34"/>
        <v>35.144602504727054</v>
      </c>
      <c r="S19">
        <f t="shared" si="35"/>
        <v>28.714235334636303</v>
      </c>
      <c r="T19">
        <f t="shared" si="36"/>
        <v>23.609566829341873</v>
      </c>
      <c r="U19">
        <f t="shared" si="37"/>
        <v>19.515090631684451</v>
      </c>
      <c r="V19">
        <f t="shared" si="38"/>
        <v>16.201957015225336</v>
      </c>
      <c r="W19">
        <f t="shared" si="39"/>
        <v>13.501047117020812</v>
      </c>
      <c r="X19">
        <f t="shared" si="40"/>
        <v>11.285286544269152</v>
      </c>
      <c r="Y19">
        <f t="shared" si="41"/>
        <v>59.074562882013844</v>
      </c>
      <c r="Z19">
        <f t="shared" si="13"/>
        <v>37149.4709212487</v>
      </c>
      <c r="AA19">
        <f t="shared" si="14"/>
        <v>2.3975751393004119E-2</v>
      </c>
      <c r="AB19">
        <f t="shared" si="21"/>
        <v>6522.3675245792074</v>
      </c>
      <c r="AC19">
        <f t="shared" si="15"/>
        <v>53302.813954869423</v>
      </c>
      <c r="AD19">
        <f t="shared" si="16"/>
        <v>45852.26987617134</v>
      </c>
      <c r="AE19">
        <v>-0.42472850322085487</v>
      </c>
      <c r="AF19">
        <v>0.88984750585615546</v>
      </c>
      <c r="AG19">
        <v>17</v>
      </c>
      <c r="AH19">
        <f t="shared" si="17"/>
        <v>1099.3426233560158</v>
      </c>
      <c r="AI19">
        <f t="shared" si="22"/>
        <v>64.667213138589162</v>
      </c>
    </row>
    <row r="20" spans="1:35" x14ac:dyDescent="0.3">
      <c r="A20" t="s">
        <v>64</v>
      </c>
      <c r="B20" t="s">
        <v>65</v>
      </c>
      <c r="C20">
        <v>1E-3</v>
      </c>
      <c r="E20">
        <v>6</v>
      </c>
      <c r="F20">
        <f t="shared" si="18"/>
        <v>2951.6369729812777</v>
      </c>
      <c r="G20">
        <f t="shared" ref="G20:P25" si="42">F19*F$6*(1-F$12*$AA19)</f>
        <v>1301.8873536722926</v>
      </c>
      <c r="H20">
        <f t="shared" si="42"/>
        <v>744.73055655418489</v>
      </c>
      <c r="I20">
        <f t="shared" si="42"/>
        <v>563.09573296559711</v>
      </c>
      <c r="J20">
        <f t="shared" si="42"/>
        <v>276.78087949252733</v>
      </c>
      <c r="K20">
        <f t="shared" si="42"/>
        <v>201.00955391265515</v>
      </c>
      <c r="L20">
        <f t="shared" si="42"/>
        <v>146.61916070059553</v>
      </c>
      <c r="M20">
        <f t="shared" si="42"/>
        <v>110.17033939007131</v>
      </c>
      <c r="N20">
        <f t="shared" si="42"/>
        <v>84.721343064410831</v>
      </c>
      <c r="O20">
        <f t="shared" si="42"/>
        <v>66.332886339346899</v>
      </c>
      <c r="P20">
        <f t="shared" si="42"/>
        <v>52.67743365526912</v>
      </c>
      <c r="Q20">
        <f t="shared" si="33"/>
        <v>42.313199649520506</v>
      </c>
      <c r="R20">
        <f t="shared" si="34"/>
        <v>34.306027559897132</v>
      </c>
      <c r="S20">
        <f t="shared" si="35"/>
        <v>28.028129932670467</v>
      </c>
      <c r="T20">
        <f t="shared" si="36"/>
        <v>23.044952404865757</v>
      </c>
      <c r="U20">
        <f t="shared" si="37"/>
        <v>19.04813898008921</v>
      </c>
      <c r="V20">
        <f t="shared" si="38"/>
        <v>15.814138921595299</v>
      </c>
      <c r="W20">
        <f t="shared" si="39"/>
        <v>13.177796777065167</v>
      </c>
      <c r="X20">
        <f t="shared" si="40"/>
        <v>11.015037669637371</v>
      </c>
      <c r="Y20">
        <f t="shared" ref="Y20:Y25" si="43">X19*X$6*(1-X$12*$AA19)+Y19*Y$6*(1-Y$12*$AA19)</f>
        <v>57.659502169394592</v>
      </c>
      <c r="Z20">
        <f t="shared" si="13"/>
        <v>37886.830878069391</v>
      </c>
      <c r="AA20">
        <f t="shared" si="14"/>
        <v>2.1685816932371593E-2</v>
      </c>
      <c r="AB20">
        <f t="shared" si="21"/>
        <v>6744.0691367929649</v>
      </c>
      <c r="AC20">
        <f t="shared" si="15"/>
        <v>53038.261988497681</v>
      </c>
      <c r="AD20">
        <f t="shared" si="16"/>
        <v>45571.543276399956</v>
      </c>
      <c r="AE20">
        <v>-0.43568443191439776</v>
      </c>
      <c r="AF20">
        <v>0.10769547071014619</v>
      </c>
      <c r="AG20">
        <v>21</v>
      </c>
      <c r="AH20">
        <f t="shared" si="17"/>
        <v>988.25614481765899</v>
      </c>
      <c r="AI20">
        <f t="shared" si="22"/>
        <v>47.05981641988852</v>
      </c>
    </row>
    <row r="21" spans="1:35" x14ac:dyDescent="0.3">
      <c r="A21" t="s">
        <v>66</v>
      </c>
      <c r="B21" t="s">
        <v>67</v>
      </c>
      <c r="C21">
        <v>0.4</v>
      </c>
      <c r="E21">
        <v>7</v>
      </c>
      <c r="F21">
        <f t="shared" si="18"/>
        <v>2981.9311031355946</v>
      </c>
      <c r="G21">
        <f t="shared" si="42"/>
        <v>1428.845712086357</v>
      </c>
      <c r="H21">
        <f t="shared" si="42"/>
        <v>745.36213683715368</v>
      </c>
      <c r="I21">
        <f t="shared" si="42"/>
        <v>466.97512078789413</v>
      </c>
      <c r="J21">
        <f t="shared" si="42"/>
        <v>374.71080191559179</v>
      </c>
      <c r="K21">
        <f t="shared" si="42"/>
        <v>192.42522186526671</v>
      </c>
      <c r="L21">
        <f t="shared" si="42"/>
        <v>144.53536068588045</v>
      </c>
      <c r="M21">
        <f t="shared" si="42"/>
        <v>108.24717803800274</v>
      </c>
      <c r="N21">
        <f t="shared" si="42"/>
        <v>83.061846223283666</v>
      </c>
      <c r="O21">
        <f t="shared" si="42"/>
        <v>64.960729603804808</v>
      </c>
      <c r="P21">
        <f t="shared" si="42"/>
        <v>51.561554008875738</v>
      </c>
      <c r="Q21">
        <f t="shared" si="33"/>
        <v>41.407322778935153</v>
      </c>
      <c r="R21">
        <f t="shared" si="34"/>
        <v>33.567821110856563</v>
      </c>
      <c r="S21">
        <f t="shared" si="35"/>
        <v>27.423400357233415</v>
      </c>
      <c r="T21">
        <f t="shared" si="36"/>
        <v>22.546987395023482</v>
      </c>
      <c r="U21">
        <f t="shared" si="37"/>
        <v>18.636163136050079</v>
      </c>
      <c r="V21">
        <f t="shared" si="38"/>
        <v>15.47190929263161</v>
      </c>
      <c r="W21">
        <f t="shared" si="39"/>
        <v>12.892508568719009</v>
      </c>
      <c r="X21">
        <f t="shared" si="40"/>
        <v>10.776506959398901</v>
      </c>
      <c r="Y21">
        <f t="shared" si="43"/>
        <v>56.410321732000355</v>
      </c>
      <c r="Z21">
        <f t="shared" si="13"/>
        <v>38163.63181814782</v>
      </c>
      <c r="AA21">
        <f t="shared" si="14"/>
        <v>2.6636842156039564E-2</v>
      </c>
      <c r="AB21">
        <f t="shared" si="21"/>
        <v>6881.7497065185544</v>
      </c>
      <c r="AC21">
        <f t="shared" si="15"/>
        <v>53078.779269582257</v>
      </c>
      <c r="AD21">
        <f t="shared" si="16"/>
        <v>45453.962134325899</v>
      </c>
      <c r="AE21">
        <v>0.25529271551390836</v>
      </c>
      <c r="AF21">
        <v>0.19222030331023393</v>
      </c>
      <c r="AG21">
        <v>25</v>
      </c>
      <c r="AH21">
        <f t="shared" si="17"/>
        <v>1210.7500147386381</v>
      </c>
      <c r="AI21">
        <f t="shared" si="22"/>
        <v>48.430000589545529</v>
      </c>
    </row>
    <row r="22" spans="1:35" x14ac:dyDescent="0.3">
      <c r="A22" t="s">
        <v>70</v>
      </c>
      <c r="B22" t="s">
        <v>71</v>
      </c>
      <c r="C22">
        <v>0.6</v>
      </c>
      <c r="E22">
        <v>8</v>
      </c>
      <c r="F22">
        <f t="shared" si="18"/>
        <v>2177.3222657575179</v>
      </c>
      <c r="G22">
        <f t="shared" si="42"/>
        <v>1443.0687270161163</v>
      </c>
      <c r="H22">
        <f t="shared" si="42"/>
        <v>817.08179807666158</v>
      </c>
      <c r="I22">
        <f t="shared" si="42"/>
        <v>466.11171153616641</v>
      </c>
      <c r="J22">
        <f t="shared" si="42"/>
        <v>309.5257681948579</v>
      </c>
      <c r="K22">
        <f t="shared" si="42"/>
        <v>259.32231202540584</v>
      </c>
      <c r="L22">
        <f t="shared" si="42"/>
        <v>137.69583990388227</v>
      </c>
      <c r="M22">
        <f t="shared" si="42"/>
        <v>106.18198751627777</v>
      </c>
      <c r="N22">
        <f t="shared" si="42"/>
        <v>81.204641718885597</v>
      </c>
      <c r="O22">
        <f t="shared" si="42"/>
        <v>63.368756759371927</v>
      </c>
      <c r="P22">
        <f t="shared" si="42"/>
        <v>50.24086687961185</v>
      </c>
      <c r="Q22">
        <f t="shared" si="33"/>
        <v>40.325889110197409</v>
      </c>
      <c r="R22">
        <f t="shared" si="34"/>
        <v>32.683425505399704</v>
      </c>
      <c r="S22">
        <f t="shared" si="35"/>
        <v>26.697813056030373</v>
      </c>
      <c r="T22">
        <f t="shared" si="36"/>
        <v>21.949083088146107</v>
      </c>
      <c r="U22">
        <f t="shared" si="37"/>
        <v>18.141333340565499</v>
      </c>
      <c r="V22">
        <f t="shared" si="38"/>
        <v>15.060776552500297</v>
      </c>
      <c r="W22">
        <f t="shared" si="39"/>
        <v>12.54974585021785</v>
      </c>
      <c r="X22">
        <f t="shared" si="40"/>
        <v>10.489903825166246</v>
      </c>
      <c r="Y22">
        <f t="shared" si="43"/>
        <v>54.909246758254397</v>
      </c>
      <c r="Z22">
        <f t="shared" si="13"/>
        <v>37838.451515618421</v>
      </c>
      <c r="AA22">
        <f t="shared" si="14"/>
        <v>2.1238522468367216E-2</v>
      </c>
      <c r="AB22">
        <f t="shared" si="21"/>
        <v>6143.9318924712315</v>
      </c>
      <c r="AC22">
        <f t="shared" si="15"/>
        <v>52682.141068244659</v>
      </c>
      <c r="AD22">
        <f t="shared" si="16"/>
        <v>45250.097523164666</v>
      </c>
      <c r="AE22">
        <v>0.31772833189577188</v>
      </c>
      <c r="AF22">
        <v>-0.75191187241719404</v>
      </c>
      <c r="AG22">
        <v>29</v>
      </c>
      <c r="AH22">
        <f t="shared" si="17"/>
        <v>961.04521294154051</v>
      </c>
      <c r="AI22">
        <f t="shared" si="22"/>
        <v>33.139490101432429</v>
      </c>
    </row>
    <row r="23" spans="1:35" x14ac:dyDescent="0.3">
      <c r="E23">
        <v>9</v>
      </c>
      <c r="F23">
        <f t="shared" si="18"/>
        <v>2109.3228898828452</v>
      </c>
      <c r="G23">
        <f t="shared" si="42"/>
        <v>1054.0400674232458</v>
      </c>
      <c r="H23">
        <f t="shared" si="42"/>
        <v>826.28014247965336</v>
      </c>
      <c r="I23">
        <f t="shared" si="42"/>
        <v>512.46690298926512</v>
      </c>
      <c r="J23">
        <f t="shared" si="42"/>
        <v>310.28317750552327</v>
      </c>
      <c r="K23">
        <f t="shared" si="42"/>
        <v>215.27884726408058</v>
      </c>
      <c r="L23">
        <f t="shared" si="42"/>
        <v>186.54619349092891</v>
      </c>
      <c r="M23">
        <f t="shared" si="42"/>
        <v>101.70453300884026</v>
      </c>
      <c r="N23">
        <f t="shared" si="42"/>
        <v>80.090958558820674</v>
      </c>
      <c r="O23">
        <f t="shared" si="42"/>
        <v>62.292495368626355</v>
      </c>
      <c r="P23">
        <f t="shared" si="42"/>
        <v>49.279884141242931</v>
      </c>
      <c r="Q23">
        <f t="shared" si="33"/>
        <v>39.51003275653143</v>
      </c>
      <c r="R23">
        <f t="shared" si="34"/>
        <v>32.005835126258901</v>
      </c>
      <c r="S23">
        <f t="shared" si="35"/>
        <v>26.138249489837637</v>
      </c>
      <c r="T23">
        <f t="shared" si="36"/>
        <v>21.486626530910399</v>
      </c>
      <c r="U23">
        <f t="shared" si="37"/>
        <v>17.758050212966474</v>
      </c>
      <c r="V23">
        <f t="shared" si="38"/>
        <v>14.742081783242188</v>
      </c>
      <c r="W23">
        <f t="shared" si="39"/>
        <v>12.283935575374764</v>
      </c>
      <c r="X23">
        <f t="shared" si="40"/>
        <v>10.267588359378452</v>
      </c>
      <c r="Y23">
        <f t="shared" si="43"/>
        <v>53.744405596961641</v>
      </c>
      <c r="Z23">
        <f t="shared" si="13"/>
        <v>38176.775172526417</v>
      </c>
      <c r="AA23">
        <f t="shared" si="14"/>
        <v>3.3500534462425957E-2</v>
      </c>
      <c r="AB23">
        <f t="shared" si="21"/>
        <v>5735.5228975445343</v>
      </c>
      <c r="AC23">
        <f t="shared" si="15"/>
        <v>52096.6971002758</v>
      </c>
      <c r="AD23">
        <f t="shared" si="16"/>
        <v>45253.313605643925</v>
      </c>
      <c r="AE23">
        <v>0.44806769117628403</v>
      </c>
      <c r="AF23">
        <v>8.0106800981120344E-2</v>
      </c>
      <c r="AG23">
        <v>33</v>
      </c>
      <c r="AH23">
        <f t="shared" si="17"/>
        <v>1516.0101919848437</v>
      </c>
      <c r="AI23">
        <f t="shared" si="22"/>
        <v>45.939702787419506</v>
      </c>
    </row>
    <row r="24" spans="1:35" x14ac:dyDescent="0.3">
      <c r="E24">
        <v>10</v>
      </c>
      <c r="F24">
        <f t="shared" si="18"/>
        <v>1983.0815414290648</v>
      </c>
      <c r="G24">
        <f t="shared" si="42"/>
        <v>1020.3473724634155</v>
      </c>
      <c r="H24">
        <f t="shared" si="42"/>
        <v>601.76113586181532</v>
      </c>
      <c r="I24">
        <f t="shared" si="42"/>
        <v>514.77820906577472</v>
      </c>
      <c r="J24">
        <f t="shared" si="42"/>
        <v>337.82036076332537</v>
      </c>
      <c r="K24">
        <f t="shared" si="42"/>
        <v>213.37269293435864</v>
      </c>
      <c r="L24">
        <f t="shared" si="42"/>
        <v>153.01499707940775</v>
      </c>
      <c r="M24">
        <f t="shared" si="42"/>
        <v>136.10249135205603</v>
      </c>
      <c r="N24">
        <f t="shared" si="42"/>
        <v>75.766032590439835</v>
      </c>
      <c r="O24">
        <f t="shared" si="42"/>
        <v>60.675094233708798</v>
      </c>
      <c r="P24">
        <f t="shared" si="42"/>
        <v>47.839465184424327</v>
      </c>
      <c r="Q24">
        <f t="shared" si="33"/>
        <v>38.270732367040829</v>
      </c>
      <c r="R24">
        <f t="shared" si="34"/>
        <v>30.966616052071014</v>
      </c>
      <c r="S24">
        <f t="shared" si="35"/>
        <v>25.276421180665615</v>
      </c>
      <c r="T24">
        <f t="shared" si="36"/>
        <v>20.773232368112637</v>
      </c>
      <c r="U24">
        <f t="shared" si="37"/>
        <v>17.16644856935342</v>
      </c>
      <c r="V24">
        <f t="shared" si="38"/>
        <v>14.250069823381104</v>
      </c>
      <c r="W24">
        <f t="shared" si="39"/>
        <v>11.873538932085248</v>
      </c>
      <c r="X24">
        <f t="shared" si="40"/>
        <v>9.9243385551055496</v>
      </c>
      <c r="Y24">
        <f t="shared" si="43"/>
        <v>51.946007808043234</v>
      </c>
      <c r="Z24">
        <f t="shared" si="13"/>
        <v>38293.924617302509</v>
      </c>
      <c r="AA24">
        <f t="shared" si="14"/>
        <v>3.6486630041150492E-2</v>
      </c>
      <c r="AB24">
        <f t="shared" si="21"/>
        <v>5365.0067986136492</v>
      </c>
      <c r="AC24">
        <f t="shared" si="15"/>
        <v>50589.663806595338</v>
      </c>
      <c r="AD24">
        <f t="shared" si="16"/>
        <v>44392.902266376979</v>
      </c>
      <c r="AE24">
        <v>0.12620380060867653</v>
      </c>
      <c r="AF24">
        <v>1.138718742864684E-2</v>
      </c>
      <c r="AG24">
        <v>37</v>
      </c>
      <c r="AH24">
        <f t="shared" si="17"/>
        <v>1619.747401446248</v>
      </c>
      <c r="AI24">
        <f t="shared" si="22"/>
        <v>43.776956795844541</v>
      </c>
    </row>
    <row r="25" spans="1:35" x14ac:dyDescent="0.3">
      <c r="E25">
        <v>11</v>
      </c>
      <c r="F25">
        <f t="shared" si="18"/>
        <v>2316.9392205657305</v>
      </c>
      <c r="G25">
        <f t="shared" si="42"/>
        <v>959.10310533110896</v>
      </c>
      <c r="H25">
        <f t="shared" si="42"/>
        <v>582.10914820721018</v>
      </c>
      <c r="I25">
        <f t="shared" si="42"/>
        <v>374.28806955687764</v>
      </c>
      <c r="J25">
        <f t="shared" si="42"/>
        <v>338.53165776563708</v>
      </c>
      <c r="K25">
        <f t="shared" si="42"/>
        <v>231.66414918961786</v>
      </c>
      <c r="L25">
        <f t="shared" si="42"/>
        <v>151.21408315112294</v>
      </c>
      <c r="M25">
        <f t="shared" si="42"/>
        <v>111.30208704528386</v>
      </c>
      <c r="N25">
        <f t="shared" si="42"/>
        <v>101.08237706923492</v>
      </c>
      <c r="O25">
        <f t="shared" si="42"/>
        <v>57.222832673730707</v>
      </c>
      <c r="P25">
        <f t="shared" si="42"/>
        <v>46.454193846861067</v>
      </c>
      <c r="Q25">
        <f t="shared" si="33"/>
        <v>37.037784451028095</v>
      </c>
      <c r="R25">
        <f t="shared" si="34"/>
        <v>29.902900536339942</v>
      </c>
      <c r="S25">
        <f t="shared" si="35"/>
        <v>24.380322576907563</v>
      </c>
      <c r="T25">
        <f t="shared" si="36"/>
        <v>20.026351487986425</v>
      </c>
      <c r="U25">
        <f t="shared" si="37"/>
        <v>16.545296289668034</v>
      </c>
      <c r="V25">
        <f t="shared" si="38"/>
        <v>13.732832237654369</v>
      </c>
      <c r="W25">
        <f t="shared" si="39"/>
        <v>11.441845505122282</v>
      </c>
      <c r="X25">
        <f t="shared" si="40"/>
        <v>9.5631678174708252</v>
      </c>
      <c r="Y25">
        <f t="shared" si="43"/>
        <v>50.053068560818666</v>
      </c>
      <c r="Z25">
        <f t="shared" si="13"/>
        <v>36806.971409367448</v>
      </c>
      <c r="AA25">
        <f t="shared" si="14"/>
        <v>4.2611263125014398E-2</v>
      </c>
      <c r="AB25">
        <f t="shared" si="21"/>
        <v>5482.594493865412</v>
      </c>
      <c r="AC25">
        <f t="shared" si="15"/>
        <v>48921.674260133113</v>
      </c>
      <c r="AD25">
        <f t="shared" si="16"/>
        <v>43022.460631181537</v>
      </c>
      <c r="AE25">
        <v>-0.50936828127536438</v>
      </c>
      <c r="AF25">
        <v>0.15060104731929025</v>
      </c>
      <c r="AG25">
        <v>41</v>
      </c>
      <c r="AH25">
        <f t="shared" si="17"/>
        <v>1833.2413902408496</v>
      </c>
      <c r="AI25">
        <f t="shared" si="22"/>
        <v>44.71320464002072</v>
      </c>
    </row>
    <row r="26" spans="1:35" x14ac:dyDescent="0.3">
      <c r="E26">
        <v>12</v>
      </c>
      <c r="F26">
        <f t="shared" si="18"/>
        <v>3052.6196947564122</v>
      </c>
      <c r="G26">
        <f t="shared" si="23"/>
        <v>1120.1461813828262</v>
      </c>
      <c r="H26">
        <f t="shared" si="24"/>
        <v>546.36621109192095</v>
      </c>
      <c r="I26">
        <f t="shared" si="25"/>
        <v>360.84803373154648</v>
      </c>
      <c r="J26">
        <f t="shared" si="26"/>
        <v>244.93024205385416</v>
      </c>
      <c r="K26">
        <f t="shared" si="27"/>
        <v>230.82608935224349</v>
      </c>
      <c r="L26">
        <f t="shared" si="28"/>
        <v>163.1836352520537</v>
      </c>
      <c r="M26">
        <f t="shared" si="29"/>
        <v>109.31039721824052</v>
      </c>
      <c r="N26">
        <f t="shared" si="30"/>
        <v>82.145277623479302</v>
      </c>
      <c r="O26">
        <f t="shared" si="31"/>
        <v>75.862136307444672</v>
      </c>
      <c r="P26">
        <f t="shared" si="32"/>
        <v>43.534187559224442</v>
      </c>
      <c r="Q26">
        <f t="shared" si="33"/>
        <v>35.737608686176955</v>
      </c>
      <c r="R26">
        <f t="shared" si="34"/>
        <v>28.756134753898341</v>
      </c>
      <c r="S26">
        <f t="shared" si="35"/>
        <v>23.393548704743335</v>
      </c>
      <c r="T26">
        <f t="shared" si="36"/>
        <v>19.193825121719783</v>
      </c>
      <c r="U26">
        <f t="shared" si="37"/>
        <v>15.849197022575828</v>
      </c>
      <c r="V26">
        <f t="shared" si="38"/>
        <v>13.151901264565563</v>
      </c>
      <c r="W26">
        <f t="shared" si="39"/>
        <v>10.956531043912022</v>
      </c>
      <c r="X26">
        <f t="shared" si="40"/>
        <v>9.1569575549193161</v>
      </c>
      <c r="Y26">
        <f t="shared" si="41"/>
        <v>47.923198496468586</v>
      </c>
      <c r="Z26">
        <f t="shared" si="13"/>
        <v>34666.301140810698</v>
      </c>
      <c r="AA26">
        <f t="shared" si="14"/>
        <v>5.1112432627701265E-2</v>
      </c>
      <c r="AB26">
        <f t="shared" si="21"/>
        <v>6233.8909889782281</v>
      </c>
      <c r="AC26">
        <f t="shared" si="15"/>
        <v>47549.040417471922</v>
      </c>
      <c r="AD26">
        <f t="shared" si="16"/>
        <v>41300.782614545293</v>
      </c>
      <c r="AE26">
        <v>-0.38813033571510464</v>
      </c>
      <c r="AF26">
        <v>0.3837076775982502</v>
      </c>
      <c r="AG26">
        <v>45</v>
      </c>
      <c r="AH26">
        <f t="shared" si="17"/>
        <v>2110.9834688572819</v>
      </c>
      <c r="AI26">
        <f t="shared" si="22"/>
        <v>46.910743752384043</v>
      </c>
    </row>
    <row r="27" spans="1:35" x14ac:dyDescent="0.3">
      <c r="E27">
        <v>13</v>
      </c>
      <c r="F27">
        <f t="shared" si="18"/>
        <v>2849.0354998319085</v>
      </c>
      <c r="G27">
        <f t="shared" si="23"/>
        <v>1475.0410336241382</v>
      </c>
      <c r="H27">
        <f t="shared" si="24"/>
        <v>636.80482614968628</v>
      </c>
      <c r="I27">
        <f t="shared" si="25"/>
        <v>337.10590514241659</v>
      </c>
      <c r="J27">
        <f t="shared" si="26"/>
        <v>234.51412311308437</v>
      </c>
      <c r="K27">
        <f t="shared" si="27"/>
        <v>165.67296573384465</v>
      </c>
      <c r="L27">
        <f t="shared" si="28"/>
        <v>161.21952009868747</v>
      </c>
      <c r="M27">
        <f t="shared" si="29"/>
        <v>116.94186294132493</v>
      </c>
      <c r="N27">
        <f t="shared" si="30"/>
        <v>79.969184832163492</v>
      </c>
      <c r="O27">
        <f t="shared" si="31"/>
        <v>61.107263957437731</v>
      </c>
      <c r="P27">
        <f t="shared" si="32"/>
        <v>57.205163177217138</v>
      </c>
      <c r="Q27">
        <f t="shared" si="33"/>
        <v>33.19505450460985</v>
      </c>
      <c r="R27">
        <f t="shared" si="34"/>
        <v>27.50105018880954</v>
      </c>
      <c r="S27">
        <f t="shared" si="35"/>
        <v>22.29712864345165</v>
      </c>
      <c r="T27">
        <f t="shared" si="36"/>
        <v>18.253748342479721</v>
      </c>
      <c r="U27">
        <f t="shared" si="37"/>
        <v>15.055652959342074</v>
      </c>
      <c r="V27">
        <f t="shared" si="38"/>
        <v>12.486853123269473</v>
      </c>
      <c r="W27">
        <f t="shared" si="39"/>
        <v>10.399982223066759</v>
      </c>
      <c r="X27">
        <f t="shared" si="40"/>
        <v>8.690780979367517</v>
      </c>
      <c r="Y27">
        <f t="shared" si="41"/>
        <v>45.477478224846394</v>
      </c>
      <c r="Z27">
        <f t="shared" si="13"/>
        <v>32371.336604263586</v>
      </c>
      <c r="AA27">
        <f t="shared" si="14"/>
        <v>4.7170697179163446E-2</v>
      </c>
      <c r="AB27">
        <f t="shared" si="21"/>
        <v>6367.9750777911513</v>
      </c>
      <c r="AC27">
        <f t="shared" si="15"/>
        <v>46486.619813575795</v>
      </c>
      <c r="AD27">
        <f t="shared" si="16"/>
        <v>39620.182644935223</v>
      </c>
      <c r="AE27">
        <v>-0.28944025950615265</v>
      </c>
      <c r="AF27">
        <v>-3.4962369203230585E-2</v>
      </c>
      <c r="AG27">
        <v>49</v>
      </c>
      <c r="AH27">
        <f t="shared" si="17"/>
        <v>1868.9116377273865</v>
      </c>
      <c r="AI27">
        <f t="shared" si="22"/>
        <v>38.141053831171156</v>
      </c>
    </row>
    <row r="28" spans="1:35" x14ac:dyDescent="0.3">
      <c r="E28">
        <v>14</v>
      </c>
      <c r="F28">
        <f t="shared" si="18"/>
        <v>2678.0136572523925</v>
      </c>
      <c r="G28">
        <f t="shared" si="23"/>
        <v>1377.0043085655705</v>
      </c>
      <c r="H28">
        <f t="shared" si="24"/>
        <v>839.35792646832294</v>
      </c>
      <c r="I28">
        <f t="shared" si="25"/>
        <v>393.76284888374744</v>
      </c>
      <c r="J28">
        <f t="shared" si="26"/>
        <v>219.78637947292125</v>
      </c>
      <c r="K28">
        <f t="shared" si="27"/>
        <v>159.21852126987898</v>
      </c>
      <c r="L28">
        <f t="shared" si="28"/>
        <v>116.17078089559634</v>
      </c>
      <c r="M28">
        <f t="shared" si="29"/>
        <v>116.00209915337025</v>
      </c>
      <c r="N28">
        <f t="shared" si="30"/>
        <v>85.902482664826834</v>
      </c>
      <c r="O28">
        <f t="shared" si="31"/>
        <v>59.733413611127837</v>
      </c>
      <c r="P28">
        <f t="shared" si="32"/>
        <v>46.269286901503484</v>
      </c>
      <c r="Q28">
        <f t="shared" si="33"/>
        <v>43.799695753185475</v>
      </c>
      <c r="R28">
        <f t="shared" si="34"/>
        <v>25.650274037081367</v>
      </c>
      <c r="S28">
        <f t="shared" si="35"/>
        <v>21.412322322079351</v>
      </c>
      <c r="T28">
        <f t="shared" si="36"/>
        <v>17.470357051388017</v>
      </c>
      <c r="U28">
        <f t="shared" si="37"/>
        <v>14.377639345631184</v>
      </c>
      <c r="V28">
        <f t="shared" si="38"/>
        <v>11.910862499745452</v>
      </c>
      <c r="W28">
        <f t="shared" si="39"/>
        <v>9.9150575598970683</v>
      </c>
      <c r="X28">
        <f t="shared" si="40"/>
        <v>8.2835545270121962</v>
      </c>
      <c r="Y28">
        <f t="shared" si="41"/>
        <v>43.336594428240062</v>
      </c>
      <c r="Z28">
        <f t="shared" si="13"/>
        <v>31207.38879088368</v>
      </c>
      <c r="AA28">
        <f t="shared" si="14"/>
        <v>4.5990082176991076E-2</v>
      </c>
      <c r="AB28">
        <f t="shared" si="21"/>
        <v>6287.378062663518</v>
      </c>
      <c r="AC28">
        <f t="shared" si="15"/>
        <v>45979.643318910596</v>
      </c>
      <c r="AD28">
        <f t="shared" si="16"/>
        <v>38779.746655403389</v>
      </c>
      <c r="AE28">
        <v>-0.48453347976932937</v>
      </c>
      <c r="AF28">
        <v>-0.29604474424407728</v>
      </c>
      <c r="AG28">
        <v>53</v>
      </c>
      <c r="AH28">
        <f t="shared" si="17"/>
        <v>1783.4837354848967</v>
      </c>
      <c r="AI28">
        <f t="shared" si="22"/>
        <v>33.650636518582957</v>
      </c>
    </row>
    <row r="29" spans="1:35" x14ac:dyDescent="0.3">
      <c r="E29">
        <v>15</v>
      </c>
      <c r="F29">
        <f t="shared" si="18"/>
        <v>2871.7926779379145</v>
      </c>
      <c r="G29">
        <f t="shared" si="23"/>
        <v>1294.4401678866589</v>
      </c>
      <c r="H29">
        <f t="shared" si="24"/>
        <v>783.79331252483644</v>
      </c>
      <c r="I29">
        <f t="shared" si="25"/>
        <v>519.34803213847852</v>
      </c>
      <c r="J29">
        <f t="shared" si="26"/>
        <v>256.97125412780855</v>
      </c>
      <c r="K29">
        <f t="shared" si="27"/>
        <v>149.38535226486613</v>
      </c>
      <c r="L29">
        <f t="shared" si="28"/>
        <v>111.77649012281542</v>
      </c>
      <c r="M29">
        <f t="shared" si="29"/>
        <v>83.689187873248798</v>
      </c>
      <c r="N29">
        <f t="shared" si="30"/>
        <v>85.316227387049551</v>
      </c>
      <c r="O29">
        <f t="shared" si="31"/>
        <v>64.244125637729326</v>
      </c>
      <c r="P29">
        <f t="shared" si="32"/>
        <v>45.284747040587973</v>
      </c>
      <c r="Q29">
        <f t="shared" si="33"/>
        <v>35.470249554568923</v>
      </c>
      <c r="R29">
        <f t="shared" si="34"/>
        <v>33.886433238711</v>
      </c>
      <c r="S29">
        <f t="shared" si="35"/>
        <v>19.995994630844315</v>
      </c>
      <c r="T29">
        <f t="shared" si="36"/>
        <v>16.797837218624615</v>
      </c>
      <c r="U29">
        <f t="shared" si="37"/>
        <v>13.777620986371108</v>
      </c>
      <c r="V29">
        <f t="shared" si="38"/>
        <v>11.388545192767067</v>
      </c>
      <c r="W29">
        <f t="shared" si="39"/>
        <v>9.4694027061912802</v>
      </c>
      <c r="X29">
        <f t="shared" si="40"/>
        <v>7.9070882265968354</v>
      </c>
      <c r="Y29">
        <f t="shared" si="41"/>
        <v>41.349133877353012</v>
      </c>
      <c r="Z29">
        <f t="shared" si="13"/>
        <v>31937.545548859664</v>
      </c>
      <c r="AA29">
        <f t="shared" si="14"/>
        <v>5.9945224423077481E-2</v>
      </c>
      <c r="AB29">
        <f t="shared" si="21"/>
        <v>6456.0838805740232</v>
      </c>
      <c r="AC29">
        <f t="shared" si="15"/>
        <v>45785.361781450345</v>
      </c>
      <c r="AD29">
        <f t="shared" si="16"/>
        <v>38481.592483517205</v>
      </c>
      <c r="AE29">
        <v>-2.2054045113470488E-2</v>
      </c>
      <c r="AF29">
        <v>0.20282324929367562</v>
      </c>
      <c r="AG29">
        <v>57</v>
      </c>
      <c r="AH29">
        <f t="shared" si="17"/>
        <v>2306.7876975818504</v>
      </c>
      <c r="AI29">
        <f t="shared" si="22"/>
        <v>40.469959606699128</v>
      </c>
    </row>
    <row r="30" spans="1:35" x14ac:dyDescent="0.3">
      <c r="E30">
        <v>16</v>
      </c>
      <c r="F30">
        <f t="shared" si="18"/>
        <v>2375.5098231550946</v>
      </c>
      <c r="G30">
        <f t="shared" si="23"/>
        <v>1386.9051958437356</v>
      </c>
      <c r="H30">
        <f t="shared" si="24"/>
        <v>734.32820979083181</v>
      </c>
      <c r="I30">
        <f t="shared" si="25"/>
        <v>481.23481447793682</v>
      </c>
      <c r="J30">
        <f t="shared" si="26"/>
        <v>335.09865783783141</v>
      </c>
      <c r="K30">
        <f t="shared" si="27"/>
        <v>172.36618820804421</v>
      </c>
      <c r="L30">
        <f t="shared" si="28"/>
        <v>103.41381034454592</v>
      </c>
      <c r="M30">
        <f t="shared" si="29"/>
        <v>79.37535251700325</v>
      </c>
      <c r="N30">
        <f t="shared" si="30"/>
        <v>60.663523581411404</v>
      </c>
      <c r="O30">
        <f t="shared" si="31"/>
        <v>62.880565851366327</v>
      </c>
      <c r="P30">
        <f t="shared" si="32"/>
        <v>47.99609762780166</v>
      </c>
      <c r="Q30">
        <f t="shared" si="33"/>
        <v>34.209770175795647</v>
      </c>
      <c r="R30">
        <f t="shared" si="34"/>
        <v>27.042009568452809</v>
      </c>
      <c r="S30">
        <f t="shared" si="35"/>
        <v>26.031094124115778</v>
      </c>
      <c r="T30">
        <f t="shared" si="36"/>
        <v>15.457712330592829</v>
      </c>
      <c r="U30">
        <f t="shared" si="37"/>
        <v>13.0537828359691</v>
      </c>
      <c r="V30">
        <f t="shared" si="38"/>
        <v>10.753850396742182</v>
      </c>
      <c r="W30">
        <f t="shared" si="39"/>
        <v>8.9218647804404903</v>
      </c>
      <c r="X30">
        <f t="shared" si="40"/>
        <v>7.441339708695903</v>
      </c>
      <c r="Y30">
        <f t="shared" si="41"/>
        <v>38.878936789357844</v>
      </c>
      <c r="Z30">
        <f t="shared" si="13"/>
        <v>32314.986618177936</v>
      </c>
      <c r="AA30">
        <f t="shared" si="14"/>
        <v>5.9607118995671726E-2</v>
      </c>
      <c r="AB30">
        <f t="shared" si="21"/>
        <v>6021.5625999457661</v>
      </c>
      <c r="AC30">
        <f t="shared" si="15"/>
        <v>45054.157563452784</v>
      </c>
      <c r="AD30">
        <f t="shared" si="16"/>
        <v>37897.57800936346</v>
      </c>
      <c r="AE30">
        <v>0.13852251907173796</v>
      </c>
      <c r="AF30">
        <v>1.86813600909457E-2</v>
      </c>
      <c r="AG30">
        <v>61</v>
      </c>
      <c r="AH30">
        <f t="shared" si="17"/>
        <v>2258.96544205188</v>
      </c>
      <c r="AI30">
        <f t="shared" si="22"/>
        <v>37.032220361506226</v>
      </c>
    </row>
    <row r="31" spans="1:35" x14ac:dyDescent="0.3">
      <c r="E31">
        <v>17</v>
      </c>
      <c r="F31">
        <f t="shared" si="18"/>
        <v>2216.726482272793</v>
      </c>
      <c r="G31">
        <f t="shared" si="23"/>
        <v>1147.2541133166039</v>
      </c>
      <c r="H31">
        <f t="shared" si="24"/>
        <v>786.84717388023364</v>
      </c>
      <c r="I31">
        <f t="shared" si="25"/>
        <v>450.9488761511605</v>
      </c>
      <c r="J31">
        <f t="shared" si="26"/>
        <v>310.59287002445109</v>
      </c>
      <c r="K31">
        <f t="shared" si="27"/>
        <v>224.84342075102947</v>
      </c>
      <c r="L31">
        <f t="shared" si="28"/>
        <v>119.36337098535816</v>
      </c>
      <c r="M31">
        <f t="shared" si="29"/>
        <v>73.462536390675439</v>
      </c>
      <c r="N31">
        <f t="shared" si="30"/>
        <v>57.55696062608429</v>
      </c>
      <c r="O31">
        <f t="shared" si="31"/>
        <v>44.726736061904333</v>
      </c>
      <c r="P31">
        <f t="shared" si="32"/>
        <v>46.994192824898036</v>
      </c>
      <c r="Q31">
        <f t="shared" si="33"/>
        <v>36.271010898809692</v>
      </c>
      <c r="R31">
        <f t="shared" si="34"/>
        <v>26.090389558874136</v>
      </c>
      <c r="S31">
        <f t="shared" si="35"/>
        <v>20.780755017889501</v>
      </c>
      <c r="T31">
        <f t="shared" si="36"/>
        <v>20.130311773242713</v>
      </c>
      <c r="U31">
        <f t="shared" si="37"/>
        <v>12.016670576189613</v>
      </c>
      <c r="V31">
        <f t="shared" si="38"/>
        <v>10.192532299487134</v>
      </c>
      <c r="W31">
        <f t="shared" si="39"/>
        <v>8.4276668651016582</v>
      </c>
      <c r="X31">
        <f t="shared" si="40"/>
        <v>7.0135869293312272</v>
      </c>
      <c r="Y31">
        <f t="shared" si="41"/>
        <v>36.574663401150943</v>
      </c>
      <c r="Z31">
        <f t="shared" si="13"/>
        <v>32151.18797265194</v>
      </c>
      <c r="AA31">
        <f t="shared" si="14"/>
        <v>6.3128449995004554E-2</v>
      </c>
      <c r="AB31">
        <f t="shared" si="21"/>
        <v>5656.8143206052682</v>
      </c>
      <c r="AC31">
        <f t="shared" si="15"/>
        <v>44150.41952934338</v>
      </c>
      <c r="AD31">
        <f t="shared" si="16"/>
        <v>37392.968069315124</v>
      </c>
      <c r="AE31">
        <v>0.12619087404986901</v>
      </c>
      <c r="AF31">
        <v>8.0291152205292701E-3</v>
      </c>
      <c r="AG31">
        <v>65</v>
      </c>
      <c r="AH31">
        <f t="shared" si="17"/>
        <v>2360.5601149285617</v>
      </c>
      <c r="AI31">
        <f t="shared" si="22"/>
        <v>36.316309460439413</v>
      </c>
    </row>
    <row r="32" spans="1:35" x14ac:dyDescent="0.3">
      <c r="E32">
        <v>18</v>
      </c>
      <c r="F32">
        <f t="shared" si="18"/>
        <v>2226.4435082234668</v>
      </c>
      <c r="G32">
        <f t="shared" si="23"/>
        <v>1070.3359235111275</v>
      </c>
      <c r="H32">
        <f t="shared" si="24"/>
        <v>650.33119511972882</v>
      </c>
      <c r="I32">
        <f t="shared" si="25"/>
        <v>482.25501693704229</v>
      </c>
      <c r="J32">
        <f t="shared" si="26"/>
        <v>290.20692686116655</v>
      </c>
      <c r="K32">
        <f t="shared" si="27"/>
        <v>207.70123109899703</v>
      </c>
      <c r="L32">
        <f t="shared" si="28"/>
        <v>155.14949144930634</v>
      </c>
      <c r="M32">
        <f t="shared" si="29"/>
        <v>84.483305459717954</v>
      </c>
      <c r="N32">
        <f t="shared" si="30"/>
        <v>53.072861620917735</v>
      </c>
      <c r="O32">
        <f t="shared" si="31"/>
        <v>42.27880839123204</v>
      </c>
      <c r="P32">
        <f t="shared" si="32"/>
        <v>33.302385312727949</v>
      </c>
      <c r="Q32">
        <f t="shared" si="33"/>
        <v>35.381435689360849</v>
      </c>
      <c r="R32">
        <f t="shared" si="34"/>
        <v>27.559151390565511</v>
      </c>
      <c r="S32">
        <f t="shared" si="35"/>
        <v>19.974576018076043</v>
      </c>
      <c r="T32">
        <f t="shared" si="36"/>
        <v>16.01007217032716</v>
      </c>
      <c r="U32">
        <f t="shared" si="37"/>
        <v>15.590598872056368</v>
      </c>
      <c r="V32">
        <f t="shared" si="38"/>
        <v>9.3476588221787509</v>
      </c>
      <c r="W32">
        <f t="shared" si="39"/>
        <v>7.9578944170647787</v>
      </c>
      <c r="X32">
        <f t="shared" si="40"/>
        <v>6.6003110926709656</v>
      </c>
      <c r="Y32">
        <f t="shared" si="41"/>
        <v>34.288668661143781</v>
      </c>
      <c r="Z32">
        <f t="shared" si="13"/>
        <v>32087.671172847913</v>
      </c>
      <c r="AA32">
        <f t="shared" si="14"/>
        <v>7.6097723386821858E-2</v>
      </c>
      <c r="AB32">
        <f t="shared" si="21"/>
        <v>5468.2710211188742</v>
      </c>
      <c r="AC32">
        <f t="shared" si="15"/>
        <v>42956.06617649331</v>
      </c>
      <c r="AD32">
        <f t="shared" si="16"/>
        <v>36627.76385873228</v>
      </c>
      <c r="AE32">
        <v>0.25754381897946027</v>
      </c>
      <c r="AF32">
        <v>0.34306330281047109</v>
      </c>
      <c r="AG32">
        <v>69</v>
      </c>
      <c r="AH32">
        <f t="shared" si="17"/>
        <v>2787.2894423996399</v>
      </c>
      <c r="AI32">
        <f t="shared" si="22"/>
        <v>40.395499165212172</v>
      </c>
    </row>
    <row r="33" spans="5:35" x14ac:dyDescent="0.3">
      <c r="E33">
        <v>19</v>
      </c>
      <c r="F33">
        <f t="shared" si="18"/>
        <v>2095.4499213159029</v>
      </c>
      <c r="G33">
        <f t="shared" si="23"/>
        <v>1074.163367410584</v>
      </c>
      <c r="H33">
        <f t="shared" si="24"/>
        <v>604.83177227895692</v>
      </c>
      <c r="I33">
        <f t="shared" si="25"/>
        <v>395.70651947596627</v>
      </c>
      <c r="J33">
        <f t="shared" si="26"/>
        <v>307.04870101143945</v>
      </c>
      <c r="K33">
        <f t="shared" si="27"/>
        <v>191.66186739754016</v>
      </c>
      <c r="L33">
        <f t="shared" si="28"/>
        <v>141.43494034012227</v>
      </c>
      <c r="M33">
        <f t="shared" si="29"/>
        <v>108.33094944003325</v>
      </c>
      <c r="N33">
        <f t="shared" si="30"/>
        <v>60.202182994767441</v>
      </c>
      <c r="O33">
        <f t="shared" si="31"/>
        <v>38.450153780374798</v>
      </c>
      <c r="P33">
        <f t="shared" si="32"/>
        <v>31.046531128142249</v>
      </c>
      <c r="Q33">
        <f t="shared" si="33"/>
        <v>24.727379936166358</v>
      </c>
      <c r="R33">
        <f t="shared" si="34"/>
        <v>26.512248988507015</v>
      </c>
      <c r="S33">
        <f t="shared" si="35"/>
        <v>20.807675002608509</v>
      </c>
      <c r="T33">
        <f t="shared" si="36"/>
        <v>15.176352580739255</v>
      </c>
      <c r="U33">
        <f t="shared" si="37"/>
        <v>12.228170420639165</v>
      </c>
      <c r="V33">
        <f t="shared" si="38"/>
        <v>11.960132095268769</v>
      </c>
      <c r="W33">
        <f t="shared" si="39"/>
        <v>7.1973458140823494</v>
      </c>
      <c r="X33">
        <f t="shared" si="40"/>
        <v>6.146216823712928</v>
      </c>
      <c r="Y33">
        <f t="shared" si="41"/>
        <v>31.720399080505938</v>
      </c>
      <c r="Z33">
        <f t="shared" si="13"/>
        <v>30875.772147504736</v>
      </c>
      <c r="AA33">
        <f t="shared" si="14"/>
        <v>7.1790556323195309E-2</v>
      </c>
      <c r="AB33">
        <f t="shared" si="21"/>
        <v>5204.802827316058</v>
      </c>
      <c r="AC33">
        <f t="shared" si="15"/>
        <v>41216.535446007059</v>
      </c>
      <c r="AD33">
        <f t="shared" si="16"/>
        <v>35231.888358849763</v>
      </c>
      <c r="AE33">
        <v>-6.2909369355265464E-3</v>
      </c>
      <c r="AF33">
        <v>5.077800299022147E-2</v>
      </c>
      <c r="AG33">
        <v>73</v>
      </c>
      <c r="AH33">
        <f t="shared" si="17"/>
        <v>2529.3168655985332</v>
      </c>
      <c r="AI33">
        <f t="shared" si="22"/>
        <v>34.648176241075795</v>
      </c>
    </row>
    <row r="34" spans="5:35" x14ac:dyDescent="0.3">
      <c r="E34">
        <v>20</v>
      </c>
      <c r="F34">
        <f t="shared" si="18"/>
        <v>2338.0723568767889</v>
      </c>
      <c r="G34">
        <f t="shared" si="23"/>
        <v>1011.2347624634136</v>
      </c>
      <c r="H34">
        <f t="shared" si="24"/>
        <v>607.62708494823403</v>
      </c>
      <c r="I34">
        <f t="shared" si="25"/>
        <v>368.91059812426744</v>
      </c>
      <c r="J34">
        <f t="shared" si="26"/>
        <v>252.84450495724911</v>
      </c>
      <c r="K34">
        <f t="shared" si="27"/>
        <v>203.63039870355979</v>
      </c>
      <c r="L34">
        <f t="shared" si="28"/>
        <v>131.09081592919244</v>
      </c>
      <c r="M34">
        <f t="shared" si="29"/>
        <v>99.20337224158547</v>
      </c>
      <c r="N34">
        <f t="shared" si="30"/>
        <v>77.550407248222399</v>
      </c>
      <c r="O34">
        <f t="shared" si="31"/>
        <v>43.816675665837536</v>
      </c>
      <c r="P34">
        <f t="shared" si="32"/>
        <v>28.365877891511371</v>
      </c>
      <c r="Q34">
        <f t="shared" si="33"/>
        <v>23.159396357733421</v>
      </c>
      <c r="R34">
        <f t="shared" si="34"/>
        <v>18.614990246586622</v>
      </c>
      <c r="S34">
        <f t="shared" si="35"/>
        <v>20.110334546818578</v>
      </c>
      <c r="T34">
        <f t="shared" si="36"/>
        <v>15.882883689054772</v>
      </c>
      <c r="U34">
        <f t="shared" si="37"/>
        <v>11.64534137822937</v>
      </c>
      <c r="V34">
        <f t="shared" si="38"/>
        <v>9.4243576512883411</v>
      </c>
      <c r="W34">
        <f t="shared" si="39"/>
        <v>9.2517297896512787</v>
      </c>
      <c r="X34">
        <f t="shared" si="40"/>
        <v>5.5846991565495072</v>
      </c>
      <c r="Y34">
        <f t="shared" si="41"/>
        <v>29.512503873385263</v>
      </c>
      <c r="Z34">
        <f t="shared" si="13"/>
        <v>29402.404476156975</v>
      </c>
      <c r="AA34">
        <f t="shared" si="14"/>
        <v>6.0703322239053614E-2</v>
      </c>
      <c r="AB34">
        <f t="shared" si="21"/>
        <v>5305.5330917391575</v>
      </c>
      <c r="AC34">
        <f t="shared" si="15"/>
        <v>39790.98976740877</v>
      </c>
      <c r="AD34">
        <f t="shared" si="16"/>
        <v>33931.933756395498</v>
      </c>
      <c r="AE34">
        <v>-0.32145129408343509</v>
      </c>
      <c r="AF34">
        <v>-0.51664611185047138</v>
      </c>
      <c r="AG34">
        <v>77</v>
      </c>
      <c r="AH34">
        <f t="shared" si="17"/>
        <v>2059.7811090086971</v>
      </c>
      <c r="AI34">
        <f t="shared" si="22"/>
        <v>26.750404013099963</v>
      </c>
    </row>
    <row r="35" spans="5:35" x14ac:dyDescent="0.3">
      <c r="E35">
        <v>21</v>
      </c>
      <c r="F35">
        <f t="shared" si="18"/>
        <v>2636.1317049806362</v>
      </c>
      <c r="G35">
        <f t="shared" si="23"/>
        <v>1129.096940250967</v>
      </c>
      <c r="H35">
        <f t="shared" si="24"/>
        <v>573.56266755763738</v>
      </c>
      <c r="I35">
        <f t="shared" si="25"/>
        <v>372.91475186614218</v>
      </c>
      <c r="J35">
        <f t="shared" si="26"/>
        <v>237.88419872635703</v>
      </c>
      <c r="K35">
        <f t="shared" si="27"/>
        <v>169.47555575694506</v>
      </c>
      <c r="L35">
        <f t="shared" si="28"/>
        <v>140.85752275997433</v>
      </c>
      <c r="M35">
        <f t="shared" si="29"/>
        <v>93.017798121003437</v>
      </c>
      <c r="N35">
        <f t="shared" si="30"/>
        <v>71.852093744204893</v>
      </c>
      <c r="O35">
        <f t="shared" si="31"/>
        <v>57.111246884777088</v>
      </c>
      <c r="P35">
        <f t="shared" si="32"/>
        <v>32.708726261061265</v>
      </c>
      <c r="Q35">
        <f t="shared" si="33"/>
        <v>21.41142282834754</v>
      </c>
      <c r="R35">
        <f t="shared" si="34"/>
        <v>17.642196938589215</v>
      </c>
      <c r="S35">
        <f t="shared" si="35"/>
        <v>14.288276517242046</v>
      </c>
      <c r="T35">
        <f t="shared" si="36"/>
        <v>15.533589067315427</v>
      </c>
      <c r="U35">
        <f t="shared" si="37"/>
        <v>12.332824879361601</v>
      </c>
      <c r="V35">
        <f t="shared" si="38"/>
        <v>9.0822216018260153</v>
      </c>
      <c r="W35">
        <f t="shared" si="39"/>
        <v>7.3771599484047226</v>
      </c>
      <c r="X35">
        <f t="shared" si="40"/>
        <v>7.2644291699171442</v>
      </c>
      <c r="Y35">
        <f t="shared" si="41"/>
        <v>27.680700562908715</v>
      </c>
      <c r="Z35">
        <f t="shared" si="13"/>
        <v>28435.132495527709</v>
      </c>
      <c r="AA35">
        <f t="shared" si="14"/>
        <v>9.0335084083768447E-2</v>
      </c>
      <c r="AB35">
        <f t="shared" si="21"/>
        <v>5647.2260284236163</v>
      </c>
      <c r="AC35">
        <f t="shared" si="15"/>
        <v>39116.030951709436</v>
      </c>
      <c r="AD35">
        <f t="shared" si="16"/>
        <v>33049.786406335807</v>
      </c>
      <c r="AE35">
        <v>-0.39827745865337644</v>
      </c>
      <c r="AF35">
        <v>0.39010691884801257</v>
      </c>
      <c r="AG35">
        <v>81</v>
      </c>
      <c r="AH35">
        <f t="shared" si="17"/>
        <v>2985.5552339669325</v>
      </c>
      <c r="AI35">
        <f t="shared" si="22"/>
        <v>36.858706592184355</v>
      </c>
    </row>
    <row r="36" spans="5:35" x14ac:dyDescent="0.3">
      <c r="E36">
        <v>22</v>
      </c>
      <c r="F36">
        <f t="shared" si="18"/>
        <v>2690.2605474266074</v>
      </c>
      <c r="G36">
        <f t="shared" si="23"/>
        <v>1270.6968288838027</v>
      </c>
      <c r="H36">
        <f t="shared" si="24"/>
        <v>635.83921933417582</v>
      </c>
      <c r="I36">
        <f t="shared" si="25"/>
        <v>346.20831888405138</v>
      </c>
      <c r="J36">
        <f t="shared" si="26"/>
        <v>234.62672276330568</v>
      </c>
      <c r="K36">
        <f t="shared" si="27"/>
        <v>154.94053438390361</v>
      </c>
      <c r="L36">
        <f t="shared" si="28"/>
        <v>113.71577670089253</v>
      </c>
      <c r="M36">
        <f t="shared" si="29"/>
        <v>96.875596375394679</v>
      </c>
      <c r="N36">
        <f t="shared" si="30"/>
        <v>65.277444852133172</v>
      </c>
      <c r="O36">
        <f t="shared" si="31"/>
        <v>51.260430858821096</v>
      </c>
      <c r="P36">
        <f t="shared" si="32"/>
        <v>41.29603404637173</v>
      </c>
      <c r="Q36">
        <f t="shared" si="33"/>
        <v>23.913913205144766</v>
      </c>
      <c r="R36">
        <f t="shared" si="34"/>
        <v>15.79768607396842</v>
      </c>
      <c r="S36">
        <f t="shared" si="35"/>
        <v>13.115426996796225</v>
      </c>
      <c r="T36">
        <f t="shared" si="36"/>
        <v>10.689035722185668</v>
      </c>
      <c r="U36">
        <f t="shared" si="37"/>
        <v>11.681715285093398</v>
      </c>
      <c r="V36">
        <f t="shared" si="38"/>
        <v>9.3153838553896708</v>
      </c>
      <c r="W36">
        <f t="shared" si="39"/>
        <v>6.8853408938118434</v>
      </c>
      <c r="X36">
        <f t="shared" si="40"/>
        <v>5.6099870109051535</v>
      </c>
      <c r="Y36">
        <f t="shared" si="41"/>
        <v>26.68927845865835</v>
      </c>
      <c r="Z36">
        <f t="shared" si="13"/>
        <v>26728.23526323897</v>
      </c>
      <c r="AA36">
        <f t="shared" si="14"/>
        <v>8.4109544045105178E-2</v>
      </c>
      <c r="AB36">
        <f t="shared" si="21"/>
        <v>5824.6952220114126</v>
      </c>
      <c r="AC36">
        <f t="shared" si="15"/>
        <v>37929.839641751147</v>
      </c>
      <c r="AD36">
        <f t="shared" si="16"/>
        <v>31533.355201447917</v>
      </c>
      <c r="AE36">
        <v>-0.24856128111798273</v>
      </c>
      <c r="AF36">
        <v>8.2691087048726367E-2</v>
      </c>
      <c r="AG36">
        <v>85</v>
      </c>
      <c r="AH36">
        <f t="shared" si="17"/>
        <v>2652.2561282061301</v>
      </c>
      <c r="AI36">
        <f t="shared" si="22"/>
        <v>31.203013273013294</v>
      </c>
    </row>
    <row r="37" spans="5:35" x14ac:dyDescent="0.3">
      <c r="E37">
        <v>23</v>
      </c>
      <c r="F37">
        <f t="shared" si="18"/>
        <v>2481.8717419634786</v>
      </c>
      <c r="G37">
        <f t="shared" si="23"/>
        <v>1297.2899580278943</v>
      </c>
      <c r="H37">
        <f t="shared" si="24"/>
        <v>716.66116623050482</v>
      </c>
      <c r="I37">
        <f t="shared" si="25"/>
        <v>385.15002997324729</v>
      </c>
      <c r="J37">
        <f t="shared" si="26"/>
        <v>218.96283264663356</v>
      </c>
      <c r="K37">
        <f t="shared" si="27"/>
        <v>153.75289208632395</v>
      </c>
      <c r="L37">
        <f t="shared" si="28"/>
        <v>104.63827871035268</v>
      </c>
      <c r="M37">
        <f t="shared" si="29"/>
        <v>78.729809839830907</v>
      </c>
      <c r="N37">
        <f t="shared" si="30"/>
        <v>68.443043272232345</v>
      </c>
      <c r="O37">
        <f t="shared" si="31"/>
        <v>46.885740881570847</v>
      </c>
      <c r="P37">
        <f t="shared" si="32"/>
        <v>37.317537778602372</v>
      </c>
      <c r="Q37">
        <f t="shared" si="33"/>
        <v>30.397980046720463</v>
      </c>
      <c r="R37">
        <f t="shared" si="34"/>
        <v>17.764428406274018</v>
      </c>
      <c r="S37">
        <f t="shared" si="35"/>
        <v>11.82436954955376</v>
      </c>
      <c r="T37">
        <f t="shared" si="36"/>
        <v>9.8786427109160542</v>
      </c>
      <c r="U37">
        <f t="shared" si="37"/>
        <v>8.0933902137979192</v>
      </c>
      <c r="V37">
        <f t="shared" si="38"/>
        <v>8.8838795115733991</v>
      </c>
      <c r="W37">
        <f t="shared" si="39"/>
        <v>7.1103745610041154</v>
      </c>
      <c r="X37">
        <f t="shared" si="40"/>
        <v>5.2717749715919116</v>
      </c>
      <c r="Y37">
        <f t="shared" si="41"/>
        <v>24.839021015299167</v>
      </c>
      <c r="Z37">
        <f t="shared" si="13"/>
        <v>25898.227846077549</v>
      </c>
      <c r="AA37">
        <f t="shared" si="14"/>
        <v>8.636686032911689E-2</v>
      </c>
      <c r="AB37">
        <f t="shared" si="21"/>
        <v>5713.7668923974034</v>
      </c>
      <c r="AC37">
        <f t="shared" si="15"/>
        <v>37305.935396368492</v>
      </c>
      <c r="AD37">
        <f t="shared" si="16"/>
        <v>30706.041210427979</v>
      </c>
      <c r="AE37">
        <v>0.43614113468562343</v>
      </c>
      <c r="AF37">
        <v>3.6977068569689693E-2</v>
      </c>
      <c r="AG37">
        <v>89</v>
      </c>
      <c r="AH37">
        <f t="shared" si="17"/>
        <v>2651.9843724811403</v>
      </c>
      <c r="AI37">
        <f t="shared" si="22"/>
        <v>29.797577218889217</v>
      </c>
    </row>
    <row r="38" spans="5:35" x14ac:dyDescent="0.3">
      <c r="E38">
        <v>24</v>
      </c>
      <c r="F38">
        <f t="shared" si="18"/>
        <v>1834.8638509636858</v>
      </c>
      <c r="G38">
        <f t="shared" si="23"/>
        <v>1196.6335824304972</v>
      </c>
      <c r="H38">
        <f t="shared" si="24"/>
        <v>731.2591180726713</v>
      </c>
      <c r="I38">
        <f t="shared" si="25"/>
        <v>433.5546047372822</v>
      </c>
      <c r="J38">
        <f t="shared" si="26"/>
        <v>243.13245823879495</v>
      </c>
      <c r="K38">
        <f t="shared" si="27"/>
        <v>143.17214770208571</v>
      </c>
      <c r="L38">
        <f t="shared" si="28"/>
        <v>103.5932299686923</v>
      </c>
      <c r="M38">
        <f t="shared" si="29"/>
        <v>72.271242457038923</v>
      </c>
      <c r="N38">
        <f t="shared" si="30"/>
        <v>55.487915991889039</v>
      </c>
      <c r="O38">
        <f t="shared" si="31"/>
        <v>49.039395307200138</v>
      </c>
      <c r="P38">
        <f t="shared" si="32"/>
        <v>34.04915540002748</v>
      </c>
      <c r="Q38">
        <f t="shared" si="33"/>
        <v>27.402000245006889</v>
      </c>
      <c r="R38">
        <f t="shared" si="34"/>
        <v>22.52563472881274</v>
      </c>
      <c r="S38">
        <f t="shared" si="35"/>
        <v>13.26376180959079</v>
      </c>
      <c r="T38">
        <f t="shared" si="36"/>
        <v>8.8843014987582336</v>
      </c>
      <c r="U38">
        <f t="shared" si="37"/>
        <v>7.4613828480495012</v>
      </c>
      <c r="V38">
        <f t="shared" si="38"/>
        <v>6.1398302269947553</v>
      </c>
      <c r="W38">
        <f t="shared" si="39"/>
        <v>6.7643183111404666</v>
      </c>
      <c r="X38">
        <f t="shared" si="40"/>
        <v>5.430669932477814</v>
      </c>
      <c r="Y38">
        <f t="shared" si="41"/>
        <v>23.098941633546342</v>
      </c>
      <c r="Z38">
        <f t="shared" si="13"/>
        <v>25910.793992917712</v>
      </c>
      <c r="AA38">
        <f t="shared" si="14"/>
        <v>8.3583681734270776E-2</v>
      </c>
      <c r="AB38">
        <f t="shared" si="21"/>
        <v>5018.02754250424</v>
      </c>
      <c r="AC38">
        <f t="shared" si="15"/>
        <v>36472.590576585011</v>
      </c>
      <c r="AD38">
        <f t="shared" si="16"/>
        <v>30173.887928425327</v>
      </c>
      <c r="AE38">
        <v>5.1361424510655757E-2</v>
      </c>
      <c r="AF38">
        <v>-0.15856586716717821</v>
      </c>
      <c r="AG38">
        <v>93</v>
      </c>
      <c r="AH38">
        <f t="shared" si="17"/>
        <v>2522.0446452950573</v>
      </c>
      <c r="AI38">
        <f t="shared" si="22"/>
        <v>27.118759626828574</v>
      </c>
    </row>
    <row r="39" spans="5:35" x14ac:dyDescent="0.3">
      <c r="E39">
        <v>25</v>
      </c>
      <c r="F39">
        <f t="shared" si="18"/>
        <v>2171.2109261365354</v>
      </c>
      <c r="G39">
        <f t="shared" si="23"/>
        <v>884.83182601072349</v>
      </c>
      <c r="H39">
        <f t="shared" si="24"/>
        <v>674.97620903341442</v>
      </c>
      <c r="I39">
        <f t="shared" si="25"/>
        <v>443.08043347480549</v>
      </c>
      <c r="J39">
        <f t="shared" si="26"/>
        <v>274.32632625067367</v>
      </c>
      <c r="K39">
        <f t="shared" si="27"/>
        <v>159.40853039911511</v>
      </c>
      <c r="L39">
        <f t="shared" si="28"/>
        <v>96.743269613192652</v>
      </c>
      <c r="M39">
        <f t="shared" si="29"/>
        <v>71.76168021639316</v>
      </c>
      <c r="N39">
        <f t="shared" si="30"/>
        <v>51.088836627086934</v>
      </c>
      <c r="O39">
        <f t="shared" si="31"/>
        <v>39.877051922904037</v>
      </c>
      <c r="P39">
        <f t="shared" si="32"/>
        <v>35.720999410831475</v>
      </c>
      <c r="Q39">
        <f t="shared" si="33"/>
        <v>25.077886785590231</v>
      </c>
      <c r="R39">
        <f t="shared" si="34"/>
        <v>20.36720071504168</v>
      </c>
      <c r="S39">
        <f t="shared" si="35"/>
        <v>16.86981100489642</v>
      </c>
      <c r="T39">
        <f t="shared" si="36"/>
        <v>9.9960942324761337</v>
      </c>
      <c r="U39">
        <f t="shared" si="37"/>
        <v>6.7307600123358347</v>
      </c>
      <c r="V39">
        <f t="shared" si="38"/>
        <v>5.6775934650621807</v>
      </c>
      <c r="W39">
        <f t="shared" si="39"/>
        <v>4.6891816310742547</v>
      </c>
      <c r="X39">
        <f t="shared" si="40"/>
        <v>5.1820840706892524</v>
      </c>
      <c r="Y39">
        <f t="shared" si="41"/>
        <v>21.951840319730902</v>
      </c>
      <c r="Z39">
        <f t="shared" si="13"/>
        <v>26309.503893739395</v>
      </c>
      <c r="AA39">
        <f t="shared" si="14"/>
        <v>8.7414548092057287E-2</v>
      </c>
      <c r="AB39">
        <f t="shared" si="21"/>
        <v>5019.5685413325727</v>
      </c>
      <c r="AC39">
        <f t="shared" si="15"/>
        <v>35576.20354125664</v>
      </c>
      <c r="AD39">
        <f t="shared" si="16"/>
        <v>29732.171228125157</v>
      </c>
      <c r="AE39">
        <v>0.13316475598996338</v>
      </c>
      <c r="AF39">
        <v>-0.14665274341389054</v>
      </c>
      <c r="AG39">
        <v>97</v>
      </c>
      <c r="AH39">
        <f t="shared" si="17"/>
        <v>2599.0243117022283</v>
      </c>
      <c r="AI39">
        <f t="shared" si="22"/>
        <v>26.794065069095137</v>
      </c>
    </row>
    <row r="40" spans="5:35" x14ac:dyDescent="0.3">
      <c r="E40">
        <v>26</v>
      </c>
      <c r="F40">
        <f t="shared" si="18"/>
        <v>2105.8939089480555</v>
      </c>
      <c r="G40">
        <f t="shared" si="23"/>
        <v>1046.7804858914792</v>
      </c>
      <c r="H40">
        <f t="shared" si="24"/>
        <v>498.63712617954985</v>
      </c>
      <c r="I40">
        <f t="shared" si="25"/>
        <v>408.09534073510315</v>
      </c>
      <c r="J40">
        <f t="shared" si="26"/>
        <v>279.45669023998744</v>
      </c>
      <c r="K40">
        <f t="shared" si="27"/>
        <v>179.18861685257934</v>
      </c>
      <c r="L40">
        <f t="shared" si="28"/>
        <v>107.28687500758673</v>
      </c>
      <c r="M40">
        <f t="shared" si="29"/>
        <v>66.743734168714724</v>
      </c>
      <c r="N40">
        <f t="shared" si="30"/>
        <v>50.519721727296378</v>
      </c>
      <c r="O40">
        <f t="shared" si="31"/>
        <v>36.563527803391096</v>
      </c>
      <c r="P40">
        <f t="shared" si="32"/>
        <v>28.926330160600596</v>
      </c>
      <c r="Q40">
        <f t="shared" si="33"/>
        <v>26.199724390311175</v>
      </c>
      <c r="R40">
        <f t="shared" si="34"/>
        <v>18.562075530132297</v>
      </c>
      <c r="S40">
        <f t="shared" si="35"/>
        <v>15.189719399570956</v>
      </c>
      <c r="T40">
        <f t="shared" si="36"/>
        <v>12.660714189335284</v>
      </c>
      <c r="U40">
        <f t="shared" si="37"/>
        <v>7.5414510400880186</v>
      </c>
      <c r="V40">
        <f t="shared" si="38"/>
        <v>5.1002609628360238</v>
      </c>
      <c r="W40">
        <f t="shared" si="39"/>
        <v>4.3180532223027361</v>
      </c>
      <c r="X40">
        <f t="shared" si="40"/>
        <v>3.5773401793006587</v>
      </c>
      <c r="Y40">
        <f t="shared" si="41"/>
        <v>20.790721402308112</v>
      </c>
      <c r="Z40">
        <f t="shared" si="13"/>
        <v>26201.076684195625</v>
      </c>
      <c r="AA40">
        <f t="shared" si="14"/>
        <v>9.4660199036327053E-2</v>
      </c>
      <c r="AB40">
        <f t="shared" si="21"/>
        <v>4922.0324180305288</v>
      </c>
      <c r="AC40">
        <f t="shared" si="15"/>
        <v>34544.590052467793</v>
      </c>
      <c r="AD40">
        <f t="shared" si="16"/>
        <v>28943.911499196642</v>
      </c>
      <c r="AE40">
        <v>-9.2281732477280096E-2</v>
      </c>
      <c r="AF40">
        <v>-3.8791105484321818E-2</v>
      </c>
      <c r="AG40">
        <v>101</v>
      </c>
      <c r="AH40">
        <f t="shared" si="17"/>
        <v>2739.8364234037895</v>
      </c>
      <c r="AI40">
        <f t="shared" si="22"/>
        <v>27.127093301027617</v>
      </c>
    </row>
    <row r="41" spans="5:35" x14ac:dyDescent="0.3">
      <c r="E41">
        <v>27</v>
      </c>
      <c r="F41">
        <f t="shared" si="18"/>
        <v>2313.5087967744262</v>
      </c>
      <c r="G41">
        <f t="shared" si="23"/>
        <v>1014.8331962550726</v>
      </c>
      <c r="H41">
        <f t="shared" si="24"/>
        <v>588.86463969471652</v>
      </c>
      <c r="I41">
        <f t="shared" si="25"/>
        <v>300.24646241287672</v>
      </c>
      <c r="J41">
        <f t="shared" si="26"/>
        <v>255.82853809708203</v>
      </c>
      <c r="K41">
        <f t="shared" si="27"/>
        <v>181.24494279312134</v>
      </c>
      <c r="L41">
        <f t="shared" si="28"/>
        <v>119.6905271347046</v>
      </c>
      <c r="M41">
        <f t="shared" si="29"/>
        <v>73.445617203518509</v>
      </c>
      <c r="N41">
        <f t="shared" si="30"/>
        <v>46.619634427497104</v>
      </c>
      <c r="O41">
        <f t="shared" si="31"/>
        <v>35.871795253141954</v>
      </c>
      <c r="P41">
        <f t="shared" si="32"/>
        <v>26.313441816270849</v>
      </c>
      <c r="Q41">
        <f t="shared" si="33"/>
        <v>21.048418329287834</v>
      </c>
      <c r="R41">
        <f t="shared" si="34"/>
        <v>19.238955255695185</v>
      </c>
      <c r="S41">
        <f t="shared" si="35"/>
        <v>13.733828904798543</v>
      </c>
      <c r="T41">
        <f t="shared" si="36"/>
        <v>11.309483386562224</v>
      </c>
      <c r="U41">
        <f t="shared" si="37"/>
        <v>9.4760349052203274</v>
      </c>
      <c r="V41">
        <f t="shared" si="38"/>
        <v>5.6692584014836616</v>
      </c>
      <c r="W41">
        <f t="shared" si="39"/>
        <v>3.8482079450031645</v>
      </c>
      <c r="X41">
        <f t="shared" si="40"/>
        <v>3.268083572509183</v>
      </c>
      <c r="Y41">
        <f t="shared" si="41"/>
        <v>18.525126953835073</v>
      </c>
      <c r="Z41">
        <f t="shared" si="13"/>
        <v>24637.819888546543</v>
      </c>
      <c r="AA41">
        <f t="shared" si="14"/>
        <v>0.10016564266434858</v>
      </c>
      <c r="AB41">
        <f t="shared" si="21"/>
        <v>5062.584989516823</v>
      </c>
      <c r="AC41">
        <f t="shared" si="15"/>
        <v>33488.966706638013</v>
      </c>
      <c r="AD41">
        <f t="shared" si="16"/>
        <v>27880.9958532001</v>
      </c>
      <c r="AE41">
        <v>-0.42325603352478763</v>
      </c>
      <c r="AF41">
        <v>1.2932681902808179E-2</v>
      </c>
      <c r="AG41">
        <v>105</v>
      </c>
      <c r="AH41">
        <f t="shared" si="17"/>
        <v>2792.7178677578258</v>
      </c>
      <c r="AI41">
        <f t="shared" si="22"/>
        <v>26.597313026265009</v>
      </c>
    </row>
    <row r="42" spans="5:35" x14ac:dyDescent="0.3">
      <c r="E42">
        <v>28</v>
      </c>
      <c r="F42">
        <f t="shared" si="18"/>
        <v>2583.4267849782605</v>
      </c>
      <c r="G42">
        <f t="shared" si="23"/>
        <v>1114.5018231646723</v>
      </c>
      <c r="H42">
        <f t="shared" si="24"/>
        <v>570.12896087787647</v>
      </c>
      <c r="I42">
        <f t="shared" si="25"/>
        <v>353.46911074436287</v>
      </c>
      <c r="J42">
        <f t="shared" si="26"/>
        <v>187.34624828603347</v>
      </c>
      <c r="K42">
        <f t="shared" si="27"/>
        <v>165.01998148297773</v>
      </c>
      <c r="L42">
        <f t="shared" si="28"/>
        <v>120.36549004517362</v>
      </c>
      <c r="M42">
        <f t="shared" si="29"/>
        <v>81.451766084836549</v>
      </c>
      <c r="N42">
        <f t="shared" si="30"/>
        <v>50.993547452740394</v>
      </c>
      <c r="O42">
        <f t="shared" si="31"/>
        <v>32.903087338192911</v>
      </c>
      <c r="P42">
        <f t="shared" si="32"/>
        <v>25.659605263544361</v>
      </c>
      <c r="Q42">
        <f t="shared" si="33"/>
        <v>19.031203405288927</v>
      </c>
      <c r="R42">
        <f t="shared" si="34"/>
        <v>15.362564989023618</v>
      </c>
      <c r="S42">
        <f t="shared" si="35"/>
        <v>14.148297384083492</v>
      </c>
      <c r="T42">
        <f t="shared" si="36"/>
        <v>10.163445584248947</v>
      </c>
      <c r="U42">
        <f t="shared" si="37"/>
        <v>8.4133051554823162</v>
      </c>
      <c r="V42">
        <f t="shared" si="38"/>
        <v>7.0803182239588729</v>
      </c>
      <c r="W42">
        <f t="shared" si="39"/>
        <v>4.2515442750962311</v>
      </c>
      <c r="X42">
        <f t="shared" si="40"/>
        <v>2.8947939890641394</v>
      </c>
      <c r="Y42">
        <f t="shared" si="41"/>
        <v>16.466904024865258</v>
      </c>
      <c r="Z42">
        <f t="shared" si="13"/>
        <v>23441.578243017313</v>
      </c>
      <c r="AA42">
        <f t="shared" si="14"/>
        <v>9.6508159585433462E-2</v>
      </c>
      <c r="AB42">
        <f t="shared" si="21"/>
        <v>5383.0787827497825</v>
      </c>
      <c r="AC42">
        <f t="shared" si="15"/>
        <v>32702.294147982702</v>
      </c>
      <c r="AD42">
        <f t="shared" si="16"/>
        <v>26848.56041577422</v>
      </c>
      <c r="AE42">
        <v>-0.32695991846481559</v>
      </c>
      <c r="AF42">
        <v>-0.1785133647911821</v>
      </c>
      <c r="AG42">
        <v>109</v>
      </c>
      <c r="AH42">
        <f t="shared" si="17"/>
        <v>2591.1051532446904</v>
      </c>
      <c r="AI42">
        <f t="shared" si="22"/>
        <v>23.771606910501745</v>
      </c>
    </row>
    <row r="43" spans="5:35" x14ac:dyDescent="0.3">
      <c r="E43">
        <v>29</v>
      </c>
      <c r="F43">
        <f t="shared" si="18"/>
        <v>2445.5838498344492</v>
      </c>
      <c r="G43">
        <f t="shared" si="23"/>
        <v>1244.8140411329459</v>
      </c>
      <c r="H43">
        <f t="shared" si="24"/>
        <v>626.67961569234967</v>
      </c>
      <c r="I43">
        <f t="shared" si="25"/>
        <v>342.93457412441779</v>
      </c>
      <c r="J43">
        <f t="shared" si="26"/>
        <v>221.23903143832862</v>
      </c>
      <c r="K43">
        <f t="shared" si="27"/>
        <v>121.28424026334272</v>
      </c>
      <c r="L43">
        <f t="shared" si="28"/>
        <v>110.0129754375682</v>
      </c>
      <c r="M43">
        <f t="shared" si="29"/>
        <v>82.235144752898748</v>
      </c>
      <c r="N43">
        <f t="shared" si="30"/>
        <v>56.778624679658421</v>
      </c>
      <c r="O43">
        <f t="shared" si="31"/>
        <v>36.135016327041733</v>
      </c>
      <c r="P43">
        <f t="shared" si="32"/>
        <v>23.631119620822897</v>
      </c>
      <c r="Q43">
        <f t="shared" si="33"/>
        <v>18.6334197433405</v>
      </c>
      <c r="R43">
        <f t="shared" si="34"/>
        <v>13.946540469136613</v>
      </c>
      <c r="S43">
        <f t="shared" si="35"/>
        <v>11.343411089709608</v>
      </c>
      <c r="T43">
        <f t="shared" si="36"/>
        <v>10.512635549131549</v>
      </c>
      <c r="U43">
        <f t="shared" si="37"/>
        <v>7.5914288966587558</v>
      </c>
      <c r="V43">
        <f t="shared" si="38"/>
        <v>6.3117803913444943</v>
      </c>
      <c r="W43">
        <f t="shared" si="39"/>
        <v>5.3312942911407193</v>
      </c>
      <c r="X43">
        <f t="shared" si="40"/>
        <v>3.2111862567302767</v>
      </c>
      <c r="Y43">
        <f t="shared" si="41"/>
        <v>14.689078931257903</v>
      </c>
      <c r="Z43">
        <f t="shared" si="13"/>
        <v>22706.356107792661</v>
      </c>
      <c r="AA43">
        <f t="shared" si="14"/>
        <v>0.11346194869632842</v>
      </c>
      <c r="AB43">
        <f t="shared" si="21"/>
        <v>5402.8990089222743</v>
      </c>
      <c r="AC43">
        <f t="shared" si="15"/>
        <v>32382.01387982499</v>
      </c>
      <c r="AD43">
        <f t="shared" si="16"/>
        <v>26241.99567475</v>
      </c>
      <c r="AE43">
        <v>-0.23138290294002778</v>
      </c>
      <c r="AF43">
        <v>0.15922769210677268</v>
      </c>
      <c r="AG43">
        <v>113</v>
      </c>
      <c r="AH43">
        <f t="shared" si="17"/>
        <v>2977.467966937757</v>
      </c>
      <c r="AI43">
        <f t="shared" si="22"/>
        <v>26.349274043696965</v>
      </c>
    </row>
    <row r="44" spans="5:35" x14ac:dyDescent="0.3">
      <c r="E44">
        <v>30</v>
      </c>
      <c r="F44">
        <f t="shared" si="18"/>
        <v>2330.7976746514219</v>
      </c>
      <c r="G44">
        <f t="shared" si="23"/>
        <v>1177.1538130930785</v>
      </c>
      <c r="H44">
        <f t="shared" si="24"/>
        <v>697.0685610001417</v>
      </c>
      <c r="I44">
        <f t="shared" si="25"/>
        <v>373.32401060564183</v>
      </c>
      <c r="J44">
        <f t="shared" si="26"/>
        <v>211.57293683774924</v>
      </c>
      <c r="K44">
        <f t="shared" si="27"/>
        <v>140.82725216144445</v>
      </c>
      <c r="L44">
        <f t="shared" si="28"/>
        <v>79.416354462987016</v>
      </c>
      <c r="M44">
        <f t="shared" si="29"/>
        <v>73.789271277880772</v>
      </c>
      <c r="N44">
        <f t="shared" si="30"/>
        <v>56.265255910838377</v>
      </c>
      <c r="O44">
        <f t="shared" si="31"/>
        <v>39.486468535097544</v>
      </c>
      <c r="P44">
        <f t="shared" si="32"/>
        <v>25.468314766178803</v>
      </c>
      <c r="Q44">
        <f t="shared" si="33"/>
        <v>16.839767133138569</v>
      </c>
      <c r="R44">
        <f t="shared" si="34"/>
        <v>13.39962738612795</v>
      </c>
      <c r="S44">
        <f t="shared" si="35"/>
        <v>10.105094335831463</v>
      </c>
      <c r="T44">
        <f t="shared" si="36"/>
        <v>8.270676491171745</v>
      </c>
      <c r="U44">
        <f t="shared" si="37"/>
        <v>7.7051538674719255</v>
      </c>
      <c r="V44">
        <f t="shared" si="38"/>
        <v>5.5884827286816749</v>
      </c>
      <c r="W44">
        <f t="shared" si="39"/>
        <v>4.663537088395671</v>
      </c>
      <c r="X44">
        <f t="shared" si="40"/>
        <v>3.9512455379527842</v>
      </c>
      <c r="Y44">
        <f t="shared" si="41"/>
        <v>13.324884895773836</v>
      </c>
      <c r="Z44">
        <f t="shared" si="13"/>
        <v>22159.684105764092</v>
      </c>
      <c r="AA44">
        <f t="shared" si="14"/>
        <v>0.13350968956989617</v>
      </c>
      <c r="AB44">
        <f t="shared" si="21"/>
        <v>5289.0183827670062</v>
      </c>
      <c r="AC44">
        <f t="shared" si="15"/>
        <v>31791.653895549789</v>
      </c>
      <c r="AD44">
        <f t="shared" si="16"/>
        <v>25593.760686822265</v>
      </c>
      <c r="AE44">
        <v>-4.3995214126480851E-2</v>
      </c>
      <c r="AF44">
        <v>0.50699192902201851</v>
      </c>
      <c r="AG44">
        <v>117</v>
      </c>
      <c r="AH44">
        <f t="shared" si="17"/>
        <v>3417.0150442238532</v>
      </c>
      <c r="AI44">
        <f t="shared" si="22"/>
        <v>29.205256788238064</v>
      </c>
    </row>
    <row r="45" spans="5:35" x14ac:dyDescent="0.3">
      <c r="E45">
        <v>31</v>
      </c>
      <c r="F45">
        <f t="shared" si="18"/>
        <v>2148.3072276663793</v>
      </c>
      <c r="G45">
        <f t="shared" si="23"/>
        <v>1120.5040331894745</v>
      </c>
      <c r="H45">
        <f t="shared" si="24"/>
        <v>655.954186241716</v>
      </c>
      <c r="I45">
        <f t="shared" si="25"/>
        <v>410.48664229901544</v>
      </c>
      <c r="J45">
        <f t="shared" si="26"/>
        <v>226.36654854275469</v>
      </c>
      <c r="K45">
        <f t="shared" si="27"/>
        <v>131.96210976364713</v>
      </c>
      <c r="L45">
        <f t="shared" si="28"/>
        <v>90.236475294655975</v>
      </c>
      <c r="M45">
        <f t="shared" si="29"/>
        <v>52.095180071643988</v>
      </c>
      <c r="N45">
        <f t="shared" si="30"/>
        <v>49.36246817041598</v>
      </c>
      <c r="O45">
        <f t="shared" si="31"/>
        <v>38.252980886653511</v>
      </c>
      <c r="P45">
        <f t="shared" si="32"/>
        <v>27.205057482864902</v>
      </c>
      <c r="Q45">
        <f t="shared" si="33"/>
        <v>17.740373349979883</v>
      </c>
      <c r="R45">
        <f t="shared" si="34"/>
        <v>11.836834313749423</v>
      </c>
      <c r="S45">
        <f t="shared" si="35"/>
        <v>9.489833065879882</v>
      </c>
      <c r="T45">
        <f t="shared" si="36"/>
        <v>7.2015297971260646</v>
      </c>
      <c r="U45">
        <f t="shared" si="37"/>
        <v>5.925081523256857</v>
      </c>
      <c r="V45">
        <f t="shared" si="38"/>
        <v>5.5441225950216166</v>
      </c>
      <c r="W45">
        <f t="shared" si="39"/>
        <v>4.0358663969734145</v>
      </c>
      <c r="X45">
        <f t="shared" si="40"/>
        <v>3.3782730439110118</v>
      </c>
      <c r="Y45">
        <f t="shared" si="41"/>
        <v>12.568402107139882</v>
      </c>
      <c r="Z45">
        <f t="shared" si="13"/>
        <v>21921.517083841751</v>
      </c>
      <c r="AA45">
        <f t="shared" si="14"/>
        <v>0.10143356316071972</v>
      </c>
      <c r="AB45">
        <f t="shared" si="21"/>
        <v>5028.4532258022591</v>
      </c>
      <c r="AC45">
        <f t="shared" si="15"/>
        <v>30732.504870201039</v>
      </c>
      <c r="AD45">
        <f t="shared" si="16"/>
        <v>24728.52433748735</v>
      </c>
      <c r="AE45">
        <v>-0.20349239039324268</v>
      </c>
      <c r="AF45">
        <v>-0.30846446650239895</v>
      </c>
      <c r="AG45">
        <v>121</v>
      </c>
      <c r="AH45">
        <f t="shared" si="17"/>
        <v>2508.302335257918</v>
      </c>
      <c r="AI45">
        <f t="shared" si="22"/>
        <v>20.729771365767917</v>
      </c>
    </row>
    <row r="46" spans="5:35" x14ac:dyDescent="0.3">
      <c r="E46">
        <v>32</v>
      </c>
      <c r="F46">
        <f t="shared" si="18"/>
        <v>2276.819938250575</v>
      </c>
      <c r="G46">
        <f t="shared" si="23"/>
        <v>1034.8366449858518</v>
      </c>
      <c r="H46">
        <f t="shared" si="24"/>
        <v>629.3001686336728</v>
      </c>
      <c r="I46">
        <f t="shared" si="25"/>
        <v>393.45612211527555</v>
      </c>
      <c r="J46">
        <f t="shared" si="26"/>
        <v>255.8583095455871</v>
      </c>
      <c r="K46">
        <f t="shared" si="27"/>
        <v>145.83224667547901</v>
      </c>
      <c r="L46">
        <f t="shared" si="28"/>
        <v>87.519425999557157</v>
      </c>
      <c r="M46">
        <f t="shared" si="29"/>
        <v>61.323484256472277</v>
      </c>
      <c r="N46">
        <f t="shared" si="30"/>
        <v>36.119671462960689</v>
      </c>
      <c r="O46">
        <f t="shared" si="31"/>
        <v>34.790285941011469</v>
      </c>
      <c r="P46">
        <f t="shared" si="32"/>
        <v>27.32458371430037</v>
      </c>
      <c r="Q46">
        <f t="shared" si="33"/>
        <v>19.648460710826278</v>
      </c>
      <c r="R46">
        <f t="shared" si="34"/>
        <v>12.929943484448355</v>
      </c>
      <c r="S46">
        <f t="shared" si="35"/>
        <v>8.6925545744303108</v>
      </c>
      <c r="T46">
        <f t="shared" si="36"/>
        <v>7.0128858799349798</v>
      </c>
      <c r="U46">
        <f t="shared" si="37"/>
        <v>5.349796902687026</v>
      </c>
      <c r="V46">
        <f t="shared" si="38"/>
        <v>4.4208824406920391</v>
      </c>
      <c r="W46">
        <f t="shared" si="39"/>
        <v>4.1518502468032494</v>
      </c>
      <c r="X46">
        <f t="shared" si="40"/>
        <v>3.0316860893970641</v>
      </c>
      <c r="Y46">
        <f t="shared" si="41"/>
        <v>12.030688525357078</v>
      </c>
      <c r="Z46">
        <f t="shared" si="13"/>
        <v>22318.19125450695</v>
      </c>
      <c r="AA46">
        <f t="shared" si="14"/>
        <v>0.15635129274961601</v>
      </c>
      <c r="AB46">
        <f t="shared" si="21"/>
        <v>5060.4496304353188</v>
      </c>
      <c r="AC46">
        <f t="shared" si="15"/>
        <v>30541.010230296284</v>
      </c>
      <c r="AD46">
        <f t="shared" si="16"/>
        <v>24676.985653078966</v>
      </c>
      <c r="AE46">
        <v>-7.5189883830933363E-2</v>
      </c>
      <c r="AF46">
        <v>0.76899253754601604</v>
      </c>
      <c r="AG46">
        <v>125</v>
      </c>
      <c r="AH46">
        <f t="shared" si="17"/>
        <v>3858.2786080226238</v>
      </c>
      <c r="AI46">
        <f t="shared" si="22"/>
        <v>30.866228864180989</v>
      </c>
    </row>
    <row r="47" spans="5:35" x14ac:dyDescent="0.3">
      <c r="E47">
        <v>33</v>
      </c>
      <c r="F47">
        <f t="shared" si="18"/>
        <v>2180.2308159917975</v>
      </c>
      <c r="G47">
        <f t="shared" si="23"/>
        <v>1092.998067900314</v>
      </c>
      <c r="H47">
        <f t="shared" si="24"/>
        <v>573.41839763790392</v>
      </c>
      <c r="I47">
        <f t="shared" si="25"/>
        <v>365.67382989128151</v>
      </c>
      <c r="J47">
        <f t="shared" si="26"/>
        <v>233.82444075599886</v>
      </c>
      <c r="K47">
        <f t="shared" si="27"/>
        <v>155.84662185628099</v>
      </c>
      <c r="L47">
        <f t="shared" si="28"/>
        <v>91.111434234630991</v>
      </c>
      <c r="M47">
        <f t="shared" si="29"/>
        <v>55.93908730328112</v>
      </c>
      <c r="N47">
        <f t="shared" si="30"/>
        <v>39.958877938237343</v>
      </c>
      <c r="O47">
        <f t="shared" si="31"/>
        <v>23.91556801825778</v>
      </c>
      <c r="P47">
        <f t="shared" si="32"/>
        <v>23.341716361081069</v>
      </c>
      <c r="Q47">
        <f t="shared" si="33"/>
        <v>18.533917680485096</v>
      </c>
      <c r="R47">
        <f t="shared" si="34"/>
        <v>13.448240426137062</v>
      </c>
      <c r="S47">
        <f t="shared" si="35"/>
        <v>8.9164321578945316</v>
      </c>
      <c r="T47">
        <f t="shared" si="36"/>
        <v>6.0319055181986476</v>
      </c>
      <c r="U47">
        <f t="shared" si="37"/>
        <v>4.8917997081102857</v>
      </c>
      <c r="V47">
        <f t="shared" si="38"/>
        <v>3.7480420309408564</v>
      </c>
      <c r="W47">
        <f t="shared" si="39"/>
        <v>3.1086033654881677</v>
      </c>
      <c r="X47">
        <f t="shared" si="40"/>
        <v>2.9284164766061536</v>
      </c>
      <c r="Y47">
        <f t="shared" si="41"/>
        <v>10.669960610262496</v>
      </c>
      <c r="Z47">
        <f t="shared" ref="Z47:Z78" si="44">SUMPRODUCT(F47:Y47,fecundity,pmature)</f>
        <v>21236.822459101557</v>
      </c>
      <c r="AA47">
        <f t="shared" ref="AA47:AA78" si="45">1-EXP(-q*EXP(AF47*sdq)*AG47)</f>
        <v>0.11271237189967798</v>
      </c>
      <c r="AB47">
        <f t="shared" si="21"/>
        <v>4908.5361758631898</v>
      </c>
      <c r="AC47">
        <f t="shared" ref="AC47:AC78" si="46">SUMPRODUCT(F47:Y47,Weight)</f>
        <v>29021.770205922756</v>
      </c>
      <c r="AD47">
        <f t="shared" ref="AD47:AD78" si="47">SUMPRODUCT(F47:Y47,Weight,vul)</f>
        <v>23327.520219738501</v>
      </c>
      <c r="AE47">
        <v>0.33115616171268986</v>
      </c>
      <c r="AF47">
        <v>-0.18943992428326206</v>
      </c>
      <c r="AG47">
        <v>129</v>
      </c>
      <c r="AH47">
        <f t="shared" ref="AH47:AH78" si="48">AD47*AA47</f>
        <v>2629.3001345044236</v>
      </c>
      <c r="AI47">
        <f t="shared" ref="AI47:AI78" si="49">AH47/AG47</f>
        <v>20.38217158530561</v>
      </c>
    </row>
    <row r="48" spans="5:35" x14ac:dyDescent="0.3">
      <c r="E48">
        <v>34</v>
      </c>
      <c r="F48">
        <f t="shared" ref="F48:F79" si="50">Z47*maxsj/(1+sjscale*EXP(AE47*sdr)*Z47)</f>
        <v>1818.7671063928772</v>
      </c>
      <c r="G48">
        <f t="shared" si="23"/>
        <v>1049.478086270346</v>
      </c>
      <c r="H48">
        <f t="shared" si="24"/>
        <v>612.16694593209854</v>
      </c>
      <c r="I48">
        <f t="shared" si="25"/>
        <v>341.7420613762161</v>
      </c>
      <c r="J48">
        <f t="shared" si="26"/>
        <v>225.74673360054217</v>
      </c>
      <c r="K48">
        <f t="shared" si="27"/>
        <v>148.95043222424653</v>
      </c>
      <c r="L48">
        <f t="shared" si="28"/>
        <v>102.12942486629463</v>
      </c>
      <c r="M48">
        <f t="shared" si="29"/>
        <v>61.161665842765366</v>
      </c>
      <c r="N48">
        <f t="shared" si="30"/>
        <v>38.305366073597881</v>
      </c>
      <c r="O48">
        <f t="shared" si="31"/>
        <v>27.812515990934962</v>
      </c>
      <c r="P48">
        <f t="shared" si="32"/>
        <v>16.870089856315722</v>
      </c>
      <c r="Q48">
        <f t="shared" si="33"/>
        <v>16.647537163707522</v>
      </c>
      <c r="R48">
        <f t="shared" si="34"/>
        <v>13.33930566829099</v>
      </c>
      <c r="S48">
        <f t="shared" si="35"/>
        <v>9.7522641156378445</v>
      </c>
      <c r="T48">
        <f t="shared" si="36"/>
        <v>6.5066097740435982</v>
      </c>
      <c r="U48">
        <f t="shared" si="37"/>
        <v>4.42476950519423</v>
      </c>
      <c r="V48">
        <f t="shared" si="38"/>
        <v>3.6041723962556653</v>
      </c>
      <c r="W48">
        <f t="shared" si="39"/>
        <v>2.7716256938344181</v>
      </c>
      <c r="X48">
        <f t="shared" si="40"/>
        <v>2.3058619111079168</v>
      </c>
      <c r="Y48">
        <f t="shared" si="41"/>
        <v>10.130332991582296</v>
      </c>
      <c r="Z48">
        <f t="shared" si="44"/>
        <v>20849.935524662051</v>
      </c>
      <c r="AA48">
        <f t="shared" si="45"/>
        <v>0.11694680366157184</v>
      </c>
      <c r="AB48">
        <f t="shared" si="21"/>
        <v>4512.6129076458892</v>
      </c>
      <c r="AC48">
        <f t="shared" si="46"/>
        <v>28555.322268708682</v>
      </c>
      <c r="AD48">
        <f t="shared" si="47"/>
        <v>23060.644850173489</v>
      </c>
      <c r="AE48">
        <v>-8.7115872289201118E-2</v>
      </c>
      <c r="AF48">
        <v>-0.16772364931052347</v>
      </c>
      <c r="AG48">
        <v>133</v>
      </c>
      <c r="AH48">
        <f t="shared" si="48"/>
        <v>2696.8687056024769</v>
      </c>
      <c r="AI48">
        <f t="shared" si="49"/>
        <v>20.277208312800578</v>
      </c>
    </row>
    <row r="49" spans="5:35" x14ac:dyDescent="0.3">
      <c r="E49">
        <v>35</v>
      </c>
      <c r="F49">
        <f t="shared" si="50"/>
        <v>2138.5055174886952</v>
      </c>
      <c r="G49">
        <f t="shared" si="23"/>
        <v>875.25301271768933</v>
      </c>
      <c r="H49">
        <f t="shared" si="24"/>
        <v>587.18474340270416</v>
      </c>
      <c r="I49">
        <f t="shared" si="25"/>
        <v>363.95049830704733</v>
      </c>
      <c r="J49">
        <f t="shared" si="26"/>
        <v>210.20787193622124</v>
      </c>
      <c r="K49">
        <f t="shared" si="27"/>
        <v>143.19352219256555</v>
      </c>
      <c r="L49">
        <f t="shared" si="28"/>
        <v>97.168649772302459</v>
      </c>
      <c r="M49">
        <f t="shared" si="29"/>
        <v>68.239538599528416</v>
      </c>
      <c r="N49">
        <f t="shared" si="30"/>
        <v>41.684824929969736</v>
      </c>
      <c r="O49">
        <f t="shared" si="31"/>
        <v>26.535591540531794</v>
      </c>
      <c r="P49">
        <f t="shared" si="32"/>
        <v>19.525963624585135</v>
      </c>
      <c r="Q49">
        <f t="shared" si="33"/>
        <v>11.974744179182178</v>
      </c>
      <c r="R49">
        <f t="shared" si="34"/>
        <v>11.924639625900015</v>
      </c>
      <c r="S49">
        <f t="shared" si="35"/>
        <v>9.6272215195463584</v>
      </c>
      <c r="T49">
        <f t="shared" si="36"/>
        <v>7.0826508534102031</v>
      </c>
      <c r="U49">
        <f t="shared" si="37"/>
        <v>4.750254723005698</v>
      </c>
      <c r="V49">
        <f t="shared" si="38"/>
        <v>3.2445393559131515</v>
      </c>
      <c r="W49">
        <f t="shared" si="39"/>
        <v>2.6525330990812046</v>
      </c>
      <c r="X49">
        <f t="shared" si="40"/>
        <v>2.0461026078038467</v>
      </c>
      <c r="Y49">
        <f t="shared" si="41"/>
        <v>9.2209782491910097</v>
      </c>
      <c r="Z49">
        <f t="shared" si="44"/>
        <v>20620.746202313399</v>
      </c>
      <c r="AA49">
        <f t="shared" si="45"/>
        <v>0.14259856818799699</v>
      </c>
      <c r="AB49">
        <f t="shared" si="21"/>
        <v>4633.9733987248756</v>
      </c>
      <c r="AC49">
        <f t="shared" si="46"/>
        <v>27955.919374874917</v>
      </c>
      <c r="AD49">
        <f t="shared" si="47"/>
        <v>22661.911361554034</v>
      </c>
      <c r="AE49">
        <v>0.57113678196278583</v>
      </c>
      <c r="AF49">
        <v>0.28997758187774297</v>
      </c>
      <c r="AG49">
        <v>137</v>
      </c>
      <c r="AH49">
        <f t="shared" si="48"/>
        <v>3231.5561125609065</v>
      </c>
      <c r="AI49">
        <f t="shared" si="49"/>
        <v>23.588000821612457</v>
      </c>
    </row>
    <row r="50" spans="5:35" x14ac:dyDescent="0.3">
      <c r="E50">
        <v>36</v>
      </c>
      <c r="F50">
        <f t="shared" si="50"/>
        <v>1627.9319424273158</v>
      </c>
      <c r="G50">
        <f t="shared" si="23"/>
        <v>1027.4799718511481</v>
      </c>
      <c r="H50">
        <f t="shared" si="24"/>
        <v>486.63625982116531</v>
      </c>
      <c r="I50">
        <f t="shared" si="25"/>
        <v>343.95737682134649</v>
      </c>
      <c r="J50">
        <f t="shared" si="26"/>
        <v>218.93481008783746</v>
      </c>
      <c r="K50">
        <f t="shared" si="27"/>
        <v>129.88897451421548</v>
      </c>
      <c r="L50">
        <f t="shared" si="28"/>
        <v>90.841536720413657</v>
      </c>
      <c r="M50">
        <f t="shared" si="29"/>
        <v>63.090167981807241</v>
      </c>
      <c r="N50">
        <f t="shared" si="30"/>
        <v>45.178584147191536</v>
      </c>
      <c r="O50">
        <f t="shared" si="31"/>
        <v>28.045816875741352</v>
      </c>
      <c r="P50">
        <f t="shared" si="32"/>
        <v>18.09173355204085</v>
      </c>
      <c r="Q50">
        <f t="shared" si="33"/>
        <v>13.459110046847259</v>
      </c>
      <c r="R50">
        <f t="shared" si="34"/>
        <v>8.3291693970013796</v>
      </c>
      <c r="S50">
        <f t="shared" si="35"/>
        <v>8.3568696291235476</v>
      </c>
      <c r="T50">
        <f t="shared" si="36"/>
        <v>6.789152290245327</v>
      </c>
      <c r="U50">
        <f t="shared" si="37"/>
        <v>5.0208554035924173</v>
      </c>
      <c r="V50">
        <f t="shared" si="38"/>
        <v>3.382173145927641</v>
      </c>
      <c r="W50">
        <f t="shared" si="39"/>
        <v>2.3185821822106303</v>
      </c>
      <c r="X50">
        <f t="shared" si="40"/>
        <v>1.9013674995416388</v>
      </c>
      <c r="Y50">
        <f t="shared" si="41"/>
        <v>8.1117528550052533</v>
      </c>
      <c r="Z50">
        <f t="shared" si="44"/>
        <v>19890.346508783019</v>
      </c>
      <c r="AA50">
        <f t="shared" si="45"/>
        <v>0.12017506297819902</v>
      </c>
      <c r="AB50">
        <f t="shared" si="21"/>
        <v>4137.7462072497174</v>
      </c>
      <c r="AC50">
        <f t="shared" si="46"/>
        <v>26666.635743511681</v>
      </c>
      <c r="AD50">
        <f t="shared" si="47"/>
        <v>21640.647537518878</v>
      </c>
      <c r="AE50">
        <v>0.39595138177627853</v>
      </c>
      <c r="AF50">
        <v>-0.24119276885612462</v>
      </c>
      <c r="AG50">
        <v>141</v>
      </c>
      <c r="AH50">
        <f t="shared" si="48"/>
        <v>2600.6661807103387</v>
      </c>
      <c r="AI50">
        <f t="shared" si="49"/>
        <v>18.444440997945666</v>
      </c>
    </row>
    <row r="51" spans="5:35" x14ac:dyDescent="0.3">
      <c r="E51">
        <v>37</v>
      </c>
      <c r="F51">
        <f t="shared" si="50"/>
        <v>1735.3134991108589</v>
      </c>
      <c r="G51">
        <f t="shared" si="23"/>
        <v>783.25927830743717</v>
      </c>
      <c r="H51">
        <f t="shared" si="24"/>
        <v>574.42331608620623</v>
      </c>
      <c r="I51">
        <f t="shared" si="25"/>
        <v>288.7828186371363</v>
      </c>
      <c r="J51">
        <f t="shared" si="26"/>
        <v>210.9837420041674</v>
      </c>
      <c r="K51">
        <f t="shared" si="27"/>
        <v>138.42069289641137</v>
      </c>
      <c r="L51">
        <f t="shared" si="28"/>
        <v>84.440240970484354</v>
      </c>
      <c r="M51">
        <f t="shared" si="29"/>
        <v>60.481474994475235</v>
      </c>
      <c r="N51">
        <f t="shared" si="30"/>
        <v>42.844428824072793</v>
      </c>
      <c r="O51">
        <f t="shared" si="31"/>
        <v>31.183606083201052</v>
      </c>
      <c r="P51">
        <f t="shared" si="32"/>
        <v>19.618226040154241</v>
      </c>
      <c r="Q51">
        <f t="shared" si="33"/>
        <v>12.795153674657744</v>
      </c>
      <c r="R51">
        <f t="shared" si="34"/>
        <v>9.6056391775158243</v>
      </c>
      <c r="S51">
        <f t="shared" si="35"/>
        <v>5.9893944778521879</v>
      </c>
      <c r="T51">
        <f t="shared" si="36"/>
        <v>6.0470937470373682</v>
      </c>
      <c r="U51">
        <f t="shared" si="37"/>
        <v>4.9384406186725673</v>
      </c>
      <c r="V51">
        <f t="shared" si="38"/>
        <v>3.6681903512937355</v>
      </c>
      <c r="W51">
        <f t="shared" si="39"/>
        <v>2.480062125279404</v>
      </c>
      <c r="X51">
        <f t="shared" si="40"/>
        <v>1.7054012413080242</v>
      </c>
      <c r="Y51">
        <f t="shared" si="41"/>
        <v>7.3971710408720224</v>
      </c>
      <c r="Z51">
        <f t="shared" si="44"/>
        <v>19072.471369033818</v>
      </c>
      <c r="AA51">
        <f t="shared" si="45"/>
        <v>0.14294469964634127</v>
      </c>
      <c r="AB51">
        <f t="shared" si="21"/>
        <v>4024.3778704090937</v>
      </c>
      <c r="AC51">
        <f t="shared" si="46"/>
        <v>25839.519950842558</v>
      </c>
      <c r="AD51">
        <f t="shared" si="47"/>
        <v>21091.692108495525</v>
      </c>
      <c r="AE51">
        <v>0.1475318320239358</v>
      </c>
      <c r="AF51">
        <v>0.15464824266652569</v>
      </c>
      <c r="AG51">
        <v>145</v>
      </c>
      <c r="AH51">
        <f t="shared" si="48"/>
        <v>3014.9455934819989</v>
      </c>
      <c r="AI51">
        <f t="shared" si="49"/>
        <v>20.792728230910338</v>
      </c>
    </row>
    <row r="52" spans="5:35" x14ac:dyDescent="0.3">
      <c r="E52">
        <v>38</v>
      </c>
      <c r="F52">
        <f t="shared" si="50"/>
        <v>1892.0371343186166</v>
      </c>
      <c r="G52">
        <f t="shared" si="23"/>
        <v>833.74178831060749</v>
      </c>
      <c r="H52">
        <f t="shared" si="24"/>
        <v>435.451145460014</v>
      </c>
      <c r="I52">
        <f t="shared" si="25"/>
        <v>336.41421268840344</v>
      </c>
      <c r="J52">
        <f t="shared" si="26"/>
        <v>173.66478980048558</v>
      </c>
      <c r="K52">
        <f t="shared" si="27"/>
        <v>130.32169190366449</v>
      </c>
      <c r="L52">
        <f t="shared" si="28"/>
        <v>87.780125556896436</v>
      </c>
      <c r="M52">
        <f t="shared" si="29"/>
        <v>54.804286233594361</v>
      </c>
      <c r="N52">
        <f t="shared" si="30"/>
        <v>40.026382066897156</v>
      </c>
      <c r="O52">
        <f t="shared" si="31"/>
        <v>28.814482796815081</v>
      </c>
      <c r="P52">
        <f t="shared" si="32"/>
        <v>21.252181881660686</v>
      </c>
      <c r="Q52">
        <f t="shared" si="33"/>
        <v>13.517271749890122</v>
      </c>
      <c r="R52">
        <f t="shared" si="34"/>
        <v>8.8962339059026601</v>
      </c>
      <c r="S52">
        <f t="shared" si="35"/>
        <v>6.7289877284754605</v>
      </c>
      <c r="T52">
        <f t="shared" si="36"/>
        <v>4.2220416938445782</v>
      </c>
      <c r="U52">
        <f t="shared" si="37"/>
        <v>4.2850267215074735</v>
      </c>
      <c r="V52">
        <f t="shared" si="38"/>
        <v>3.514743871024324</v>
      </c>
      <c r="W52">
        <f t="shared" si="39"/>
        <v>2.6202708581538241</v>
      </c>
      <c r="X52">
        <f t="shared" si="40"/>
        <v>1.777021427918883</v>
      </c>
      <c r="Y52">
        <f t="shared" si="41"/>
        <v>6.5506864908770233</v>
      </c>
      <c r="Z52">
        <f t="shared" si="44"/>
        <v>18393.41443737143</v>
      </c>
      <c r="AA52">
        <f t="shared" si="45"/>
        <v>0.13822426923231712</v>
      </c>
      <c r="AB52">
        <f t="shared" si="21"/>
        <v>4086.4205054652498</v>
      </c>
      <c r="AC52">
        <f t="shared" si="46"/>
        <v>24620.2837499815</v>
      </c>
      <c r="AD52">
        <f t="shared" si="47"/>
        <v>20028.897461135999</v>
      </c>
      <c r="AE52">
        <v>-8.8265044478699872E-2</v>
      </c>
      <c r="AF52">
        <v>-4.0264741029542705E-3</v>
      </c>
      <c r="AG52">
        <v>149</v>
      </c>
      <c r="AH52">
        <f t="shared" si="48"/>
        <v>2768.4797150945351</v>
      </c>
      <c r="AI52">
        <f t="shared" si="49"/>
        <v>18.580400772446545</v>
      </c>
    </row>
    <row r="53" spans="5:35" x14ac:dyDescent="0.3">
      <c r="E53">
        <v>39</v>
      </c>
      <c r="F53">
        <f t="shared" si="50"/>
        <v>2041.0817014797749</v>
      </c>
      <c r="G53">
        <f t="shared" si="23"/>
        <v>909.30795374876277</v>
      </c>
      <c r="H53">
        <f t="shared" si="24"/>
        <v>464.05479528204177</v>
      </c>
      <c r="I53">
        <f t="shared" si="25"/>
        <v>255.72589794973638</v>
      </c>
      <c r="J53">
        <f t="shared" si="26"/>
        <v>203.14798708645759</v>
      </c>
      <c r="K53">
        <f t="shared" si="27"/>
        <v>107.79450939879601</v>
      </c>
      <c r="L53">
        <f t="shared" si="28"/>
        <v>83.074786184751318</v>
      </c>
      <c r="M53">
        <f t="shared" si="29"/>
        <v>57.276979862087856</v>
      </c>
      <c r="N53">
        <f t="shared" si="30"/>
        <v>36.465828397787007</v>
      </c>
      <c r="O53">
        <f t="shared" si="31"/>
        <v>27.066051607378068</v>
      </c>
      <c r="P53">
        <f t="shared" si="32"/>
        <v>19.745038633178265</v>
      </c>
      <c r="Q53">
        <f t="shared" si="33"/>
        <v>14.723374829307916</v>
      </c>
      <c r="R53">
        <f t="shared" si="34"/>
        <v>9.4498967733712185</v>
      </c>
      <c r="S53">
        <f t="shared" si="35"/>
        <v>6.266265558712484</v>
      </c>
      <c r="T53">
        <f t="shared" si="36"/>
        <v>4.7694651742782632</v>
      </c>
      <c r="U53">
        <f t="shared" si="37"/>
        <v>3.0082265403302624</v>
      </c>
      <c r="V53">
        <f t="shared" si="38"/>
        <v>3.0664731893632715</v>
      </c>
      <c r="W53">
        <f t="shared" si="39"/>
        <v>2.5244701498459579</v>
      </c>
      <c r="X53">
        <f t="shared" si="40"/>
        <v>1.8878125107881201</v>
      </c>
      <c r="Y53">
        <f t="shared" si="41"/>
        <v>6.0256864315308043</v>
      </c>
      <c r="Z53">
        <f t="shared" si="44"/>
        <v>17300.27207266953</v>
      </c>
      <c r="AA53">
        <f t="shared" si="45"/>
        <v>0.13487372193186808</v>
      </c>
      <c r="AB53">
        <f t="shared" si="21"/>
        <v>4256.463200788281</v>
      </c>
      <c r="AC53">
        <f t="shared" si="46"/>
        <v>23831.023416071479</v>
      </c>
      <c r="AD53">
        <f t="shared" si="47"/>
        <v>19127.40984757608</v>
      </c>
      <c r="AE53">
        <v>0.432887855187644</v>
      </c>
      <c r="AF53">
        <v>-0.1363337810849666</v>
      </c>
      <c r="AG53">
        <v>153</v>
      </c>
      <c r="AH53">
        <f t="shared" si="48"/>
        <v>2579.7849570588514</v>
      </c>
      <c r="AI53">
        <f t="shared" si="49"/>
        <v>16.861339588619945</v>
      </c>
    </row>
    <row r="54" spans="5:35" x14ac:dyDescent="0.3">
      <c r="E54">
        <v>40</v>
      </c>
      <c r="F54">
        <f t="shared" si="50"/>
        <v>1634.825460569182</v>
      </c>
      <c r="G54">
        <f t="shared" si="23"/>
        <v>981.14308745531889</v>
      </c>
      <c r="H54">
        <f t="shared" si="24"/>
        <v>506.53088494669595</v>
      </c>
      <c r="I54">
        <f t="shared" si="25"/>
        <v>273.05450293911599</v>
      </c>
      <c r="J54">
        <f t="shared" si="26"/>
        <v>154.87611535920951</v>
      </c>
      <c r="K54">
        <f t="shared" si="27"/>
        <v>126.53011261858117</v>
      </c>
      <c r="L54">
        <f t="shared" si="28"/>
        <v>68.967475414803843</v>
      </c>
      <c r="M54">
        <f t="shared" si="29"/>
        <v>54.411610056752558</v>
      </c>
      <c r="N54">
        <f t="shared" si="30"/>
        <v>38.256947714363001</v>
      </c>
      <c r="O54">
        <f t="shared" si="31"/>
        <v>24.75332255575211</v>
      </c>
      <c r="P54">
        <f t="shared" si="32"/>
        <v>18.61857546577917</v>
      </c>
      <c r="Q54">
        <f t="shared" si="33"/>
        <v>13.732178046195811</v>
      </c>
      <c r="R54">
        <f t="shared" si="34"/>
        <v>10.33296479631818</v>
      </c>
      <c r="S54">
        <f t="shared" si="35"/>
        <v>6.6820619326284358</v>
      </c>
      <c r="T54">
        <f t="shared" si="36"/>
        <v>4.4587222771586967</v>
      </c>
      <c r="U54">
        <f t="shared" si="37"/>
        <v>3.4114575783677581</v>
      </c>
      <c r="V54">
        <f t="shared" si="38"/>
        <v>2.1611199511976249</v>
      </c>
      <c r="W54">
        <f t="shared" si="39"/>
        <v>2.211050888946394</v>
      </c>
      <c r="X54">
        <f t="shared" si="40"/>
        <v>1.8258544580739298</v>
      </c>
      <c r="Y54">
        <f t="shared" si="41"/>
        <v>5.7479014829943544</v>
      </c>
      <c r="Z54">
        <f t="shared" si="44"/>
        <v>16437.85126477731</v>
      </c>
      <c r="AA54">
        <f t="shared" si="45"/>
        <v>0.16137163681507782</v>
      </c>
      <c r="AB54">
        <f t="shared" si="21"/>
        <v>3932.5314065074353</v>
      </c>
      <c r="AC54">
        <f t="shared" si="46"/>
        <v>23241.947819198045</v>
      </c>
      <c r="AD54">
        <f t="shared" si="47"/>
        <v>18514.366668819272</v>
      </c>
      <c r="AE54">
        <v>-3.6386365599151038E-2</v>
      </c>
      <c r="AF54">
        <v>0.28541965484597515</v>
      </c>
      <c r="AG54">
        <v>157</v>
      </c>
      <c r="AH54">
        <f t="shared" si="48"/>
        <v>2987.6936539418857</v>
      </c>
      <c r="AI54">
        <f t="shared" si="49"/>
        <v>19.029895884980164</v>
      </c>
    </row>
    <row r="55" spans="5:35" x14ac:dyDescent="0.3">
      <c r="E55">
        <v>41</v>
      </c>
      <c r="F55">
        <f t="shared" si="50"/>
        <v>1915.2422710132753</v>
      </c>
      <c r="G55">
        <f t="shared" si="23"/>
        <v>784.55992808950475</v>
      </c>
      <c r="H55">
        <f t="shared" si="24"/>
        <v>542.99263481927483</v>
      </c>
      <c r="I55">
        <f t="shared" si="25"/>
        <v>293.46717149927838</v>
      </c>
      <c r="J55">
        <f t="shared" si="26"/>
        <v>161.54733957181753</v>
      </c>
      <c r="K55">
        <f t="shared" si="27"/>
        <v>93.839856571064047</v>
      </c>
      <c r="L55">
        <f t="shared" si="28"/>
        <v>78.607346797305212</v>
      </c>
      <c r="M55">
        <f t="shared" si="29"/>
        <v>43.826521641114077</v>
      </c>
      <c r="N55">
        <f t="shared" si="30"/>
        <v>35.247467149865756</v>
      </c>
      <c r="O55">
        <f t="shared" si="31"/>
        <v>25.181465954328356</v>
      </c>
      <c r="P55">
        <f t="shared" si="32"/>
        <v>16.509477747303329</v>
      </c>
      <c r="Q55">
        <f t="shared" si="33"/>
        <v>12.553941630897398</v>
      </c>
      <c r="R55">
        <f t="shared" si="34"/>
        <v>9.3431480528776074</v>
      </c>
      <c r="S55">
        <f t="shared" si="35"/>
        <v>7.0832782860646626</v>
      </c>
      <c r="T55">
        <f t="shared" si="36"/>
        <v>4.6092591777457486</v>
      </c>
      <c r="U55">
        <f t="shared" si="37"/>
        <v>3.0916826639567851</v>
      </c>
      <c r="V55">
        <f t="shared" si="38"/>
        <v>2.3758502103454981</v>
      </c>
      <c r="W55">
        <f t="shared" si="39"/>
        <v>1.5105901557960353</v>
      </c>
      <c r="X55">
        <f t="shared" si="40"/>
        <v>1.5502472165415133</v>
      </c>
      <c r="Y55">
        <f t="shared" si="41"/>
        <v>5.3327800950306603</v>
      </c>
      <c r="Z55">
        <f t="shared" si="44"/>
        <v>15728.357898817687</v>
      </c>
      <c r="AA55">
        <f t="shared" si="45"/>
        <v>0.15243298106592251</v>
      </c>
      <c r="AB55">
        <f t="shared" si="21"/>
        <v>4038.4722583433872</v>
      </c>
      <c r="AC55">
        <f t="shared" si="46"/>
        <v>22297.955419412807</v>
      </c>
      <c r="AD55">
        <f t="shared" si="47"/>
        <v>17668.922466432628</v>
      </c>
      <c r="AE55">
        <v>0.24047319337419892</v>
      </c>
      <c r="AF55">
        <v>6.7184819983417216E-2</v>
      </c>
      <c r="AG55">
        <v>161</v>
      </c>
      <c r="AH55">
        <f t="shared" si="48"/>
        <v>2693.3265237809778</v>
      </c>
      <c r="AI55">
        <f t="shared" si="49"/>
        <v>16.728736172552658</v>
      </c>
    </row>
    <row r="56" spans="5:35" x14ac:dyDescent="0.3">
      <c r="E56">
        <v>42</v>
      </c>
      <c r="F56">
        <f t="shared" si="50"/>
        <v>1702.2129055933183</v>
      </c>
      <c r="G56">
        <f t="shared" si="23"/>
        <v>919.64566213834303</v>
      </c>
      <c r="H56">
        <f t="shared" si="24"/>
        <v>435.15659193736229</v>
      </c>
      <c r="I56">
        <f t="shared" si="25"/>
        <v>316.24835227419527</v>
      </c>
      <c r="J56">
        <f t="shared" si="26"/>
        <v>175.01033346703946</v>
      </c>
      <c r="K56">
        <f t="shared" si="27"/>
        <v>98.805356265207024</v>
      </c>
      <c r="L56">
        <f t="shared" si="28"/>
        <v>58.885632410368885</v>
      </c>
      <c r="M56">
        <f t="shared" si="29"/>
        <v>50.469547506126922</v>
      </c>
      <c r="N56">
        <f t="shared" si="30"/>
        <v>28.688210016557161</v>
      </c>
      <c r="O56">
        <f t="shared" si="31"/>
        <v>23.445377960210703</v>
      </c>
      <c r="P56">
        <f t="shared" si="32"/>
        <v>16.972857382414801</v>
      </c>
      <c r="Q56">
        <f t="shared" si="33"/>
        <v>11.24993688252248</v>
      </c>
      <c r="R56">
        <f t="shared" si="34"/>
        <v>8.6322202300765678</v>
      </c>
      <c r="S56">
        <f t="shared" si="35"/>
        <v>6.4728379421321165</v>
      </c>
      <c r="T56">
        <f t="shared" si="36"/>
        <v>4.9379815933259126</v>
      </c>
      <c r="U56">
        <f t="shared" si="37"/>
        <v>3.2300690306447408</v>
      </c>
      <c r="V56">
        <f t="shared" si="38"/>
        <v>2.1760625023694291</v>
      </c>
      <c r="W56">
        <f t="shared" si="39"/>
        <v>1.67835984466458</v>
      </c>
      <c r="X56">
        <f t="shared" si="40"/>
        <v>1.0704041267897932</v>
      </c>
      <c r="Y56">
        <f t="shared" si="41"/>
        <v>4.8982003359037476</v>
      </c>
      <c r="Z56">
        <f t="shared" si="44"/>
        <v>15697.093878639589</v>
      </c>
      <c r="AA56">
        <f t="shared" si="45"/>
        <v>0.13172068600609366</v>
      </c>
      <c r="AB56">
        <f t="shared" si="21"/>
        <v>3869.8868994395743</v>
      </c>
      <c r="AC56">
        <f t="shared" si="46"/>
        <v>21660.425281030235</v>
      </c>
      <c r="AD56">
        <f t="shared" si="47"/>
        <v>17104.913859962373</v>
      </c>
      <c r="AE56">
        <v>-0.17849519576545961</v>
      </c>
      <c r="AF56">
        <v>-0.38867994051529386</v>
      </c>
      <c r="AG56">
        <v>165</v>
      </c>
      <c r="AH56">
        <f t="shared" si="48"/>
        <v>2253.0709877093832</v>
      </c>
      <c r="AI56">
        <f t="shared" si="49"/>
        <v>13.654975683087171</v>
      </c>
    </row>
    <row r="57" spans="5:35" x14ac:dyDescent="0.3">
      <c r="E57">
        <v>43</v>
      </c>
      <c r="F57">
        <f t="shared" si="50"/>
        <v>1972.2533131249777</v>
      </c>
      <c r="G57">
        <f t="shared" si="23"/>
        <v>818.41033243547679</v>
      </c>
      <c r="H57">
        <f t="shared" si="24"/>
        <v>512.68591473722813</v>
      </c>
      <c r="I57">
        <f t="shared" si="25"/>
        <v>256.51877048554445</v>
      </c>
      <c r="J57">
        <f t="shared" si="26"/>
        <v>192.05747104055047</v>
      </c>
      <c r="K57">
        <f t="shared" si="27"/>
        <v>109.35752123776022</v>
      </c>
      <c r="L57">
        <f t="shared" si="28"/>
        <v>63.434274474563999</v>
      </c>
      <c r="M57">
        <f t="shared" si="29"/>
        <v>38.70507486947082</v>
      </c>
      <c r="N57">
        <f t="shared" si="30"/>
        <v>33.830991606261819</v>
      </c>
      <c r="O57">
        <f t="shared" si="31"/>
        <v>19.544092280927167</v>
      </c>
      <c r="P57">
        <f t="shared" si="32"/>
        <v>16.186337422515781</v>
      </c>
      <c r="Q57">
        <f t="shared" si="33"/>
        <v>11.847022253302219</v>
      </c>
      <c r="R57">
        <f t="shared" si="34"/>
        <v>7.9239606441383534</v>
      </c>
      <c r="S57">
        <f t="shared" si="35"/>
        <v>6.1260673997960877</v>
      </c>
      <c r="T57">
        <f t="shared" si="36"/>
        <v>4.6224580843790148</v>
      </c>
      <c r="U57">
        <f t="shared" si="37"/>
        <v>3.5448424239237593</v>
      </c>
      <c r="V57">
        <f t="shared" si="38"/>
        <v>2.3289368308707696</v>
      </c>
      <c r="W57">
        <f t="shared" si="39"/>
        <v>1.5747397643948851</v>
      </c>
      <c r="X57">
        <f t="shared" si="40"/>
        <v>1.2183135607318829</v>
      </c>
      <c r="Y57">
        <f t="shared" si="41"/>
        <v>4.3515896580594227</v>
      </c>
      <c r="Z57">
        <f t="shared" si="44"/>
        <v>15409.200060325944</v>
      </c>
      <c r="AA57">
        <f t="shared" si="45"/>
        <v>0.13695969899603122</v>
      </c>
      <c r="AB57">
        <f t="shared" si="21"/>
        <v>4076.522024334874</v>
      </c>
      <c r="AC57">
        <f t="shared" si="46"/>
        <v>21550.864819153157</v>
      </c>
      <c r="AD57">
        <f t="shared" si="47"/>
        <v>16948.97985371387</v>
      </c>
      <c r="AE57">
        <v>-1.3733202997464796E-2</v>
      </c>
      <c r="AF57">
        <v>-0.3436721763217041</v>
      </c>
      <c r="AG57">
        <v>169</v>
      </c>
      <c r="AH57">
        <f t="shared" si="48"/>
        <v>2321.3271790544491</v>
      </c>
      <c r="AI57">
        <f t="shared" si="49"/>
        <v>13.735663781387272</v>
      </c>
    </row>
    <row r="58" spans="5:35" x14ac:dyDescent="0.3">
      <c r="E58">
        <v>44</v>
      </c>
      <c r="F58">
        <f t="shared" si="50"/>
        <v>1849.7069748977081</v>
      </c>
      <c r="G58">
        <f t="shared" si="23"/>
        <v>947.93429218009237</v>
      </c>
      <c r="H58">
        <f t="shared" si="24"/>
        <v>455.66289591035456</v>
      </c>
      <c r="I58">
        <f t="shared" si="25"/>
        <v>301.30455787947352</v>
      </c>
      <c r="J58">
        <f t="shared" si="26"/>
        <v>155.07353423164034</v>
      </c>
      <c r="K58">
        <f t="shared" si="27"/>
        <v>119.3662338086279</v>
      </c>
      <c r="L58">
        <f t="shared" si="28"/>
        <v>69.807794882423636</v>
      </c>
      <c r="M58">
        <f t="shared" si="29"/>
        <v>41.450234923744674</v>
      </c>
      <c r="N58">
        <f t="shared" si="30"/>
        <v>25.790883818036633</v>
      </c>
      <c r="O58">
        <f t="shared" si="31"/>
        <v>22.909937798314637</v>
      </c>
      <c r="P58">
        <f t="shared" si="32"/>
        <v>13.412056429789944</v>
      </c>
      <c r="Q58">
        <f t="shared" si="33"/>
        <v>11.230170663155125</v>
      </c>
      <c r="R58">
        <f t="shared" si="34"/>
        <v>8.2943410845307142</v>
      </c>
      <c r="S58">
        <f t="shared" si="35"/>
        <v>5.5895913622552325</v>
      </c>
      <c r="T58">
        <f t="shared" si="36"/>
        <v>4.3484770750403321</v>
      </c>
      <c r="U58">
        <f t="shared" si="37"/>
        <v>3.2983496705467243</v>
      </c>
      <c r="V58">
        <f t="shared" si="38"/>
        <v>2.5404954708368837</v>
      </c>
      <c r="W58">
        <f t="shared" si="39"/>
        <v>1.6752137833972587</v>
      </c>
      <c r="X58">
        <f t="shared" si="40"/>
        <v>1.1362071738988673</v>
      </c>
      <c r="Y58">
        <f t="shared" si="41"/>
        <v>4.0360803738322524</v>
      </c>
      <c r="Z58">
        <f t="shared" si="44"/>
        <v>15368.087418451909</v>
      </c>
      <c r="AA58">
        <f t="shared" si="45"/>
        <v>0.16662179963095103</v>
      </c>
      <c r="AB58">
        <f t="shared" si="21"/>
        <v>4044.5683234176995</v>
      </c>
      <c r="AC58">
        <f t="shared" si="46"/>
        <v>21451.520981526632</v>
      </c>
      <c r="AD58">
        <f t="shared" si="47"/>
        <v>16770.94979647284</v>
      </c>
      <c r="AE58">
        <v>-0.30802928826754056</v>
      </c>
      <c r="AF58">
        <v>0.13046247169435057</v>
      </c>
      <c r="AG58">
        <v>173</v>
      </c>
      <c r="AH58">
        <f t="shared" si="48"/>
        <v>2794.4058366086365</v>
      </c>
      <c r="AI58">
        <f t="shared" si="49"/>
        <v>16.152634893691541</v>
      </c>
    </row>
    <row r="59" spans="5:35" x14ac:dyDescent="0.3">
      <c r="E59">
        <v>45</v>
      </c>
      <c r="F59">
        <f t="shared" si="50"/>
        <v>2038.0358227959937</v>
      </c>
      <c r="G59">
        <f t="shared" si="23"/>
        <v>887.39180768391043</v>
      </c>
      <c r="H59">
        <f t="shared" si="24"/>
        <v>523.93358501936461</v>
      </c>
      <c r="I59">
        <f t="shared" si="25"/>
        <v>263.17949802840178</v>
      </c>
      <c r="J59">
        <f t="shared" si="26"/>
        <v>177.42497157310055</v>
      </c>
      <c r="K59">
        <f t="shared" si="27"/>
        <v>93.438851630720976</v>
      </c>
      <c r="L59">
        <f t="shared" si="28"/>
        <v>73.718014770201933</v>
      </c>
      <c r="M59">
        <f t="shared" si="29"/>
        <v>44.090737282258701</v>
      </c>
      <c r="N59">
        <f t="shared" si="30"/>
        <v>26.68580789534186</v>
      </c>
      <c r="O59">
        <f t="shared" si="31"/>
        <v>16.870847694639508</v>
      </c>
      <c r="P59">
        <f t="shared" si="32"/>
        <v>15.184989025466034</v>
      </c>
      <c r="Q59">
        <f t="shared" si="33"/>
        <v>8.98699301834891</v>
      </c>
      <c r="R59">
        <f t="shared" si="34"/>
        <v>7.5931547114439581</v>
      </c>
      <c r="S59">
        <f t="shared" si="35"/>
        <v>5.6502961921988062</v>
      </c>
      <c r="T59">
        <f t="shared" si="36"/>
        <v>3.8315918262352127</v>
      </c>
      <c r="U59">
        <f t="shared" si="37"/>
        <v>2.9963961511409658</v>
      </c>
      <c r="V59">
        <f t="shared" si="38"/>
        <v>2.2827198946334697</v>
      </c>
      <c r="W59">
        <f t="shared" si="39"/>
        <v>1.7646660425578731</v>
      </c>
      <c r="X59">
        <f t="shared" si="40"/>
        <v>1.1672083718484703</v>
      </c>
      <c r="Y59">
        <f t="shared" si="41"/>
        <v>3.6192676878803782</v>
      </c>
      <c r="Z59">
        <f t="shared" si="44"/>
        <v>14715.155723545638</v>
      </c>
      <c r="AA59">
        <f t="shared" si="45"/>
        <v>0.14364503825918717</v>
      </c>
      <c r="AB59">
        <f t="shared" si="21"/>
        <v>4197.8472272956878</v>
      </c>
      <c r="AC59">
        <f t="shared" si="46"/>
        <v>21014.25954617235</v>
      </c>
      <c r="AD59">
        <f t="shared" si="47"/>
        <v>16253.500255793839</v>
      </c>
      <c r="AE59">
        <v>-7.318941696406793E-2</v>
      </c>
      <c r="AF59">
        <v>-0.33067770172138605</v>
      </c>
      <c r="AG59">
        <v>177</v>
      </c>
      <c r="AH59">
        <f t="shared" si="48"/>
        <v>2334.7346660892144</v>
      </c>
      <c r="AI59">
        <f t="shared" si="49"/>
        <v>13.19059133383737</v>
      </c>
    </row>
    <row r="60" spans="5:35" x14ac:dyDescent="0.3">
      <c r="E60">
        <v>46</v>
      </c>
      <c r="F60">
        <f t="shared" si="50"/>
        <v>1850.3376602247565</v>
      </c>
      <c r="G60">
        <f t="shared" si="23"/>
        <v>979.14381975859123</v>
      </c>
      <c r="H60">
        <f t="shared" si="24"/>
        <v>493.25842067211198</v>
      </c>
      <c r="I60">
        <f t="shared" si="25"/>
        <v>306.7193937640086</v>
      </c>
      <c r="J60">
        <f t="shared" si="26"/>
        <v>158.17036652291463</v>
      </c>
      <c r="K60">
        <f t="shared" si="27"/>
        <v>109.51345367143207</v>
      </c>
      <c r="L60">
        <f t="shared" si="28"/>
        <v>59.208868602448433</v>
      </c>
      <c r="M60">
        <f t="shared" si="29"/>
        <v>47.807232489768083</v>
      </c>
      <c r="N60">
        <f t="shared" si="30"/>
        <v>29.155597303615306</v>
      </c>
      <c r="O60">
        <f t="shared" si="31"/>
        <v>17.932683390878775</v>
      </c>
      <c r="P60">
        <f t="shared" si="32"/>
        <v>11.488448243863171</v>
      </c>
      <c r="Q60">
        <f t="shared" si="33"/>
        <v>10.454190046834276</v>
      </c>
      <c r="R60">
        <f t="shared" si="34"/>
        <v>6.2434015953662119</v>
      </c>
      <c r="S60">
        <f t="shared" si="35"/>
        <v>5.3148575240415923</v>
      </c>
      <c r="T60">
        <f t="shared" si="36"/>
        <v>3.9797568997610258</v>
      </c>
      <c r="U60">
        <f t="shared" si="37"/>
        <v>2.7128868193455076</v>
      </c>
      <c r="V60">
        <f t="shared" si="38"/>
        <v>2.1308289618482346</v>
      </c>
      <c r="W60">
        <f t="shared" si="39"/>
        <v>1.6292674998640089</v>
      </c>
      <c r="X60">
        <f t="shared" si="40"/>
        <v>1.2633917352578325</v>
      </c>
      <c r="Y60">
        <f t="shared" si="41"/>
        <v>3.4413629660577509</v>
      </c>
      <c r="Z60">
        <f t="shared" si="44"/>
        <v>14869.847067072524</v>
      </c>
      <c r="AA60">
        <f t="shared" si="45"/>
        <v>0.17146255451873293</v>
      </c>
      <c r="AB60">
        <f t="shared" si="21"/>
        <v>4099.905888692766</v>
      </c>
      <c r="AC60">
        <f t="shared" si="46"/>
        <v>21084.108913069969</v>
      </c>
      <c r="AD60">
        <f t="shared" si="47"/>
        <v>16252.733422646175</v>
      </c>
      <c r="AE60">
        <v>-0.13135893745592117</v>
      </c>
      <c r="AF60">
        <v>9.6102000470104879E-2</v>
      </c>
      <c r="AG60">
        <v>181</v>
      </c>
      <c r="AH60">
        <f t="shared" si="48"/>
        <v>2786.7351905589026</v>
      </c>
      <c r="AI60">
        <f t="shared" si="49"/>
        <v>15.396327019662445</v>
      </c>
    </row>
    <row r="61" spans="5:35" x14ac:dyDescent="0.3">
      <c r="E61">
        <v>47</v>
      </c>
      <c r="F61">
        <f t="shared" si="50"/>
        <v>1895.3184767152327</v>
      </c>
      <c r="G61">
        <f t="shared" si="23"/>
        <v>887.42625082804466</v>
      </c>
      <c r="H61">
        <f t="shared" si="24"/>
        <v>540.53547794562712</v>
      </c>
      <c r="I61">
        <f t="shared" si="25"/>
        <v>284.07883991704921</v>
      </c>
      <c r="J61">
        <f t="shared" si="26"/>
        <v>179.82890730502587</v>
      </c>
      <c r="K61">
        <f t="shared" si="27"/>
        <v>94.815224233540974</v>
      </c>
      <c r="L61">
        <f t="shared" si="28"/>
        <v>67.262010902515911</v>
      </c>
      <c r="M61">
        <f t="shared" si="29"/>
        <v>37.185459750076632</v>
      </c>
      <c r="N61">
        <f t="shared" si="30"/>
        <v>30.60260733708898</v>
      </c>
      <c r="O61">
        <f t="shared" si="31"/>
        <v>18.962176992080355</v>
      </c>
      <c r="P61">
        <f t="shared" si="32"/>
        <v>11.817423374317192</v>
      </c>
      <c r="Q61">
        <f t="shared" si="33"/>
        <v>7.6535397615742067</v>
      </c>
      <c r="R61">
        <f t="shared" si="34"/>
        <v>7.0275695496956052</v>
      </c>
      <c r="S61">
        <f t="shared" si="35"/>
        <v>4.2285112137529222</v>
      </c>
      <c r="T61">
        <f t="shared" si="36"/>
        <v>3.6221494912643077</v>
      </c>
      <c r="U61">
        <f t="shared" si="37"/>
        <v>2.7264229645275044</v>
      </c>
      <c r="V61">
        <f t="shared" si="38"/>
        <v>1.8666443649978581</v>
      </c>
      <c r="W61">
        <f t="shared" si="39"/>
        <v>1.4715200608423642</v>
      </c>
      <c r="X61">
        <f t="shared" si="40"/>
        <v>1.1286094369597217</v>
      </c>
      <c r="Y61">
        <f t="shared" si="41"/>
        <v>3.2726650651534013</v>
      </c>
      <c r="Z61">
        <f t="shared" si="44"/>
        <v>14564.866412663292</v>
      </c>
      <c r="AA61">
        <f t="shared" si="45"/>
        <v>0.1339061797223241</v>
      </c>
      <c r="AB61">
        <f t="shared" si="21"/>
        <v>4080.8304872093677</v>
      </c>
      <c r="AC61">
        <f t="shared" si="46"/>
        <v>20709.80542522814</v>
      </c>
      <c r="AD61">
        <f t="shared" si="47"/>
        <v>15926.924561646376</v>
      </c>
      <c r="AE61">
        <v>0.57753178003701433</v>
      </c>
      <c r="AF61">
        <v>-0.63049100210023024</v>
      </c>
      <c r="AG61">
        <v>185</v>
      </c>
      <c r="AH61">
        <f t="shared" si="48"/>
        <v>2132.7136227757178</v>
      </c>
      <c r="AI61">
        <f t="shared" si="49"/>
        <v>11.52818174473361</v>
      </c>
    </row>
    <row r="62" spans="5:35" x14ac:dyDescent="0.3">
      <c r="E62">
        <v>48</v>
      </c>
      <c r="F62">
        <f t="shared" si="50"/>
        <v>1455.8357470902104</v>
      </c>
      <c r="G62">
        <f t="shared" si="23"/>
        <v>911.12994862036032</v>
      </c>
      <c r="H62">
        <f t="shared" si="24"/>
        <v>494.45903861903878</v>
      </c>
      <c r="I62">
        <f t="shared" si="25"/>
        <v>318.23499216313286</v>
      </c>
      <c r="J62">
        <f t="shared" si="26"/>
        <v>172.19285039282357</v>
      </c>
      <c r="K62">
        <f t="shared" si="27"/>
        <v>112.1171544586591</v>
      </c>
      <c r="L62">
        <f t="shared" si="28"/>
        <v>60.727487748626757</v>
      </c>
      <c r="M62">
        <f t="shared" si="29"/>
        <v>44.102598275331964</v>
      </c>
      <c r="N62">
        <f t="shared" si="30"/>
        <v>24.864581655352165</v>
      </c>
      <c r="O62">
        <f t="shared" si="31"/>
        <v>20.796323845121375</v>
      </c>
      <c r="P62">
        <f t="shared" si="32"/>
        <v>13.058462775739173</v>
      </c>
      <c r="Q62">
        <f t="shared" si="33"/>
        <v>8.2278709316825385</v>
      </c>
      <c r="R62">
        <f t="shared" si="34"/>
        <v>5.3772933223102912</v>
      </c>
      <c r="S62">
        <f t="shared" si="35"/>
        <v>4.9747670809174327</v>
      </c>
      <c r="T62">
        <f t="shared" si="36"/>
        <v>3.0121287038626074</v>
      </c>
      <c r="U62">
        <f t="shared" si="37"/>
        <v>2.5937089791259438</v>
      </c>
      <c r="V62">
        <f t="shared" si="38"/>
        <v>1.9608585639545297</v>
      </c>
      <c r="W62">
        <f t="shared" si="39"/>
        <v>1.3474291656293453</v>
      </c>
      <c r="X62">
        <f t="shared" si="40"/>
        <v>1.0654840786720459</v>
      </c>
      <c r="Y62">
        <f t="shared" si="41"/>
        <v>3.2002747059477636</v>
      </c>
      <c r="Z62">
        <f t="shared" si="44"/>
        <v>15095.131354745175</v>
      </c>
      <c r="AA62">
        <f t="shared" si="45"/>
        <v>0.17100389865340659</v>
      </c>
      <c r="AB62">
        <f t="shared" si="21"/>
        <v>3659.2790011764992</v>
      </c>
      <c r="AC62">
        <f t="shared" si="46"/>
        <v>20777.906115848727</v>
      </c>
      <c r="AD62">
        <f t="shared" si="47"/>
        <v>16189.235075412094</v>
      </c>
      <c r="AE62">
        <v>0.88717381908805548</v>
      </c>
      <c r="AF62">
        <v>-1.9389457888623837E-2</v>
      </c>
      <c r="AG62">
        <v>189</v>
      </c>
      <c r="AH62">
        <f t="shared" si="48"/>
        <v>2768.4223141119451</v>
      </c>
      <c r="AI62">
        <f t="shared" si="49"/>
        <v>14.647737111703414</v>
      </c>
    </row>
    <row r="63" spans="5:35" x14ac:dyDescent="0.3">
      <c r="E63">
        <v>49</v>
      </c>
      <c r="F63">
        <f t="shared" si="50"/>
        <v>1299.7951810397572</v>
      </c>
      <c r="G63">
        <f t="shared" si="23"/>
        <v>698.24220284251351</v>
      </c>
      <c r="H63">
        <f t="shared" si="24"/>
        <v>503.04560887067726</v>
      </c>
      <c r="I63">
        <f t="shared" si="25"/>
        <v>284.84770146591495</v>
      </c>
      <c r="J63">
        <f t="shared" si="26"/>
        <v>186.65761055431895</v>
      </c>
      <c r="K63">
        <f t="shared" si="27"/>
        <v>103.27150461732339</v>
      </c>
      <c r="L63">
        <f t="shared" si="28"/>
        <v>68.897177577420948</v>
      </c>
      <c r="M63">
        <f t="shared" si="29"/>
        <v>38.159713688047113</v>
      </c>
      <c r="N63">
        <f t="shared" si="30"/>
        <v>28.246549320341</v>
      </c>
      <c r="O63">
        <f t="shared" si="31"/>
        <v>16.180253492110371</v>
      </c>
      <c r="P63">
        <f t="shared" si="32"/>
        <v>13.712063625521179</v>
      </c>
      <c r="Q63">
        <f t="shared" si="33"/>
        <v>8.704267646263764</v>
      </c>
      <c r="R63">
        <f t="shared" si="34"/>
        <v>5.5340328754325503</v>
      </c>
      <c r="S63">
        <f t="shared" si="35"/>
        <v>3.6439267141057905</v>
      </c>
      <c r="T63">
        <f t="shared" si="36"/>
        <v>3.3922457959736838</v>
      </c>
      <c r="U63">
        <f t="shared" si="37"/>
        <v>2.0646674783567813</v>
      </c>
      <c r="V63">
        <f t="shared" si="38"/>
        <v>1.7856285542631078</v>
      </c>
      <c r="W63">
        <f t="shared" si="39"/>
        <v>1.354889510012306</v>
      </c>
      <c r="X63">
        <f t="shared" si="40"/>
        <v>0.93389333577554445</v>
      </c>
      <c r="Y63">
        <f t="shared" si="41"/>
        <v>2.9690579754270714</v>
      </c>
      <c r="Z63">
        <f t="shared" si="44"/>
        <v>14787.570149960418</v>
      </c>
      <c r="AA63">
        <f t="shared" si="45"/>
        <v>0.20315432085164986</v>
      </c>
      <c r="AB63">
        <f t="shared" si="21"/>
        <v>3271.4381769795564</v>
      </c>
      <c r="AC63">
        <f t="shared" si="46"/>
        <v>19873.372608133544</v>
      </c>
      <c r="AD63">
        <f t="shared" si="47"/>
        <v>15754.913852141837</v>
      </c>
      <c r="AE63">
        <v>5.355266649434106E-2</v>
      </c>
      <c r="AF63">
        <v>0.40668730874670594</v>
      </c>
      <c r="AG63">
        <v>193</v>
      </c>
      <c r="AH63">
        <f t="shared" si="48"/>
        <v>3200.6788237081255</v>
      </c>
      <c r="AI63">
        <f t="shared" si="49"/>
        <v>16.583828102114641</v>
      </c>
    </row>
    <row r="64" spans="5:35" x14ac:dyDescent="0.3">
      <c r="E64">
        <v>50</v>
      </c>
      <c r="F64">
        <f t="shared" si="50"/>
        <v>1775.9141202570847</v>
      </c>
      <c r="G64">
        <f t="shared" si="23"/>
        <v>622.15169981215365</v>
      </c>
      <c r="H64">
        <f t="shared" si="24"/>
        <v>382.43891607803545</v>
      </c>
      <c r="I64">
        <f t="shared" si="25"/>
        <v>284.27465292321864</v>
      </c>
      <c r="J64">
        <f t="shared" si="26"/>
        <v>162.23506404303745</v>
      </c>
      <c r="K64">
        <f t="shared" si="27"/>
        <v>108.10918535161366</v>
      </c>
      <c r="L64">
        <f t="shared" si="28"/>
        <v>61.136965533785343</v>
      </c>
      <c r="M64">
        <f t="shared" si="29"/>
        <v>41.662856275309672</v>
      </c>
      <c r="N64">
        <f t="shared" si="30"/>
        <v>23.508006440704619</v>
      </c>
      <c r="O64">
        <f t="shared" si="31"/>
        <v>17.675379985844973</v>
      </c>
      <c r="P64">
        <f t="shared" si="32"/>
        <v>10.257484381472816</v>
      </c>
      <c r="Q64">
        <f t="shared" si="33"/>
        <v>8.7871405018001845</v>
      </c>
      <c r="R64">
        <f t="shared" si="34"/>
        <v>5.6282031568782607</v>
      </c>
      <c r="S64">
        <f t="shared" si="35"/>
        <v>3.6050988951959568</v>
      </c>
      <c r="T64">
        <f t="shared" si="36"/>
        <v>2.3886060158390761</v>
      </c>
      <c r="U64">
        <f t="shared" si="37"/>
        <v>2.2352073776729267</v>
      </c>
      <c r="V64">
        <f t="shared" si="38"/>
        <v>1.3663731393379221</v>
      </c>
      <c r="W64">
        <f t="shared" si="39"/>
        <v>1.1860272751024581</v>
      </c>
      <c r="X64">
        <f t="shared" si="40"/>
        <v>0.90268997101822557</v>
      </c>
      <c r="Y64">
        <f t="shared" si="41"/>
        <v>2.6113539582978009</v>
      </c>
      <c r="Z64">
        <f t="shared" si="44"/>
        <v>14047.499936121087</v>
      </c>
      <c r="AA64">
        <f t="shared" si="45"/>
        <v>0.17768996147067206</v>
      </c>
      <c r="AB64">
        <f t="shared" si="21"/>
        <v>3518.0750313734038</v>
      </c>
      <c r="AC64">
        <f t="shared" si="46"/>
        <v>18517.909820674322</v>
      </c>
      <c r="AD64">
        <f t="shared" si="47"/>
        <v>14661.45814371296</v>
      </c>
      <c r="AE64">
        <v>-5.9048250982332573E-2</v>
      </c>
      <c r="AF64">
        <v>-1.7347111323787117E-2</v>
      </c>
      <c r="AG64">
        <v>197</v>
      </c>
      <c r="AH64">
        <f t="shared" si="48"/>
        <v>2605.1939326602269</v>
      </c>
      <c r="AI64">
        <f t="shared" si="49"/>
        <v>13.224334683554451</v>
      </c>
    </row>
    <row r="65" spans="5:35" x14ac:dyDescent="0.3">
      <c r="E65">
        <v>51</v>
      </c>
      <c r="F65">
        <f t="shared" si="50"/>
        <v>1803.8524721904441</v>
      </c>
      <c r="G65">
        <f t="shared" si="23"/>
        <v>851.40148927764324</v>
      </c>
      <c r="H65">
        <f t="shared" si="24"/>
        <v>342.92864705730847</v>
      </c>
      <c r="I65">
        <f t="shared" si="25"/>
        <v>219.44254718551278</v>
      </c>
      <c r="J65">
        <f t="shared" si="26"/>
        <v>165.73408783893927</v>
      </c>
      <c r="K65">
        <f t="shared" si="27"/>
        <v>96.605760770034792</v>
      </c>
      <c r="L65">
        <f t="shared" si="28"/>
        <v>65.928193111006834</v>
      </c>
      <c r="M65">
        <f t="shared" si="29"/>
        <v>38.116130912589512</v>
      </c>
      <c r="N65">
        <f t="shared" si="30"/>
        <v>26.472281299107451</v>
      </c>
      <c r="O65">
        <f t="shared" si="31"/>
        <v>15.175354233540839</v>
      </c>
      <c r="P65">
        <f t="shared" si="32"/>
        <v>11.560904260548275</v>
      </c>
      <c r="Q65">
        <f t="shared" si="33"/>
        <v>6.7823600946424722</v>
      </c>
      <c r="R65">
        <f t="shared" si="34"/>
        <v>5.8626955160182499</v>
      </c>
      <c r="S65">
        <f t="shared" si="35"/>
        <v>3.7832793573636994</v>
      </c>
      <c r="T65">
        <f t="shared" si="36"/>
        <v>2.4384992443920912</v>
      </c>
      <c r="U65">
        <f t="shared" si="37"/>
        <v>1.624092286837683</v>
      </c>
      <c r="V65">
        <f t="shared" si="38"/>
        <v>1.5264281359939558</v>
      </c>
      <c r="W65">
        <f t="shared" si="39"/>
        <v>0.93651537075588953</v>
      </c>
      <c r="X65">
        <f t="shared" si="40"/>
        <v>0.81540520694874896</v>
      </c>
      <c r="Y65">
        <f t="shared" si="41"/>
        <v>2.4261056747348837</v>
      </c>
      <c r="Z65">
        <f t="shared" si="44"/>
        <v>13139.623995664102</v>
      </c>
      <c r="AA65">
        <f t="shared" si="45"/>
        <v>0.18380039375138901</v>
      </c>
      <c r="AB65">
        <f t="shared" si="21"/>
        <v>3663.4132490243642</v>
      </c>
      <c r="AC65">
        <f t="shared" si="46"/>
        <v>17946.891702673576</v>
      </c>
      <c r="AD65">
        <f t="shared" si="47"/>
        <v>13928.191511962352</v>
      </c>
      <c r="AE65">
        <v>0.51680053638471846</v>
      </c>
      <c r="AF65">
        <v>2.5938829897284629E-2</v>
      </c>
      <c r="AG65">
        <v>201</v>
      </c>
      <c r="AH65">
        <f t="shared" si="48"/>
        <v>2560.0070841434344</v>
      </c>
      <c r="AI65">
        <f t="shared" si="49"/>
        <v>12.736353652454898</v>
      </c>
    </row>
    <row r="66" spans="5:35" x14ac:dyDescent="0.3">
      <c r="E66">
        <v>52</v>
      </c>
      <c r="F66">
        <f t="shared" si="50"/>
        <v>1434.4295431521045</v>
      </c>
      <c r="G66">
        <f t="shared" si="23"/>
        <v>864.46562953919147</v>
      </c>
      <c r="H66">
        <f t="shared" si="24"/>
        <v>468.57942961209591</v>
      </c>
      <c r="I66">
        <f t="shared" si="25"/>
        <v>196.05651166723044</v>
      </c>
      <c r="J66">
        <f t="shared" si="26"/>
        <v>127.22792526688107</v>
      </c>
      <c r="K66">
        <f t="shared" si="27"/>
        <v>98.041733803959161</v>
      </c>
      <c r="L66">
        <f t="shared" si="28"/>
        <v>58.499795692371045</v>
      </c>
      <c r="M66">
        <f t="shared" si="29"/>
        <v>40.806710139028326</v>
      </c>
      <c r="N66">
        <f t="shared" si="30"/>
        <v>24.04173236800299</v>
      </c>
      <c r="O66">
        <f t="shared" si="31"/>
        <v>16.963223832791073</v>
      </c>
      <c r="P66">
        <f t="shared" si="32"/>
        <v>9.8524596322320992</v>
      </c>
      <c r="Q66">
        <f t="shared" si="33"/>
        <v>7.5876636148367504</v>
      </c>
      <c r="R66">
        <f t="shared" si="34"/>
        <v>4.4916190157751643</v>
      </c>
      <c r="S66">
        <f t="shared" si="35"/>
        <v>3.911701590022358</v>
      </c>
      <c r="T66">
        <f t="shared" si="36"/>
        <v>2.5400476364187097</v>
      </c>
      <c r="U66">
        <f t="shared" si="37"/>
        <v>1.6457187475379043</v>
      </c>
      <c r="V66">
        <f t="shared" si="38"/>
        <v>1.1008678629331512</v>
      </c>
      <c r="W66">
        <f t="shared" si="39"/>
        <v>1.0384540249672671</v>
      </c>
      <c r="X66">
        <f t="shared" si="40"/>
        <v>0.63908489961233594</v>
      </c>
      <c r="Y66">
        <f t="shared" si="41"/>
        <v>2.2213618581552694</v>
      </c>
      <c r="Z66">
        <f t="shared" si="44"/>
        <v>11937.553989303104</v>
      </c>
      <c r="AA66">
        <f t="shared" si="45"/>
        <v>0.23324113484544773</v>
      </c>
      <c r="AB66">
        <f t="shared" si="21"/>
        <v>3364.141213956148</v>
      </c>
      <c r="AC66">
        <f t="shared" si="46"/>
        <v>17437.637355894789</v>
      </c>
      <c r="AD66">
        <f t="shared" si="47"/>
        <v>13353.359855342085</v>
      </c>
      <c r="AE66">
        <v>-0.20990626656854594</v>
      </c>
      <c r="AF66">
        <v>0.74680839306336289</v>
      </c>
      <c r="AG66">
        <v>197</v>
      </c>
      <c r="AH66">
        <f t="shared" si="48"/>
        <v>3114.5528066596316</v>
      </c>
      <c r="AI66">
        <f t="shared" si="49"/>
        <v>15.809912724160567</v>
      </c>
    </row>
    <row r="67" spans="5:35" x14ac:dyDescent="0.3">
      <c r="E67">
        <v>53</v>
      </c>
      <c r="F67">
        <f t="shared" si="50"/>
        <v>1747.3161562517969</v>
      </c>
      <c r="G67">
        <f t="shared" si="23"/>
        <v>685.30302183944843</v>
      </c>
      <c r="H67">
        <f t="shared" si="24"/>
        <v>469.92670903130028</v>
      </c>
      <c r="I67">
        <f t="shared" si="25"/>
        <v>259.98615696427782</v>
      </c>
      <c r="J67">
        <f t="shared" si="26"/>
        <v>108.54683038122283</v>
      </c>
      <c r="K67">
        <f t="shared" si="27"/>
        <v>71.240667291439237</v>
      </c>
      <c r="L67">
        <f t="shared" si="28"/>
        <v>55.975818724965379</v>
      </c>
      <c r="M67">
        <f t="shared" si="29"/>
        <v>34.079874313933388</v>
      </c>
      <c r="N67">
        <f t="shared" si="30"/>
        <v>24.205707969657034</v>
      </c>
      <c r="O67">
        <f t="shared" si="31"/>
        <v>14.482154479549944</v>
      </c>
      <c r="P67">
        <f t="shared" si="32"/>
        <v>10.350645447918504</v>
      </c>
      <c r="Q67">
        <f t="shared" si="33"/>
        <v>6.0765600455755306</v>
      </c>
      <c r="R67">
        <f t="shared" si="34"/>
        <v>4.7216351775794685</v>
      </c>
      <c r="S67">
        <f t="shared" si="35"/>
        <v>2.8158616204819391</v>
      </c>
      <c r="T67">
        <f t="shared" si="36"/>
        <v>2.4675401731253883</v>
      </c>
      <c r="U67">
        <f t="shared" si="37"/>
        <v>1.6106067477197135</v>
      </c>
      <c r="V67">
        <f t="shared" si="38"/>
        <v>1.0480628101521763</v>
      </c>
      <c r="W67">
        <f t="shared" si="39"/>
        <v>0.70363563407730134</v>
      </c>
      <c r="X67">
        <f t="shared" si="40"/>
        <v>0.66577658843506382</v>
      </c>
      <c r="Y67">
        <f t="shared" si="41"/>
        <v>1.8417250032670911</v>
      </c>
      <c r="Z67">
        <f t="shared" si="44"/>
        <v>11211.566126459882</v>
      </c>
      <c r="AA67">
        <f t="shared" si="45"/>
        <v>0.17632441035101587</v>
      </c>
      <c r="AB67">
        <f t="shared" si="21"/>
        <v>3503.3651464959244</v>
      </c>
      <c r="AC67">
        <f t="shared" si="46"/>
        <v>16443.525154781535</v>
      </c>
      <c r="AD67">
        <f t="shared" si="47"/>
        <v>12445.160749324796</v>
      </c>
      <c r="AE67">
        <v>-4.9433060090394408E-2</v>
      </c>
      <c r="AF67">
        <v>1.2643215184762285E-2</v>
      </c>
      <c r="AG67">
        <v>193</v>
      </c>
      <c r="AH67">
        <f t="shared" si="48"/>
        <v>2194.3856308483014</v>
      </c>
      <c r="AI67">
        <f t="shared" si="49"/>
        <v>11.369873734965292</v>
      </c>
    </row>
    <row r="68" spans="5:35" x14ac:dyDescent="0.3">
      <c r="E68">
        <v>54</v>
      </c>
      <c r="F68">
        <f t="shared" si="50"/>
        <v>1614.3319739225692</v>
      </c>
      <c r="G68">
        <f t="shared" si="23"/>
        <v>837.76259602849041</v>
      </c>
      <c r="H68">
        <f t="shared" si="24"/>
        <v>377.8654471682205</v>
      </c>
      <c r="I68">
        <f t="shared" si="25"/>
        <v>269.86183986096012</v>
      </c>
      <c r="J68">
        <f t="shared" si="26"/>
        <v>151.76134049767523</v>
      </c>
      <c r="K68">
        <f t="shared" si="27"/>
        <v>64.730929415864779</v>
      </c>
      <c r="L68">
        <f t="shared" si="28"/>
        <v>43.512782498466855</v>
      </c>
      <c r="M68">
        <f t="shared" si="29"/>
        <v>34.954654725533963</v>
      </c>
      <c r="N68">
        <f t="shared" si="30"/>
        <v>21.689472738991146</v>
      </c>
      <c r="O68">
        <f t="shared" si="31"/>
        <v>15.65143194512097</v>
      </c>
      <c r="P68">
        <f t="shared" si="32"/>
        <v>9.4879405430869408</v>
      </c>
      <c r="Q68">
        <f t="shared" si="33"/>
        <v>6.8552703064677392</v>
      </c>
      <c r="R68">
        <f t="shared" si="34"/>
        <v>4.0609310612437781</v>
      </c>
      <c r="S68">
        <f t="shared" si="35"/>
        <v>3.1791403127683058</v>
      </c>
      <c r="T68">
        <f t="shared" si="36"/>
        <v>1.9078127891413272</v>
      </c>
      <c r="U68">
        <f t="shared" si="37"/>
        <v>1.6805432129930653</v>
      </c>
      <c r="V68">
        <f t="shared" si="38"/>
        <v>1.1017105676227983</v>
      </c>
      <c r="W68">
        <f t="shared" si="39"/>
        <v>0.71953596258401498</v>
      </c>
      <c r="X68">
        <f t="shared" si="40"/>
        <v>0.48455863221104595</v>
      </c>
      <c r="Y68">
        <f t="shared" si="41"/>
        <v>1.7340252849211457</v>
      </c>
      <c r="Z68">
        <f t="shared" si="44"/>
        <v>11647.487819421562</v>
      </c>
      <c r="AA68">
        <f t="shared" si="45"/>
        <v>0.21615405061471016</v>
      </c>
      <c r="AB68">
        <f t="shared" si="21"/>
        <v>3463.3339374749335</v>
      </c>
      <c r="AC68">
        <f t="shared" si="46"/>
        <v>16427.736404472187</v>
      </c>
      <c r="AD68">
        <f t="shared" si="47"/>
        <v>12388.399765251757</v>
      </c>
      <c r="AE68">
        <v>-0.43737570500096573</v>
      </c>
      <c r="AF68">
        <v>0.63386390812450988</v>
      </c>
      <c r="AG68">
        <v>189</v>
      </c>
      <c r="AH68">
        <f t="shared" si="48"/>
        <v>2677.802789893492</v>
      </c>
      <c r="AI68">
        <f t="shared" si="49"/>
        <v>14.168268729595196</v>
      </c>
    </row>
    <row r="69" spans="5:35" x14ac:dyDescent="0.3">
      <c r="E69">
        <v>55</v>
      </c>
      <c r="F69">
        <f t="shared" si="50"/>
        <v>1837.5187797192864</v>
      </c>
      <c r="G69">
        <f t="shared" si="23"/>
        <v>772.07767503877358</v>
      </c>
      <c r="H69">
        <f t="shared" si="24"/>
        <v>457.36775779487863</v>
      </c>
      <c r="I69">
        <f t="shared" si="25"/>
        <v>211.85802561540578</v>
      </c>
      <c r="J69">
        <f t="shared" si="26"/>
        <v>151.84598123191034</v>
      </c>
      <c r="K69">
        <f t="shared" si="27"/>
        <v>86.63625052919717</v>
      </c>
      <c r="L69">
        <f t="shared" si="28"/>
        <v>37.731739379861956</v>
      </c>
      <c r="M69">
        <f t="shared" si="29"/>
        <v>25.896269059106785</v>
      </c>
      <c r="N69">
        <f t="shared" si="30"/>
        <v>21.188255091508534</v>
      </c>
      <c r="O69">
        <f t="shared" si="31"/>
        <v>13.35318034510084</v>
      </c>
      <c r="P69">
        <f t="shared" si="32"/>
        <v>9.7614959784049535</v>
      </c>
      <c r="Q69">
        <f t="shared" si="33"/>
        <v>5.9814795189374443</v>
      </c>
      <c r="R69">
        <f t="shared" si="34"/>
        <v>4.360586629440057</v>
      </c>
      <c r="S69">
        <f t="shared" si="35"/>
        <v>2.6024236895100721</v>
      </c>
      <c r="T69">
        <f t="shared" si="36"/>
        <v>2.0500175676320787</v>
      </c>
      <c r="U69">
        <f t="shared" si="37"/>
        <v>1.2366207321054272</v>
      </c>
      <c r="V69">
        <f t="shared" si="38"/>
        <v>1.0940500154282482</v>
      </c>
      <c r="W69">
        <f t="shared" si="39"/>
        <v>0.719843219718868</v>
      </c>
      <c r="X69">
        <f t="shared" si="40"/>
        <v>0.47157742321235735</v>
      </c>
      <c r="Y69">
        <f t="shared" si="41"/>
        <v>1.460268018961306</v>
      </c>
      <c r="Z69">
        <f t="shared" si="44"/>
        <v>11007.509887724354</v>
      </c>
      <c r="AA69">
        <f t="shared" si="45"/>
        <v>0.17599325493079088</v>
      </c>
      <c r="AB69">
        <f t="shared" si="21"/>
        <v>3645.2122765983813</v>
      </c>
      <c r="AC69">
        <f t="shared" si="46"/>
        <v>16055.515319612692</v>
      </c>
      <c r="AD69">
        <f t="shared" si="47"/>
        <v>11941.675048964851</v>
      </c>
      <c r="AE69">
        <v>-4.5598887498362717E-2</v>
      </c>
      <c r="AF69">
        <v>0.11329321330324681</v>
      </c>
      <c r="AG69">
        <v>185</v>
      </c>
      <c r="AH69">
        <f t="shared" si="48"/>
        <v>2101.6542611931359</v>
      </c>
      <c r="AI69">
        <f t="shared" si="49"/>
        <v>11.36029330374668</v>
      </c>
    </row>
    <row r="70" spans="5:35" x14ac:dyDescent="0.3">
      <c r="E70">
        <v>56</v>
      </c>
      <c r="F70">
        <f t="shared" si="50"/>
        <v>1597.5200446776796</v>
      </c>
      <c r="G70">
        <f t="shared" si="23"/>
        <v>881.0290717769002</v>
      </c>
      <c r="H70">
        <f t="shared" si="24"/>
        <v>425.74659613444169</v>
      </c>
      <c r="I70">
        <f t="shared" si="25"/>
        <v>262.70138083018412</v>
      </c>
      <c r="J70">
        <f t="shared" si="26"/>
        <v>123.70465169953553</v>
      </c>
      <c r="K70">
        <f t="shared" si="27"/>
        <v>90.584144822918532</v>
      </c>
      <c r="L70">
        <f t="shared" si="28"/>
        <v>52.936270672893748</v>
      </c>
      <c r="M70">
        <f t="shared" si="29"/>
        <v>23.57115609465297</v>
      </c>
      <c r="N70">
        <f t="shared" si="30"/>
        <v>16.48769309983555</v>
      </c>
      <c r="O70">
        <f t="shared" si="31"/>
        <v>13.705796290320404</v>
      </c>
      <c r="P70">
        <f t="shared" si="32"/>
        <v>8.7517899531261865</v>
      </c>
      <c r="Q70">
        <f t="shared" si="33"/>
        <v>6.4676613487994628</v>
      </c>
      <c r="R70">
        <f t="shared" si="34"/>
        <v>3.9989907314646387</v>
      </c>
      <c r="S70">
        <f t="shared" si="35"/>
        <v>2.9372186633265569</v>
      </c>
      <c r="T70">
        <f t="shared" si="36"/>
        <v>1.7639108645585808</v>
      </c>
      <c r="U70">
        <f t="shared" si="37"/>
        <v>1.3967455090029997</v>
      </c>
      <c r="V70">
        <f t="shared" si="38"/>
        <v>0.84623078182800482</v>
      </c>
      <c r="W70">
        <f t="shared" si="39"/>
        <v>0.75140953112524911</v>
      </c>
      <c r="X70">
        <f t="shared" si="40"/>
        <v>0.49591903910209567</v>
      </c>
      <c r="Y70">
        <f t="shared" si="41"/>
        <v>1.3365376064718781</v>
      </c>
      <c r="Z70">
        <f t="shared" si="44"/>
        <v>11260.091859307102</v>
      </c>
      <c r="AA70">
        <f t="shared" si="45"/>
        <v>0.18865292586460225</v>
      </c>
      <c r="AB70">
        <f t="shared" si="21"/>
        <v>3516.7332201281683</v>
      </c>
      <c r="AC70">
        <f t="shared" si="46"/>
        <v>16288.849168167279</v>
      </c>
      <c r="AD70">
        <f t="shared" si="47"/>
        <v>12095.091212160323</v>
      </c>
      <c r="AE70">
        <v>4.7047857084049896E-3</v>
      </c>
      <c r="AF70">
        <v>0.36030297691207497</v>
      </c>
      <c r="AG70">
        <v>181</v>
      </c>
      <c r="AH70">
        <f t="shared" si="48"/>
        <v>2281.7743457732836</v>
      </c>
      <c r="AI70">
        <f t="shared" si="49"/>
        <v>12.606488098194937</v>
      </c>
    </row>
    <row r="71" spans="5:35" x14ac:dyDescent="0.3">
      <c r="E71">
        <v>57</v>
      </c>
      <c r="F71">
        <f t="shared" si="50"/>
        <v>1591.8614216360263</v>
      </c>
      <c r="G71">
        <f t="shared" si="23"/>
        <v>765.35226693984134</v>
      </c>
      <c r="H71">
        <f t="shared" si="24"/>
        <v>484.3008964120047</v>
      </c>
      <c r="I71">
        <f t="shared" si="25"/>
        <v>242.69947754348564</v>
      </c>
      <c r="J71">
        <f t="shared" si="26"/>
        <v>151.63478384485899</v>
      </c>
      <c r="K71">
        <f t="shared" si="27"/>
        <v>72.794927015878997</v>
      </c>
      <c r="L71">
        <f t="shared" si="28"/>
        <v>54.5456602167055</v>
      </c>
      <c r="M71">
        <f t="shared" si="29"/>
        <v>32.576186591246994</v>
      </c>
      <c r="N71">
        <f t="shared" si="30"/>
        <v>14.780579024754495</v>
      </c>
      <c r="O71">
        <f t="shared" si="31"/>
        <v>10.503013664140841</v>
      </c>
      <c r="P71">
        <f t="shared" si="32"/>
        <v>8.8458198953563372</v>
      </c>
      <c r="Q71">
        <f t="shared" si="33"/>
        <v>5.7099974633611259</v>
      </c>
      <c r="R71">
        <f t="shared" si="34"/>
        <v>4.2578356815311782</v>
      </c>
      <c r="S71">
        <f t="shared" si="35"/>
        <v>2.6523831854401352</v>
      </c>
      <c r="T71">
        <f t="shared" si="36"/>
        <v>1.9603148676374849</v>
      </c>
      <c r="U71">
        <f t="shared" si="37"/>
        <v>1.183381471829879</v>
      </c>
      <c r="V71">
        <f t="shared" si="38"/>
        <v>0.94114430954725037</v>
      </c>
      <c r="W71">
        <f t="shared" si="39"/>
        <v>0.57228672056480567</v>
      </c>
      <c r="X71">
        <f t="shared" si="40"/>
        <v>0.50972261442396694</v>
      </c>
      <c r="Y71">
        <f t="shared" si="41"/>
        <v>1.2482472674703855</v>
      </c>
      <c r="Z71">
        <f t="shared" si="44"/>
        <v>11289.073995222439</v>
      </c>
      <c r="AA71">
        <f t="shared" si="45"/>
        <v>0.16611517909796847</v>
      </c>
      <c r="AB71">
        <f t="shared" si="21"/>
        <v>3448.9303463661063</v>
      </c>
      <c r="AC71">
        <f t="shared" si="46"/>
        <v>16283.510560315621</v>
      </c>
      <c r="AD71">
        <f t="shared" si="47"/>
        <v>12158.575265383837</v>
      </c>
      <c r="AE71">
        <v>-0.25640909755157598</v>
      </c>
      <c r="AF71">
        <v>6.4967559315117468E-2</v>
      </c>
      <c r="AG71">
        <v>177</v>
      </c>
      <c r="AH71">
        <f t="shared" si="48"/>
        <v>2019.7239077853656</v>
      </c>
      <c r="AI71">
        <f t="shared" si="49"/>
        <v>11.410869535510541</v>
      </c>
    </row>
    <row r="72" spans="5:35" x14ac:dyDescent="0.3">
      <c r="E72">
        <v>58</v>
      </c>
      <c r="F72">
        <f t="shared" si="50"/>
        <v>1719.4340397924211</v>
      </c>
      <c r="G72">
        <f t="shared" si="23"/>
        <v>763.71525778220519</v>
      </c>
      <c r="H72">
        <f t="shared" si="24"/>
        <v>423.07152175036373</v>
      </c>
      <c r="I72">
        <f t="shared" si="25"/>
        <v>279.80382704294931</v>
      </c>
      <c r="J72">
        <f t="shared" si="26"/>
        <v>142.98000003457818</v>
      </c>
      <c r="K72">
        <f t="shared" si="27"/>
        <v>91.415972204857979</v>
      </c>
      <c r="L72">
        <f t="shared" si="28"/>
        <v>44.982397909310301</v>
      </c>
      <c r="M72">
        <f t="shared" si="29"/>
        <v>34.471484842168536</v>
      </c>
      <c r="N72">
        <f t="shared" si="30"/>
        <v>20.985205370102882</v>
      </c>
      <c r="O72">
        <f t="shared" si="31"/>
        <v>9.6743857728558673</v>
      </c>
      <c r="P72">
        <f t="shared" si="32"/>
        <v>6.9657306012861966</v>
      </c>
      <c r="Q72">
        <f t="shared" si="33"/>
        <v>5.9308892814552401</v>
      </c>
      <c r="R72">
        <f t="shared" si="34"/>
        <v>3.8630899333386051</v>
      </c>
      <c r="S72">
        <f t="shared" si="35"/>
        <v>2.9022942223344663</v>
      </c>
      <c r="T72">
        <f t="shared" si="36"/>
        <v>1.8192768765005873</v>
      </c>
      <c r="U72">
        <f t="shared" si="37"/>
        <v>1.3516097935790417</v>
      </c>
      <c r="V72">
        <f t="shared" si="38"/>
        <v>0.81949104745613588</v>
      </c>
      <c r="W72">
        <f t="shared" si="39"/>
        <v>0.6541297392715949</v>
      </c>
      <c r="X72">
        <f t="shared" si="40"/>
        <v>0.39898395660554736</v>
      </c>
      <c r="Y72">
        <f t="shared" si="41"/>
        <v>1.2306845309904104</v>
      </c>
      <c r="Z72">
        <f t="shared" si="44"/>
        <v>11854.033644042129</v>
      </c>
      <c r="AA72">
        <f t="shared" si="45"/>
        <v>0.16043717249595935</v>
      </c>
      <c r="AB72">
        <f t="shared" si="21"/>
        <v>3556.4702724846311</v>
      </c>
      <c r="AC72">
        <f t="shared" si="46"/>
        <v>16537.143787202906</v>
      </c>
      <c r="AD72">
        <f t="shared" si="47"/>
        <v>12431.625204793354</v>
      </c>
      <c r="AE72">
        <v>0.46364482983857142</v>
      </c>
      <c r="AF72">
        <v>2.6934815190225725E-2</v>
      </c>
      <c r="AG72">
        <v>173</v>
      </c>
      <c r="AH72">
        <f t="shared" si="48"/>
        <v>1994.4947973865474</v>
      </c>
      <c r="AI72">
        <f t="shared" si="49"/>
        <v>11.528871661193916</v>
      </c>
    </row>
    <row r="73" spans="5:35" x14ac:dyDescent="0.3">
      <c r="E73">
        <v>59</v>
      </c>
      <c r="F73">
        <f t="shared" si="50"/>
        <v>1403.1445200014537</v>
      </c>
      <c r="G73">
        <f t="shared" si="23"/>
        <v>825.21205498315044</v>
      </c>
      <c r="H73">
        <f t="shared" si="24"/>
        <v>422.75941905346946</v>
      </c>
      <c r="I73">
        <f t="shared" si="25"/>
        <v>245.24851252889877</v>
      </c>
      <c r="J73">
        <f t="shared" si="26"/>
        <v>165.67861762448194</v>
      </c>
      <c r="K73">
        <f t="shared" si="27"/>
        <v>86.717405900810022</v>
      </c>
      <c r="L73">
        <f t="shared" si="28"/>
        <v>56.852349803603168</v>
      </c>
      <c r="M73">
        <f t="shared" si="29"/>
        <v>28.61574909218908</v>
      </c>
      <c r="N73">
        <f t="shared" si="30"/>
        <v>22.35486917456004</v>
      </c>
      <c r="O73">
        <f t="shared" si="31"/>
        <v>13.828106945618069</v>
      </c>
      <c r="P73">
        <f t="shared" si="32"/>
        <v>6.4595711133473586</v>
      </c>
      <c r="Q73">
        <f t="shared" si="33"/>
        <v>4.701990264024535</v>
      </c>
      <c r="R73">
        <f t="shared" si="34"/>
        <v>4.039760315591101</v>
      </c>
      <c r="S73">
        <f t="shared" si="35"/>
        <v>2.6511025329843179</v>
      </c>
      <c r="T73">
        <f t="shared" si="36"/>
        <v>2.0042166802825054</v>
      </c>
      <c r="U73">
        <f t="shared" si="37"/>
        <v>1.2628915736018718</v>
      </c>
      <c r="V73">
        <f t="shared" si="38"/>
        <v>0.94235234079546382</v>
      </c>
      <c r="W73">
        <f t="shared" si="39"/>
        <v>0.57344924549796561</v>
      </c>
      <c r="X73">
        <f t="shared" si="40"/>
        <v>0.45914428206825386</v>
      </c>
      <c r="Y73">
        <f t="shared" si="41"/>
        <v>1.1487386755452422</v>
      </c>
      <c r="Z73">
        <f t="shared" si="44"/>
        <v>12074.301751818402</v>
      </c>
      <c r="AA73">
        <f t="shared" si="45"/>
        <v>0.15082284364115839</v>
      </c>
      <c r="AB73">
        <f t="shared" si="21"/>
        <v>3294.6548221319727</v>
      </c>
      <c r="AC73">
        <f t="shared" si="46"/>
        <v>16695.813772655667</v>
      </c>
      <c r="AD73">
        <f t="shared" si="47"/>
        <v>12665.513042998067</v>
      </c>
      <c r="AE73">
        <v>-0.10795534780042294</v>
      </c>
      <c r="AF73">
        <v>-8.290621937078968E-2</v>
      </c>
      <c r="AG73">
        <v>169</v>
      </c>
      <c r="AH73">
        <f t="shared" si="48"/>
        <v>1910.2486933191497</v>
      </c>
      <c r="AI73">
        <f t="shared" si="49"/>
        <v>11.303246706030471</v>
      </c>
    </row>
    <row r="74" spans="5:35" x14ac:dyDescent="0.3">
      <c r="E74">
        <v>60</v>
      </c>
      <c r="F74">
        <f t="shared" si="50"/>
        <v>1705.0636722143527</v>
      </c>
      <c r="G74">
        <f t="shared" si="23"/>
        <v>673.81830433305663</v>
      </c>
      <c r="H74">
        <f t="shared" si="24"/>
        <v>457.88595643816757</v>
      </c>
      <c r="I74">
        <f t="shared" si="25"/>
        <v>246.45474757275304</v>
      </c>
      <c r="J74">
        <f t="shared" si="26"/>
        <v>146.46361890405777</v>
      </c>
      <c r="K74">
        <f t="shared" si="27"/>
        <v>101.50270783290237</v>
      </c>
      <c r="L74">
        <f t="shared" si="28"/>
        <v>54.513961356505526</v>
      </c>
      <c r="M74">
        <f t="shared" si="29"/>
        <v>36.569216469465793</v>
      </c>
      <c r="N74">
        <f t="shared" si="30"/>
        <v>18.766469869705816</v>
      </c>
      <c r="O74">
        <f t="shared" si="31"/>
        <v>14.8976425552252</v>
      </c>
      <c r="P74">
        <f t="shared" si="32"/>
        <v>9.3380357243035306</v>
      </c>
      <c r="Q74">
        <f t="shared" si="33"/>
        <v>4.410023258379077</v>
      </c>
      <c r="R74">
        <f t="shared" si="34"/>
        <v>3.2392581299683858</v>
      </c>
      <c r="S74">
        <f t="shared" si="35"/>
        <v>2.8040074157274022</v>
      </c>
      <c r="T74">
        <f t="shared" si="36"/>
        <v>1.8516724569130734</v>
      </c>
      <c r="U74">
        <f t="shared" si="37"/>
        <v>1.4071750346538041</v>
      </c>
      <c r="V74">
        <f t="shared" si="38"/>
        <v>0.8905647597291908</v>
      </c>
      <c r="W74">
        <f t="shared" si="39"/>
        <v>0.6669641315149758</v>
      </c>
      <c r="X74">
        <f t="shared" si="40"/>
        <v>0.40711712227931024</v>
      </c>
      <c r="Y74">
        <f t="shared" si="41"/>
        <v>1.1462460493201736</v>
      </c>
      <c r="Z74">
        <f t="shared" si="44"/>
        <v>12201.018009245339</v>
      </c>
      <c r="AA74">
        <f t="shared" si="45"/>
        <v>0.12622964013112181</v>
      </c>
      <c r="AB74">
        <f t="shared" si="21"/>
        <v>3482.0973616289812</v>
      </c>
      <c r="AC74">
        <f t="shared" si="46"/>
        <v>16905.785453486904</v>
      </c>
      <c r="AD74">
        <f t="shared" si="47"/>
        <v>12922.798941805297</v>
      </c>
      <c r="AE74">
        <v>0.47895843577985259</v>
      </c>
      <c r="AF74">
        <v>-0.50283100515716228</v>
      </c>
      <c r="AG74">
        <v>165</v>
      </c>
      <c r="AH74">
        <f t="shared" si="48"/>
        <v>1631.2402599109244</v>
      </c>
      <c r="AI74">
        <f t="shared" si="49"/>
        <v>9.8863046055207544</v>
      </c>
    </row>
    <row r="75" spans="5:35" x14ac:dyDescent="0.3">
      <c r="E75">
        <v>61</v>
      </c>
      <c r="F75">
        <f t="shared" si="50"/>
        <v>1412.2534365795793</v>
      </c>
      <c r="G75">
        <f t="shared" si="23"/>
        <v>820.06122468071669</v>
      </c>
      <c r="H75">
        <f t="shared" si="24"/>
        <v>376.14738731499341</v>
      </c>
      <c r="I75">
        <f t="shared" si="25"/>
        <v>270.77549103608413</v>
      </c>
      <c r="J75">
        <f t="shared" si="26"/>
        <v>150.38700120491561</v>
      </c>
      <c r="K75">
        <f t="shared" si="27"/>
        <v>92.034005461257479</v>
      </c>
      <c r="L75">
        <f t="shared" si="28"/>
        <v>65.556209324090048</v>
      </c>
      <c r="M75">
        <f t="shared" si="29"/>
        <v>36.051949659022974</v>
      </c>
      <c r="N75">
        <f t="shared" si="30"/>
        <v>24.665844461817972</v>
      </c>
      <c r="O75">
        <f t="shared" si="31"/>
        <v>12.864890221648123</v>
      </c>
      <c r="P75">
        <f t="shared" si="32"/>
        <v>10.349735822737076</v>
      </c>
      <c r="Q75">
        <f t="shared" si="33"/>
        <v>6.558964870622769</v>
      </c>
      <c r="R75">
        <f t="shared" si="34"/>
        <v>3.125804453213624</v>
      </c>
      <c r="S75">
        <f t="shared" si="35"/>
        <v>2.3133191850042913</v>
      </c>
      <c r="T75">
        <f t="shared" si="36"/>
        <v>2.0150671342092465</v>
      </c>
      <c r="U75">
        <f t="shared" si="37"/>
        <v>1.3376568009374485</v>
      </c>
      <c r="V75">
        <f t="shared" si="38"/>
        <v>1.0210047854313371</v>
      </c>
      <c r="W75">
        <f t="shared" si="39"/>
        <v>0.64854062854419847</v>
      </c>
      <c r="X75">
        <f t="shared" si="40"/>
        <v>0.48720429451473091</v>
      </c>
      <c r="Y75">
        <f t="shared" si="41"/>
        <v>1.1394753704549516</v>
      </c>
      <c r="Z75">
        <f t="shared" si="44"/>
        <v>12787.125868091731</v>
      </c>
      <c r="AA75">
        <f t="shared" si="45"/>
        <v>0.16375601166936105</v>
      </c>
      <c r="AB75">
        <f t="shared" si="21"/>
        <v>3289.7942132897956</v>
      </c>
      <c r="AC75">
        <f t="shared" si="46"/>
        <v>17301.616490758421</v>
      </c>
      <c r="AD75">
        <f t="shared" si="47"/>
        <v>13346.096573108742</v>
      </c>
      <c r="AE75">
        <v>-0.34985787187991946</v>
      </c>
      <c r="AF75">
        <v>0.26264606276965757</v>
      </c>
      <c r="AG75">
        <v>161</v>
      </c>
      <c r="AH75">
        <f t="shared" si="48"/>
        <v>2185.5035461664147</v>
      </c>
      <c r="AI75">
        <f t="shared" si="49"/>
        <v>13.574556187369035</v>
      </c>
    </row>
    <row r="76" spans="5:35" x14ac:dyDescent="0.3">
      <c r="E76">
        <v>62</v>
      </c>
      <c r="F76">
        <f t="shared" si="50"/>
        <v>1885.4904892285572</v>
      </c>
      <c r="G76">
        <f t="shared" si="23"/>
        <v>677.64583446422341</v>
      </c>
      <c r="H76">
        <f t="shared" si="24"/>
        <v>453.57802353761974</v>
      </c>
      <c r="I76">
        <f t="shared" si="25"/>
        <v>217.6212157211927</v>
      </c>
      <c r="J76">
        <f t="shared" si="26"/>
        <v>159.85782162679533</v>
      </c>
      <c r="K76">
        <f t="shared" si="27"/>
        <v>90.890594153079036</v>
      </c>
      <c r="L76">
        <f t="shared" si="28"/>
        <v>57.022868956214396</v>
      </c>
      <c r="M76">
        <f t="shared" si="29"/>
        <v>41.543717348487796</v>
      </c>
      <c r="N76">
        <f t="shared" si="30"/>
        <v>23.288883369930563</v>
      </c>
      <c r="O76">
        <f t="shared" si="31"/>
        <v>16.189839495334589</v>
      </c>
      <c r="P76">
        <f t="shared" si="32"/>
        <v>8.5561343456105217</v>
      </c>
      <c r="Q76">
        <f t="shared" si="33"/>
        <v>6.9587649904819546</v>
      </c>
      <c r="R76">
        <f t="shared" si="34"/>
        <v>4.4499678254173949</v>
      </c>
      <c r="S76">
        <f t="shared" si="35"/>
        <v>2.1366725098388786</v>
      </c>
      <c r="T76">
        <f t="shared" si="36"/>
        <v>1.5911911345695706</v>
      </c>
      <c r="U76">
        <f t="shared" si="37"/>
        <v>1.3932842214950991</v>
      </c>
      <c r="V76">
        <f t="shared" si="38"/>
        <v>0.92894322687876663</v>
      </c>
      <c r="W76">
        <f t="shared" si="39"/>
        <v>0.71164058577052602</v>
      </c>
      <c r="X76">
        <f t="shared" si="40"/>
        <v>0.4534238770617135</v>
      </c>
      <c r="Y76">
        <f t="shared" si="41"/>
        <v>1.1419680699452535</v>
      </c>
      <c r="Z76">
        <f t="shared" si="44"/>
        <v>12347.649715657679</v>
      </c>
      <c r="AA76">
        <f t="shared" si="45"/>
        <v>0.14508939667018794</v>
      </c>
      <c r="AB76">
        <f t="shared" si="21"/>
        <v>3651.4512786885039</v>
      </c>
      <c r="AC76">
        <f t="shared" si="46"/>
        <v>17235.181441979708</v>
      </c>
      <c r="AD76">
        <f t="shared" si="47"/>
        <v>13223.29551303749</v>
      </c>
      <c r="AE76">
        <v>2.8469679116738835E-2</v>
      </c>
      <c r="AF76">
        <v>-3.8505271517407817E-3</v>
      </c>
      <c r="AG76">
        <v>157</v>
      </c>
      <c r="AH76">
        <f t="shared" si="48"/>
        <v>1918.5599679782129</v>
      </c>
      <c r="AI76">
        <f t="shared" si="49"/>
        <v>12.220127184574604</v>
      </c>
    </row>
    <row r="77" spans="5:35" x14ac:dyDescent="0.3">
      <c r="E77">
        <v>63</v>
      </c>
      <c r="F77">
        <f t="shared" si="50"/>
        <v>1652.2811921072519</v>
      </c>
      <c r="G77">
        <f t="shared" si="23"/>
        <v>905.77417449776556</v>
      </c>
      <c r="H77">
        <f t="shared" si="24"/>
        <v>376.53692180131185</v>
      </c>
      <c r="I77">
        <f t="shared" si="25"/>
        <v>265.30849969942432</v>
      </c>
      <c r="J77">
        <f t="shared" si="26"/>
        <v>130.62382249607086</v>
      </c>
      <c r="K77">
        <f t="shared" si="27"/>
        <v>98.522693665988243</v>
      </c>
      <c r="L77">
        <f t="shared" si="28"/>
        <v>57.502221391483474</v>
      </c>
      <c r="M77">
        <f t="shared" si="29"/>
        <v>36.919555751979509</v>
      </c>
      <c r="N77">
        <f t="shared" si="30"/>
        <v>27.42574890100116</v>
      </c>
      <c r="O77">
        <f t="shared" si="31"/>
        <v>15.623836085875006</v>
      </c>
      <c r="P77">
        <f t="shared" si="32"/>
        <v>11.006231994793978</v>
      </c>
      <c r="Q77">
        <f t="shared" si="33"/>
        <v>5.8806285420394504</v>
      </c>
      <c r="R77">
        <f t="shared" si="34"/>
        <v>4.8262344623687286</v>
      </c>
      <c r="S77">
        <f t="shared" si="35"/>
        <v>3.1095323001469364</v>
      </c>
      <c r="T77">
        <f t="shared" si="36"/>
        <v>1.5024213352794922</v>
      </c>
      <c r="U77">
        <f t="shared" si="37"/>
        <v>1.1247162702812117</v>
      </c>
      <c r="V77">
        <f t="shared" si="38"/>
        <v>0.98913844726616063</v>
      </c>
      <c r="W77">
        <f t="shared" si="39"/>
        <v>0.66190674969276597</v>
      </c>
      <c r="X77">
        <f t="shared" si="40"/>
        <v>0.5086323457862385</v>
      </c>
      <c r="Y77">
        <f t="shared" si="41"/>
        <v>1.1450157660293201</v>
      </c>
      <c r="Z77">
        <f t="shared" si="44"/>
        <v>12529.886860935841</v>
      </c>
      <c r="AA77">
        <f t="shared" si="45"/>
        <v>0.17481123418599953</v>
      </c>
      <c r="AB77">
        <f t="shared" si="21"/>
        <v>3597.273124611836</v>
      </c>
      <c r="AC77">
        <f t="shared" si="46"/>
        <v>17519.536644626609</v>
      </c>
      <c r="AD77">
        <f t="shared" si="47"/>
        <v>13346.825146469466</v>
      </c>
      <c r="AE77">
        <v>-0.22559691671747584</v>
      </c>
      <c r="AF77">
        <v>0.56950636699367418</v>
      </c>
      <c r="AG77">
        <v>153</v>
      </c>
      <c r="AH77">
        <f t="shared" si="48"/>
        <v>2333.1749763190614</v>
      </c>
      <c r="AI77">
        <f t="shared" si="49"/>
        <v>15.249509649144192</v>
      </c>
    </row>
    <row r="78" spans="5:35" x14ac:dyDescent="0.3">
      <c r="E78">
        <v>64</v>
      </c>
      <c r="F78">
        <f t="shared" si="50"/>
        <v>1799.280473382853</v>
      </c>
      <c r="G78">
        <f t="shared" si="23"/>
        <v>792.27227976077393</v>
      </c>
      <c r="H78">
        <f t="shared" si="24"/>
        <v>499.61718486909751</v>
      </c>
      <c r="I78">
        <f t="shared" si="25"/>
        <v>216.42592828517556</v>
      </c>
      <c r="J78">
        <f t="shared" si="26"/>
        <v>155.08029581997866</v>
      </c>
      <c r="K78">
        <f t="shared" si="27"/>
        <v>78.022738954505058</v>
      </c>
      <c r="L78">
        <f t="shared" si="28"/>
        <v>60.28062620419557</v>
      </c>
      <c r="M78">
        <f t="shared" si="29"/>
        <v>35.971880054668425</v>
      </c>
      <c r="N78">
        <f t="shared" si="30"/>
        <v>23.53918506012965</v>
      </c>
      <c r="O78">
        <f t="shared" si="31"/>
        <v>17.765759387949927</v>
      </c>
      <c r="P78">
        <f t="shared" si="32"/>
        <v>10.254587283988393</v>
      </c>
      <c r="Q78">
        <f t="shared" si="33"/>
        <v>7.3027954489546811</v>
      </c>
      <c r="R78">
        <f t="shared" si="34"/>
        <v>3.9371854119081751</v>
      </c>
      <c r="S78">
        <f t="shared" si="35"/>
        <v>3.255521810164598</v>
      </c>
      <c r="T78">
        <f t="shared" si="36"/>
        <v>2.1106434075605978</v>
      </c>
      <c r="U78">
        <f t="shared" si="37"/>
        <v>1.0251155789573703</v>
      </c>
      <c r="V78">
        <f t="shared" si="38"/>
        <v>0.77075584710481715</v>
      </c>
      <c r="W78">
        <f t="shared" si="39"/>
        <v>0.68032789950404682</v>
      </c>
      <c r="X78">
        <f t="shared" si="40"/>
        <v>0.45665838808247139</v>
      </c>
      <c r="Y78">
        <f t="shared" si="41"/>
        <v>1.1455494513696012</v>
      </c>
      <c r="Z78">
        <f t="shared" si="44"/>
        <v>12009.209752637562</v>
      </c>
      <c r="AA78">
        <f t="shared" si="45"/>
        <v>0.14293708587220944</v>
      </c>
      <c r="AB78">
        <f t="shared" si="21"/>
        <v>3709.1954923069216</v>
      </c>
      <c r="AC78">
        <f t="shared" si="46"/>
        <v>17468.998170616713</v>
      </c>
      <c r="AD78">
        <f t="shared" si="47"/>
        <v>13203.539615912741</v>
      </c>
      <c r="AE78">
        <v>-0.50904981723722387</v>
      </c>
      <c r="AF78">
        <v>8.6472851730289457E-2</v>
      </c>
      <c r="AG78">
        <v>149</v>
      </c>
      <c r="AH78">
        <f t="shared" si="48"/>
        <v>1887.2754758968388</v>
      </c>
      <c r="AI78">
        <f t="shared" si="49"/>
        <v>12.66627836172375</v>
      </c>
    </row>
    <row r="79" spans="5:35" x14ac:dyDescent="0.3">
      <c r="E79">
        <v>65</v>
      </c>
      <c r="F79">
        <f t="shared" si="50"/>
        <v>1905.0541227369711</v>
      </c>
      <c r="G79">
        <f t="shared" si="23"/>
        <v>864.47551519999979</v>
      </c>
      <c r="H79">
        <f t="shared" si="24"/>
        <v>440.4627269538035</v>
      </c>
      <c r="I79">
        <f t="shared" si="25"/>
        <v>292.60488374714816</v>
      </c>
      <c r="J79">
        <f t="shared" si="26"/>
        <v>130.15253120279058</v>
      </c>
      <c r="K79">
        <f t="shared" si="27"/>
        <v>95.791673997043148</v>
      </c>
      <c r="L79">
        <f t="shared" si="28"/>
        <v>49.478898321021305</v>
      </c>
      <c r="M79">
        <f t="shared" si="29"/>
        <v>39.124298818424812</v>
      </c>
      <c r="N79">
        <f t="shared" si="30"/>
        <v>23.806244844593994</v>
      </c>
      <c r="O79">
        <f t="shared" si="31"/>
        <v>15.831122692714711</v>
      </c>
      <c r="P79">
        <f t="shared" si="32"/>
        <v>12.107787698309297</v>
      </c>
      <c r="Q79">
        <f t="shared" si="33"/>
        <v>7.065637253980718</v>
      </c>
      <c r="R79">
        <f t="shared" si="34"/>
        <v>5.0775436793626172</v>
      </c>
      <c r="S79">
        <f t="shared" si="35"/>
        <v>2.7581201591536151</v>
      </c>
      <c r="T79">
        <f t="shared" si="36"/>
        <v>2.2949015486682325</v>
      </c>
      <c r="U79">
        <f t="shared" si="37"/>
        <v>1.4956347597189594</v>
      </c>
      <c r="V79">
        <f t="shared" si="38"/>
        <v>0.72959278760888169</v>
      </c>
      <c r="W79">
        <f t="shared" si="39"/>
        <v>0.55057311885142124</v>
      </c>
      <c r="X79">
        <f t="shared" si="40"/>
        <v>0.48747487823154589</v>
      </c>
      <c r="Y79">
        <f t="shared" si="41"/>
        <v>1.1527975156437988</v>
      </c>
      <c r="Z79">
        <f t="shared" ref="Z79:Z110" si="51">SUMPRODUCT(F79:Y79,fecundity,pmature)</f>
        <v>12603.86425153418</v>
      </c>
      <c r="AA79">
        <f t="shared" ref="AA79:AA114" si="52">1-EXP(-q*EXP(AF79*sdq)*AG79)</f>
        <v>0.14113849958689662</v>
      </c>
      <c r="AB79">
        <f t="shared" si="21"/>
        <v>3890.5020819140414</v>
      </c>
      <c r="AC79">
        <f t="shared" ref="AC79:AC114" si="53">SUMPRODUCT(F79:Y79,Weight)</f>
        <v>17985.578368067778</v>
      </c>
      <c r="AD79">
        <f t="shared" ref="AD79:AD114" si="54">SUMPRODUCT(F79:Y79,Weight,vul)</f>
        <v>13559.023262783892</v>
      </c>
      <c r="AE79">
        <v>0.35785152969114536</v>
      </c>
      <c r="AF79">
        <v>0.12029345739279292</v>
      </c>
      <c r="AG79">
        <v>145</v>
      </c>
      <c r="AH79">
        <f t="shared" ref="AH79:AH114" si="55">AD79*AA79</f>
        <v>1913.7001991731461</v>
      </c>
      <c r="AI79">
        <f t="shared" ref="AI79:AI110" si="56">AH79/AG79</f>
        <v>13.197932408090663</v>
      </c>
    </row>
    <row r="80" spans="5:35" x14ac:dyDescent="0.3">
      <c r="E80">
        <v>66</v>
      </c>
      <c r="F80">
        <f t="shared" ref="F80:F114" si="57">Z79*maxsj/(1+sjscale*EXP(AE79*sdr)*Z79)</f>
        <v>1493.7655105465174</v>
      </c>
      <c r="G80">
        <f t="shared" si="23"/>
        <v>915.39769265407756</v>
      </c>
      <c r="H80">
        <f t="shared" si="24"/>
        <v>480.81657332103998</v>
      </c>
      <c r="I80">
        <f t="shared" si="25"/>
        <v>258.23095944109212</v>
      </c>
      <c r="J80">
        <f t="shared" si="26"/>
        <v>176.24254701288092</v>
      </c>
      <c r="K80">
        <f t="shared" si="27"/>
        <v>80.543713773293447</v>
      </c>
      <c r="L80">
        <f t="shared" si="28"/>
        <v>60.867864601062287</v>
      </c>
      <c r="M80">
        <f t="shared" si="29"/>
        <v>32.179094457691583</v>
      </c>
      <c r="N80">
        <f t="shared" si="30"/>
        <v>25.945993237951157</v>
      </c>
      <c r="O80">
        <f t="shared" si="31"/>
        <v>16.04400193181332</v>
      </c>
      <c r="P80">
        <f t="shared" si="32"/>
        <v>10.811781596502509</v>
      </c>
      <c r="Q80">
        <f t="shared" si="33"/>
        <v>8.3599604133697518</v>
      </c>
      <c r="R80">
        <f t="shared" si="34"/>
        <v>4.9229249113781126</v>
      </c>
      <c r="S80">
        <f t="shared" si="35"/>
        <v>3.5644211755326687</v>
      </c>
      <c r="T80">
        <f t="shared" si="36"/>
        <v>1.9483417046409073</v>
      </c>
      <c r="U80">
        <f t="shared" si="37"/>
        <v>1.6296095445882806</v>
      </c>
      <c r="V80">
        <f t="shared" si="38"/>
        <v>1.0667000007948222</v>
      </c>
      <c r="W80">
        <f t="shared" si="39"/>
        <v>0.52226139487655721</v>
      </c>
      <c r="X80">
        <f t="shared" si="40"/>
        <v>0.39532866508061676</v>
      </c>
      <c r="Y80">
        <f t="shared" si="41"/>
        <v>1.1826279468175795</v>
      </c>
      <c r="Z80">
        <f t="shared" si="51"/>
        <v>12981.173378934225</v>
      </c>
      <c r="AA80">
        <f t="shared" si="52"/>
        <v>0.13981111904571863</v>
      </c>
      <c r="AB80">
        <f t="shared" ref="AB80:AB114" si="58">SUM(F80:Y80)</f>
        <v>3574.4379083310018</v>
      </c>
      <c r="AC80">
        <f t="shared" si="53"/>
        <v>18379.505370333223</v>
      </c>
      <c r="AD80">
        <f t="shared" si="54"/>
        <v>13962.135135321976</v>
      </c>
      <c r="AE80">
        <v>2.0054822104540251E-2</v>
      </c>
      <c r="AF80">
        <v>0.16472309097297569</v>
      </c>
      <c r="AG80">
        <v>141</v>
      </c>
      <c r="AH80">
        <f t="shared" si="55"/>
        <v>1952.0617375369116</v>
      </c>
      <c r="AI80">
        <f t="shared" si="56"/>
        <v>13.844409486077387</v>
      </c>
    </row>
    <row r="81" spans="5:35" x14ac:dyDescent="0.3">
      <c r="E81">
        <v>67</v>
      </c>
      <c r="F81">
        <f t="shared" si="57"/>
        <v>1695.7465878499652</v>
      </c>
      <c r="G81">
        <f t="shared" ref="G81:G114" si="59">F80*F$6*(1-F$12*$AA80)</f>
        <v>717.828726680503</v>
      </c>
      <c r="H81">
        <f t="shared" ref="H81:H114" si="60">G80*G$6*(1-G$12*$AA80)</f>
        <v>509.30531833853814</v>
      </c>
      <c r="I81">
        <f t="shared" ref="I81:I114" si="61">H80*H$6*(1-H$12*$AA80)</f>
        <v>282.10710440037525</v>
      </c>
      <c r="J81">
        <f t="shared" ref="J81:J114" si="62">I80*I$6*(1-I$12*$AA80)</f>
        <v>155.71949230242504</v>
      </c>
      <c r="K81">
        <f t="shared" ref="K81:K114" si="63">J80*J$6*(1-J$12*$AA80)</f>
        <v>109.21569742035238</v>
      </c>
      <c r="L81">
        <f t="shared" ref="L81:L114" si="64">K80*K$6*(1-K$12*$AA80)</f>
        <v>51.253867113580334</v>
      </c>
      <c r="M81">
        <f t="shared" ref="M81:M114" si="65">L80*L$6*(1-L$12*$AA80)</f>
        <v>39.645494526371053</v>
      </c>
      <c r="N81">
        <f t="shared" ref="N81:N114" si="66">M80*M$6*(1-M$12*$AA80)</f>
        <v>21.372612369993334</v>
      </c>
      <c r="O81">
        <f t="shared" ref="O81:O114" si="67">N80*N$6*(1-N$12*$AA80)</f>
        <v>17.512826471911755</v>
      </c>
      <c r="P81">
        <f t="shared" ref="P81:P114" si="68">O80*O$6*(1-O$12*$AA80)</f>
        <v>10.973991072263324</v>
      </c>
      <c r="Q81">
        <f t="shared" ref="Q81:Q114" si="69">P80*P$6*(1-P$12*$AA80)</f>
        <v>7.4766029554393745</v>
      </c>
      <c r="R81">
        <f t="shared" ref="R81:R114" si="70">Q80*Q$6*(1-Q$12*$AA80)</f>
        <v>5.8337056530911644</v>
      </c>
      <c r="S81">
        <f t="shared" ref="S81:S114" si="71">R80*R$6*(1-R$12*$AA80)</f>
        <v>3.4612062758531663</v>
      </c>
      <c r="T81">
        <f t="shared" ref="T81:T114" si="72">S80*S$6*(1-S$12*$AA80)</f>
        <v>2.5217975792492306</v>
      </c>
      <c r="U81">
        <f t="shared" ref="U81:U114" si="73">T80*T$6*(1-T$12*$AA80)</f>
        <v>1.3856518575066068</v>
      </c>
      <c r="V81">
        <f t="shared" ref="V81:V114" si="74">U80*U$6*(1-U$12*$AA80)</f>
        <v>1.1640455519641859</v>
      </c>
      <c r="W81">
        <f t="shared" ref="W81:W114" si="75">V80*V$6*(1-V$12*$AA80)</f>
        <v>0.76474999517735942</v>
      </c>
      <c r="X81">
        <f t="shared" ref="X81:X114" si="76">W80*W$6*(1-W$12*$AA80)</f>
        <v>0.37557883953200355</v>
      </c>
      <c r="Y81">
        <f t="shared" ref="Y81:Y114" si="77">X80*X$6*(1-X$12*$AA80)+Y80*Y$6*(1-Y$12*$AA80)</f>
        <v>1.1395709017678637</v>
      </c>
      <c r="Z81">
        <f t="shared" si="51"/>
        <v>13402.376093593621</v>
      </c>
      <c r="AA81">
        <f t="shared" si="52"/>
        <v>0.13071242929808502</v>
      </c>
      <c r="AB81">
        <f t="shared" si="58"/>
        <v>3634.8046281558595</v>
      </c>
      <c r="AC81">
        <f t="shared" si="53"/>
        <v>18624.922106067912</v>
      </c>
      <c r="AD81">
        <f t="shared" si="54"/>
        <v>14340.387899922065</v>
      </c>
      <c r="AE81">
        <v>0.54634821438205883</v>
      </c>
      <c r="AF81">
        <v>5.5604875232474933E-2</v>
      </c>
      <c r="AG81">
        <v>137</v>
      </c>
      <c r="AH81">
        <f t="shared" si="55"/>
        <v>1874.4669394756768</v>
      </c>
      <c r="AI81">
        <f t="shared" si="56"/>
        <v>13.682240434129028</v>
      </c>
    </row>
    <row r="82" spans="5:35" x14ac:dyDescent="0.3">
      <c r="E82">
        <v>68</v>
      </c>
      <c r="F82">
        <f t="shared" si="57"/>
        <v>1429.4360383100613</v>
      </c>
      <c r="G82">
        <f t="shared" si="59"/>
        <v>815.35255950984151</v>
      </c>
      <c r="H82">
        <f t="shared" si="60"/>
        <v>400.27554412662005</v>
      </c>
      <c r="I82">
        <f t="shared" si="61"/>
        <v>300.40366724958682</v>
      </c>
      <c r="J82">
        <f t="shared" si="62"/>
        <v>171.47381901936356</v>
      </c>
      <c r="K82">
        <f t="shared" si="63"/>
        <v>97.403782200618977</v>
      </c>
      <c r="L82">
        <f t="shared" si="64"/>
        <v>70.194936230531837</v>
      </c>
      <c r="M82">
        <f t="shared" si="65"/>
        <v>33.726813076663767</v>
      </c>
      <c r="N82">
        <f t="shared" si="66"/>
        <v>26.605735272420976</v>
      </c>
      <c r="O82">
        <f t="shared" si="67"/>
        <v>14.577021817483683</v>
      </c>
      <c r="P82">
        <f t="shared" si="68"/>
        <v>12.104542596735106</v>
      </c>
      <c r="Q82">
        <f t="shared" si="69"/>
        <v>7.6686794745320883</v>
      </c>
      <c r="R82">
        <f t="shared" si="70"/>
        <v>5.2722848773438429</v>
      </c>
      <c r="S82">
        <f t="shared" si="71"/>
        <v>4.1448276316024915</v>
      </c>
      <c r="T82">
        <f t="shared" si="72"/>
        <v>2.4746209568489066</v>
      </c>
      <c r="U82">
        <f t="shared" si="73"/>
        <v>1.8124282527847053</v>
      </c>
      <c r="V82">
        <f t="shared" si="74"/>
        <v>1.0002378664061102</v>
      </c>
      <c r="W82">
        <f t="shared" si="75"/>
        <v>0.84335564369167892</v>
      </c>
      <c r="X82">
        <f t="shared" si="76"/>
        <v>0.55577230521353449</v>
      </c>
      <c r="Y82">
        <f t="shared" si="77"/>
        <v>1.1057815851745958</v>
      </c>
      <c r="Z82">
        <f t="shared" si="51"/>
        <v>14081.310755481871</v>
      </c>
      <c r="AA82">
        <f t="shared" si="52"/>
        <v>0.1455312691403754</v>
      </c>
      <c r="AB82">
        <f t="shared" si="58"/>
        <v>3396.4324480035248</v>
      </c>
      <c r="AC82">
        <f t="shared" si="53"/>
        <v>18777.137105614507</v>
      </c>
      <c r="AD82">
        <f t="shared" si="54"/>
        <v>14656.758180042387</v>
      </c>
      <c r="AE82">
        <v>0.47056422369718542</v>
      </c>
      <c r="AF82">
        <v>0.41912273387146765</v>
      </c>
      <c r="AG82">
        <v>133</v>
      </c>
      <c r="AH82">
        <f t="shared" si="55"/>
        <v>2133.0166194251474</v>
      </c>
      <c r="AI82">
        <f t="shared" si="56"/>
        <v>16.037718943046222</v>
      </c>
    </row>
    <row r="83" spans="5:35" x14ac:dyDescent="0.3">
      <c r="E83">
        <v>69</v>
      </c>
      <c r="F83">
        <f t="shared" si="57"/>
        <v>1498.1463919731514</v>
      </c>
      <c r="G83">
        <f t="shared" si="59"/>
        <v>686.67044720289505</v>
      </c>
      <c r="H83">
        <f t="shared" si="60"/>
        <v>453.00502382306615</v>
      </c>
      <c r="I83">
        <f t="shared" si="61"/>
        <v>234.07025768590245</v>
      </c>
      <c r="J83">
        <f t="shared" si="62"/>
        <v>180.24258214788787</v>
      </c>
      <c r="K83">
        <f t="shared" si="63"/>
        <v>105.63334989484188</v>
      </c>
      <c r="L83">
        <f t="shared" si="64"/>
        <v>61.59267831102845</v>
      </c>
      <c r="M83">
        <f t="shared" si="65"/>
        <v>45.42500212738198</v>
      </c>
      <c r="N83">
        <f t="shared" si="66"/>
        <v>22.25396989635755</v>
      </c>
      <c r="O83">
        <f t="shared" si="67"/>
        <v>17.839880916070506</v>
      </c>
      <c r="P83">
        <f t="shared" si="68"/>
        <v>9.9047120864067271</v>
      </c>
      <c r="Q83">
        <f t="shared" si="69"/>
        <v>8.3151681507693063</v>
      </c>
      <c r="R83">
        <f t="shared" si="70"/>
        <v>5.3158542915170583</v>
      </c>
      <c r="S83">
        <f t="shared" si="71"/>
        <v>3.6822488481690097</v>
      </c>
      <c r="T83">
        <f t="shared" si="72"/>
        <v>2.9129712933377965</v>
      </c>
      <c r="U83">
        <f t="shared" si="73"/>
        <v>1.7482566330731086</v>
      </c>
      <c r="V83">
        <f t="shared" si="74"/>
        <v>1.2860385920725308</v>
      </c>
      <c r="W83">
        <f t="shared" si="75"/>
        <v>0.71233896464126334</v>
      </c>
      <c r="X83">
        <f t="shared" si="76"/>
        <v>0.60246214304346912</v>
      </c>
      <c r="Y83">
        <f t="shared" si="77"/>
        <v>1.1917541048668305</v>
      </c>
      <c r="Z83">
        <f t="shared" si="51"/>
        <v>13767.779302740906</v>
      </c>
      <c r="AA83">
        <f t="shared" si="52"/>
        <v>0.11086935203941695</v>
      </c>
      <c r="AB83">
        <f t="shared" si="58"/>
        <v>3340.55138908648</v>
      </c>
      <c r="AC83">
        <f t="shared" si="53"/>
        <v>18525.831972040683</v>
      </c>
      <c r="AD83">
        <f t="shared" si="54"/>
        <v>14586.609957254004</v>
      </c>
      <c r="AE83">
        <v>-0.2442788747061819</v>
      </c>
      <c r="AF83">
        <v>-0.23319915233448257</v>
      </c>
      <c r="AG83">
        <v>129</v>
      </c>
      <c r="AH83">
        <f t="shared" si="55"/>
        <v>1617.2079944124587</v>
      </c>
      <c r="AI83">
        <f t="shared" si="56"/>
        <v>12.536496080716734</v>
      </c>
    </row>
    <row r="84" spans="5:35" x14ac:dyDescent="0.3">
      <c r="E84">
        <v>70</v>
      </c>
      <c r="F84">
        <f t="shared" si="57"/>
        <v>1895.8204931600653</v>
      </c>
      <c r="G84">
        <f t="shared" si="59"/>
        <v>721.23189891521815</v>
      </c>
      <c r="H84">
        <f t="shared" si="60"/>
        <v>384.76375973739533</v>
      </c>
      <c r="I84">
        <f t="shared" si="61"/>
        <v>270.26383950754462</v>
      </c>
      <c r="J84">
        <f t="shared" si="62"/>
        <v>144.72996257561923</v>
      </c>
      <c r="K84">
        <f t="shared" si="63"/>
        <v>115.03023311530016</v>
      </c>
      <c r="L84">
        <f t="shared" si="64"/>
        <v>69.35995540907237</v>
      </c>
      <c r="M84">
        <f t="shared" si="65"/>
        <v>41.429750077551809</v>
      </c>
      <c r="N84">
        <f t="shared" si="66"/>
        <v>31.169262088163102</v>
      </c>
      <c r="O84">
        <f t="shared" si="67"/>
        <v>15.521265171383742</v>
      </c>
      <c r="P84">
        <f t="shared" si="68"/>
        <v>12.61026330689479</v>
      </c>
      <c r="Q84">
        <f t="shared" si="69"/>
        <v>7.0787445174297883</v>
      </c>
      <c r="R84">
        <f t="shared" si="70"/>
        <v>5.9970163221001052</v>
      </c>
      <c r="S84">
        <f t="shared" si="71"/>
        <v>3.8628862287048733</v>
      </c>
      <c r="T84">
        <f t="shared" si="72"/>
        <v>2.6926263307989302</v>
      </c>
      <c r="U84">
        <f t="shared" si="73"/>
        <v>2.1412724846015903</v>
      </c>
      <c r="V84">
        <f t="shared" si="74"/>
        <v>1.2907493175599678</v>
      </c>
      <c r="W84">
        <f t="shared" si="75"/>
        <v>0.95298073195140898</v>
      </c>
      <c r="X84">
        <f t="shared" si="76"/>
        <v>0.52948638537671677</v>
      </c>
      <c r="Y84">
        <f t="shared" si="77"/>
        <v>1.3390526184303873</v>
      </c>
      <c r="Z84">
        <f t="shared" si="51"/>
        <v>14047.393749840194</v>
      </c>
      <c r="AA84">
        <f t="shared" si="52"/>
        <v>0.14404329935365967</v>
      </c>
      <c r="AB84">
        <f t="shared" si="58"/>
        <v>3727.8154980011627</v>
      </c>
      <c r="AC84">
        <f t="shared" si="53"/>
        <v>18891.556152428133</v>
      </c>
      <c r="AD84">
        <f t="shared" si="54"/>
        <v>14848.013038353372</v>
      </c>
      <c r="AE84">
        <v>0.27364389040109932</v>
      </c>
      <c r="AF84">
        <v>0.54640045891270705</v>
      </c>
      <c r="AG84">
        <v>125</v>
      </c>
      <c r="AH84">
        <f t="shared" si="55"/>
        <v>2138.7567868905767</v>
      </c>
      <c r="AI84">
        <f t="shared" si="56"/>
        <v>17.110054295124613</v>
      </c>
    </row>
    <row r="85" spans="5:35" x14ac:dyDescent="0.3">
      <c r="E85">
        <v>71</v>
      </c>
      <c r="F85">
        <f t="shared" si="57"/>
        <v>1608.9052095789361</v>
      </c>
      <c r="G85">
        <f t="shared" si="59"/>
        <v>910.79599066287096</v>
      </c>
      <c r="H85">
        <f t="shared" si="60"/>
        <v>400.85885313409847</v>
      </c>
      <c r="I85">
        <f t="shared" si="61"/>
        <v>225.19477743859821</v>
      </c>
      <c r="J85">
        <f t="shared" si="62"/>
        <v>162.37116163232179</v>
      </c>
      <c r="K85">
        <f t="shared" si="63"/>
        <v>89.295989662330157</v>
      </c>
      <c r="L85">
        <f t="shared" si="64"/>
        <v>72.858484445910051</v>
      </c>
      <c r="M85">
        <f t="shared" si="65"/>
        <v>44.960632638326125</v>
      </c>
      <c r="N85">
        <f t="shared" si="66"/>
        <v>27.383445248923284</v>
      </c>
      <c r="O85">
        <f t="shared" si="67"/>
        <v>20.935888955524362</v>
      </c>
      <c r="P85">
        <f t="shared" si="68"/>
        <v>10.56454692478844</v>
      </c>
      <c r="Q85">
        <f t="shared" si="69"/>
        <v>8.6775867901834776</v>
      </c>
      <c r="R85">
        <f t="shared" si="70"/>
        <v>4.9154328740443498</v>
      </c>
      <c r="S85">
        <f t="shared" si="71"/>
        <v>4.1956873689216625</v>
      </c>
      <c r="T85">
        <f t="shared" si="72"/>
        <v>2.7195412827222096</v>
      </c>
      <c r="U85">
        <f t="shared" si="73"/>
        <v>1.905578581583556</v>
      </c>
      <c r="V85">
        <f t="shared" si="74"/>
        <v>1.5220172775864995</v>
      </c>
      <c r="W85">
        <f t="shared" si="75"/>
        <v>0.92083098118159301</v>
      </c>
      <c r="X85">
        <f t="shared" si="76"/>
        <v>0.68195833590531996</v>
      </c>
      <c r="Y85">
        <f t="shared" si="77"/>
        <v>1.3426956355411881</v>
      </c>
      <c r="Z85">
        <f t="shared" si="51"/>
        <v>13515.212637549968</v>
      </c>
      <c r="AA85">
        <f t="shared" si="52"/>
        <v>0.11918359570878101</v>
      </c>
      <c r="AB85">
        <f t="shared" si="58"/>
        <v>3601.0063094502966</v>
      </c>
      <c r="AC85">
        <f t="shared" si="53"/>
        <v>18809.812961123283</v>
      </c>
      <c r="AD85">
        <f t="shared" si="54"/>
        <v>14619.756885395298</v>
      </c>
      <c r="AE85">
        <v>-6.24363239723007E-2</v>
      </c>
      <c r="AF85">
        <v>0.11914164123146032</v>
      </c>
      <c r="AG85">
        <v>121</v>
      </c>
      <c r="AH85">
        <f t="shared" si="55"/>
        <v>1742.4351939896208</v>
      </c>
      <c r="AI85">
        <f t="shared" si="56"/>
        <v>14.400290859418353</v>
      </c>
    </row>
    <row r="86" spans="5:35" x14ac:dyDescent="0.3">
      <c r="E86">
        <v>72</v>
      </c>
      <c r="F86">
        <f t="shared" si="57"/>
        <v>1774.2728394901058</v>
      </c>
      <c r="G86">
        <f t="shared" si="59"/>
        <v>774.15255281014959</v>
      </c>
      <c r="H86">
        <f t="shared" si="60"/>
        <v>509.31337599050198</v>
      </c>
      <c r="I86">
        <f t="shared" si="61"/>
        <v>238.015876891944</v>
      </c>
      <c r="J86">
        <f t="shared" si="62"/>
        <v>138.2526538482594</v>
      </c>
      <c r="K86">
        <f t="shared" si="63"/>
        <v>102.76148689504109</v>
      </c>
      <c r="L86">
        <f t="shared" si="64"/>
        <v>58.112905331552291</v>
      </c>
      <c r="M86">
        <f t="shared" si="65"/>
        <v>48.561694050183291</v>
      </c>
      <c r="N86">
        <f t="shared" si="66"/>
        <v>30.566565326210011</v>
      </c>
      <c r="O86">
        <f t="shared" si="67"/>
        <v>18.921966357073313</v>
      </c>
      <c r="P86">
        <f t="shared" si="68"/>
        <v>14.661185260474761</v>
      </c>
      <c r="Q86">
        <f t="shared" si="69"/>
        <v>7.4800267106361327</v>
      </c>
      <c r="R86">
        <f t="shared" si="70"/>
        <v>6.2000672506628147</v>
      </c>
      <c r="S86">
        <f t="shared" si="71"/>
        <v>3.5385950284930696</v>
      </c>
      <c r="T86">
        <f t="shared" si="72"/>
        <v>3.039445128084211</v>
      </c>
      <c r="U86">
        <f t="shared" si="73"/>
        <v>1.9804241897415646</v>
      </c>
      <c r="V86">
        <f t="shared" si="74"/>
        <v>1.3937645514837331</v>
      </c>
      <c r="W86">
        <f t="shared" si="75"/>
        <v>1.1173128570338478</v>
      </c>
      <c r="X86">
        <f t="shared" si="76"/>
        <v>0.67806692516375588</v>
      </c>
      <c r="Y86">
        <f t="shared" si="77"/>
        <v>1.4969130498878025</v>
      </c>
      <c r="Z86">
        <f t="shared" si="51"/>
        <v>13378.760651082242</v>
      </c>
      <c r="AA86">
        <f t="shared" si="52"/>
        <v>0.11858116522183959</v>
      </c>
      <c r="AB86">
        <f t="shared" si="58"/>
        <v>3734.5177179426823</v>
      </c>
      <c r="AC86">
        <f t="shared" si="53"/>
        <v>19177.386245009508</v>
      </c>
      <c r="AD86">
        <f t="shared" si="54"/>
        <v>14876.087247310965</v>
      </c>
      <c r="AE86">
        <v>4.8070558454700783E-2</v>
      </c>
      <c r="AF86">
        <v>0.18967790003544718</v>
      </c>
      <c r="AG86">
        <v>117</v>
      </c>
      <c r="AH86">
        <f t="shared" si="55"/>
        <v>1764.0237597278824</v>
      </c>
      <c r="AI86">
        <f t="shared" si="56"/>
        <v>15.077126151520362</v>
      </c>
    </row>
    <row r="87" spans="5:35" x14ac:dyDescent="0.3">
      <c r="E87">
        <v>73</v>
      </c>
      <c r="F87">
        <f t="shared" si="57"/>
        <v>1703.3910152809945</v>
      </c>
      <c r="G87">
        <f t="shared" si="59"/>
        <v>853.75404298133003</v>
      </c>
      <c r="H87">
        <f t="shared" si="60"/>
        <v>432.96668232038161</v>
      </c>
      <c r="I87">
        <f t="shared" si="61"/>
        <v>302.51706911525883</v>
      </c>
      <c r="J87">
        <f t="shared" si="62"/>
        <v>146.19961832174315</v>
      </c>
      <c r="K87">
        <f t="shared" si="63"/>
        <v>87.550620699520593</v>
      </c>
      <c r="L87">
        <f t="shared" si="64"/>
        <v>66.919451936849413</v>
      </c>
      <c r="M87">
        <f t="shared" si="65"/>
        <v>38.759228942939991</v>
      </c>
      <c r="N87">
        <f t="shared" si="66"/>
        <v>33.036984139997799</v>
      </c>
      <c r="O87">
        <f t="shared" si="67"/>
        <v>21.135811145791173</v>
      </c>
      <c r="P87">
        <f t="shared" si="68"/>
        <v>13.259861820986048</v>
      </c>
      <c r="Q87">
        <f t="shared" si="69"/>
        <v>10.387641790055346</v>
      </c>
      <c r="R87">
        <f t="shared" si="70"/>
        <v>5.3480632374067874</v>
      </c>
      <c r="S87">
        <f t="shared" si="71"/>
        <v>4.46644163700996</v>
      </c>
      <c r="T87">
        <f t="shared" si="72"/>
        <v>2.5651830813109782</v>
      </c>
      <c r="U87">
        <f t="shared" si="73"/>
        <v>2.214895766184855</v>
      </c>
      <c r="V87">
        <f t="shared" si="74"/>
        <v>1.4494968188863644</v>
      </c>
      <c r="W87">
        <f t="shared" si="75"/>
        <v>1.0238614104641841</v>
      </c>
      <c r="X87">
        <f t="shared" si="76"/>
        <v>0.82331119577264655</v>
      </c>
      <c r="Y87">
        <f t="shared" si="77"/>
        <v>1.6092421414153071</v>
      </c>
      <c r="Z87">
        <f t="shared" si="51"/>
        <v>14022.696234765139</v>
      </c>
      <c r="AA87">
        <f t="shared" si="52"/>
        <v>9.8825421739409558E-2</v>
      </c>
      <c r="AB87">
        <f t="shared" si="58"/>
        <v>3729.3785237842994</v>
      </c>
      <c r="AC87">
        <f t="shared" si="53"/>
        <v>19542.315815102644</v>
      </c>
      <c r="AD87">
        <f t="shared" si="54"/>
        <v>15189.325758690056</v>
      </c>
      <c r="AE87">
        <v>-0.6448115731232803</v>
      </c>
      <c r="AF87">
        <v>-0.20613979015332232</v>
      </c>
      <c r="AG87">
        <v>113</v>
      </c>
      <c r="AH87">
        <f t="shared" si="55"/>
        <v>1501.0915240398219</v>
      </c>
      <c r="AI87">
        <f t="shared" si="56"/>
        <v>13.283995787963025</v>
      </c>
    </row>
    <row r="88" spans="5:35" x14ac:dyDescent="0.3">
      <c r="E88">
        <v>74</v>
      </c>
      <c r="F88">
        <f t="shared" si="57"/>
        <v>2151.8482857924118</v>
      </c>
      <c r="G88">
        <f t="shared" si="59"/>
        <v>820.65410633032104</v>
      </c>
      <c r="H88">
        <f t="shared" si="60"/>
        <v>479.79179973703668</v>
      </c>
      <c r="I88">
        <f t="shared" si="61"/>
        <v>260.0885742423049</v>
      </c>
      <c r="J88">
        <f t="shared" si="62"/>
        <v>188.97730565081011</v>
      </c>
      <c r="K88">
        <f t="shared" si="63"/>
        <v>94.430091999705652</v>
      </c>
      <c r="L88">
        <f t="shared" si="64"/>
        <v>58.224863720693506</v>
      </c>
      <c r="M88">
        <f t="shared" si="65"/>
        <v>45.606025587871549</v>
      </c>
      <c r="N88">
        <f t="shared" si="66"/>
        <v>26.950141090043712</v>
      </c>
      <c r="O88">
        <f t="shared" si="67"/>
        <v>23.351162701129482</v>
      </c>
      <c r="P88">
        <f t="shared" si="68"/>
        <v>15.141124990264821</v>
      </c>
      <c r="Q88">
        <f t="shared" si="69"/>
        <v>9.604419878675607</v>
      </c>
      <c r="R88">
        <f t="shared" si="70"/>
        <v>7.5928619162737574</v>
      </c>
      <c r="S88">
        <f t="shared" si="71"/>
        <v>3.9388003310590927</v>
      </c>
      <c r="T88">
        <f t="shared" si="72"/>
        <v>3.3102138150275153</v>
      </c>
      <c r="U88">
        <f t="shared" si="73"/>
        <v>1.9111180257775902</v>
      </c>
      <c r="V88">
        <f t="shared" si="74"/>
        <v>1.6573904889632376</v>
      </c>
      <c r="W88">
        <f t="shared" si="75"/>
        <v>1.0886374211508321</v>
      </c>
      <c r="X88">
        <f t="shared" si="76"/>
        <v>0.77134013514206712</v>
      </c>
      <c r="Y88">
        <f t="shared" si="77"/>
        <v>1.8400103364402614</v>
      </c>
      <c r="Z88">
        <f t="shared" si="51"/>
        <v>14551.643097539401</v>
      </c>
      <c r="AA88">
        <f t="shared" si="52"/>
        <v>0.10210339359724896</v>
      </c>
      <c r="AB88">
        <f t="shared" si="58"/>
        <v>4196.7782741911042</v>
      </c>
      <c r="AC88">
        <f t="shared" si="53"/>
        <v>20356.136715479555</v>
      </c>
      <c r="AD88">
        <f t="shared" si="54"/>
        <v>15767.766043657537</v>
      </c>
      <c r="AE88">
        <v>-0.3454790727716881</v>
      </c>
      <c r="AF88">
        <v>-2.9987505976341366E-2</v>
      </c>
      <c r="AG88">
        <v>109</v>
      </c>
      <c r="AH88">
        <f t="shared" si="55"/>
        <v>1609.9424225049024</v>
      </c>
      <c r="AI88">
        <f t="shared" si="56"/>
        <v>14.770113967934885</v>
      </c>
    </row>
    <row r="89" spans="5:35" x14ac:dyDescent="0.3">
      <c r="E89">
        <v>75</v>
      </c>
      <c r="F89">
        <f t="shared" si="57"/>
        <v>2009.2849237215896</v>
      </c>
      <c r="G89">
        <f t="shared" si="59"/>
        <v>1036.4992206877766</v>
      </c>
      <c r="H89">
        <f t="shared" si="60"/>
        <v>460.82258548619217</v>
      </c>
      <c r="I89">
        <f t="shared" si="61"/>
        <v>287.68026681940864</v>
      </c>
      <c r="J89">
        <f t="shared" si="62"/>
        <v>162.02240172473708</v>
      </c>
      <c r="K89">
        <f t="shared" si="63"/>
        <v>121.66400977079505</v>
      </c>
      <c r="L89">
        <f t="shared" si="64"/>
        <v>62.583296531966063</v>
      </c>
      <c r="M89">
        <f t="shared" si="65"/>
        <v>39.540119223405839</v>
      </c>
      <c r="N89">
        <f t="shared" si="66"/>
        <v>31.597267565804586</v>
      </c>
      <c r="O89">
        <f t="shared" si="67"/>
        <v>18.980224372456568</v>
      </c>
      <c r="P89">
        <f t="shared" si="68"/>
        <v>16.66767119934671</v>
      </c>
      <c r="Q89">
        <f t="shared" si="69"/>
        <v>10.927343126302176</v>
      </c>
      <c r="R89">
        <f t="shared" si="70"/>
        <v>6.9949110535093757</v>
      </c>
      <c r="S89">
        <f t="shared" si="71"/>
        <v>5.5717845181987924</v>
      </c>
      <c r="T89">
        <f t="shared" si="72"/>
        <v>2.9085662496015088</v>
      </c>
      <c r="U89">
        <f t="shared" si="73"/>
        <v>2.4572269295206493</v>
      </c>
      <c r="V89">
        <f t="shared" si="74"/>
        <v>1.424881516907579</v>
      </c>
      <c r="W89">
        <f t="shared" si="75"/>
        <v>1.2402528910887511</v>
      </c>
      <c r="X89">
        <f t="shared" si="76"/>
        <v>0.81716021852875231</v>
      </c>
      <c r="Y89">
        <f t="shared" si="77"/>
        <v>1.9682616123763639</v>
      </c>
      <c r="Z89">
        <f t="shared" si="51"/>
        <v>15041.752945855262</v>
      </c>
      <c r="AA89">
        <f t="shared" si="52"/>
        <v>8.6525178630626032E-2</v>
      </c>
      <c r="AB89">
        <f t="shared" si="58"/>
        <v>4281.6523752195126</v>
      </c>
      <c r="AC89">
        <f t="shared" si="53"/>
        <v>21227.490344535541</v>
      </c>
      <c r="AD89">
        <f t="shared" si="54"/>
        <v>16332.349190716661</v>
      </c>
      <c r="AE89">
        <v>0.45245166383932944</v>
      </c>
      <c r="AF89">
        <v>-0.37154099016490344</v>
      </c>
      <c r="AG89">
        <v>105</v>
      </c>
      <c r="AH89">
        <f t="shared" si="55"/>
        <v>1413.1594311845197</v>
      </c>
      <c r="AI89">
        <f t="shared" si="56"/>
        <v>13.458661249376378</v>
      </c>
    </row>
    <row r="90" spans="5:35" x14ac:dyDescent="0.3">
      <c r="E90">
        <v>76</v>
      </c>
      <c r="F90">
        <f t="shared" si="57"/>
        <v>1545.5238581541466</v>
      </c>
      <c r="G90">
        <f t="shared" si="59"/>
        <v>968.76649275410318</v>
      </c>
      <c r="H90">
        <f t="shared" si="60"/>
        <v>584.23361675558806</v>
      </c>
      <c r="I90">
        <f t="shared" si="61"/>
        <v>278.75643236829353</v>
      </c>
      <c r="J90">
        <f t="shared" si="62"/>
        <v>181.57895641571434</v>
      </c>
      <c r="K90">
        <f t="shared" si="63"/>
        <v>105.92438610577949</v>
      </c>
      <c r="L90">
        <f t="shared" si="64"/>
        <v>81.959397458217694</v>
      </c>
      <c r="M90">
        <f t="shared" si="65"/>
        <v>43.217544282049374</v>
      </c>
      <c r="N90">
        <f t="shared" si="66"/>
        <v>27.862690228697673</v>
      </c>
      <c r="O90">
        <f t="shared" si="67"/>
        <v>22.635534379836283</v>
      </c>
      <c r="P90">
        <f t="shared" si="68"/>
        <v>13.781360653633589</v>
      </c>
      <c r="Q90">
        <f t="shared" si="69"/>
        <v>12.23683965806808</v>
      </c>
      <c r="R90">
        <f t="shared" si="70"/>
        <v>8.0960255341978513</v>
      </c>
      <c r="S90">
        <f t="shared" si="71"/>
        <v>5.2218284014823508</v>
      </c>
      <c r="T90">
        <f t="shared" si="72"/>
        <v>4.1856652623937896</v>
      </c>
      <c r="U90">
        <f t="shared" si="73"/>
        <v>2.1964730000812858</v>
      </c>
      <c r="V90">
        <f t="shared" si="74"/>
        <v>1.8637857783270451</v>
      </c>
      <c r="W90">
        <f t="shared" si="75"/>
        <v>1.0847382657809761</v>
      </c>
      <c r="X90">
        <f t="shared" si="76"/>
        <v>0.94710035265680492</v>
      </c>
      <c r="Y90">
        <f t="shared" si="77"/>
        <v>2.1358635636344094</v>
      </c>
      <c r="Z90">
        <f t="shared" si="51"/>
        <v>15596.267355293065</v>
      </c>
      <c r="AA90">
        <f t="shared" si="52"/>
        <v>8.6421958442608693E-2</v>
      </c>
      <c r="AB90">
        <f t="shared" si="58"/>
        <v>3892.2085893726835</v>
      </c>
      <c r="AC90">
        <f t="shared" si="53"/>
        <v>22126.205427645898</v>
      </c>
      <c r="AD90">
        <f t="shared" si="54"/>
        <v>17233.628275465831</v>
      </c>
      <c r="AE90">
        <v>-0.53502365453030243</v>
      </c>
      <c r="AF90">
        <v>-0.27756467144093305</v>
      </c>
      <c r="AG90">
        <v>101</v>
      </c>
      <c r="AH90">
        <f t="shared" si="55"/>
        <v>1489.3639066376743</v>
      </c>
      <c r="AI90">
        <f t="shared" si="56"/>
        <v>14.746177293442321</v>
      </c>
    </row>
    <row r="91" spans="5:35" x14ac:dyDescent="0.3">
      <c r="E91">
        <v>77</v>
      </c>
      <c r="F91">
        <f t="shared" si="57"/>
        <v>2202.7355886731898</v>
      </c>
      <c r="G91">
        <f t="shared" si="59"/>
        <v>745.17123237679061</v>
      </c>
      <c r="H91">
        <f t="shared" si="60"/>
        <v>546.06902683058115</v>
      </c>
      <c r="I91">
        <f t="shared" si="61"/>
        <v>353.42964505246175</v>
      </c>
      <c r="J91">
        <f t="shared" si="62"/>
        <v>175.96158720724375</v>
      </c>
      <c r="K91">
        <f t="shared" si="63"/>
        <v>118.72173933280621</v>
      </c>
      <c r="L91">
        <f t="shared" si="64"/>
        <v>71.363997904377285</v>
      </c>
      <c r="M91">
        <f t="shared" si="65"/>
        <v>56.604138902478532</v>
      </c>
      <c r="N91">
        <f t="shared" si="66"/>
        <v>30.457446954313358</v>
      </c>
      <c r="O91">
        <f t="shared" si="67"/>
        <v>19.96240628845344</v>
      </c>
      <c r="P91">
        <f t="shared" si="68"/>
        <v>16.437292378839672</v>
      </c>
      <c r="Q91">
        <f t="shared" si="69"/>
        <v>10.118946592651222</v>
      </c>
      <c r="R91">
        <f t="shared" si="70"/>
        <v>9.0672475561292707</v>
      </c>
      <c r="S91">
        <f t="shared" si="71"/>
        <v>6.0445116454762537</v>
      </c>
      <c r="T91">
        <f t="shared" si="72"/>
        <v>3.9232117644550883</v>
      </c>
      <c r="U91">
        <f t="shared" si="73"/>
        <v>3.1612612808438327</v>
      </c>
      <c r="V91">
        <f t="shared" si="74"/>
        <v>1.6661941203086896</v>
      </c>
      <c r="W91">
        <f t="shared" si="75"/>
        <v>1.4190288044061374</v>
      </c>
      <c r="X91">
        <f t="shared" si="76"/>
        <v>0.82843745786621303</v>
      </c>
      <c r="Y91">
        <f t="shared" si="77"/>
        <v>2.3642145345121026</v>
      </c>
      <c r="Z91">
        <f t="shared" si="51"/>
        <v>16789.370393453388</v>
      </c>
      <c r="AA91">
        <f t="shared" si="52"/>
        <v>9.4902115324178027E-2</v>
      </c>
      <c r="AB91">
        <f t="shared" si="58"/>
        <v>4375.5071556581843</v>
      </c>
      <c r="AC91">
        <f t="shared" si="53"/>
        <v>22952.29246668093</v>
      </c>
      <c r="AD91">
        <f t="shared" si="54"/>
        <v>18083.242242284974</v>
      </c>
      <c r="AE91">
        <v>-0.35510048233704383</v>
      </c>
      <c r="AF91">
        <v>6.8942175554006585E-2</v>
      </c>
      <c r="AG91">
        <v>97</v>
      </c>
      <c r="AH91">
        <f t="shared" si="55"/>
        <v>1716.1379407123763</v>
      </c>
      <c r="AI91">
        <f t="shared" si="56"/>
        <v>17.692143718684292</v>
      </c>
    </row>
    <row r="92" spans="5:35" x14ac:dyDescent="0.3">
      <c r="E92">
        <v>78</v>
      </c>
      <c r="F92">
        <f t="shared" si="57"/>
        <v>2155.1462110757948</v>
      </c>
      <c r="G92">
        <f t="shared" si="59"/>
        <v>1061.4853845112839</v>
      </c>
      <c r="H92">
        <f t="shared" si="60"/>
        <v>419.17020685402127</v>
      </c>
      <c r="I92">
        <f t="shared" si="61"/>
        <v>328.76174716926323</v>
      </c>
      <c r="J92">
        <f t="shared" si="62"/>
        <v>221.51429199044324</v>
      </c>
      <c r="K92">
        <f t="shared" si="63"/>
        <v>114.09474882776681</v>
      </c>
      <c r="L92">
        <f t="shared" si="64"/>
        <v>79.281066131025739</v>
      </c>
      <c r="M92">
        <f t="shared" si="65"/>
        <v>48.841104502317805</v>
      </c>
      <c r="N92">
        <f t="shared" si="66"/>
        <v>39.526852731334138</v>
      </c>
      <c r="O92">
        <f t="shared" si="67"/>
        <v>21.620745910288406</v>
      </c>
      <c r="P92">
        <f t="shared" si="68"/>
        <v>14.362402935471634</v>
      </c>
      <c r="Q92">
        <f t="shared" si="69"/>
        <v>11.95751259971761</v>
      </c>
      <c r="R92">
        <f t="shared" si="70"/>
        <v>7.4285555513997767</v>
      </c>
      <c r="S92">
        <f t="shared" si="71"/>
        <v>6.7069458009011678</v>
      </c>
      <c r="T92">
        <f t="shared" si="72"/>
        <v>4.4992321776401409</v>
      </c>
      <c r="U92">
        <f t="shared" si="73"/>
        <v>2.9355827662143859</v>
      </c>
      <c r="V92">
        <f t="shared" si="74"/>
        <v>2.3758325735351864</v>
      </c>
      <c r="W92">
        <f t="shared" si="75"/>
        <v>1.2568279054030431</v>
      </c>
      <c r="X92">
        <f t="shared" si="76"/>
        <v>1.0736937919711562</v>
      </c>
      <c r="Y92">
        <f t="shared" si="77"/>
        <v>2.4258786944610455</v>
      </c>
      <c r="Z92">
        <f t="shared" si="51"/>
        <v>17623.511161320588</v>
      </c>
      <c r="AA92">
        <f t="shared" si="52"/>
        <v>7.1073244672233415E-2</v>
      </c>
      <c r="AB92">
        <f t="shared" si="58"/>
        <v>4544.4648245002536</v>
      </c>
      <c r="AC92">
        <f t="shared" si="53"/>
        <v>23686.448906229274</v>
      </c>
      <c r="AD92">
        <f t="shared" si="54"/>
        <v>18601.451018509524</v>
      </c>
      <c r="AE92">
        <v>-0.11142096064279773</v>
      </c>
      <c r="AF92">
        <v>-0.58063076493377541</v>
      </c>
      <c r="AG92">
        <v>93</v>
      </c>
      <c r="AH92">
        <f t="shared" si="55"/>
        <v>1322.0654794970928</v>
      </c>
      <c r="AI92">
        <f t="shared" si="56"/>
        <v>14.215757844054762</v>
      </c>
    </row>
    <row r="93" spans="5:35" x14ac:dyDescent="0.3">
      <c r="E93">
        <v>79</v>
      </c>
      <c r="F93">
        <f t="shared" si="57"/>
        <v>2023.6081772738282</v>
      </c>
      <c r="G93">
        <f t="shared" si="59"/>
        <v>1040.0896316645201</v>
      </c>
      <c r="H93">
        <f t="shared" si="60"/>
        <v>600.55955935120028</v>
      </c>
      <c r="I93">
        <f t="shared" si="61"/>
        <v>255.77094941243857</v>
      </c>
      <c r="J93">
        <f t="shared" si="62"/>
        <v>210.19344122527582</v>
      </c>
      <c r="K93">
        <f t="shared" si="63"/>
        <v>147.00678289972802</v>
      </c>
      <c r="L93">
        <f t="shared" si="64"/>
        <v>78.094591868608902</v>
      </c>
      <c r="M93">
        <f t="shared" si="65"/>
        <v>55.650108091864368</v>
      </c>
      <c r="N93">
        <f t="shared" si="66"/>
        <v>34.990292303203077</v>
      </c>
      <c r="O93">
        <f t="shared" si="67"/>
        <v>28.79067671405333</v>
      </c>
      <c r="P93">
        <f t="shared" si="68"/>
        <v>15.962551035278747</v>
      </c>
      <c r="Q93">
        <f t="shared" si="69"/>
        <v>10.721988363666879</v>
      </c>
      <c r="R93">
        <f t="shared" si="70"/>
        <v>9.0086558294093404</v>
      </c>
      <c r="S93">
        <f t="shared" si="71"/>
        <v>5.6391256648642836</v>
      </c>
      <c r="T93">
        <f t="shared" si="72"/>
        <v>5.1234844883318233</v>
      </c>
      <c r="U93">
        <f t="shared" si="73"/>
        <v>3.4550804205938199</v>
      </c>
      <c r="V93">
        <f t="shared" si="74"/>
        <v>2.2642252189735581</v>
      </c>
      <c r="W93">
        <f t="shared" si="75"/>
        <v>1.8392377467403405</v>
      </c>
      <c r="X93">
        <f t="shared" si="76"/>
        <v>0.97597422092435404</v>
      </c>
      <c r="Y93">
        <f t="shared" si="77"/>
        <v>2.7287433382573645</v>
      </c>
      <c r="Z93">
        <f t="shared" si="51"/>
        <v>17723.753099743593</v>
      </c>
      <c r="AA93">
        <f t="shared" si="52"/>
        <v>7.8087065767139086E-2</v>
      </c>
      <c r="AB93">
        <f t="shared" si="58"/>
        <v>4532.4732771317622</v>
      </c>
      <c r="AC93">
        <f t="shared" si="53"/>
        <v>24831.245007811103</v>
      </c>
      <c r="AD93">
        <f t="shared" si="54"/>
        <v>19523.116524521</v>
      </c>
      <c r="AE93">
        <v>0.62306952062583554</v>
      </c>
      <c r="AF93">
        <v>-0.22608777783713213</v>
      </c>
      <c r="AG93">
        <v>89</v>
      </c>
      <c r="AH93">
        <f t="shared" si="55"/>
        <v>1524.5028840297912</v>
      </c>
      <c r="AI93">
        <f t="shared" si="56"/>
        <v>17.129245887975181</v>
      </c>
    </row>
    <row r="94" spans="5:35" x14ac:dyDescent="0.3">
      <c r="E94">
        <v>80</v>
      </c>
      <c r="F94">
        <f t="shared" si="57"/>
        <v>1523.9351562577115</v>
      </c>
      <c r="G94">
        <f t="shared" si="59"/>
        <v>976.18352519253074</v>
      </c>
      <c r="H94">
        <f t="shared" si="60"/>
        <v>587.45716341592276</v>
      </c>
      <c r="I94">
        <f t="shared" si="61"/>
        <v>365.01427496582676</v>
      </c>
      <c r="J94">
        <f t="shared" si="62"/>
        <v>162.5788508436593</v>
      </c>
      <c r="K94">
        <f t="shared" si="63"/>
        <v>138.55103431314373</v>
      </c>
      <c r="L94">
        <f t="shared" si="64"/>
        <v>99.900085694304494</v>
      </c>
      <c r="M94">
        <f t="shared" si="65"/>
        <v>54.414093084300795</v>
      </c>
      <c r="N94">
        <f t="shared" si="66"/>
        <v>39.571732128906106</v>
      </c>
      <c r="O94">
        <f t="shared" si="67"/>
        <v>25.295632553798736</v>
      </c>
      <c r="P94">
        <f t="shared" si="68"/>
        <v>21.096564335594959</v>
      </c>
      <c r="Q94">
        <f t="shared" si="69"/>
        <v>11.826953995598746</v>
      </c>
      <c r="R94">
        <f t="shared" si="70"/>
        <v>8.0170256778781628</v>
      </c>
      <c r="S94">
        <f t="shared" si="71"/>
        <v>6.7870941923662738</v>
      </c>
      <c r="T94">
        <f t="shared" si="72"/>
        <v>4.275307276200941</v>
      </c>
      <c r="U94">
        <f t="shared" si="73"/>
        <v>3.9048021551522227</v>
      </c>
      <c r="V94">
        <f t="shared" si="74"/>
        <v>2.644822518836782</v>
      </c>
      <c r="W94">
        <f t="shared" si="75"/>
        <v>1.7396191233817215</v>
      </c>
      <c r="X94">
        <f t="shared" si="76"/>
        <v>1.4174654649678551</v>
      </c>
      <c r="Y94">
        <f t="shared" si="77"/>
        <v>2.8671835841281537</v>
      </c>
      <c r="Z94">
        <f t="shared" si="51"/>
        <v>18535.850288170233</v>
      </c>
      <c r="AA94">
        <f t="shared" si="52"/>
        <v>8.0319725582493118E-2</v>
      </c>
      <c r="AB94">
        <f t="shared" si="58"/>
        <v>4037.4783867742108</v>
      </c>
      <c r="AC94">
        <f t="shared" si="53"/>
        <v>25467.594881749741</v>
      </c>
      <c r="AD94">
        <f t="shared" si="54"/>
        <v>20351.637351020003</v>
      </c>
      <c r="AE94">
        <v>8.3094764410192992E-2</v>
      </c>
      <c r="AF94">
        <v>-3.7658772258970366E-2</v>
      </c>
      <c r="AG94">
        <v>85</v>
      </c>
      <c r="AH94">
        <f t="shared" si="55"/>
        <v>1634.6379271883438</v>
      </c>
      <c r="AI94">
        <f t="shared" si="56"/>
        <v>19.231034437509926</v>
      </c>
    </row>
    <row r="95" spans="5:35" x14ac:dyDescent="0.3">
      <c r="E95">
        <v>81</v>
      </c>
      <c r="F95">
        <f t="shared" si="57"/>
        <v>1920.0589647831168</v>
      </c>
      <c r="G95">
        <f t="shared" si="59"/>
        <v>735.04065833967604</v>
      </c>
      <c r="H95">
        <f t="shared" si="60"/>
        <v>551.06415525972955</v>
      </c>
      <c r="I95">
        <f t="shared" si="61"/>
        <v>356.60314325135352</v>
      </c>
      <c r="J95">
        <f t="shared" si="62"/>
        <v>231.58787229935265</v>
      </c>
      <c r="K95">
        <f t="shared" si="63"/>
        <v>106.93330539193408</v>
      </c>
      <c r="L95">
        <f t="shared" si="64"/>
        <v>93.937323099619064</v>
      </c>
      <c r="M95">
        <f t="shared" si="65"/>
        <v>69.443361721722766</v>
      </c>
      <c r="N95">
        <f t="shared" si="66"/>
        <v>38.600506713868484</v>
      </c>
      <c r="O95">
        <f t="shared" si="67"/>
        <v>28.539056470368276</v>
      </c>
      <c r="P95">
        <f t="shared" si="68"/>
        <v>18.490929162783914</v>
      </c>
      <c r="Q95">
        <f t="shared" si="69"/>
        <v>15.593147644724198</v>
      </c>
      <c r="R95">
        <f t="shared" si="70"/>
        <v>8.8218799737138003</v>
      </c>
      <c r="S95">
        <f t="shared" si="71"/>
        <v>6.0254114287566427</v>
      </c>
      <c r="T95">
        <f t="shared" si="72"/>
        <v>5.1332035967795813</v>
      </c>
      <c r="U95">
        <f t="shared" si="73"/>
        <v>3.2504960892083052</v>
      </c>
      <c r="V95">
        <f t="shared" si="74"/>
        <v>2.9818504917773101</v>
      </c>
      <c r="W95">
        <f t="shared" si="75"/>
        <v>2.0271195287637673</v>
      </c>
      <c r="X95">
        <f t="shared" si="76"/>
        <v>1.3374480584224988</v>
      </c>
      <c r="Y95">
        <f t="shared" si="77"/>
        <v>3.3074990662992905</v>
      </c>
      <c r="Z95">
        <f t="shared" si="51"/>
        <v>19478.329483566289</v>
      </c>
      <c r="AA95">
        <f t="shared" si="52"/>
        <v>8.3322916040563966E-2</v>
      </c>
      <c r="AB95">
        <f t="shared" si="58"/>
        <v>4198.7773323719703</v>
      </c>
      <c r="AC95">
        <f t="shared" si="53"/>
        <v>25785.872034934557</v>
      </c>
      <c r="AD95">
        <f t="shared" si="54"/>
        <v>20943.500972922531</v>
      </c>
      <c r="AE95">
        <v>-2.7735428900102048E-2</v>
      </c>
      <c r="AF95">
        <v>0.17864777589839095</v>
      </c>
      <c r="AG95">
        <v>81</v>
      </c>
      <c r="AH95">
        <f t="shared" si="55"/>
        <v>1745.0735731622938</v>
      </c>
      <c r="AI95">
        <f t="shared" si="56"/>
        <v>21.544118187188811</v>
      </c>
    </row>
    <row r="96" spans="5:35" x14ac:dyDescent="0.3">
      <c r="E96">
        <v>82</v>
      </c>
      <c r="F96">
        <f t="shared" si="57"/>
        <v>2039.4164977232729</v>
      </c>
      <c r="G96">
        <f t="shared" si="59"/>
        <v>925.93070581430334</v>
      </c>
      <c r="H96">
        <f t="shared" si="60"/>
        <v>414.63512248338833</v>
      </c>
      <c r="I96">
        <f t="shared" si="61"/>
        <v>333.9467515205377</v>
      </c>
      <c r="J96">
        <f t="shared" si="62"/>
        <v>225.68537932206382</v>
      </c>
      <c r="K96">
        <f t="shared" si="63"/>
        <v>151.87799968343725</v>
      </c>
      <c r="L96">
        <f t="shared" si="64"/>
        <v>72.275737540209334</v>
      </c>
      <c r="M96">
        <f t="shared" si="65"/>
        <v>65.090817566971864</v>
      </c>
      <c r="N96">
        <f t="shared" si="66"/>
        <v>49.103556762071051</v>
      </c>
      <c r="O96">
        <f t="shared" si="67"/>
        <v>27.748535246512457</v>
      </c>
      <c r="P96">
        <f t="shared" si="68"/>
        <v>20.794137715431976</v>
      </c>
      <c r="Q96">
        <f t="shared" si="69"/>
        <v>13.622799374708476</v>
      </c>
      <c r="R96">
        <f t="shared" si="70"/>
        <v>11.59327229860595</v>
      </c>
      <c r="S96">
        <f t="shared" si="71"/>
        <v>6.6087234711213823</v>
      </c>
      <c r="T96">
        <f t="shared" si="72"/>
        <v>4.5422773505256133</v>
      </c>
      <c r="U96">
        <f t="shared" si="73"/>
        <v>3.8900274214394721</v>
      </c>
      <c r="V96">
        <f t="shared" si="74"/>
        <v>2.4741042789339809</v>
      </c>
      <c r="W96">
        <f t="shared" si="75"/>
        <v>2.2779802952697681</v>
      </c>
      <c r="X96">
        <f t="shared" si="76"/>
        <v>1.5533996329682651</v>
      </c>
      <c r="Y96">
        <f t="shared" si="77"/>
        <v>3.5742653073888606</v>
      </c>
      <c r="Z96">
        <f t="shared" si="51"/>
        <v>19913.572608269038</v>
      </c>
      <c r="AA96">
        <f t="shared" si="52"/>
        <v>7.2154275248470845E-2</v>
      </c>
      <c r="AB96">
        <f t="shared" si="58"/>
        <v>4376.6420908091632</v>
      </c>
      <c r="AC96">
        <f t="shared" si="53"/>
        <v>26004.32601280557</v>
      </c>
      <c r="AD96">
        <f t="shared" si="54"/>
        <v>21152.259388860857</v>
      </c>
      <c r="AE96">
        <v>5.1528859522789296E-3</v>
      </c>
      <c r="AF96">
        <v>-6.9469142009736543E-2</v>
      </c>
      <c r="AG96">
        <v>77</v>
      </c>
      <c r="AH96">
        <f t="shared" si="55"/>
        <v>1526.2259460709181</v>
      </c>
      <c r="AI96">
        <f t="shared" si="56"/>
        <v>19.821116182739196</v>
      </c>
    </row>
    <row r="97" spans="5:35" x14ac:dyDescent="0.3">
      <c r="E97">
        <v>83</v>
      </c>
      <c r="F97">
        <f t="shared" si="57"/>
        <v>2030.1924442440193</v>
      </c>
      <c r="G97">
        <f t="shared" si="59"/>
        <v>984.17161277181413</v>
      </c>
      <c r="H97">
        <f t="shared" si="60"/>
        <v>523.7295732548597</v>
      </c>
      <c r="I97">
        <f t="shared" si="61"/>
        <v>252.85073966089706</v>
      </c>
      <c r="J97">
        <f t="shared" si="62"/>
        <v>213.31769268255218</v>
      </c>
      <c r="K97">
        <f t="shared" si="63"/>
        <v>149.61889260595566</v>
      </c>
      <c r="L97">
        <f t="shared" si="64"/>
        <v>103.841201574534</v>
      </c>
      <c r="M97">
        <f t="shared" si="65"/>
        <v>50.675314411291353</v>
      </c>
      <c r="N97">
        <f t="shared" si="66"/>
        <v>46.578291037047684</v>
      </c>
      <c r="O97">
        <f t="shared" si="67"/>
        <v>35.724936579587443</v>
      </c>
      <c r="P97">
        <f t="shared" si="68"/>
        <v>20.462986622822811</v>
      </c>
      <c r="Q97">
        <f t="shared" si="69"/>
        <v>15.505492883366204</v>
      </c>
      <c r="R97">
        <f t="shared" si="70"/>
        <v>10.251357860832798</v>
      </c>
      <c r="S97">
        <f t="shared" si="71"/>
        <v>8.7904066338839133</v>
      </c>
      <c r="T97">
        <f t="shared" si="72"/>
        <v>5.0425881973720834</v>
      </c>
      <c r="U97">
        <f t="shared" si="73"/>
        <v>3.484083323878937</v>
      </c>
      <c r="V97">
        <f t="shared" si="74"/>
        <v>2.9969049349106367</v>
      </c>
      <c r="W97">
        <f t="shared" si="75"/>
        <v>1.9130880662376684</v>
      </c>
      <c r="X97">
        <f t="shared" si="76"/>
        <v>1.766881211140956</v>
      </c>
      <c r="Y97">
        <f t="shared" si="77"/>
        <v>3.9936111685755789</v>
      </c>
      <c r="Z97">
        <f t="shared" si="51"/>
        <v>19442.234058361475</v>
      </c>
      <c r="AA97">
        <f t="shared" si="52"/>
        <v>6.1240193911259455E-2</v>
      </c>
      <c r="AB97">
        <f t="shared" si="58"/>
        <v>4464.9080997255815</v>
      </c>
      <c r="AC97">
        <f t="shared" si="53"/>
        <v>26501.614991908187</v>
      </c>
      <c r="AD97">
        <f t="shared" si="54"/>
        <v>21458.404945417697</v>
      </c>
      <c r="AE97">
        <v>0.22365478107695722</v>
      </c>
      <c r="AF97">
        <v>-0.3605607175861999</v>
      </c>
      <c r="AG97">
        <v>73</v>
      </c>
      <c r="AH97">
        <f t="shared" si="55"/>
        <v>1314.1168798837086</v>
      </c>
      <c r="AI97">
        <f t="shared" si="56"/>
        <v>18.001601094297378</v>
      </c>
    </row>
    <row r="98" spans="5:35" x14ac:dyDescent="0.3">
      <c r="E98">
        <v>84</v>
      </c>
      <c r="F98">
        <f t="shared" si="57"/>
        <v>1848.0630979863495</v>
      </c>
      <c r="G98">
        <f t="shared" si="59"/>
        <v>980.38359883337137</v>
      </c>
      <c r="H98">
        <f t="shared" si="60"/>
        <v>558.14047719975611</v>
      </c>
      <c r="I98">
        <f t="shared" si="61"/>
        <v>321.32895442481203</v>
      </c>
      <c r="J98">
        <f t="shared" si="62"/>
        <v>162.97371638658186</v>
      </c>
      <c r="K98">
        <f t="shared" si="63"/>
        <v>142.90845620356205</v>
      </c>
      <c r="L98">
        <f t="shared" si="64"/>
        <v>103.43983698691285</v>
      </c>
      <c r="M98">
        <f t="shared" si="65"/>
        <v>73.641317483592402</v>
      </c>
      <c r="N98">
        <f t="shared" si="66"/>
        <v>36.682992099802838</v>
      </c>
      <c r="O98">
        <f t="shared" si="67"/>
        <v>34.282701145644012</v>
      </c>
      <c r="P98">
        <f t="shared" si="68"/>
        <v>26.653168576278368</v>
      </c>
      <c r="Q98">
        <f t="shared" si="69"/>
        <v>15.437289777515126</v>
      </c>
      <c r="R98">
        <f t="shared" si="70"/>
        <v>11.804931646334449</v>
      </c>
      <c r="S98">
        <f t="shared" si="71"/>
        <v>7.8641307664332452</v>
      </c>
      <c r="T98">
        <f t="shared" si="72"/>
        <v>6.7859970310942979</v>
      </c>
      <c r="U98">
        <f t="shared" si="73"/>
        <v>3.9132610045641343</v>
      </c>
      <c r="V98">
        <f t="shared" si="74"/>
        <v>2.7156915967714128</v>
      </c>
      <c r="W98">
        <f t="shared" si="75"/>
        <v>2.3445657194917731</v>
      </c>
      <c r="X98">
        <f t="shared" si="76"/>
        <v>1.5012930967473266</v>
      </c>
      <c r="Y98">
        <f t="shared" si="77"/>
        <v>4.5391660152042048</v>
      </c>
      <c r="Z98">
        <f t="shared" si="51"/>
        <v>19624.249158064373</v>
      </c>
      <c r="AA98">
        <f t="shared" si="52"/>
        <v>6.5435308143285242E-2</v>
      </c>
      <c r="AB98">
        <f t="shared" si="58"/>
        <v>4345.4046439808199</v>
      </c>
      <c r="AC98">
        <f t="shared" si="53"/>
        <v>27148.802173019947</v>
      </c>
      <c r="AD98">
        <f t="shared" si="54"/>
        <v>22031.020825578646</v>
      </c>
      <c r="AE98">
        <v>7.5820893941560247E-2</v>
      </c>
      <c r="AF98">
        <v>-4.8495291722054946E-2</v>
      </c>
      <c r="AG98">
        <v>69</v>
      </c>
      <c r="AH98">
        <f t="shared" si="55"/>
        <v>1441.6066364328731</v>
      </c>
      <c r="AI98">
        <f t="shared" si="56"/>
        <v>20.892849803374972</v>
      </c>
    </row>
    <row r="99" spans="5:35" x14ac:dyDescent="0.3">
      <c r="E99">
        <v>85</v>
      </c>
      <c r="F99">
        <f t="shared" si="57"/>
        <v>1965.2037385194603</v>
      </c>
      <c r="G99">
        <f t="shared" si="59"/>
        <v>892.20092938650862</v>
      </c>
      <c r="H99">
        <f t="shared" si="60"/>
        <v>555.42998814525583</v>
      </c>
      <c r="I99">
        <f t="shared" si="61"/>
        <v>341.64231579263418</v>
      </c>
      <c r="J99">
        <f t="shared" si="62"/>
        <v>206.39865634406709</v>
      </c>
      <c r="K99">
        <f t="shared" si="63"/>
        <v>108.74419719674819</v>
      </c>
      <c r="L99">
        <f t="shared" si="64"/>
        <v>98.380821954309909</v>
      </c>
      <c r="M99">
        <f t="shared" si="65"/>
        <v>73.037259782287791</v>
      </c>
      <c r="N99">
        <f t="shared" si="66"/>
        <v>53.072930034166674</v>
      </c>
      <c r="O99">
        <f t="shared" si="67"/>
        <v>26.879957415504144</v>
      </c>
      <c r="P99">
        <f t="shared" si="68"/>
        <v>25.463544425628889</v>
      </c>
      <c r="Q99">
        <f t="shared" si="69"/>
        <v>20.017687655885499</v>
      </c>
      <c r="R99">
        <f t="shared" si="70"/>
        <v>11.700647289456686</v>
      </c>
      <c r="S99">
        <f t="shared" si="71"/>
        <v>9.0155533992784171</v>
      </c>
      <c r="T99">
        <f t="shared" si="72"/>
        <v>6.0438559064686608</v>
      </c>
      <c r="U99">
        <f t="shared" si="73"/>
        <v>5.2427243343251462</v>
      </c>
      <c r="V99">
        <f t="shared" si="74"/>
        <v>3.0366051515193093</v>
      </c>
      <c r="W99">
        <f t="shared" si="75"/>
        <v>2.1150817304089542</v>
      </c>
      <c r="X99">
        <f t="shared" si="76"/>
        <v>1.8316814526657197</v>
      </c>
      <c r="Y99">
        <f t="shared" si="77"/>
        <v>4.7391267838394544</v>
      </c>
      <c r="Z99">
        <f t="shared" si="51"/>
        <v>20194.320323475727</v>
      </c>
      <c r="AA99">
        <f t="shared" si="52"/>
        <v>6.0227006143938944E-2</v>
      </c>
      <c r="AB99">
        <f t="shared" si="58"/>
        <v>4410.1973027004196</v>
      </c>
      <c r="AC99">
        <f t="shared" si="53"/>
        <v>27603.995528718431</v>
      </c>
      <c r="AD99">
        <f t="shared" si="54"/>
        <v>22516.724349305718</v>
      </c>
      <c r="AE99">
        <v>-0.46407388350992895</v>
      </c>
      <c r="AF99">
        <v>-0.11342178235397771</v>
      </c>
      <c r="AG99">
        <v>65</v>
      </c>
      <c r="AH99">
        <f t="shared" si="55"/>
        <v>1356.114895727015</v>
      </c>
      <c r="AI99">
        <f t="shared" si="56"/>
        <v>20.863306088107922</v>
      </c>
    </row>
    <row r="100" spans="5:35" x14ac:dyDescent="0.3">
      <c r="E100">
        <v>86</v>
      </c>
      <c r="F100">
        <f t="shared" si="57"/>
        <v>2423.7833245238226</v>
      </c>
      <c r="G100">
        <f t="shared" si="59"/>
        <v>949.06003910949119</v>
      </c>
      <c r="H100">
        <f t="shared" si="60"/>
        <v>506.1059133627187</v>
      </c>
      <c r="I100">
        <f t="shared" si="61"/>
        <v>340.97047967987737</v>
      </c>
      <c r="J100">
        <f t="shared" si="62"/>
        <v>220.3868184609527</v>
      </c>
      <c r="K100">
        <f t="shared" si="63"/>
        <v>138.40689259408359</v>
      </c>
      <c r="L100">
        <f t="shared" si="64"/>
        <v>75.258028624894877</v>
      </c>
      <c r="M100">
        <f t="shared" si="65"/>
        <v>69.842339104190586</v>
      </c>
      <c r="N100">
        <f t="shared" si="66"/>
        <v>52.92665416629395</v>
      </c>
      <c r="O100">
        <f t="shared" si="67"/>
        <v>39.104688255039711</v>
      </c>
      <c r="P100">
        <f t="shared" si="68"/>
        <v>20.07574420061087</v>
      </c>
      <c r="Q100">
        <f t="shared" si="69"/>
        <v>19.230359795090965</v>
      </c>
      <c r="R100">
        <f t="shared" si="70"/>
        <v>15.25663761149632</v>
      </c>
      <c r="S100">
        <f t="shared" si="71"/>
        <v>8.9855893170863954</v>
      </c>
      <c r="T100">
        <f t="shared" si="72"/>
        <v>6.9673022785052563</v>
      </c>
      <c r="U100">
        <f t="shared" si="73"/>
        <v>4.695340889752547</v>
      </c>
      <c r="V100">
        <f t="shared" si="74"/>
        <v>4.0908801978724787</v>
      </c>
      <c r="W100">
        <f t="shared" si="75"/>
        <v>2.3781851941161496</v>
      </c>
      <c r="X100">
        <f t="shared" si="76"/>
        <v>1.6615967785067549</v>
      </c>
      <c r="Y100">
        <f t="shared" si="77"/>
        <v>5.1835801926675149</v>
      </c>
      <c r="Z100">
        <f t="shared" si="51"/>
        <v>20842.431168962958</v>
      </c>
      <c r="AA100">
        <f t="shared" si="52"/>
        <v>5.4931809658829156E-2</v>
      </c>
      <c r="AB100">
        <f t="shared" si="58"/>
        <v>4904.3703943370701</v>
      </c>
      <c r="AC100">
        <f t="shared" si="53"/>
        <v>28322.379139740144</v>
      </c>
      <c r="AD100">
        <f t="shared" si="54"/>
        <v>23024.386211104971</v>
      </c>
      <c r="AE100">
        <v>0.14525938092444723</v>
      </c>
      <c r="AF100">
        <v>-0.1916629335603641</v>
      </c>
      <c r="AG100">
        <v>61</v>
      </c>
      <c r="AH100">
        <f t="shared" si="55"/>
        <v>1264.7712008597889</v>
      </c>
      <c r="AI100">
        <f t="shared" si="56"/>
        <v>20.733954112455557</v>
      </c>
    </row>
    <row r="101" spans="5:35" x14ac:dyDescent="0.3">
      <c r="E101">
        <v>87</v>
      </c>
      <c r="F101">
        <f t="shared" si="57"/>
        <v>1951.585814756397</v>
      </c>
      <c r="G101">
        <f t="shared" si="59"/>
        <v>1170.9070527995536</v>
      </c>
      <c r="H101">
        <f t="shared" si="60"/>
        <v>539.04656169139366</v>
      </c>
      <c r="I101">
        <f t="shared" si="61"/>
        <v>311.60575128616654</v>
      </c>
      <c r="J101">
        <f t="shared" si="62"/>
        <v>220.90755496701266</v>
      </c>
      <c r="K101">
        <f t="shared" si="63"/>
        <v>148.53332137356546</v>
      </c>
      <c r="L101">
        <f t="shared" si="64"/>
        <v>96.29962812223917</v>
      </c>
      <c r="M101">
        <f t="shared" si="65"/>
        <v>53.720383508833379</v>
      </c>
      <c r="N101">
        <f t="shared" si="66"/>
        <v>50.892478444126361</v>
      </c>
      <c r="O101">
        <f t="shared" si="67"/>
        <v>39.214674898084432</v>
      </c>
      <c r="P101">
        <f t="shared" si="68"/>
        <v>29.369575899843721</v>
      </c>
      <c r="Q101">
        <f t="shared" si="69"/>
        <v>15.246502825535668</v>
      </c>
      <c r="R101">
        <f t="shared" si="70"/>
        <v>14.738896727468576</v>
      </c>
      <c r="S101">
        <f t="shared" si="71"/>
        <v>11.782293436129484</v>
      </c>
      <c r="T101">
        <f t="shared" si="72"/>
        <v>6.9831968458149536</v>
      </c>
      <c r="U101">
        <f t="shared" si="73"/>
        <v>5.4431953535269013</v>
      </c>
      <c r="V101">
        <f t="shared" si="74"/>
        <v>3.6843736825706559</v>
      </c>
      <c r="W101">
        <f t="shared" si="75"/>
        <v>3.2218945830816645</v>
      </c>
      <c r="X101">
        <f t="shared" si="76"/>
        <v>1.8788049190524259</v>
      </c>
      <c r="Y101">
        <f t="shared" si="77"/>
        <v>5.4308498555572191</v>
      </c>
      <c r="Z101">
        <f t="shared" si="51"/>
        <v>21122.686995354572</v>
      </c>
      <c r="AA101">
        <f t="shared" si="52"/>
        <v>5.4616223364271299E-2</v>
      </c>
      <c r="AB101">
        <f t="shared" si="58"/>
        <v>4680.4928059759523</v>
      </c>
      <c r="AC101">
        <f t="shared" si="53"/>
        <v>29150.432537337703</v>
      </c>
      <c r="AD101">
        <f t="shared" si="54"/>
        <v>23643.560637441347</v>
      </c>
      <c r="AE101">
        <v>-0.35636471180137302</v>
      </c>
      <c r="AF101">
        <v>-3.6923921573425965E-2</v>
      </c>
      <c r="AG101">
        <v>57</v>
      </c>
      <c r="AH101">
        <f t="shared" si="55"/>
        <v>1291.3219889011893</v>
      </c>
      <c r="AI101">
        <f t="shared" si="56"/>
        <v>22.654771735108586</v>
      </c>
    </row>
    <row r="102" spans="5:35" x14ac:dyDescent="0.3">
      <c r="E102">
        <v>88</v>
      </c>
      <c r="F102">
        <f t="shared" si="57"/>
        <v>2376.1870337216565</v>
      </c>
      <c r="G102">
        <f t="shared" si="59"/>
        <v>942.81128923121628</v>
      </c>
      <c r="H102">
        <f t="shared" si="60"/>
        <v>665.10161319553242</v>
      </c>
      <c r="I102">
        <f t="shared" si="61"/>
        <v>331.94512767785926</v>
      </c>
      <c r="J102">
        <f t="shared" si="62"/>
        <v>201.93473641202434</v>
      </c>
      <c r="K102">
        <f t="shared" si="63"/>
        <v>148.92886034198403</v>
      </c>
      <c r="L102">
        <f t="shared" si="64"/>
        <v>103.37812976895179</v>
      </c>
      <c r="M102">
        <f t="shared" si="65"/>
        <v>68.762583932993678</v>
      </c>
      <c r="N102">
        <f t="shared" si="66"/>
        <v>39.157669475376991</v>
      </c>
      <c r="O102">
        <f t="shared" si="67"/>
        <v>37.719983126117974</v>
      </c>
      <c r="P102">
        <f t="shared" si="68"/>
        <v>29.461958388647869</v>
      </c>
      <c r="Q102">
        <f t="shared" si="69"/>
        <v>22.312110829732156</v>
      </c>
      <c r="R102">
        <f t="shared" si="70"/>
        <v>11.689403697460596</v>
      </c>
      <c r="S102">
        <f t="shared" si="71"/>
        <v>11.386247829448948</v>
      </c>
      <c r="T102">
        <f t="shared" si="72"/>
        <v>9.1597215771343237</v>
      </c>
      <c r="U102">
        <f t="shared" si="73"/>
        <v>5.4574318175597885</v>
      </c>
      <c r="V102">
        <f t="shared" si="74"/>
        <v>4.2726297857138462</v>
      </c>
      <c r="W102">
        <f t="shared" si="75"/>
        <v>2.9027060674366587</v>
      </c>
      <c r="X102">
        <f t="shared" si="76"/>
        <v>2.5461980813312315</v>
      </c>
      <c r="Y102">
        <f t="shared" si="77"/>
        <v>5.8011124526411688</v>
      </c>
      <c r="Z102">
        <f t="shared" si="51"/>
        <v>21429.654241526317</v>
      </c>
      <c r="AA102">
        <f t="shared" si="52"/>
        <v>5.0001410939521262E-2</v>
      </c>
      <c r="AB102">
        <f t="shared" si="58"/>
        <v>5020.9165474108195</v>
      </c>
      <c r="AC102">
        <f t="shared" si="53"/>
        <v>30013.068668816741</v>
      </c>
      <c r="AD102">
        <f t="shared" si="54"/>
        <v>24366.630239501879</v>
      </c>
      <c r="AE102">
        <v>-0.23438322426362712</v>
      </c>
      <c r="AF102">
        <v>-8.175732241945792E-2</v>
      </c>
      <c r="AG102">
        <v>53</v>
      </c>
      <c r="AH102">
        <f t="shared" si="55"/>
        <v>1218.3658918166989</v>
      </c>
      <c r="AI102">
        <f t="shared" si="56"/>
        <v>22.988035694654695</v>
      </c>
    </row>
    <row r="103" spans="5:35" x14ac:dyDescent="0.3">
      <c r="E103">
        <v>89</v>
      </c>
      <c r="F103">
        <f t="shared" si="57"/>
        <v>2284.2965475730857</v>
      </c>
      <c r="G103">
        <f t="shared" si="59"/>
        <v>1148.2644318438254</v>
      </c>
      <c r="H103">
        <f t="shared" si="60"/>
        <v>536.13286326408411</v>
      </c>
      <c r="I103">
        <f t="shared" si="61"/>
        <v>410.61739097352449</v>
      </c>
      <c r="J103">
        <f t="shared" si="62"/>
        <v>215.92509822844403</v>
      </c>
      <c r="K103">
        <f t="shared" si="63"/>
        <v>136.73389307181725</v>
      </c>
      <c r="L103">
        <f t="shared" si="64"/>
        <v>104.13458154732869</v>
      </c>
      <c r="M103">
        <f t="shared" si="65"/>
        <v>74.16814357336176</v>
      </c>
      <c r="N103">
        <f t="shared" si="66"/>
        <v>50.36331221792426</v>
      </c>
      <c r="O103">
        <f t="shared" si="67"/>
        <v>29.162904565782704</v>
      </c>
      <c r="P103">
        <f t="shared" si="68"/>
        <v>28.476517319835537</v>
      </c>
      <c r="Q103">
        <f t="shared" si="69"/>
        <v>22.491098033864439</v>
      </c>
      <c r="R103">
        <f t="shared" si="70"/>
        <v>17.189810651550619</v>
      </c>
      <c r="S103">
        <f t="shared" si="71"/>
        <v>9.0743970849520075</v>
      </c>
      <c r="T103">
        <f t="shared" si="72"/>
        <v>8.8949561166934537</v>
      </c>
      <c r="U103">
        <f t="shared" si="73"/>
        <v>7.1932925518086304</v>
      </c>
      <c r="V103">
        <f t="shared" si="74"/>
        <v>4.3046868417437576</v>
      </c>
      <c r="W103">
        <f t="shared" si="75"/>
        <v>3.3825709249680505</v>
      </c>
      <c r="X103">
        <f t="shared" si="76"/>
        <v>2.305135437548516</v>
      </c>
      <c r="Y103">
        <f t="shared" si="77"/>
        <v>6.6562292793328197</v>
      </c>
      <c r="Z103">
        <f t="shared" si="51"/>
        <v>22674.015910812239</v>
      </c>
      <c r="AA103">
        <f t="shared" si="52"/>
        <v>5.1460383635297813E-2</v>
      </c>
      <c r="AB103">
        <f t="shared" si="58"/>
        <v>5099.7678611014762</v>
      </c>
      <c r="AC103">
        <f t="shared" si="53"/>
        <v>31011.023542037456</v>
      </c>
      <c r="AD103">
        <f t="shared" si="54"/>
        <v>25194.440762028615</v>
      </c>
      <c r="AE103">
        <v>-0.26162009375731998</v>
      </c>
      <c r="AF103">
        <v>0.18822882090790463</v>
      </c>
      <c r="AG103">
        <v>49</v>
      </c>
      <c r="AH103">
        <f t="shared" si="55"/>
        <v>1296.5155870907774</v>
      </c>
      <c r="AI103">
        <f t="shared" si="56"/>
        <v>26.459501777362807</v>
      </c>
    </row>
    <row r="104" spans="5:35" x14ac:dyDescent="0.3">
      <c r="E104">
        <v>90</v>
      </c>
      <c r="F104">
        <f t="shared" si="57"/>
        <v>2356.6591934937333</v>
      </c>
      <c r="G104">
        <f t="shared" si="59"/>
        <v>1103.7596710677456</v>
      </c>
      <c r="H104">
        <f t="shared" si="60"/>
        <v>652.73547581234573</v>
      </c>
      <c r="I104">
        <f t="shared" si="61"/>
        <v>330.72830243698002</v>
      </c>
      <c r="J104">
        <f t="shared" si="62"/>
        <v>266.78358594449077</v>
      </c>
      <c r="K104">
        <f t="shared" si="63"/>
        <v>146.00558853158057</v>
      </c>
      <c r="L104">
        <f t="shared" si="64"/>
        <v>95.467909610726679</v>
      </c>
      <c r="M104">
        <f t="shared" si="65"/>
        <v>74.599022241880803</v>
      </c>
      <c r="N104">
        <f t="shared" si="66"/>
        <v>54.240241451748197</v>
      </c>
      <c r="O104">
        <f t="shared" si="67"/>
        <v>37.451278749748077</v>
      </c>
      <c r="P104">
        <f t="shared" si="68"/>
        <v>21.982778779129738</v>
      </c>
      <c r="Q104">
        <f t="shared" si="69"/>
        <v>21.7055698552556</v>
      </c>
      <c r="R104">
        <f t="shared" si="70"/>
        <v>17.301177223999307</v>
      </c>
      <c r="S104">
        <f t="shared" si="71"/>
        <v>13.323877158636261</v>
      </c>
      <c r="T104">
        <f t="shared" si="72"/>
        <v>7.0780684014887489</v>
      </c>
      <c r="U104">
        <f t="shared" si="73"/>
        <v>6.9746568478994604</v>
      </c>
      <c r="V104">
        <f t="shared" si="74"/>
        <v>5.6651889526565178</v>
      </c>
      <c r="W104">
        <f t="shared" si="75"/>
        <v>3.4027224783120431</v>
      </c>
      <c r="X104">
        <f t="shared" si="76"/>
        <v>2.682091149866467</v>
      </c>
      <c r="Y104">
        <f t="shared" si="77"/>
        <v>7.1356635506598405</v>
      </c>
      <c r="Z104">
        <f t="shared" si="51"/>
        <v>23120.602467196328</v>
      </c>
      <c r="AA104">
        <f t="shared" si="52"/>
        <v>4.376633996453716E-2</v>
      </c>
      <c r="AB104">
        <f t="shared" si="58"/>
        <v>5225.6820637388837</v>
      </c>
      <c r="AC104">
        <f t="shared" si="53"/>
        <v>31965.014616754594</v>
      </c>
      <c r="AD104">
        <f t="shared" si="54"/>
        <v>25989.783717751492</v>
      </c>
      <c r="AE104">
        <v>0.39352898599115538</v>
      </c>
      <c r="AF104">
        <v>-1.3761052138761368E-2</v>
      </c>
      <c r="AG104">
        <v>45</v>
      </c>
      <c r="AH104">
        <f t="shared" si="55"/>
        <v>1137.4777097959043</v>
      </c>
      <c r="AI104">
        <f t="shared" si="56"/>
        <v>25.277282439908983</v>
      </c>
    </row>
    <row r="105" spans="5:35" x14ac:dyDescent="0.3">
      <c r="E105">
        <v>91</v>
      </c>
      <c r="F105">
        <f t="shared" si="57"/>
        <v>1814.9385241168111</v>
      </c>
      <c r="G105">
        <f t="shared" si="59"/>
        <v>1139.2676919652354</v>
      </c>
      <c r="H105">
        <f t="shared" si="60"/>
        <v>628.59751515732262</v>
      </c>
      <c r="I105">
        <f t="shared" si="61"/>
        <v>404.37180830664863</v>
      </c>
      <c r="J105">
        <f t="shared" si="62"/>
        <v>216.22330309386541</v>
      </c>
      <c r="K105">
        <f t="shared" si="63"/>
        <v>181.70797905462604</v>
      </c>
      <c r="L105">
        <f t="shared" si="64"/>
        <v>102.72789464679194</v>
      </c>
      <c r="M105">
        <f t="shared" si="65"/>
        <v>68.93115196066168</v>
      </c>
      <c r="N105">
        <f t="shared" si="66"/>
        <v>54.991506859702874</v>
      </c>
      <c r="O105">
        <f t="shared" si="67"/>
        <v>40.658519161521042</v>
      </c>
      <c r="P105">
        <f t="shared" si="68"/>
        <v>28.458139651242647</v>
      </c>
      <c r="Q105">
        <f t="shared" si="69"/>
        <v>16.891219783155016</v>
      </c>
      <c r="R105">
        <f t="shared" si="70"/>
        <v>16.831933688442994</v>
      </c>
      <c r="S105">
        <f t="shared" si="71"/>
        <v>13.518714583911606</v>
      </c>
      <c r="T105">
        <f t="shared" si="72"/>
        <v>10.476818493282504</v>
      </c>
      <c r="U105">
        <f t="shared" si="73"/>
        <v>5.5949567385630399</v>
      </c>
      <c r="V105">
        <f t="shared" si="74"/>
        <v>5.5374939499256728</v>
      </c>
      <c r="W105">
        <f t="shared" si="75"/>
        <v>4.5144380667560586</v>
      </c>
      <c r="X105">
        <f t="shared" si="76"/>
        <v>2.7199312501232598</v>
      </c>
      <c r="Y105">
        <f t="shared" si="77"/>
        <v>7.8806592207565487</v>
      </c>
      <c r="Z105">
        <f t="shared" si="51"/>
        <v>24080.050140904401</v>
      </c>
      <c r="AA105">
        <f t="shared" si="52"/>
        <v>4.0446016266657558E-2</v>
      </c>
      <c r="AB105">
        <f t="shared" si="58"/>
        <v>4764.8401997493484</v>
      </c>
      <c r="AC105">
        <f t="shared" si="53"/>
        <v>32816.521889531352</v>
      </c>
      <c r="AD105">
        <f t="shared" si="54"/>
        <v>26959.289683879855</v>
      </c>
      <c r="AE105">
        <v>-0.2352966341697062</v>
      </c>
      <c r="AF105">
        <v>1.7421035764189446E-2</v>
      </c>
      <c r="AG105">
        <v>41</v>
      </c>
      <c r="AH105">
        <f t="shared" si="55"/>
        <v>1090.3958690917379</v>
      </c>
      <c r="AI105">
        <f t="shared" si="56"/>
        <v>26.595021197359461</v>
      </c>
    </row>
    <row r="106" spans="5:35" x14ac:dyDescent="0.3">
      <c r="E106">
        <v>92</v>
      </c>
      <c r="F106">
        <f t="shared" si="57"/>
        <v>2383.4526656593735</v>
      </c>
      <c r="G106">
        <f t="shared" si="59"/>
        <v>877.5668336584456</v>
      </c>
      <c r="H106">
        <f t="shared" si="60"/>
        <v>649.33665626301126</v>
      </c>
      <c r="I106">
        <f t="shared" si="61"/>
        <v>390.13056650677424</v>
      </c>
      <c r="J106">
        <f t="shared" si="62"/>
        <v>265.07942443679786</v>
      </c>
      <c r="K106">
        <f t="shared" si="63"/>
        <v>147.7301388730823</v>
      </c>
      <c r="L106">
        <f t="shared" si="64"/>
        <v>128.27008322959526</v>
      </c>
      <c r="M106">
        <f t="shared" si="65"/>
        <v>74.424187098021378</v>
      </c>
      <c r="N106">
        <f t="shared" si="66"/>
        <v>50.98729347145273</v>
      </c>
      <c r="O106">
        <f t="shared" si="67"/>
        <v>41.363543246711252</v>
      </c>
      <c r="P106">
        <f t="shared" si="68"/>
        <v>31.001881228526383</v>
      </c>
      <c r="Q106">
        <f t="shared" si="69"/>
        <v>21.942401220862372</v>
      </c>
      <c r="R106">
        <f t="shared" si="70"/>
        <v>13.143911932060387</v>
      </c>
      <c r="S106">
        <f t="shared" si="71"/>
        <v>13.197618963674032</v>
      </c>
      <c r="T106">
        <f t="shared" si="72"/>
        <v>10.666862929150131</v>
      </c>
      <c r="U106">
        <f t="shared" si="73"/>
        <v>8.3102557547539906</v>
      </c>
      <c r="V106">
        <f t="shared" si="74"/>
        <v>4.457491116572502</v>
      </c>
      <c r="W106">
        <f t="shared" si="75"/>
        <v>4.4279850901014468</v>
      </c>
      <c r="X106">
        <f t="shared" si="76"/>
        <v>3.6210862583647012</v>
      </c>
      <c r="Y106">
        <f t="shared" si="77"/>
        <v>8.538865943796921</v>
      </c>
      <c r="Z106">
        <f t="shared" si="51"/>
        <v>25034.575231412276</v>
      </c>
      <c r="AA106">
        <f t="shared" si="52"/>
        <v>3.8065495203627786E-2</v>
      </c>
      <c r="AB106">
        <f t="shared" si="58"/>
        <v>5127.6497528811269</v>
      </c>
      <c r="AC106">
        <f t="shared" si="53"/>
        <v>33602.609339961506</v>
      </c>
      <c r="AD106">
        <f t="shared" si="54"/>
        <v>27862.853505718973</v>
      </c>
      <c r="AE106">
        <v>-0.10866748062367386</v>
      </c>
      <c r="AF106">
        <v>0.1193300580826151</v>
      </c>
      <c r="AG106">
        <v>37</v>
      </c>
      <c r="AH106">
        <f t="shared" si="55"/>
        <v>1060.6133164813291</v>
      </c>
      <c r="AI106">
        <f t="shared" si="56"/>
        <v>28.665224769765651</v>
      </c>
    </row>
    <row r="107" spans="5:35" x14ac:dyDescent="0.3">
      <c r="E107">
        <v>93</v>
      </c>
      <c r="F107">
        <f t="shared" si="57"/>
        <v>2295.7778873254201</v>
      </c>
      <c r="G107">
        <f t="shared" si="59"/>
        <v>1152.6270671577433</v>
      </c>
      <c r="H107">
        <f t="shared" si="60"/>
        <v>500.46330229328089</v>
      </c>
      <c r="I107">
        <f t="shared" si="61"/>
        <v>403.52957431535953</v>
      </c>
      <c r="J107">
        <f t="shared" si="62"/>
        <v>256.23458953489154</v>
      </c>
      <c r="K107">
        <f t="shared" si="63"/>
        <v>181.51359720134144</v>
      </c>
      <c r="L107">
        <f t="shared" si="64"/>
        <v>104.53087839900336</v>
      </c>
      <c r="M107">
        <f t="shared" si="65"/>
        <v>93.153727832890738</v>
      </c>
      <c r="N107">
        <f t="shared" si="66"/>
        <v>55.185035502936501</v>
      </c>
      <c r="O107">
        <f t="shared" si="67"/>
        <v>38.445963078031156</v>
      </c>
      <c r="P107">
        <f t="shared" si="68"/>
        <v>31.617248975740882</v>
      </c>
      <c r="Q107">
        <f t="shared" si="69"/>
        <v>23.962790535197161</v>
      </c>
      <c r="R107">
        <f t="shared" si="70"/>
        <v>17.116722416615875</v>
      </c>
      <c r="S107">
        <f t="shared" si="71"/>
        <v>10.331414131974485</v>
      </c>
      <c r="T107">
        <f t="shared" si="72"/>
        <v>10.439289594872497</v>
      </c>
      <c r="U107">
        <f t="shared" si="73"/>
        <v>8.4819570437237424</v>
      </c>
      <c r="V107">
        <f t="shared" si="74"/>
        <v>6.6371674006167485</v>
      </c>
      <c r="W107">
        <f t="shared" si="75"/>
        <v>3.5732070216041669</v>
      </c>
      <c r="X107">
        <f t="shared" si="76"/>
        <v>3.5605432270016273</v>
      </c>
      <c r="Y107">
        <f t="shared" si="77"/>
        <v>9.8183380416960446</v>
      </c>
      <c r="Z107">
        <f t="shared" si="51"/>
        <v>25948.955015848394</v>
      </c>
      <c r="AA107">
        <f t="shared" si="52"/>
        <v>3.1098436308092947E-2</v>
      </c>
      <c r="AB107">
        <f t="shared" si="58"/>
        <v>5207.0003010299406</v>
      </c>
      <c r="AC107">
        <f t="shared" si="53"/>
        <v>34419.437486605188</v>
      </c>
      <c r="AD107">
        <f t="shared" si="54"/>
        <v>28579.372921185761</v>
      </c>
      <c r="AE107">
        <v>-0.12535553353990911</v>
      </c>
      <c r="AF107">
        <v>-0.10898870027187016</v>
      </c>
      <c r="AG107">
        <v>33</v>
      </c>
      <c r="AH107">
        <f t="shared" si="55"/>
        <v>888.77380851473163</v>
      </c>
      <c r="AI107">
        <f t="shared" si="56"/>
        <v>26.932539651961566</v>
      </c>
    </row>
    <row r="108" spans="5:35" x14ac:dyDescent="0.3">
      <c r="E108">
        <v>94</v>
      </c>
      <c r="F108">
        <f t="shared" si="57"/>
        <v>2338.1303801013005</v>
      </c>
      <c r="G108">
        <f t="shared" si="59"/>
        <v>1110.7067365909757</v>
      </c>
      <c r="H108">
        <f t="shared" si="60"/>
        <v>658.42385507121253</v>
      </c>
      <c r="I108">
        <f t="shared" si="61"/>
        <v>312.20235385736328</v>
      </c>
      <c r="J108">
        <f t="shared" si="62"/>
        <v>266.52064948190502</v>
      </c>
      <c r="K108">
        <f t="shared" si="63"/>
        <v>176.59864161950989</v>
      </c>
      <c r="L108">
        <f t="shared" si="64"/>
        <v>129.32072437135898</v>
      </c>
      <c r="M108">
        <f t="shared" si="65"/>
        <v>76.449653682215171</v>
      </c>
      <c r="N108">
        <f t="shared" si="66"/>
        <v>69.566044210292532</v>
      </c>
      <c r="O108">
        <f t="shared" si="67"/>
        <v>41.909932794878948</v>
      </c>
      <c r="P108">
        <f t="shared" si="68"/>
        <v>29.598736168222743</v>
      </c>
      <c r="Q108">
        <f t="shared" si="69"/>
        <v>24.614716810069066</v>
      </c>
      <c r="R108">
        <f t="shared" si="70"/>
        <v>18.827755287734277</v>
      </c>
      <c r="S108">
        <f t="shared" si="71"/>
        <v>13.551349469183771</v>
      </c>
      <c r="T108">
        <f t="shared" si="72"/>
        <v>8.2312037950739843</v>
      </c>
      <c r="U108">
        <f t="shared" si="73"/>
        <v>8.3610247464472511</v>
      </c>
      <c r="V108">
        <f t="shared" si="74"/>
        <v>6.8232984164061357</v>
      </c>
      <c r="W108">
        <f t="shared" si="75"/>
        <v>5.3589647233617059</v>
      </c>
      <c r="X108">
        <f t="shared" si="76"/>
        <v>2.8940039271256937</v>
      </c>
      <c r="Y108">
        <f t="shared" si="77"/>
        <v>10.881462471593339</v>
      </c>
      <c r="Z108">
        <f t="shared" si="51"/>
        <v>25886.871547848536</v>
      </c>
      <c r="AA108">
        <f t="shared" si="52"/>
        <v>3.0747873409268323E-2</v>
      </c>
      <c r="AB108">
        <f t="shared" si="58"/>
        <v>5308.9714875962309</v>
      </c>
      <c r="AC108">
        <f t="shared" si="53"/>
        <v>35401.524122265881</v>
      </c>
      <c r="AD108">
        <f t="shared" si="54"/>
        <v>29388.419972224481</v>
      </c>
      <c r="AE108">
        <v>-0.64334382543893864</v>
      </c>
      <c r="AF108">
        <v>0.18524904902473527</v>
      </c>
      <c r="AG108">
        <v>29</v>
      </c>
      <c r="AH108">
        <f t="shared" si="55"/>
        <v>903.6314170043712</v>
      </c>
      <c r="AI108">
        <f t="shared" si="56"/>
        <v>31.159704034633489</v>
      </c>
    </row>
    <row r="109" spans="5:35" x14ac:dyDescent="0.3">
      <c r="E109">
        <v>95</v>
      </c>
      <c r="F109">
        <f t="shared" si="57"/>
        <v>2857.3987988932254</v>
      </c>
      <c r="G109">
        <f t="shared" si="59"/>
        <v>1131.2215822712942</v>
      </c>
      <c r="H109">
        <f t="shared" si="60"/>
        <v>634.53061744038473</v>
      </c>
      <c r="I109">
        <f t="shared" si="61"/>
        <v>410.82113335278609</v>
      </c>
      <c r="J109">
        <f t="shared" si="62"/>
        <v>206.25926451293179</v>
      </c>
      <c r="K109">
        <f t="shared" si="63"/>
        <v>183.74761084363215</v>
      </c>
      <c r="L109">
        <f t="shared" si="64"/>
        <v>125.86236943540395</v>
      </c>
      <c r="M109">
        <f t="shared" si="65"/>
        <v>94.613314430013403</v>
      </c>
      <c r="N109">
        <f t="shared" si="66"/>
        <v>57.112015190531189</v>
      </c>
      <c r="O109">
        <f t="shared" si="67"/>
        <v>52.850449929609667</v>
      </c>
      <c r="P109">
        <f t="shared" si="68"/>
        <v>32.277180472926283</v>
      </c>
      <c r="Q109">
        <f t="shared" si="69"/>
        <v>23.051564278252517</v>
      </c>
      <c r="R109">
        <f t="shared" si="70"/>
        <v>19.346955406019735</v>
      </c>
      <c r="S109">
        <f t="shared" si="71"/>
        <v>14.911358832649137</v>
      </c>
      <c r="T109">
        <f t="shared" si="72"/>
        <v>10.800477060656632</v>
      </c>
      <c r="U109">
        <f t="shared" si="73"/>
        <v>6.594908534571843</v>
      </c>
      <c r="V109">
        <f t="shared" si="74"/>
        <v>6.72844489223941</v>
      </c>
      <c r="W109">
        <f t="shared" si="75"/>
        <v>5.511241123171053</v>
      </c>
      <c r="X109">
        <f t="shared" si="76"/>
        <v>4.3418895850636883</v>
      </c>
      <c r="Y109">
        <f t="shared" si="77"/>
        <v>11.209441593602108</v>
      </c>
      <c r="Z109">
        <f t="shared" si="51"/>
        <v>26502.341565237952</v>
      </c>
      <c r="AA109">
        <f t="shared" si="52"/>
        <v>2.4654630078329132E-2</v>
      </c>
      <c r="AB109">
        <f t="shared" si="58"/>
        <v>5889.1906180789647</v>
      </c>
      <c r="AC109">
        <f t="shared" si="53"/>
        <v>36587.269369678725</v>
      </c>
      <c r="AD109">
        <f t="shared" si="54"/>
        <v>30232.41702338319</v>
      </c>
      <c r="AE109">
        <v>0.38168225690684693</v>
      </c>
      <c r="AF109">
        <v>-3.6381312497442996E-3</v>
      </c>
      <c r="AG109">
        <v>25</v>
      </c>
      <c r="AH109">
        <f t="shared" si="55"/>
        <v>745.36905808529286</v>
      </c>
      <c r="AI109">
        <f t="shared" si="56"/>
        <v>29.814762323411713</v>
      </c>
    </row>
    <row r="110" spans="5:35" x14ac:dyDescent="0.3">
      <c r="E110">
        <v>96</v>
      </c>
      <c r="F110">
        <f t="shared" si="57"/>
        <v>1891.2555068508605</v>
      </c>
      <c r="G110">
        <f t="shared" si="59"/>
        <v>1382.9724059806656</v>
      </c>
      <c r="H110">
        <f t="shared" si="60"/>
        <v>647.19272973362558</v>
      </c>
      <c r="I110">
        <f t="shared" si="61"/>
        <v>397.23255087046556</v>
      </c>
      <c r="J110">
        <f t="shared" si="62"/>
        <v>272.73548025712779</v>
      </c>
      <c r="K110">
        <f t="shared" si="63"/>
        <v>143.00520348169039</v>
      </c>
      <c r="L110">
        <f t="shared" si="64"/>
        <v>131.74129882497363</v>
      </c>
      <c r="M110">
        <f t="shared" si="65"/>
        <v>92.647637208886451</v>
      </c>
      <c r="N110">
        <f t="shared" si="66"/>
        <v>71.119332578526766</v>
      </c>
      <c r="O110">
        <f t="shared" si="67"/>
        <v>43.659322064126009</v>
      </c>
      <c r="P110">
        <f t="shared" si="68"/>
        <v>40.957495552189933</v>
      </c>
      <c r="Q110">
        <f t="shared" si="69"/>
        <v>25.294931647998258</v>
      </c>
      <c r="R110">
        <f t="shared" si="70"/>
        <v>18.231890324227567</v>
      </c>
      <c r="S110">
        <f t="shared" si="71"/>
        <v>15.418660184503954</v>
      </c>
      <c r="T110">
        <f t="shared" si="72"/>
        <v>11.958980734958191</v>
      </c>
      <c r="U110">
        <f t="shared" si="73"/>
        <v>8.7077461874481976</v>
      </c>
      <c r="V110">
        <f t="shared" si="74"/>
        <v>5.3405007103698336</v>
      </c>
      <c r="W110">
        <f t="shared" si="75"/>
        <v>5.4687516806615344</v>
      </c>
      <c r="X110">
        <f t="shared" si="76"/>
        <v>4.4933069025936767</v>
      </c>
      <c r="Y110">
        <f t="shared" si="77"/>
        <v>12.73206322647628</v>
      </c>
      <c r="Z110">
        <f t="shared" si="51"/>
        <v>27390.736558237102</v>
      </c>
      <c r="AA110">
        <f t="shared" si="52"/>
        <v>2.3841213689553609E-2</v>
      </c>
      <c r="AB110">
        <f t="shared" si="58"/>
        <v>5222.1657950023773</v>
      </c>
      <c r="AC110">
        <f t="shared" si="53"/>
        <v>37733.454136520173</v>
      </c>
      <c r="AD110">
        <f t="shared" si="54"/>
        <v>31306.310337387375</v>
      </c>
      <c r="AE110">
        <v>-0.1975877448001197</v>
      </c>
      <c r="AF110">
        <v>0.34733514953276329</v>
      </c>
      <c r="AG110">
        <v>21</v>
      </c>
      <c r="AH110">
        <f t="shared" si="55"/>
        <v>746.38043458513357</v>
      </c>
      <c r="AI110">
        <f t="shared" si="56"/>
        <v>35.541925456434932</v>
      </c>
    </row>
    <row r="111" spans="5:35" x14ac:dyDescent="0.3">
      <c r="E111">
        <v>97</v>
      </c>
      <c r="F111">
        <f t="shared" si="57"/>
        <v>2449.9799607096929</v>
      </c>
      <c r="G111">
        <f t="shared" si="59"/>
        <v>915.4080157040429</v>
      </c>
      <c r="H111">
        <f t="shared" si="60"/>
        <v>791.3778023979504</v>
      </c>
      <c r="I111">
        <f t="shared" si="61"/>
        <v>405.33902357295364</v>
      </c>
      <c r="J111">
        <f t="shared" si="62"/>
        <v>263.88505847065159</v>
      </c>
      <c r="K111">
        <f t="shared" si="63"/>
        <v>189.23684861785887</v>
      </c>
      <c r="L111">
        <f t="shared" si="64"/>
        <v>102.61170190358965</v>
      </c>
      <c r="M111">
        <f t="shared" si="65"/>
        <v>97.054013308254341</v>
      </c>
      <c r="N111">
        <f t="shared" si="66"/>
        <v>69.699030887969826</v>
      </c>
      <c r="O111">
        <f t="shared" si="67"/>
        <v>54.412176249602275</v>
      </c>
      <c r="P111">
        <f t="shared" si="68"/>
        <v>33.862706511715928</v>
      </c>
      <c r="Q111">
        <f t="shared" si="69"/>
        <v>32.124168717605706</v>
      </c>
      <c r="R111">
        <f t="shared" si="70"/>
        <v>20.022844203831216</v>
      </c>
      <c r="S111">
        <f t="shared" si="71"/>
        <v>14.542092655889734</v>
      </c>
      <c r="T111">
        <f t="shared" si="72"/>
        <v>12.376132355303771</v>
      </c>
      <c r="U111">
        <f t="shared" si="73"/>
        <v>9.6498033945917108</v>
      </c>
      <c r="V111">
        <f t="shared" si="74"/>
        <v>7.0573315181574285</v>
      </c>
      <c r="W111">
        <f t="shared" si="75"/>
        <v>4.344272880771908</v>
      </c>
      <c r="X111">
        <f t="shared" si="76"/>
        <v>4.4623798401322992</v>
      </c>
      <c r="Y111">
        <f t="shared" si="77"/>
        <v>14.114936245989504</v>
      </c>
      <c r="Z111">
        <f t="shared" ref="Z111:Z114" si="78">SUMPRODUCT(F111:Y111,fecundity,pmature)</f>
        <v>28201.048584737488</v>
      </c>
      <c r="AA111">
        <f t="shared" si="52"/>
        <v>1.8468916091350374E-2</v>
      </c>
      <c r="AB111">
        <f t="shared" si="58"/>
        <v>5491.560300146557</v>
      </c>
      <c r="AC111">
        <f t="shared" si="53"/>
        <v>38686.974649798613</v>
      </c>
      <c r="AD111">
        <f t="shared" si="54"/>
        <v>32416.254340497242</v>
      </c>
      <c r="AE111">
        <v>-0.56500951424195001</v>
      </c>
      <c r="AF111">
        <v>0.23045520522816385</v>
      </c>
      <c r="AG111">
        <v>17</v>
      </c>
      <c r="AH111">
        <f t="shared" si="55"/>
        <v>598.6930814105159</v>
      </c>
      <c r="AI111">
        <f t="shared" ref="AI111:AI142" si="79">AH111/AG111</f>
        <v>35.217240082971522</v>
      </c>
    </row>
    <row r="112" spans="5:35" x14ac:dyDescent="0.3">
      <c r="E112">
        <v>98</v>
      </c>
      <c r="F112">
        <f t="shared" si="57"/>
        <v>2864.303189669582</v>
      </c>
      <c r="G112">
        <f t="shared" si="59"/>
        <v>1186.2365735841295</v>
      </c>
      <c r="H112">
        <f t="shared" si="60"/>
        <v>524.49589181458794</v>
      </c>
      <c r="I112">
        <f t="shared" si="61"/>
        <v>497.09359412232976</v>
      </c>
      <c r="J112">
        <f t="shared" si="62"/>
        <v>270.42101947436697</v>
      </c>
      <c r="K112">
        <f t="shared" si="63"/>
        <v>184.00254416605711</v>
      </c>
      <c r="L112">
        <f t="shared" si="64"/>
        <v>136.49641601344123</v>
      </c>
      <c r="M112">
        <f t="shared" si="65"/>
        <v>75.999973656675621</v>
      </c>
      <c r="N112">
        <f t="shared" si="66"/>
        <v>73.410171213026075</v>
      </c>
      <c r="O112">
        <f t="shared" si="67"/>
        <v>53.616476860554165</v>
      </c>
      <c r="P112">
        <f t="shared" si="68"/>
        <v>42.433690605499663</v>
      </c>
      <c r="Q112">
        <f t="shared" si="69"/>
        <v>26.705100153342684</v>
      </c>
      <c r="R112">
        <f t="shared" si="70"/>
        <v>25.568229342347067</v>
      </c>
      <c r="S112">
        <f t="shared" si="71"/>
        <v>16.058281091613352</v>
      </c>
      <c r="T112">
        <f t="shared" si="72"/>
        <v>11.736655520202278</v>
      </c>
      <c r="U112">
        <f t="shared" si="73"/>
        <v>10.041281104323025</v>
      </c>
      <c r="V112">
        <f t="shared" si="74"/>
        <v>7.8638212490630801</v>
      </c>
      <c r="W112">
        <f t="shared" si="75"/>
        <v>5.7724002817409348</v>
      </c>
      <c r="X112">
        <f t="shared" si="76"/>
        <v>3.5643186350297391</v>
      </c>
      <c r="Y112">
        <f t="shared" si="77"/>
        <v>15.307152015685903</v>
      </c>
      <c r="Z112">
        <f t="shared" si="78"/>
        <v>29990.061723091319</v>
      </c>
      <c r="AA112">
        <f t="shared" si="52"/>
        <v>1.3231005782047056E-2</v>
      </c>
      <c r="AB112">
        <f t="shared" si="58"/>
        <v>6031.1267805735988</v>
      </c>
      <c r="AC112">
        <f t="shared" si="53"/>
        <v>39925.140570768934</v>
      </c>
      <c r="AD112">
        <f t="shared" si="54"/>
        <v>33461.386102508754</v>
      </c>
      <c r="AE112">
        <v>8.7135602971391113E-2</v>
      </c>
      <c r="AF112">
        <v>6.0664766134741352E-2</v>
      </c>
      <c r="AG112">
        <v>13</v>
      </c>
      <c r="AH112">
        <f t="shared" si="55"/>
        <v>442.72779299760231</v>
      </c>
      <c r="AI112">
        <f t="shared" si="79"/>
        <v>34.055984076738639</v>
      </c>
    </row>
    <row r="113" spans="5:35" x14ac:dyDescent="0.3">
      <c r="E113">
        <v>99</v>
      </c>
      <c r="F113">
        <f t="shared" si="57"/>
        <v>2226.3802837042231</v>
      </c>
      <c r="G113">
        <f t="shared" si="59"/>
        <v>1387.2935966623108</v>
      </c>
      <c r="H113">
        <f t="shared" si="60"/>
        <v>680.5203223775593</v>
      </c>
      <c r="I113">
        <f t="shared" si="61"/>
        <v>330.39281079063005</v>
      </c>
      <c r="J113">
        <f t="shared" si="62"/>
        <v>333.01082505187424</v>
      </c>
      <c r="K113">
        <f t="shared" si="63"/>
        <v>189.46571202026789</v>
      </c>
      <c r="L113">
        <f t="shared" si="64"/>
        <v>133.39565803527708</v>
      </c>
      <c r="M113">
        <f t="shared" si="65"/>
        <v>101.62316386818563</v>
      </c>
      <c r="N113">
        <f t="shared" si="66"/>
        <v>57.78771886876131</v>
      </c>
      <c r="O113">
        <f t="shared" si="67"/>
        <v>56.770073077589956</v>
      </c>
      <c r="P113">
        <f t="shared" si="68"/>
        <v>42.035027993928495</v>
      </c>
      <c r="Q113">
        <f t="shared" si="69"/>
        <v>33.642291918039639</v>
      </c>
      <c r="R113">
        <f t="shared" si="70"/>
        <v>21.36818139928511</v>
      </c>
      <c r="S113">
        <f t="shared" si="71"/>
        <v>20.614844494845077</v>
      </c>
      <c r="T113">
        <f t="shared" si="72"/>
        <v>13.029377086867944</v>
      </c>
      <c r="U113">
        <f t="shared" si="73"/>
        <v>9.5731838126476276</v>
      </c>
      <c r="V113">
        <f t="shared" si="74"/>
        <v>8.2264538175450994</v>
      </c>
      <c r="W113">
        <f t="shared" si="75"/>
        <v>6.4663364815360085</v>
      </c>
      <c r="X113">
        <f t="shared" si="76"/>
        <v>4.7612928244780104</v>
      </c>
      <c r="Y113">
        <f t="shared" si="77"/>
        <v>15.63418784826888</v>
      </c>
      <c r="Z113">
        <f t="shared" si="78"/>
        <v>30183.052302913689</v>
      </c>
      <c r="AA113">
        <f t="shared" si="52"/>
        <v>9.542087651507325E-3</v>
      </c>
      <c r="AB113">
        <f t="shared" si="58"/>
        <v>5671.9913421341207</v>
      </c>
      <c r="AC113">
        <f t="shared" si="53"/>
        <v>41220.915734008115</v>
      </c>
      <c r="AD113">
        <f t="shared" si="54"/>
        <v>34557.225994047738</v>
      </c>
      <c r="AE113">
        <v>-0.3005268952044261</v>
      </c>
      <c r="AF113">
        <v>0.15819459446061027</v>
      </c>
      <c r="AG113">
        <v>9</v>
      </c>
      <c r="AH113">
        <f t="shared" si="55"/>
        <v>329.74807942815085</v>
      </c>
      <c r="AI113">
        <f t="shared" si="79"/>
        <v>36.638675492016759</v>
      </c>
    </row>
    <row r="114" spans="5:35" x14ac:dyDescent="0.3">
      <c r="E114">
        <v>100</v>
      </c>
      <c r="F114">
        <f t="shared" si="57"/>
        <v>2634.8255774459212</v>
      </c>
      <c r="G114">
        <f t="shared" si="59"/>
        <v>1078.5685388715219</v>
      </c>
      <c r="H114">
        <f t="shared" si="60"/>
        <v>796.56233805952695</v>
      </c>
      <c r="I114">
        <f t="shared" si="61"/>
        <v>429.5331701497044</v>
      </c>
      <c r="J114">
        <f t="shared" si="62"/>
        <v>221.97942004949388</v>
      </c>
      <c r="K114">
        <f t="shared" si="63"/>
        <v>234.10369542602717</v>
      </c>
      <c r="L114">
        <f t="shared" si="64"/>
        <v>137.8455829445144</v>
      </c>
      <c r="M114">
        <f t="shared" si="65"/>
        <v>99.676833721874871</v>
      </c>
      <c r="N114">
        <f t="shared" si="66"/>
        <v>77.555565949255993</v>
      </c>
      <c r="O114">
        <f t="shared" si="67"/>
        <v>44.854447439076829</v>
      </c>
      <c r="P114">
        <f t="shared" si="68"/>
        <v>44.672877140807373</v>
      </c>
      <c r="Q114">
        <f t="shared" si="69"/>
        <v>33.450314993981301</v>
      </c>
      <c r="R114">
        <f t="shared" si="70"/>
        <v>27.019336608108482</v>
      </c>
      <c r="S114">
        <f t="shared" si="71"/>
        <v>17.292739263639955</v>
      </c>
      <c r="T114">
        <f t="shared" si="72"/>
        <v>16.788898265812424</v>
      </c>
      <c r="U114">
        <f t="shared" si="73"/>
        <v>10.667280801136188</v>
      </c>
      <c r="V114">
        <f t="shared" si="74"/>
        <v>7.8722400248073097</v>
      </c>
      <c r="W114">
        <f t="shared" si="75"/>
        <v>6.7897843924097874</v>
      </c>
      <c r="X114">
        <f t="shared" si="76"/>
        <v>5.3535960932783304</v>
      </c>
      <c r="Y114">
        <f t="shared" si="77"/>
        <v>16.958219596596805</v>
      </c>
      <c r="Z114">
        <f t="shared" si="78"/>
        <v>30777.518018803508</v>
      </c>
      <c r="AA114">
        <f t="shared" si="52"/>
        <v>4.3196945470330705E-3</v>
      </c>
      <c r="AB114">
        <f t="shared" si="58"/>
        <v>5942.3704572374945</v>
      </c>
      <c r="AC114">
        <f t="shared" si="53"/>
        <v>42529.979542537709</v>
      </c>
      <c r="AD114">
        <f t="shared" si="54"/>
        <v>35822.137722747008</v>
      </c>
      <c r="AE114">
        <v>-0.28183060267138837</v>
      </c>
      <c r="AF114">
        <v>-0.36022368638374375</v>
      </c>
      <c r="AG114">
        <v>5</v>
      </c>
      <c r="AH114">
        <f t="shared" si="55"/>
        <v>154.7406929840179</v>
      </c>
      <c r="AI114">
        <f t="shared" si="79"/>
        <v>30.948138596803581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Juv. Survival</vt:lpstr>
      <vt:lpstr>Age Structure</vt:lpstr>
      <vt:lpstr>eprh</vt:lpstr>
      <vt:lpstr>epro</vt:lpstr>
      <vt:lpstr>fecundity</vt:lpstr>
      <vt:lpstr>hr</vt:lpstr>
      <vt:lpstr>Length</vt:lpstr>
      <vt:lpstr>lmat50</vt:lpstr>
      <vt:lpstr>lmatsd</vt:lpstr>
      <vt:lpstr>lwa</vt:lpstr>
      <vt:lpstr>lwb</vt:lpstr>
      <vt:lpstr>maxsj</vt:lpstr>
      <vt:lpstr>page</vt:lpstr>
      <vt:lpstr>pagehr</vt:lpstr>
      <vt:lpstr>pmature</vt:lpstr>
      <vt:lpstr>q</vt:lpstr>
      <vt:lpstr>req</vt:lpstr>
      <vt:lpstr>ro</vt:lpstr>
      <vt:lpstr>sa</vt:lpstr>
      <vt:lpstr>sdq</vt:lpstr>
      <vt:lpstr>sdr</vt:lpstr>
      <vt:lpstr>sjscale</vt:lpstr>
      <vt:lpstr>survival</vt:lpstr>
      <vt:lpstr>survivalhr</vt:lpstr>
      <vt:lpstr>survship</vt:lpstr>
      <vt:lpstr>survshiphr</vt:lpstr>
      <vt:lpstr>vbk</vt:lpstr>
      <vt:lpstr>vblinf</vt:lpstr>
      <vt:lpstr>vbto</vt:lpstr>
      <vt:lpstr>vul</vt:lpstr>
      <vt:lpstr>vul50_</vt:lpstr>
      <vt:lpstr>vulsd</vt:lpstr>
      <vt:lpstr>Weight</vt:lpstr>
      <vt:lpstr>yeq</vt:lpstr>
      <vt:lpstr>yprh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2017-09-26T17:25:18Z</dcterms:created>
  <dcterms:modified xsi:type="dcterms:W3CDTF">2017-11-15T21:46:15Z</dcterms:modified>
</cp:coreProperties>
</file>