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10848" tabRatio="500" activeTab="1"/>
  </bookViews>
  <sheets>
    <sheet name="Juv. Survival" sheetId="2" r:id="rId1"/>
    <sheet name="Age Structure" sheetId="1" r:id="rId2"/>
  </sheets>
  <definedNames>
    <definedName name="eprh">'Age Structure'!$C$16</definedName>
    <definedName name="epro">'Age Structure'!$C$14</definedName>
    <definedName name="fecundity">'Age Structure'!$F$4:$AI$4</definedName>
    <definedName name="hr">'Age Structure'!$C$13</definedName>
    <definedName name="Length">'Age Structure'!$F$2:$AI$2</definedName>
    <definedName name="lmat50">'Age Structure'!$C$9</definedName>
    <definedName name="lmatsd">'Age Structure'!$C$10</definedName>
    <definedName name="lwa">'Age Structure'!$C$7</definedName>
    <definedName name="lwb">'Age Structure'!$C$8</definedName>
    <definedName name="maxsj">'Age Structure'!$C$2</definedName>
    <definedName name="No">'Age Structure'!#REF!</definedName>
    <definedName name="page">'Age Structure'!$F$10:$AI$10</definedName>
    <definedName name="pagehr">'Age Structure'!$F$11:$AI$11</definedName>
    <definedName name="pmature">'Age Structure'!$F$5:$AI$5</definedName>
    <definedName name="req">'Age Structure'!$C$17</definedName>
    <definedName name="ro">'Age Structure'!$C$15</definedName>
    <definedName name="sa">'Age Structure'!$C$1</definedName>
    <definedName name="sjscale">'Age Structure'!$C$3</definedName>
    <definedName name="solver_adj" localSheetId="0" hidden="1">'Juv. Survival'!$B$1:$B$2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'Juv. Survival'!$B$3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survival">'Age Structure'!$F$6:$AI$6</definedName>
    <definedName name="survivalhr">'Age Structure'!$F$7:$AI$7</definedName>
    <definedName name="survship">'Age Structure'!$F$8:$AI$8</definedName>
    <definedName name="survshiphr">'Age Structure'!$F$9:$AI$9</definedName>
    <definedName name="vbk">'Age Structure'!$C$5</definedName>
    <definedName name="vblinf">'Age Structure'!$C$4</definedName>
    <definedName name="vbto">'Age Structure'!$C$6</definedName>
    <definedName name="vul">'Age Structure'!$F$12:$AI$12</definedName>
    <definedName name="vul50_">'Age Structure'!$C$11</definedName>
    <definedName name="vulsd">'Age Structure'!$C$12</definedName>
    <definedName name="Weight">'Age Structure'!$F$3:$AI$3</definedName>
    <definedName name="yeq">'Age Structure'!$C$19</definedName>
    <definedName name="yprh">'Age Structure'!$C$18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F7" i="1"/>
  <c r="G9" i="1"/>
  <c r="G12" i="1"/>
  <c r="G7" i="1"/>
  <c r="H9" i="1"/>
  <c r="H12" i="1"/>
  <c r="H7" i="1"/>
  <c r="I9" i="1"/>
  <c r="I12" i="1"/>
  <c r="I7" i="1"/>
  <c r="J9" i="1"/>
  <c r="J12" i="1"/>
  <c r="J7" i="1"/>
  <c r="K9" i="1"/>
  <c r="K12" i="1"/>
  <c r="K7" i="1"/>
  <c r="L9" i="1"/>
  <c r="L12" i="1"/>
  <c r="L7" i="1"/>
  <c r="M9" i="1"/>
  <c r="M12" i="1"/>
  <c r="M7" i="1"/>
  <c r="N9" i="1"/>
  <c r="N12" i="1"/>
  <c r="N7" i="1"/>
  <c r="O9" i="1"/>
  <c r="O12" i="1"/>
  <c r="O7" i="1"/>
  <c r="P9" i="1"/>
  <c r="P12" i="1"/>
  <c r="P7" i="1"/>
  <c r="Q9" i="1"/>
  <c r="Q12" i="1"/>
  <c r="Q7" i="1"/>
  <c r="R9" i="1"/>
  <c r="R12" i="1"/>
  <c r="R7" i="1"/>
  <c r="S9" i="1"/>
  <c r="S12" i="1"/>
  <c r="S7" i="1"/>
  <c r="T9" i="1"/>
  <c r="T12" i="1"/>
  <c r="T7" i="1"/>
  <c r="U9" i="1"/>
  <c r="U12" i="1"/>
  <c r="U7" i="1"/>
  <c r="V9" i="1"/>
  <c r="V12" i="1"/>
  <c r="V7" i="1"/>
  <c r="W9" i="1"/>
  <c r="W12" i="1"/>
  <c r="W7" i="1"/>
  <c r="X9" i="1"/>
  <c r="X12" i="1"/>
  <c r="X7" i="1"/>
  <c r="Y9" i="1"/>
  <c r="Y12" i="1"/>
  <c r="Y7" i="1"/>
  <c r="Z9" i="1"/>
  <c r="Z12" i="1"/>
  <c r="Z7" i="1"/>
  <c r="AA9" i="1"/>
  <c r="AA12" i="1"/>
  <c r="AA7" i="1"/>
  <c r="AB9" i="1"/>
  <c r="AB12" i="1"/>
  <c r="AB7" i="1"/>
  <c r="AC9" i="1"/>
  <c r="AC12" i="1"/>
  <c r="AC7" i="1"/>
  <c r="AD9" i="1"/>
  <c r="AD12" i="1"/>
  <c r="AD7" i="1"/>
  <c r="AE9" i="1"/>
  <c r="AE12" i="1"/>
  <c r="AE7" i="1"/>
  <c r="AF9" i="1"/>
  <c r="AF12" i="1"/>
  <c r="AF7" i="1"/>
  <c r="AG9" i="1"/>
  <c r="AG12" i="1"/>
  <c r="AG7" i="1"/>
  <c r="AH9" i="1"/>
  <c r="AH12" i="1"/>
  <c r="AH7" i="1"/>
  <c r="AI9" i="1"/>
  <c r="AI12" i="1"/>
  <c r="C18" i="1"/>
  <c r="F10" i="1"/>
  <c r="E2" i="2"/>
  <c r="F2" i="2"/>
  <c r="G2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B4" i="2"/>
  <c r="F2" i="1"/>
  <c r="F6" i="1"/>
  <c r="G2" i="1"/>
  <c r="G6" i="1"/>
  <c r="H2" i="1"/>
  <c r="H6" i="1"/>
  <c r="I2" i="1"/>
  <c r="I6" i="1"/>
  <c r="J2" i="1"/>
  <c r="J6" i="1"/>
  <c r="K2" i="1"/>
  <c r="K6" i="1"/>
  <c r="L2" i="1"/>
  <c r="L6" i="1"/>
  <c r="M2" i="1"/>
  <c r="M6" i="1"/>
  <c r="N2" i="1"/>
  <c r="N6" i="1"/>
  <c r="O2" i="1"/>
  <c r="O6" i="1"/>
  <c r="P2" i="1"/>
  <c r="P6" i="1"/>
  <c r="Q2" i="1"/>
  <c r="Q6" i="1"/>
  <c r="R2" i="1"/>
  <c r="R6" i="1"/>
  <c r="S2" i="1"/>
  <c r="S6" i="1"/>
  <c r="T2" i="1"/>
  <c r="T6" i="1"/>
  <c r="U2" i="1"/>
  <c r="U6" i="1"/>
  <c r="V2" i="1"/>
  <c r="V6" i="1"/>
  <c r="W2" i="1"/>
  <c r="W6" i="1"/>
  <c r="X2" i="1"/>
  <c r="X6" i="1"/>
  <c r="Y2" i="1"/>
  <c r="Y6" i="1"/>
  <c r="Z2" i="1"/>
  <c r="Z6" i="1"/>
  <c r="AA2" i="1"/>
  <c r="AA6" i="1"/>
  <c r="AB2" i="1"/>
  <c r="AB6" i="1"/>
  <c r="AC2" i="1"/>
  <c r="AC6" i="1"/>
  <c r="AD2" i="1"/>
  <c r="AD6" i="1"/>
  <c r="AE2" i="1"/>
  <c r="AE6" i="1"/>
  <c r="AF2" i="1"/>
  <c r="AF6" i="1"/>
  <c r="AG2" i="1"/>
  <c r="AG6" i="1"/>
  <c r="AH2" i="1"/>
  <c r="AH6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F11" i="1"/>
  <c r="AI2" i="1"/>
  <c r="AI6" i="1"/>
  <c r="AI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G10" i="1"/>
  <c r="H10" i="1"/>
  <c r="I10" i="1"/>
  <c r="J10" i="1"/>
  <c r="K10" i="1"/>
  <c r="L10" i="1"/>
  <c r="M10" i="1"/>
  <c r="N10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G5" i="1"/>
  <c r="H5" i="1"/>
  <c r="I5" i="1"/>
  <c r="J5" i="1"/>
  <c r="K5" i="1"/>
  <c r="L5" i="1"/>
  <c r="M5" i="1"/>
  <c r="N5" i="1"/>
  <c r="F5" i="1"/>
  <c r="P3" i="1"/>
  <c r="P4" i="1"/>
  <c r="Q3" i="1"/>
  <c r="Q4" i="1"/>
  <c r="R3" i="1"/>
  <c r="R4" i="1"/>
  <c r="S3" i="1"/>
  <c r="S4" i="1"/>
  <c r="T3" i="1"/>
  <c r="T4" i="1"/>
  <c r="U3" i="1"/>
  <c r="U4" i="1"/>
  <c r="V3" i="1"/>
  <c r="V4" i="1"/>
  <c r="W3" i="1"/>
  <c r="W4" i="1"/>
  <c r="X3" i="1"/>
  <c r="X4" i="1"/>
  <c r="Y3" i="1"/>
  <c r="Y4" i="1"/>
  <c r="Z3" i="1"/>
  <c r="Z4" i="1"/>
  <c r="AA3" i="1"/>
  <c r="AA4" i="1"/>
  <c r="AB3" i="1"/>
  <c r="AB4" i="1"/>
  <c r="AC3" i="1"/>
  <c r="AC4" i="1"/>
  <c r="AD3" i="1"/>
  <c r="AD4" i="1"/>
  <c r="AE3" i="1"/>
  <c r="AE4" i="1"/>
  <c r="AF3" i="1"/>
  <c r="AF4" i="1"/>
  <c r="AG3" i="1"/>
  <c r="AG4" i="1"/>
  <c r="AH3" i="1"/>
  <c r="AH4" i="1"/>
  <c r="AI3" i="1"/>
  <c r="AI4" i="1"/>
  <c r="J3" i="1"/>
  <c r="J4" i="1"/>
  <c r="K3" i="1"/>
  <c r="K4" i="1"/>
  <c r="L3" i="1"/>
  <c r="L4" i="1"/>
  <c r="M3" i="1"/>
  <c r="M4" i="1"/>
  <c r="N3" i="1"/>
  <c r="N4" i="1"/>
  <c r="O3" i="1"/>
  <c r="O4" i="1"/>
  <c r="I3" i="1"/>
  <c r="I4" i="1"/>
  <c r="G3" i="1"/>
  <c r="G4" i="1"/>
  <c r="H3" i="1"/>
  <c r="H4" i="1"/>
  <c r="F3" i="1"/>
  <c r="F4" i="1"/>
  <c r="B3" i="2"/>
  <c r="C14" i="1"/>
  <c r="C15" i="1"/>
  <c r="C16" i="1"/>
  <c r="C17" i="1"/>
  <c r="C19" i="1"/>
  <c r="E14" i="1"/>
</calcChain>
</file>

<file path=xl/sharedStrings.xml><?xml version="1.0" encoding="utf-8"?>
<sst xmlns="http://schemas.openxmlformats.org/spreadsheetml/2006/main" count="66" uniqueCount="65">
  <si>
    <t>Age</t>
  </si>
  <si>
    <t>Length</t>
  </si>
  <si>
    <t>vbk</t>
  </si>
  <si>
    <t>vbto</t>
  </si>
  <si>
    <t>vblinf</t>
  </si>
  <si>
    <t>Weight</t>
  </si>
  <si>
    <t>lwa</t>
  </si>
  <si>
    <t>lwb</t>
  </si>
  <si>
    <t>fecundity</t>
  </si>
  <si>
    <t>pmature</t>
  </si>
  <si>
    <t>lmat50</t>
  </si>
  <si>
    <t>lmatsd</t>
  </si>
  <si>
    <t>maxsj</t>
  </si>
  <si>
    <t>sjscale</t>
  </si>
  <si>
    <t>sa</t>
  </si>
  <si>
    <t>survival</t>
  </si>
  <si>
    <t>page</t>
  </si>
  <si>
    <t>vul50</t>
  </si>
  <si>
    <t>vulsd</t>
  </si>
  <si>
    <t>vul</t>
  </si>
  <si>
    <t>Eggs</t>
  </si>
  <si>
    <t>survivalhr</t>
  </si>
  <si>
    <t>survshiphr</t>
  </si>
  <si>
    <t>survship</t>
  </si>
  <si>
    <t>hr</t>
  </si>
  <si>
    <t>pagehr</t>
  </si>
  <si>
    <t>Survival</t>
  </si>
  <si>
    <t>Predicted Survival</t>
  </si>
  <si>
    <t>sjmax</t>
  </si>
  <si>
    <t>SS</t>
  </si>
  <si>
    <t>epro</t>
  </si>
  <si>
    <t>Adult survival</t>
  </si>
  <si>
    <t>Max juvenile Survival</t>
  </si>
  <si>
    <t>Density Dependnet effect of Juvenile Survival</t>
  </si>
  <si>
    <t>Max length</t>
  </si>
  <si>
    <t>Von Bertellany growth constant</t>
  </si>
  <si>
    <t>Theoretical age at length 0</t>
  </si>
  <si>
    <t>length weight scaler</t>
  </si>
  <si>
    <t>length weight power</t>
  </si>
  <si>
    <t>length at 50% maturity</t>
  </si>
  <si>
    <t>variation in age at first maturity</t>
  </si>
  <si>
    <t>length at 50% vulnerability to harvest</t>
  </si>
  <si>
    <t>variabilty in vulnerabilty at size</t>
  </si>
  <si>
    <t>harvesr rate of fully vulnerable individuals</t>
  </si>
  <si>
    <t>egg per recruit unharvested</t>
  </si>
  <si>
    <t>Equilibrium unharvested age 1 juvenile production</t>
  </si>
  <si>
    <t>ro</t>
  </si>
  <si>
    <t>egg per recruit when harveetsed</t>
  </si>
  <si>
    <t>eprh</t>
  </si>
  <si>
    <t>equilibrium recrutment</t>
  </si>
  <si>
    <t>req</t>
  </si>
  <si>
    <t>yield per recruit</t>
  </si>
  <si>
    <t>equilibrium yield</t>
  </si>
  <si>
    <t>yprh</t>
  </si>
  <si>
    <t>yeq</t>
  </si>
  <si>
    <t>Deviations</t>
  </si>
  <si>
    <t>dev squared</t>
  </si>
  <si>
    <t>survivorship is the reference from one year to another year</t>
  </si>
  <si>
    <t xml:space="preserve">survivor rate is from one year to the next year </t>
  </si>
  <si>
    <t>vul=vulnerability to harvest</t>
  </si>
  <si>
    <t>dd= regulation of population, effects ability of population to push back against negative impacts</t>
  </si>
  <si>
    <t xml:space="preserve">max juvenile= how much we can harvest the juveniles </t>
  </si>
  <si>
    <t>eggs per recruit</t>
  </si>
  <si>
    <t>&lt;- in cm</t>
  </si>
  <si>
    <t>&lt;- in kilograms, higher number but can fluctuate with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</si>
</sst>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'Juv. Survival'!$D$1</c:f>
              <c:strCache>
                <c:ptCount val="1"/>
                <c:pt idx="0">
                  <c:v>Survival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'Juv. Survival'!$C$2:$C$26</c:f>
              <c:numCache>
                <c:formatCode>General</c:formatCode>
                <c:ptCount val="25"/>
                <c:pt idx="0">
                  <c:v>1765</c:v>
                </c:pt>
                <c:pt idx="1">
                  <c:v>3073</c:v>
                </c:pt>
                <c:pt idx="2">
                  <c:v>4021</c:v>
                </c:pt>
                <c:pt idx="3">
                  <c:v>4740</c:v>
                </c:pt>
                <c:pt idx="4">
                  <c:v>5304</c:v>
                </c:pt>
                <c:pt idx="5">
                  <c:v>6708</c:v>
                </c:pt>
                <c:pt idx="6">
                  <c:v>8345</c:v>
                </c:pt>
                <c:pt idx="7">
                  <c:v>9980</c:v>
                </c:pt>
                <c:pt idx="8">
                  <c:v>11522</c:v>
                </c:pt>
                <c:pt idx="9">
                  <c:v>13342</c:v>
                </c:pt>
                <c:pt idx="10">
                  <c:v>15350</c:v>
                </c:pt>
                <c:pt idx="11">
                  <c:v>17406</c:v>
                </c:pt>
                <c:pt idx="12">
                  <c:v>19409</c:v>
                </c:pt>
                <c:pt idx="13">
                  <c:v>21387</c:v>
                </c:pt>
                <c:pt idx="14">
                  <c:v>23323</c:v>
                </c:pt>
                <c:pt idx="15">
                  <c:v>25183</c:v>
                </c:pt>
                <c:pt idx="16">
                  <c:v>26935</c:v>
                </c:pt>
                <c:pt idx="17">
                  <c:v>28568</c:v>
                </c:pt>
                <c:pt idx="18">
                  <c:v>30079</c:v>
                </c:pt>
                <c:pt idx="19">
                  <c:v>31467</c:v>
                </c:pt>
                <c:pt idx="20">
                  <c:v>32734</c:v>
                </c:pt>
                <c:pt idx="21">
                  <c:v>33884</c:v>
                </c:pt>
                <c:pt idx="22">
                  <c:v>34922</c:v>
                </c:pt>
                <c:pt idx="23">
                  <c:v>35857</c:v>
                </c:pt>
                <c:pt idx="24">
                  <c:v>36697</c:v>
                </c:pt>
              </c:numCache>
            </c:numRef>
          </c:xVal>
          <c:yVal>
            <c:numRef>
              <c:f>'Juv. Survival'!$D$2:$D$26</c:f>
              <c:numCache>
                <c:formatCode>General</c:formatCode>
                <c:ptCount val="25"/>
                <c:pt idx="0">
                  <c:v>0.28000000000000003</c:v>
                </c:pt>
                <c:pt idx="1">
                  <c:v>0.21</c:v>
                </c:pt>
                <c:pt idx="2">
                  <c:v>0.191</c:v>
                </c:pt>
                <c:pt idx="3">
                  <c:v>0.14299999999999999</c:v>
                </c:pt>
                <c:pt idx="4">
                  <c:v>0.219</c:v>
                </c:pt>
                <c:pt idx="5">
                  <c:v>0.19600000000000001</c:v>
                </c:pt>
                <c:pt idx="6">
                  <c:v>0.193</c:v>
                </c:pt>
                <c:pt idx="7">
                  <c:v>0.13500000000000001</c:v>
                </c:pt>
                <c:pt idx="8">
                  <c:v>0.10100000000000001</c:v>
                </c:pt>
                <c:pt idx="9">
                  <c:v>0.13600000000000001</c:v>
                </c:pt>
                <c:pt idx="10">
                  <c:v>0.127</c:v>
                </c:pt>
                <c:pt idx="11">
                  <c:v>0.109</c:v>
                </c:pt>
                <c:pt idx="12">
                  <c:v>0.104</c:v>
                </c:pt>
                <c:pt idx="13">
                  <c:v>7.6999999999999999E-2</c:v>
                </c:pt>
                <c:pt idx="14">
                  <c:v>9.7000000000000003E-2</c:v>
                </c:pt>
                <c:pt idx="15">
                  <c:v>0.106</c:v>
                </c:pt>
                <c:pt idx="16">
                  <c:v>9.1999999999999998E-2</c:v>
                </c:pt>
                <c:pt idx="17">
                  <c:v>6.6000000000000003E-2</c:v>
                </c:pt>
                <c:pt idx="18">
                  <c:v>9.2999999999999999E-2</c:v>
                </c:pt>
                <c:pt idx="19">
                  <c:v>9.8000000000000004E-2</c:v>
                </c:pt>
                <c:pt idx="20">
                  <c:v>7.4999999999999997E-2</c:v>
                </c:pt>
                <c:pt idx="21">
                  <c:v>7.8E-2</c:v>
                </c:pt>
                <c:pt idx="22">
                  <c:v>4.8000000000000001E-2</c:v>
                </c:pt>
                <c:pt idx="23">
                  <c:v>6.3E-2</c:v>
                </c:pt>
                <c:pt idx="24">
                  <c:v>7.9000000000000001E-2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'Juv. Survival'!$E$1</c:f>
              <c:strCache>
                <c:ptCount val="1"/>
                <c:pt idx="0">
                  <c:v>Predicted Survival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'Juv. Survival'!$C$2:$C$26</c:f>
              <c:numCache>
                <c:formatCode>General</c:formatCode>
                <c:ptCount val="25"/>
                <c:pt idx="0">
                  <c:v>1765</c:v>
                </c:pt>
                <c:pt idx="1">
                  <c:v>3073</c:v>
                </c:pt>
                <c:pt idx="2">
                  <c:v>4021</c:v>
                </c:pt>
                <c:pt idx="3">
                  <c:v>4740</c:v>
                </c:pt>
                <c:pt idx="4">
                  <c:v>5304</c:v>
                </c:pt>
                <c:pt idx="5">
                  <c:v>6708</c:v>
                </c:pt>
                <c:pt idx="6">
                  <c:v>8345</c:v>
                </c:pt>
                <c:pt idx="7">
                  <c:v>9980</c:v>
                </c:pt>
                <c:pt idx="8">
                  <c:v>11522</c:v>
                </c:pt>
                <c:pt idx="9">
                  <c:v>13342</c:v>
                </c:pt>
                <c:pt idx="10">
                  <c:v>15350</c:v>
                </c:pt>
                <c:pt idx="11">
                  <c:v>17406</c:v>
                </c:pt>
                <c:pt idx="12">
                  <c:v>19409</c:v>
                </c:pt>
                <c:pt idx="13">
                  <c:v>21387</c:v>
                </c:pt>
                <c:pt idx="14">
                  <c:v>23323</c:v>
                </c:pt>
                <c:pt idx="15">
                  <c:v>25183</c:v>
                </c:pt>
                <c:pt idx="16">
                  <c:v>26935</c:v>
                </c:pt>
                <c:pt idx="17">
                  <c:v>28568</c:v>
                </c:pt>
                <c:pt idx="18">
                  <c:v>30079</c:v>
                </c:pt>
                <c:pt idx="19">
                  <c:v>31467</c:v>
                </c:pt>
                <c:pt idx="20">
                  <c:v>32734</c:v>
                </c:pt>
                <c:pt idx="21">
                  <c:v>33884</c:v>
                </c:pt>
                <c:pt idx="22">
                  <c:v>34922</c:v>
                </c:pt>
                <c:pt idx="23">
                  <c:v>35857</c:v>
                </c:pt>
                <c:pt idx="24">
                  <c:v>36697</c:v>
                </c:pt>
              </c:numCache>
            </c:numRef>
          </c:xVal>
          <c:yVal>
            <c:numRef>
              <c:f>'Juv. Survival'!$E$2:$E$26</c:f>
              <c:numCache>
                <c:formatCode>0.00E+00</c:formatCode>
                <c:ptCount val="25"/>
                <c:pt idx="0">
                  <c:v>0.24554137704858173</c:v>
                </c:pt>
                <c:pt idx="1">
                  <c:v>0.22298319528760727</c:v>
                </c:pt>
                <c:pt idx="2">
                  <c:v>0.20906264394870022</c:v>
                </c:pt>
                <c:pt idx="3">
                  <c:v>0.1996113745979175</c:v>
                </c:pt>
                <c:pt idx="4">
                  <c:v>0.19277517063695865</c:v>
                </c:pt>
                <c:pt idx="5">
                  <c:v>0.17763128929605276</c:v>
                </c:pt>
                <c:pt idx="6">
                  <c:v>0.1627264963509597</c:v>
                </c:pt>
                <c:pt idx="7">
                  <c:v>0.15014355288717082</c:v>
                </c:pt>
                <c:pt idx="8">
                  <c:v>0.13993822529710195</c:v>
                </c:pt>
                <c:pt idx="9">
                  <c:v>0.12954549646919011</c:v>
                </c:pt>
                <c:pt idx="10">
                  <c:v>0.11973467247012198</c:v>
                </c:pt>
                <c:pt idx="11">
                  <c:v>0.11111823204146182</c:v>
                </c:pt>
                <c:pt idx="12">
                  <c:v>0.10383836199246389</c:v>
                </c:pt>
                <c:pt idx="13">
                  <c:v>9.7528563779414601E-2</c:v>
                </c:pt>
                <c:pt idx="14">
                  <c:v>9.2053644801318765E-2</c:v>
                </c:pt>
                <c:pt idx="15">
                  <c:v>8.7342987593108767E-2</c:v>
                </c:pt>
                <c:pt idx="16">
                  <c:v>8.3326514280516586E-2</c:v>
                </c:pt>
                <c:pt idx="17">
                  <c:v>7.9901791350407356E-2</c:v>
                </c:pt>
                <c:pt idx="18">
                  <c:v>7.6974490691814071E-2</c:v>
                </c:pt>
                <c:pt idx="19">
                  <c:v>7.446833828008087E-2</c:v>
                </c:pt>
                <c:pt idx="20">
                  <c:v>7.2319021904356559E-2</c:v>
                </c:pt>
                <c:pt idx="21">
                  <c:v>7.0472851624157326E-2</c:v>
                </c:pt>
                <c:pt idx="22">
                  <c:v>6.8885595033855093E-2</c:v>
                </c:pt>
                <c:pt idx="23">
                  <c:v>6.7515832824347088E-2</c:v>
                </c:pt>
                <c:pt idx="24">
                  <c:v>6.6330882305705205E-2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36768"/>
        <c:axId val="112637160"/>
      </c:scatterChart>
      <c:valAx>
        <c:axId val="11263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7160"/>
        <c:crosses val="autoZero"/>
        <c:crossBetween val="midCat"/>
      </c:valAx>
      <c:valAx>
        <c:axId val="11263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9825188291680933E-2"/>
          <c:y val="0.10712679810372541"/>
          <c:w val="0.88332794017186211"/>
          <c:h val="0.82254284043451809"/>
        </c:manualLayout>
      </c:layout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'Age Structure'!$E$14:$AI$14</c:f>
              <c:numCache>
                <c:formatCode>General</c:formatCode>
                <c:ptCount val="31"/>
                <c:pt idx="0">
                  <c:v>977.45459097692117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190</c:v>
                </c:pt>
                <c:pt idx="16">
                  <c:v>200</c:v>
                </c:pt>
                <c:pt idx="17">
                  <c:v>210</c:v>
                </c:pt>
                <c:pt idx="18">
                  <c:v>220</c:v>
                </c:pt>
                <c:pt idx="19">
                  <c:v>230</c:v>
                </c:pt>
                <c:pt idx="20">
                  <c:v>240</c:v>
                </c:pt>
                <c:pt idx="21">
                  <c:v>250</c:v>
                </c:pt>
                <c:pt idx="22">
                  <c:v>260</c:v>
                </c:pt>
                <c:pt idx="23">
                  <c:v>270</c:v>
                </c:pt>
                <c:pt idx="24">
                  <c:v>280</c:v>
                </c:pt>
                <c:pt idx="25">
                  <c:v>290</c:v>
                </c:pt>
                <c:pt idx="26">
                  <c:v>300</c:v>
                </c:pt>
                <c:pt idx="27">
                  <c:v>310</c:v>
                </c:pt>
                <c:pt idx="28">
                  <c:v>320</c:v>
                </c:pt>
                <c:pt idx="29">
                  <c:v>330</c:v>
                </c:pt>
                <c:pt idx="30">
                  <c:v>340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'Age Structure'!$E$15:$AI$15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'Age Structure'!$E$16:$AI$16</c:f>
              <c:numCache>
                <c:formatCode>General</c:formatCode>
                <c:ptCount val="31"/>
                <c:pt idx="0">
                  <c:v>0.08</c:v>
                </c:pt>
                <c:pt idx="1">
                  <c:v>513.68500528680818</c:v>
                </c:pt>
                <c:pt idx="2">
                  <c:v>575.89300867400948</c:v>
                </c:pt>
                <c:pt idx="3">
                  <c:v>623.69309488047418</c:v>
                </c:pt>
                <c:pt idx="4">
                  <c:v>717.51115595346789</c:v>
                </c:pt>
                <c:pt idx="5">
                  <c:v>779.0174257304069</c:v>
                </c:pt>
                <c:pt idx="6">
                  <c:v>833.96113904449419</c:v>
                </c:pt>
                <c:pt idx="7">
                  <c:v>901.16096887226536</c:v>
                </c:pt>
                <c:pt idx="8">
                  <c:v>943.27677251611271</c:v>
                </c:pt>
                <c:pt idx="9">
                  <c:v>987.13313279758893</c:v>
                </c:pt>
                <c:pt idx="10">
                  <c:v>1013.4342124701008</c:v>
                </c:pt>
                <c:pt idx="11">
                  <c:v>1027.9812703023908</c:v>
                </c:pt>
                <c:pt idx="12">
                  <c:v>1024.3702557915331</c:v>
                </c:pt>
                <c:pt idx="13">
                  <c:v>1000.4873407258328</c:v>
                </c:pt>
                <c:pt idx="14">
                  <c:v>953.74701932622088</c:v>
                </c:pt>
                <c:pt idx="15">
                  <c:v>883.65141588677238</c:v>
                </c:pt>
                <c:pt idx="16">
                  <c:v>790.26254556986589</c:v>
                </c:pt>
                <c:pt idx="17">
                  <c:v>674.48292904853793</c:v>
                </c:pt>
                <c:pt idx="18">
                  <c:v>537.70209346776039</c:v>
                </c:pt>
                <c:pt idx="19">
                  <c:v>382.30831628527011</c:v>
                </c:pt>
                <c:pt idx="20">
                  <c:v>215.95667185180625</c:v>
                </c:pt>
                <c:pt idx="21">
                  <c:v>74.11902059229925</c:v>
                </c:pt>
                <c:pt idx="22">
                  <c:v>13.73130140711463</c:v>
                </c:pt>
                <c:pt idx="23">
                  <c:v>1.9649923540157868</c:v>
                </c:pt>
                <c:pt idx="24">
                  <c:v>0.26804486156535073</c:v>
                </c:pt>
                <c:pt idx="25">
                  <c:v>3.6315038712249635E-2</c:v>
                </c:pt>
                <c:pt idx="26">
                  <c:v>4.9154234738692003E-3</c:v>
                </c:pt>
                <c:pt idx="27">
                  <c:v>6.6524337080631603E-4</c:v>
                </c:pt>
                <c:pt idx="28">
                  <c:v>9.0031140733677796E-5</c:v>
                </c:pt>
                <c:pt idx="29">
                  <c:v>1.218439434034382E-5</c:v>
                </c:pt>
                <c:pt idx="30">
                  <c:v>1.6489785398713661E-6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'Age Structure'!$E$17:$AI$17</c:f>
              <c:numCache>
                <c:formatCode>General</c:formatCode>
                <c:ptCount val="31"/>
                <c:pt idx="0">
                  <c:v>0.16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56.804825066338864</c:v>
                </c:pt>
                <c:pt idx="10">
                  <c:v>360.30081938786736</c:v>
                </c:pt>
                <c:pt idx="11">
                  <c:v>654.50619244145014</c:v>
                </c:pt>
                <c:pt idx="12">
                  <c:v>871.47899080710442</c:v>
                </c:pt>
                <c:pt idx="13">
                  <c:v>1025.4528847721915</c:v>
                </c:pt>
                <c:pt idx="14">
                  <c:v>1105.8189303666747</c:v>
                </c:pt>
                <c:pt idx="15">
                  <c:v>1115.2893275231309</c:v>
                </c:pt>
                <c:pt idx="16">
                  <c:v>1060.5751581729007</c:v>
                </c:pt>
                <c:pt idx="17">
                  <c:v>948.99615334698069</c:v>
                </c:pt>
                <c:pt idx="18">
                  <c:v>787.99062693610779</c:v>
                </c:pt>
                <c:pt idx="19">
                  <c:v>585.75441130923218</c:v>
                </c:pt>
                <c:pt idx="20">
                  <c:v>355.14239775190919</c:v>
                </c:pt>
                <c:pt idx="21">
                  <c:v>136.33650694333318</c:v>
                </c:pt>
                <c:pt idx="22">
                  <c:v>27.009718111594527</c:v>
                </c:pt>
                <c:pt idx="23">
                  <c:v>3.9205386356951717</c:v>
                </c:pt>
                <c:pt idx="24">
                  <c:v>0.53591349691351975</c:v>
                </c:pt>
                <c:pt idx="25">
                  <c:v>7.2626841622916258E-2</c:v>
                </c:pt>
                <c:pt idx="26">
                  <c:v>9.8307876618265091E-3</c:v>
                </c:pt>
                <c:pt idx="27">
                  <c:v>1.3304856557033447E-3</c:v>
                </c:pt>
                <c:pt idx="28">
                  <c:v>1.8006226157810945E-4</c:v>
                </c:pt>
                <c:pt idx="29">
                  <c:v>2.4368788316403096E-5</c:v>
                </c:pt>
                <c:pt idx="30">
                  <c:v>3.2979570730706274E-6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'Age Structure'!$E$18:$AI$18</c:f>
              <c:numCache>
                <c:formatCode>General</c:formatCode>
                <c:ptCount val="31"/>
                <c:pt idx="0">
                  <c:v>0.24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248.11798213874576</c:v>
                </c:pt>
                <c:pt idx="13">
                  <c:v>695.29757297802178</c:v>
                </c:pt>
                <c:pt idx="14">
                  <c:v>980.17523072310519</c:v>
                </c:pt>
                <c:pt idx="15">
                  <c:v>1122.2396669297186</c:v>
                </c:pt>
                <c:pt idx="16">
                  <c:v>1146.3157433323443</c:v>
                </c:pt>
                <c:pt idx="17">
                  <c:v>1073.4807684326199</c:v>
                </c:pt>
                <c:pt idx="18">
                  <c:v>921.62386517613584</c:v>
                </c:pt>
                <c:pt idx="19">
                  <c:v>707.2224171128056</c:v>
                </c:pt>
                <c:pt idx="20">
                  <c:v>450.01759972576968</c:v>
                </c:pt>
                <c:pt idx="21">
                  <c:v>188.90791536934989</c:v>
                </c:pt>
                <c:pt idx="22">
                  <c:v>39.852566236584742</c:v>
                </c:pt>
                <c:pt idx="23">
                  <c:v>5.8666912494487891</c:v>
                </c:pt>
                <c:pt idx="24">
                  <c:v>0.80360603966277167</c:v>
                </c:pt>
                <c:pt idx="25">
                  <c:v>0.10893540906448276</c:v>
                </c:pt>
                <c:pt idx="26">
                  <c:v>1.4746092564696485E-2</c:v>
                </c:pt>
                <c:pt idx="27">
                  <c:v>1.9957268546931285E-3</c:v>
                </c:pt>
                <c:pt idx="28">
                  <c:v>2.7009336253329993E-4</c:v>
                </c:pt>
                <c:pt idx="29">
                  <c:v>3.6553181928177818E-5</c:v>
                </c:pt>
                <c:pt idx="30">
                  <c:v>4.9469355995977826E-6</c:v>
                </c:pt>
              </c:numCache>
            </c:numRef>
          </c:val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'Age Structure'!$E$19:$AI$19</c:f>
              <c:numCache>
                <c:formatCode>General</c:formatCode>
                <c:ptCount val="31"/>
                <c:pt idx="0">
                  <c:v>0.32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221.31135049135119</c:v>
                </c:pt>
                <c:pt idx="14">
                  <c:v>750.75813703933932</c:v>
                </c:pt>
                <c:pt idx="15">
                  <c:v>1044.4815389197413</c:v>
                </c:pt>
                <c:pt idx="16">
                  <c:v>1158.336222156136</c:v>
                </c:pt>
                <c:pt idx="17">
                  <c:v>1133.6082585854156</c:v>
                </c:pt>
                <c:pt idx="18">
                  <c:v>1001.473074208388</c:v>
                </c:pt>
                <c:pt idx="19">
                  <c:v>787.50612518635114</c:v>
                </c:pt>
                <c:pt idx="20">
                  <c:v>518.52552196716351</c:v>
                </c:pt>
                <c:pt idx="21">
                  <c:v>233.65266479064067</c:v>
                </c:pt>
                <c:pt idx="22">
                  <c:v>52.276502536393913</c:v>
                </c:pt>
                <c:pt idx="23">
                  <c:v>7.80350231161471</c:v>
                </c:pt>
                <c:pt idx="24">
                  <c:v>1.071122623331058</c:v>
                </c:pt>
                <c:pt idx="25">
                  <c:v>0.14524074136939796</c:v>
                </c:pt>
                <c:pt idx="26">
                  <c:v>1.9661338183303682E-2</c:v>
                </c:pt>
                <c:pt idx="27">
                  <c:v>2.660966967777715E-3</c:v>
                </c:pt>
                <c:pt idx="28">
                  <c:v>3.6012444359925463E-4</c:v>
                </c:pt>
                <c:pt idx="29">
                  <c:v>4.8737575175667997E-5</c:v>
                </c:pt>
                <c:pt idx="30">
                  <c:v>6.5959141194528381E-6</c:v>
                </c:pt>
              </c:numCache>
            </c:numRef>
          </c:val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'Age Structure'!$E$20:$AI$20</c:f>
              <c:numCache>
                <c:formatCode>General</c:formatCode>
                <c:ptCount val="31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483.91410914965599</c:v>
                </c:pt>
                <c:pt idx="15">
                  <c:v>934.13542880220803</c:v>
                </c:pt>
                <c:pt idx="16">
                  <c:v>1138.203124998525</c:v>
                </c:pt>
                <c:pt idx="17">
                  <c:v>1162.5379220710429</c:v>
                </c:pt>
                <c:pt idx="18">
                  <c:v>1053.1862823391916</c:v>
                </c:pt>
                <c:pt idx="19">
                  <c:v>844.85636862155047</c:v>
                </c:pt>
                <c:pt idx="20">
                  <c:v>570.68195903662524</c:v>
                </c:pt>
                <c:pt idx="21">
                  <c:v>272.03677376593356</c:v>
                </c:pt>
                <c:pt idx="22">
                  <c:v>64.297548569843471</c:v>
                </c:pt>
                <c:pt idx="23">
                  <c:v>9.7310236519778286</c:v>
                </c:pt>
                <c:pt idx="24">
                  <c:v>1.3384633813360887</c:v>
                </c:pt>
                <c:pt idx="25">
                  <c:v>0.1815428388700773</c:v>
                </c:pt>
                <c:pt idx="26">
                  <c:v>2.4576524518472677E-2</c:v>
                </c:pt>
                <c:pt idx="27">
                  <c:v>3.3262059949591438E-3</c:v>
                </c:pt>
                <c:pt idx="28">
                  <c:v>4.5015550477597811E-4</c:v>
                </c:pt>
                <c:pt idx="29">
                  <c:v>6.0921968058873658E-5</c:v>
                </c:pt>
                <c:pt idx="30">
                  <c:v>8.244892632635777E-6</c:v>
                </c:pt>
              </c:numCache>
            </c:numRef>
          </c:val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'Age Structure'!$E$21:$AI$21</c:f>
              <c:numCache>
                <c:formatCode>General</c:formatCode>
                <c:ptCount val="31"/>
                <c:pt idx="0">
                  <c:v>0.48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207.87105899172585</c:v>
                </c:pt>
                <c:pt idx="15">
                  <c:v>812.86425569609219</c:v>
                </c:pt>
                <c:pt idx="16">
                  <c:v>1103.5369518022208</c:v>
                </c:pt>
                <c:pt idx="17">
                  <c:v>1174.8960977401669</c:v>
                </c:pt>
                <c:pt idx="18">
                  <c:v>1088.5850314259542</c:v>
                </c:pt>
                <c:pt idx="19">
                  <c:v>888.16095706399165</c:v>
                </c:pt>
                <c:pt idx="20">
                  <c:v>612.18260635479453</c:v>
                </c:pt>
                <c:pt idx="21">
                  <c:v>305.24027149529809</c:v>
                </c:pt>
                <c:pt idx="22">
                  <c:v>75.931114020344467</c:v>
                </c:pt>
                <c:pt idx="23">
                  <c:v>11.649306815281502</c:v>
                </c:pt>
                <c:pt idx="24">
                  <c:v>1.6056284469954061</c:v>
                </c:pt>
                <c:pt idx="25">
                  <c:v>0.2178417018989017</c:v>
                </c:pt>
                <c:pt idx="26">
                  <c:v>2.9491651571027986E-2</c:v>
                </c:pt>
                <c:pt idx="27">
                  <c:v>3.99144393623946E-3</c:v>
                </c:pt>
                <c:pt idx="28">
                  <c:v>5.401865460634758E-4</c:v>
                </c:pt>
                <c:pt idx="29">
                  <c:v>7.3106360577794769E-5</c:v>
                </c:pt>
                <c:pt idx="30">
                  <c:v>9.893871139146623E-6</c:v>
                </c:pt>
              </c:numCache>
            </c:numRef>
          </c:val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'Age Structure'!$E$22:$AI$22</c:f>
              <c:numCache>
                <c:formatCode>General</c:formatCode>
                <c:ptCount val="31"/>
                <c:pt idx="0">
                  <c:v>0.56000000000000005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690.28866666495696</c:v>
                </c:pt>
                <c:pt idx="16">
                  <c:v>1062.5234296032108</c:v>
                </c:pt>
                <c:pt idx="17">
                  <c:v>1177.8842937166241</c:v>
                </c:pt>
                <c:pt idx="18">
                  <c:v>1113.7762517901472</c:v>
                </c:pt>
                <c:pt idx="19">
                  <c:v>922.18366124738247</c:v>
                </c:pt>
                <c:pt idx="20">
                  <c:v>646.36425507860713</c:v>
                </c:pt>
                <c:pt idx="21">
                  <c:v>334.21212785843886</c:v>
                </c:pt>
                <c:pt idx="22">
                  <c:v>87.192019191948617</c:v>
                </c:pt>
                <c:pt idx="23">
                  <c:v>13.558403062731591</c:v>
                </c:pt>
                <c:pt idx="24">
                  <c:v>1.8726179535264542</c:v>
                </c:pt>
                <c:pt idx="25">
                  <c:v>0.25413733078821904</c:v>
                </c:pt>
                <c:pt idx="26">
                  <c:v>3.4406719341794144E-2</c:v>
                </c:pt>
                <c:pt idx="27">
                  <c:v>4.6566807916207124E-3</c:v>
                </c:pt>
                <c:pt idx="28">
                  <c:v>6.3021756746175258E-4</c:v>
                </c:pt>
                <c:pt idx="29">
                  <c:v>8.5290752732431485E-5</c:v>
                </c:pt>
                <c:pt idx="30">
                  <c:v>1.1542849638985368E-5</c:v>
                </c:pt>
              </c:numCache>
            </c:numRef>
          </c:val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'Age Structure'!$E$23:$AI$23</c:f>
              <c:numCache>
                <c:formatCode>General</c:formatCode>
                <c:ptCount val="31"/>
                <c:pt idx="0">
                  <c:v>0.64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570.75935329951494</c:v>
                </c:pt>
                <c:pt idx="16">
                  <c:v>1019.1920395666124</c:v>
                </c:pt>
                <c:pt idx="17">
                  <c:v>1175.349585528566</c:v>
                </c:pt>
                <c:pt idx="18">
                  <c:v>1132.2129923274072</c:v>
                </c:pt>
                <c:pt idx="19">
                  <c:v>949.71527417341065</c:v>
                </c:pt>
                <c:pt idx="20">
                  <c:v>675.26356866539606</c:v>
                </c:pt>
                <c:pt idx="21">
                  <c:v>359.71495954296438</c:v>
                </c:pt>
                <c:pt idx="22">
                  <c:v>98.094516709664717</c:v>
                </c:pt>
                <c:pt idx="23">
                  <c:v>15.45836337349273</c:v>
                </c:pt>
                <c:pt idx="24">
                  <c:v>2.1394320340466502</c:v>
                </c:pt>
                <c:pt idx="25">
                  <c:v>0.29042972587034283</c:v>
                </c:pt>
                <c:pt idx="26">
                  <c:v>3.932172783159564E-2</c:v>
                </c:pt>
                <c:pt idx="27">
                  <c:v>5.321916561104938E-3</c:v>
                </c:pt>
                <c:pt idx="28">
                  <c:v>7.2024856897081441E-4</c:v>
                </c:pt>
                <c:pt idx="29">
                  <c:v>9.7475144522783698E-5</c:v>
                </c:pt>
                <c:pt idx="30">
                  <c:v>1.3191828132152E-5</c:v>
                </c:pt>
              </c:numCache>
            </c:numRef>
          </c:val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'Age Structure'!$E$24:$AI$24</c:f>
              <c:numCache>
                <c:formatCode>General</c:formatCode>
                <c:ptCount val="31"/>
                <c:pt idx="0">
                  <c:v>0.72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456.16220205570733</c:v>
                </c:pt>
                <c:pt idx="16">
                  <c:v>975.58687766577509</c:v>
                </c:pt>
                <c:pt idx="17">
                  <c:v>1169.4730522085556</c:v>
                </c:pt>
                <c:pt idx="18">
                  <c:v>1145.9837211011522</c:v>
                </c:pt>
                <c:pt idx="19">
                  <c:v>972.51151193273597</c:v>
                </c:pt>
                <c:pt idx="20">
                  <c:v>700.18587157753234</c:v>
                </c:pt>
                <c:pt idx="21">
                  <c:v>382.36136525961814</c:v>
                </c:pt>
                <c:pt idx="22">
                  <c:v>108.65231245140498</c:v>
                </c:pt>
                <c:pt idx="23">
                  <c:v>17.349238446177257</c:v>
                </c:pt>
                <c:pt idx="24">
                  <c:v>2.4060708215734627</c:v>
                </c:pt>
                <c:pt idx="25">
                  <c:v>0.32671888747755318</c:v>
                </c:pt>
                <c:pt idx="26">
                  <c:v>4.4236677041257007E-2</c:v>
                </c:pt>
                <c:pt idx="27">
                  <c:v>5.9871512446941838E-3</c:v>
                </c:pt>
                <c:pt idx="28">
                  <c:v>8.1027955059066465E-4</c:v>
                </c:pt>
                <c:pt idx="29">
                  <c:v>1.0965953594885142E-4</c:v>
                </c:pt>
                <c:pt idx="30">
                  <c:v>1.484080661864652E-5</c:v>
                </c:pt>
              </c:numCache>
            </c:numRef>
          </c:val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'Age Structure'!$E$25:$AI$25</c:f>
              <c:numCache>
                <c:formatCode>General</c:formatCode>
                <c:ptCount val="31"/>
                <c:pt idx="0">
                  <c:v>0.8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347.1849561721873</c:v>
                </c:pt>
                <c:pt idx="16">
                  <c:v>932.74871889862459</c:v>
                </c:pt>
                <c:pt idx="17">
                  <c:v>1161.5480981532726</c:v>
                </c:pt>
                <c:pt idx="18">
                  <c:v>1156.4181648317769</c:v>
                </c:pt>
                <c:pt idx="19">
                  <c:v>991.73783402577408</c:v>
                </c:pt>
                <c:pt idx="20">
                  <c:v>722.01106094598708</c:v>
                </c:pt>
                <c:pt idx="21">
                  <c:v>402.64341042101637</c:v>
                </c:pt>
                <c:pt idx="22">
                  <c:v>118.87858573802359</c:v>
                </c:pt>
                <c:pt idx="23">
                  <c:v>19.231078700326279</c:v>
                </c:pt>
                <c:pt idx="24">
                  <c:v>2.6725344490244813</c:v>
                </c:pt>
                <c:pt idx="25">
                  <c:v>0.36300481594209616</c:v>
                </c:pt>
                <c:pt idx="26">
                  <c:v>4.9151566971602757E-2</c:v>
                </c:pt>
                <c:pt idx="27">
                  <c:v>6.6523848423905001E-3</c:v>
                </c:pt>
                <c:pt idx="28">
                  <c:v>9.0031051232130862E-4</c:v>
                </c:pt>
                <c:pt idx="29">
                  <c:v>1.2184392701063462E-4</c:v>
                </c:pt>
                <c:pt idx="30">
                  <c:v>1.6489785098468944E-5</c:v>
                </c:pt>
              </c:numCache>
            </c:numRef>
          </c:val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'Age Structure'!$E$26:$AI$26</c:f>
              <c:numCache>
                <c:formatCode>General</c:formatCode>
                <c:ptCount val="31"/>
                <c:pt idx="0">
                  <c:v>0.88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243.92455433211052</c:v>
                </c:pt>
                <c:pt idx="16">
                  <c:v>891.19116731383781</c:v>
                </c:pt>
                <c:pt idx="17">
                  <c:v>1152.3690640888353</c:v>
                </c:pt>
                <c:pt idx="18">
                  <c:v>1164.3984916511827</c:v>
                </c:pt>
                <c:pt idx="19">
                  <c:v>1008.2003155479978</c:v>
                </c:pt>
                <c:pt idx="20">
                  <c:v>741.36013759051195</c:v>
                </c:pt>
                <c:pt idx="21">
                  <c:v>420.95650880015961</c:v>
                </c:pt>
                <c:pt idx="22">
                  <c:v>128.78600880703101</c:v>
                </c:pt>
                <c:pt idx="23">
                  <c:v>21.103934277883571</c:v>
                </c:pt>
                <c:pt idx="24">
                  <c:v>2.9388230492174769</c:v>
                </c:pt>
                <c:pt idx="25">
                  <c:v>0.39928751159618409</c:v>
                </c:pt>
                <c:pt idx="26">
                  <c:v>5.4066397623457302E-2</c:v>
                </c:pt>
                <c:pt idx="27">
                  <c:v>7.3176173541959237E-3</c:v>
                </c:pt>
                <c:pt idx="28">
                  <c:v>9.9034145416275303E-4</c:v>
                </c:pt>
                <c:pt idx="29">
                  <c:v>1.3402831770813347E-4</c:v>
                </c:pt>
                <c:pt idx="30">
                  <c:v>1.8138763571619272E-5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83641176"/>
        <c:axId val="283639608"/>
        <c:axId val="284274984"/>
      </c:surfaceChart>
      <c:catAx>
        <c:axId val="2836411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39608"/>
        <c:crosses val="autoZero"/>
        <c:auto val="1"/>
        <c:lblAlgn val="ctr"/>
        <c:lblOffset val="100"/>
        <c:noMultiLvlLbl val="0"/>
      </c:catAx>
      <c:valAx>
        <c:axId val="28363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41176"/>
        <c:crosses val="autoZero"/>
        <c:crossBetween val="midCat"/>
      </c:valAx>
      <c:serAx>
        <c:axId val="284274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39608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 Structure'!$E$1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'Age Structure'!$F$1:$AI$1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'Age Structure'!$E$3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'Age Structure'!$F$3:$AI$3</c:f>
              <c:numCache>
                <c:formatCode>General</c:formatCode>
                <c:ptCount val="30"/>
                <c:pt idx="0">
                  <c:v>0.47357109536188557</c:v>
                </c:pt>
                <c:pt idx="1">
                  <c:v>2.253998000006872</c:v>
                </c:pt>
                <c:pt idx="2">
                  <c:v>5.4699917093525343</c:v>
                </c:pt>
                <c:pt idx="3">
                  <c:v>9.8581379075048226</c:v>
                </c:pt>
                <c:pt idx="4">
                  <c:v>15.038085463707681</c:v>
                </c:pt>
                <c:pt idx="5">
                  <c:v>20.640706558754282</c:v>
                </c:pt>
                <c:pt idx="6">
                  <c:v>26.359876237601458</c:v>
                </c:pt>
                <c:pt idx="7">
                  <c:v>31.965576614129077</c:v>
                </c:pt>
                <c:pt idx="8">
                  <c:v>37.299020773754663</c:v>
                </c:pt>
                <c:pt idx="9">
                  <c:v>42.260776977962678</c:v>
                </c:pt>
                <c:pt idx="10">
                  <c:v>46.797420959549086</c:v>
                </c:pt>
                <c:pt idx="11">
                  <c:v>50.889255838725042</c:v>
                </c:pt>
                <c:pt idx="12">
                  <c:v>54.540057705674201</c:v>
                </c:pt>
                <c:pt idx="13">
                  <c:v>57.769012452087082</c:v>
                </c:pt>
                <c:pt idx="14">
                  <c:v>60.60464884078548</c:v>
                </c:pt>
                <c:pt idx="15">
                  <c:v>63.080440301533002</c:v>
                </c:pt>
                <c:pt idx="16">
                  <c:v>65.231729311743365</c:v>
                </c:pt>
                <c:pt idx="17">
                  <c:v>67.093661006590224</c:v>
                </c:pt>
                <c:pt idx="18">
                  <c:v>68.699863931949409</c:v>
                </c:pt>
                <c:pt idx="19">
                  <c:v>70.081669213929786</c:v>
                </c:pt>
                <c:pt idx="20">
                  <c:v>71.26770751567598</c:v>
                </c:pt>
                <c:pt idx="21">
                  <c:v>72.283763389437368</c:v>
                </c:pt>
                <c:pt idx="22">
                  <c:v>73.152798776160381</c:v>
                </c:pt>
                <c:pt idx="23">
                  <c:v>73.895082277359407</c:v>
                </c:pt>
                <c:pt idx="24">
                  <c:v>74.528379612726141</c:v>
                </c:pt>
                <c:pt idx="25">
                  <c:v>75.068174595583315</c:v>
                </c:pt>
                <c:pt idx="26">
                  <c:v>75.527900094825029</c:v>
                </c:pt>
                <c:pt idx="27">
                  <c:v>75.919165716557202</c:v>
                </c:pt>
                <c:pt idx="28">
                  <c:v>76.251974060823628</c:v>
                </c:pt>
                <c:pt idx="29">
                  <c:v>76.534920956571597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458240"/>
        <c:axId val="278179672"/>
      </c:lineChart>
      <c:catAx>
        <c:axId val="41045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79672"/>
        <c:crosses val="autoZero"/>
        <c:auto val="1"/>
        <c:lblAlgn val="ctr"/>
        <c:lblOffset val="100"/>
        <c:noMultiLvlLbl val="0"/>
      </c:catAx>
      <c:valAx>
        <c:axId val="27817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5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571689</xdr:colOff>
      <xdr:row>4</xdr:row>
      <xdr:rowOff>175260</xdr:rowOff>
    </xdr:from>
    <xdr:to>
      <xdr:col>14</xdr:col>
      <xdr:colOff>175260</xdr:colOff>
      <xdr:row>21</xdr:row>
      <xdr:rowOff>10441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12</xdr:row>
      <xdr:rowOff>0</xdr:rowOff>
    </xdr:from>
    <xdr:to>
      <xdr:col>7</xdr:col>
      <xdr:colOff>236220</xdr:colOff>
      <xdr:row>31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651510</xdr:colOff>
      <xdr:row>13</xdr:row>
      <xdr:rowOff>194310</xdr:rowOff>
    </xdr:from>
    <xdr:to>
      <xdr:col>13</xdr:col>
      <xdr:colOff>102870</xdr:colOff>
      <xdr:row>27</xdr:row>
      <xdr:rowOff>163830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zoomScalePageLayoutView="250" workbookViewId="0">
      <selection activeCell="E2" sqref="E2"/>
    </sheetView>
  </sheetViews>
  <sheetFormatPr defaultColWidth="11.19921875" defaultRowHeight="15.6" x14ac:dyDescent="0.3"/>
  <sheetData>
    <row r="1" spans="1:7" x14ac:dyDescent="0.3">
      <c r="A1" t="s">
        <v>28</v>
      </c>
      <c r="B1">
        <v>0.28435972084800071</v>
      </c>
      <c r="C1" t="s">
        <v>20</v>
      </c>
      <c r="D1" t="s">
        <v>26</v>
      </c>
      <c r="E1" t="s">
        <v>27</v>
      </c>
      <c r="F1" t="s">
        <v>55</v>
      </c>
      <c r="G1" t="s">
        <v>56</v>
      </c>
    </row>
    <row r="2" spans="1:7" x14ac:dyDescent="0.3">
      <c r="A2" t="s">
        <v>13</v>
      </c>
      <c r="B2" s="1">
        <v>8.9571037617823488E-5</v>
      </c>
      <c r="C2">
        <v>1765</v>
      </c>
      <c r="D2">
        <v>0.28000000000000003</v>
      </c>
      <c r="E2" s="1">
        <f>$B$1/(1+$B$2*C2)</f>
        <v>0.24554137704858173</v>
      </c>
      <c r="F2" s="1">
        <f>E2-D2</f>
        <v>-3.44586229514183E-2</v>
      </c>
      <c r="G2" s="1">
        <f>F2^2</f>
        <v>1.1873966957080121E-3</v>
      </c>
    </row>
    <row r="3" spans="1:7" x14ac:dyDescent="0.3">
      <c r="A3" t="s">
        <v>29</v>
      </c>
      <c r="B3">
        <f>SUMXMY2(D2:D26,E2:E26)</f>
        <v>1.1227145001309341E-2</v>
      </c>
      <c r="C3">
        <v>3073</v>
      </c>
      <c r="D3">
        <v>0.21</v>
      </c>
      <c r="E3" s="1">
        <f t="shared" ref="E3:E26" si="0">$B$1/(1+$B$2*C3)</f>
        <v>0.22298319528760727</v>
      </c>
      <c r="F3" s="1">
        <f t="shared" ref="F3:F26" si="1">E3-D3</f>
        <v>1.2983195287607274E-2</v>
      </c>
      <c r="G3" s="1">
        <f t="shared" ref="G3:G26" si="2">F3^2</f>
        <v>1.6856335987614773E-4</v>
      </c>
    </row>
    <row r="4" spans="1:7" x14ac:dyDescent="0.3">
      <c r="B4">
        <f>SUM(G:G)</f>
        <v>1.1227145001309341E-2</v>
      </c>
      <c r="C4">
        <v>4021</v>
      </c>
      <c r="D4">
        <v>0.191</v>
      </c>
      <c r="E4" s="1">
        <f t="shared" si="0"/>
        <v>0.20906264394870022</v>
      </c>
      <c r="F4" s="1">
        <f t="shared" si="1"/>
        <v>1.8062643948700219E-2</v>
      </c>
      <c r="G4" s="1">
        <f t="shared" si="2"/>
        <v>3.2625910641751664E-4</v>
      </c>
    </row>
    <row r="5" spans="1:7" x14ac:dyDescent="0.3">
      <c r="C5">
        <v>4740</v>
      </c>
      <c r="D5">
        <v>0.14299999999999999</v>
      </c>
      <c r="E5" s="1">
        <f t="shared" si="0"/>
        <v>0.1996113745979175</v>
      </c>
      <c r="F5" s="1">
        <f t="shared" si="1"/>
        <v>5.6611374597917513E-2</v>
      </c>
      <c r="G5" s="1">
        <f t="shared" si="2"/>
        <v>3.2048477338657401E-3</v>
      </c>
    </row>
    <row r="6" spans="1:7" x14ac:dyDescent="0.3">
      <c r="C6">
        <v>5304</v>
      </c>
      <c r="D6">
        <v>0.219</v>
      </c>
      <c r="E6" s="1">
        <f t="shared" si="0"/>
        <v>0.19277517063695865</v>
      </c>
      <c r="F6" s="1">
        <f t="shared" si="1"/>
        <v>-2.6224829363041352E-2</v>
      </c>
      <c r="G6" s="1">
        <f t="shared" si="2"/>
        <v>6.877416751206359E-4</v>
      </c>
    </row>
    <row r="7" spans="1:7" x14ac:dyDescent="0.3">
      <c r="C7">
        <v>6708</v>
      </c>
      <c r="D7">
        <v>0.19600000000000001</v>
      </c>
      <c r="E7" s="1">
        <f t="shared" si="0"/>
        <v>0.17763128929605276</v>
      </c>
      <c r="F7" s="1">
        <f t="shared" si="1"/>
        <v>-1.8368710703947244E-2</v>
      </c>
      <c r="G7" s="1">
        <f t="shared" si="2"/>
        <v>3.3740953292530604E-4</v>
      </c>
    </row>
    <row r="8" spans="1:7" x14ac:dyDescent="0.3">
      <c r="C8">
        <v>8345</v>
      </c>
      <c r="D8">
        <v>0.193</v>
      </c>
      <c r="E8" s="1">
        <f t="shared" si="0"/>
        <v>0.1627264963509597</v>
      </c>
      <c r="F8" s="1">
        <f t="shared" si="1"/>
        <v>-3.0273503649040301E-2</v>
      </c>
      <c r="G8" s="1">
        <f t="shared" si="2"/>
        <v>9.1648502318845645E-4</v>
      </c>
    </row>
    <row r="9" spans="1:7" x14ac:dyDescent="0.3">
      <c r="C9">
        <v>9980</v>
      </c>
      <c r="D9">
        <v>0.13500000000000001</v>
      </c>
      <c r="E9" s="1">
        <f t="shared" si="0"/>
        <v>0.15014355288717082</v>
      </c>
      <c r="F9" s="1">
        <f t="shared" si="1"/>
        <v>1.5143552887170814E-2</v>
      </c>
      <c r="G9" s="1">
        <f t="shared" si="2"/>
        <v>2.2932719404653948E-4</v>
      </c>
    </row>
    <row r="10" spans="1:7" x14ac:dyDescent="0.3">
      <c r="C10">
        <v>11522</v>
      </c>
      <c r="D10">
        <v>0.10100000000000001</v>
      </c>
      <c r="E10" s="1">
        <f t="shared" si="0"/>
        <v>0.13993822529710195</v>
      </c>
      <c r="F10" s="1">
        <f t="shared" si="1"/>
        <v>3.8938225297101947E-2</v>
      </c>
      <c r="G10" s="1">
        <f t="shared" si="2"/>
        <v>1.5161853892878699E-3</v>
      </c>
    </row>
    <row r="11" spans="1:7" x14ac:dyDescent="0.3">
      <c r="C11">
        <v>13342</v>
      </c>
      <c r="D11">
        <v>0.13600000000000001</v>
      </c>
      <c r="E11" s="1">
        <f t="shared" si="0"/>
        <v>0.12954549646919011</v>
      </c>
      <c r="F11" s="1">
        <f t="shared" si="1"/>
        <v>-6.4545035308098964E-3</v>
      </c>
      <c r="G11" s="1">
        <f t="shared" si="2"/>
        <v>4.1660615829237422E-5</v>
      </c>
    </row>
    <row r="12" spans="1:7" x14ac:dyDescent="0.3">
      <c r="C12">
        <v>15350</v>
      </c>
      <c r="D12">
        <v>0.127</v>
      </c>
      <c r="E12" s="1">
        <f t="shared" si="0"/>
        <v>0.11973467247012198</v>
      </c>
      <c r="F12" s="1">
        <f t="shared" si="1"/>
        <v>-7.2653275298780184E-3</v>
      </c>
      <c r="G12" s="1">
        <f t="shared" si="2"/>
        <v>5.2784984116403428E-5</v>
      </c>
    </row>
    <row r="13" spans="1:7" x14ac:dyDescent="0.3">
      <c r="C13">
        <v>17406</v>
      </c>
      <c r="D13">
        <v>0.109</v>
      </c>
      <c r="E13" s="1">
        <f t="shared" si="0"/>
        <v>0.11111823204146182</v>
      </c>
      <c r="F13" s="1">
        <f t="shared" si="1"/>
        <v>2.1182320414618178E-3</v>
      </c>
      <c r="G13" s="1">
        <f t="shared" si="2"/>
        <v>4.4869069814754997E-6</v>
      </c>
    </row>
    <row r="14" spans="1:7" x14ac:dyDescent="0.3">
      <c r="C14">
        <v>19409</v>
      </c>
      <c r="D14">
        <v>0.104</v>
      </c>
      <c r="E14" s="1">
        <f t="shared" si="0"/>
        <v>0.10383836199246389</v>
      </c>
      <c r="F14" s="1">
        <f t="shared" si="1"/>
        <v>-1.6163800753610236E-4</v>
      </c>
      <c r="G14" s="1">
        <f t="shared" si="2"/>
        <v>2.6126845480241082E-8</v>
      </c>
    </row>
    <row r="15" spans="1:7" x14ac:dyDescent="0.3">
      <c r="C15">
        <v>21387</v>
      </c>
      <c r="D15">
        <v>7.6999999999999999E-2</v>
      </c>
      <c r="E15" s="1">
        <f t="shared" si="0"/>
        <v>9.7528563779414601E-2</v>
      </c>
      <c r="F15" s="1">
        <f t="shared" si="1"/>
        <v>2.0528563779414602E-2</v>
      </c>
      <c r="G15" s="1">
        <f t="shared" si="2"/>
        <v>4.2142193084549314E-4</v>
      </c>
    </row>
    <row r="16" spans="1:7" x14ac:dyDescent="0.3">
      <c r="C16">
        <v>23323</v>
      </c>
      <c r="D16">
        <v>9.7000000000000003E-2</v>
      </c>
      <c r="E16" s="1">
        <f t="shared" si="0"/>
        <v>9.2053644801318765E-2</v>
      </c>
      <c r="F16" s="1">
        <f t="shared" si="1"/>
        <v>-4.9463551986812376E-3</v>
      </c>
      <c r="G16" s="1">
        <f t="shared" si="2"/>
        <v>2.4466429751520905E-5</v>
      </c>
    </row>
    <row r="17" spans="3:7" x14ac:dyDescent="0.3">
      <c r="C17">
        <v>25183</v>
      </c>
      <c r="D17">
        <v>0.106</v>
      </c>
      <c r="E17" s="1">
        <f t="shared" si="0"/>
        <v>8.7342987593108767E-2</v>
      </c>
      <c r="F17" s="1">
        <f t="shared" si="1"/>
        <v>-1.865701240689123E-2</v>
      </c>
      <c r="G17" s="1">
        <f t="shared" si="2"/>
        <v>3.4808411195089329E-4</v>
      </c>
    </row>
    <row r="18" spans="3:7" x14ac:dyDescent="0.3">
      <c r="C18">
        <v>26935</v>
      </c>
      <c r="D18">
        <v>9.1999999999999998E-2</v>
      </c>
      <c r="E18" s="1">
        <f t="shared" si="0"/>
        <v>8.3326514280516586E-2</v>
      </c>
      <c r="F18" s="1">
        <f t="shared" si="1"/>
        <v>-8.673485719483412E-3</v>
      </c>
      <c r="G18" s="1">
        <f t="shared" si="2"/>
        <v>7.5229354526082679E-5</v>
      </c>
    </row>
    <row r="19" spans="3:7" x14ac:dyDescent="0.3">
      <c r="C19">
        <v>28568</v>
      </c>
      <c r="D19">
        <v>6.6000000000000003E-2</v>
      </c>
      <c r="E19" s="1">
        <f t="shared" si="0"/>
        <v>7.9901791350407356E-2</v>
      </c>
      <c r="F19" s="1">
        <f t="shared" si="1"/>
        <v>1.3901791350407353E-2</v>
      </c>
      <c r="G19" s="1">
        <f t="shared" si="2"/>
        <v>1.9325980275026067E-4</v>
      </c>
    </row>
    <row r="20" spans="3:7" x14ac:dyDescent="0.3">
      <c r="C20">
        <v>30079</v>
      </c>
      <c r="D20">
        <v>9.2999999999999999E-2</v>
      </c>
      <c r="E20" s="1">
        <f t="shared" si="0"/>
        <v>7.6974490691814071E-2</v>
      </c>
      <c r="F20" s="1">
        <f t="shared" si="1"/>
        <v>-1.6025509308185928E-2</v>
      </c>
      <c r="G20" s="1">
        <f t="shared" si="2"/>
        <v>2.5681694858675384E-4</v>
      </c>
    </row>
    <row r="21" spans="3:7" x14ac:dyDescent="0.3">
      <c r="C21">
        <v>31467</v>
      </c>
      <c r="D21">
        <v>9.8000000000000004E-2</v>
      </c>
      <c r="E21" s="1">
        <f t="shared" si="0"/>
        <v>7.446833828008087E-2</v>
      </c>
      <c r="F21" s="1">
        <f t="shared" si="1"/>
        <v>-2.3531661719919134E-2</v>
      </c>
      <c r="G21" s="1">
        <f t="shared" si="2"/>
        <v>5.5373910330070754E-4</v>
      </c>
    </row>
    <row r="22" spans="3:7" x14ac:dyDescent="0.3">
      <c r="C22">
        <v>32734</v>
      </c>
      <c r="D22">
        <v>7.4999999999999997E-2</v>
      </c>
      <c r="E22" s="1">
        <f t="shared" si="0"/>
        <v>7.2319021904356559E-2</v>
      </c>
      <c r="F22" s="1">
        <f t="shared" si="1"/>
        <v>-2.6809780956434381E-3</v>
      </c>
      <c r="G22" s="1">
        <f t="shared" si="2"/>
        <v>7.1876435493199158E-6</v>
      </c>
    </row>
    <row r="23" spans="3:7" x14ac:dyDescent="0.3">
      <c r="C23">
        <v>33884</v>
      </c>
      <c r="D23">
        <v>7.8E-2</v>
      </c>
      <c r="E23" s="1">
        <f t="shared" si="0"/>
        <v>7.0472851624157326E-2</v>
      </c>
      <c r="F23" s="1">
        <f t="shared" si="1"/>
        <v>-7.5271483758426738E-3</v>
      </c>
      <c r="G23" s="1">
        <f t="shared" si="2"/>
        <v>5.6657962671951001E-5</v>
      </c>
    </row>
    <row r="24" spans="3:7" x14ac:dyDescent="0.3">
      <c r="C24">
        <v>34922</v>
      </c>
      <c r="D24">
        <v>4.8000000000000001E-2</v>
      </c>
      <c r="E24" s="1">
        <f t="shared" si="0"/>
        <v>6.8885595033855093E-2</v>
      </c>
      <c r="F24" s="1">
        <f t="shared" si="1"/>
        <v>2.0885595033855092E-2</v>
      </c>
      <c r="G24" s="1">
        <f t="shared" si="2"/>
        <v>4.362080799181925E-4</v>
      </c>
    </row>
    <row r="25" spans="3:7" x14ac:dyDescent="0.3">
      <c r="C25">
        <v>35857</v>
      </c>
      <c r="D25">
        <v>6.3E-2</v>
      </c>
      <c r="E25" s="1">
        <f t="shared" si="0"/>
        <v>6.7515832824347088E-2</v>
      </c>
      <c r="F25" s="1">
        <f t="shared" si="1"/>
        <v>4.515832824347088E-3</v>
      </c>
      <c r="G25" s="1">
        <f t="shared" si="2"/>
        <v>2.0392746097450596E-5</v>
      </c>
    </row>
    <row r="26" spans="3:7" x14ac:dyDescent="0.3">
      <c r="C26">
        <v>36697</v>
      </c>
      <c r="D26">
        <v>7.9000000000000001E-2</v>
      </c>
      <c r="E26" s="1">
        <f t="shared" si="0"/>
        <v>6.6330882305705205E-2</v>
      </c>
      <c r="F26" s="1">
        <f t="shared" si="1"/>
        <v>-1.2669117694294796E-2</v>
      </c>
      <c r="G26" s="1">
        <f t="shared" si="2"/>
        <v>1.6050654315189348E-4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topLeftCell="F1" zoomScaleNormal="100" zoomScalePageLayoutView="197" workbookViewId="0">
      <selection activeCell="C9" sqref="C9"/>
    </sheetView>
  </sheetViews>
  <sheetFormatPr defaultColWidth="11.19921875" defaultRowHeight="15.6" x14ac:dyDescent="0.3"/>
  <cols>
    <col min="1" max="1" width="46.59765625" customWidth="1"/>
    <col min="6" max="6" width="12.5" bestFit="1" customWidth="1"/>
  </cols>
  <sheetData>
    <row r="1" spans="1:35" x14ac:dyDescent="0.3">
      <c r="A1" t="s">
        <v>31</v>
      </c>
      <c r="B1" t="s">
        <v>14</v>
      </c>
      <c r="C1">
        <v>0.85</v>
      </c>
      <c r="E1" t="s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</row>
    <row r="2" spans="1:35" x14ac:dyDescent="0.3">
      <c r="A2" t="s">
        <v>32</v>
      </c>
      <c r="B2" t="s">
        <v>12</v>
      </c>
      <c r="C2">
        <v>0.28435972084800071</v>
      </c>
      <c r="E2" t="s">
        <v>1</v>
      </c>
      <c r="F2">
        <f t="shared" ref="F2:AI2" si="0">vblinf*(1-EXP(-vbk*(F1-vbto)))</f>
        <v>45.583226343306919</v>
      </c>
      <c r="G2">
        <f t="shared" si="0"/>
        <v>76.67630460652542</v>
      </c>
      <c r="H2">
        <f t="shared" si="0"/>
        <v>103.0399299066212</v>
      </c>
      <c r="I2">
        <f t="shared" si="0"/>
        <v>125.3934818155053</v>
      </c>
      <c r="J2">
        <f t="shared" si="0"/>
        <v>144.34691774305054</v>
      </c>
      <c r="K2">
        <f t="shared" si="0"/>
        <v>160.41741673684987</v>
      </c>
      <c r="L2">
        <f t="shared" si="0"/>
        <v>174.04349165524351</v>
      </c>
      <c r="M2">
        <f t="shared" si="0"/>
        <v>185.59695478997972</v>
      </c>
      <c r="N2">
        <f t="shared" si="0"/>
        <v>195.39306344233444</v>
      </c>
      <c r="O2">
        <f t="shared" si="0"/>
        <v>203.69912229322711</v>
      </c>
      <c r="P2">
        <f t="shared" si="0"/>
        <v>210.74177729868271</v>
      </c>
      <c r="Q2">
        <f t="shared" si="0"/>
        <v>216.71320013787178</v>
      </c>
      <c r="R2">
        <f t="shared" si="0"/>
        <v>221.77633196766701</v>
      </c>
      <c r="S2">
        <f t="shared" si="0"/>
        <v>226.06932956911746</v>
      </c>
      <c r="T2">
        <f t="shared" si="0"/>
        <v>229.70933520705182</v>
      </c>
      <c r="U2">
        <f t="shared" si="0"/>
        <v>232.79567307030092</v>
      </c>
      <c r="V2">
        <f t="shared" si="0"/>
        <v>235.41255951323797</v>
      </c>
      <c r="W2">
        <f t="shared" si="0"/>
        <v>237.6314010525173</v>
      </c>
      <c r="X2">
        <f t="shared" si="0"/>
        <v>239.512742824041</v>
      </c>
      <c r="Y2">
        <f t="shared" si="0"/>
        <v>241.10792066735357</v>
      </c>
      <c r="Z2">
        <f t="shared" si="0"/>
        <v>242.46046191759879</v>
      </c>
      <c r="AA2">
        <f t="shared" si="0"/>
        <v>243.60727312820094</v>
      </c>
      <c r="AB2">
        <f t="shared" si="0"/>
        <v>244.57964713344796</v>
      </c>
      <c r="AC2">
        <f t="shared" si="0"/>
        <v>245.40411693051561</v>
      </c>
      <c r="AD2">
        <f t="shared" si="0"/>
        <v>246.10317968065996</v>
      </c>
      <c r="AE2">
        <f t="shared" si="0"/>
        <v>246.6959105852697</v>
      </c>
      <c r="AF2">
        <f t="shared" si="0"/>
        <v>247.19848338750666</v>
      </c>
      <c r="AG2">
        <f t="shared" si="0"/>
        <v>247.62461170236918</v>
      </c>
      <c r="AH2">
        <f t="shared" si="0"/>
        <v>247.98592321767472</v>
      </c>
      <c r="AI2">
        <f t="shared" si="0"/>
        <v>248.29227697671675</v>
      </c>
    </row>
    <row r="3" spans="1:35" x14ac:dyDescent="0.3">
      <c r="A3" t="s">
        <v>33</v>
      </c>
      <c r="B3" t="s">
        <v>13</v>
      </c>
      <c r="C3" s="1">
        <v>8.9571037617823488E-5</v>
      </c>
      <c r="E3" t="s">
        <v>5</v>
      </c>
      <c r="F3">
        <f t="shared" ref="F3:AI3" si="1">lwa*F2^lwb</f>
        <v>0.47357109536188557</v>
      </c>
      <c r="G3">
        <f t="shared" si="1"/>
        <v>2.253998000006872</v>
      </c>
      <c r="H3">
        <f t="shared" si="1"/>
        <v>5.4699917093525343</v>
      </c>
      <c r="I3">
        <f t="shared" si="1"/>
        <v>9.8581379075048226</v>
      </c>
      <c r="J3">
        <f t="shared" si="1"/>
        <v>15.038085463707681</v>
      </c>
      <c r="K3">
        <f t="shared" si="1"/>
        <v>20.640706558754282</v>
      </c>
      <c r="L3">
        <f t="shared" si="1"/>
        <v>26.359876237601458</v>
      </c>
      <c r="M3">
        <f t="shared" si="1"/>
        <v>31.965576614129077</v>
      </c>
      <c r="N3">
        <f t="shared" si="1"/>
        <v>37.299020773754663</v>
      </c>
      <c r="O3">
        <f t="shared" si="1"/>
        <v>42.260776977962678</v>
      </c>
      <c r="P3">
        <f t="shared" si="1"/>
        <v>46.797420959549086</v>
      </c>
      <c r="Q3">
        <f t="shared" si="1"/>
        <v>50.889255838725042</v>
      </c>
      <c r="R3">
        <f t="shared" si="1"/>
        <v>54.540057705674201</v>
      </c>
      <c r="S3">
        <f t="shared" si="1"/>
        <v>57.769012452087082</v>
      </c>
      <c r="T3">
        <f t="shared" si="1"/>
        <v>60.60464884078548</v>
      </c>
      <c r="U3">
        <f t="shared" si="1"/>
        <v>63.080440301533002</v>
      </c>
      <c r="V3">
        <f t="shared" si="1"/>
        <v>65.231729311743365</v>
      </c>
      <c r="W3">
        <f t="shared" si="1"/>
        <v>67.093661006590224</v>
      </c>
      <c r="X3">
        <f t="shared" si="1"/>
        <v>68.699863931949409</v>
      </c>
      <c r="Y3">
        <f t="shared" si="1"/>
        <v>70.081669213929786</v>
      </c>
      <c r="Z3">
        <f t="shared" si="1"/>
        <v>71.26770751567598</v>
      </c>
      <c r="AA3">
        <f t="shared" si="1"/>
        <v>72.283763389437368</v>
      </c>
      <c r="AB3">
        <f t="shared" si="1"/>
        <v>73.152798776160381</v>
      </c>
      <c r="AC3">
        <f t="shared" si="1"/>
        <v>73.895082277359407</v>
      </c>
      <c r="AD3">
        <f t="shared" si="1"/>
        <v>74.528379612726141</v>
      </c>
      <c r="AE3">
        <f t="shared" si="1"/>
        <v>75.068174595583315</v>
      </c>
      <c r="AF3">
        <f t="shared" si="1"/>
        <v>75.527900094825029</v>
      </c>
      <c r="AG3">
        <f t="shared" si="1"/>
        <v>75.919165716557202</v>
      </c>
      <c r="AH3">
        <f t="shared" si="1"/>
        <v>76.251974060823628</v>
      </c>
      <c r="AI3">
        <f t="shared" si="1"/>
        <v>76.534920956571597</v>
      </c>
    </row>
    <row r="4" spans="1:35" x14ac:dyDescent="0.3">
      <c r="A4" t="s">
        <v>34</v>
      </c>
      <c r="B4" t="s">
        <v>4</v>
      </c>
      <c r="C4">
        <v>250</v>
      </c>
      <c r="E4" t="s">
        <v>8</v>
      </c>
      <c r="F4">
        <f>MAX(0,F3-6)/70*20+MAX(0,F3-6)*20</f>
        <v>0</v>
      </c>
      <c r="G4">
        <f>MAX(0,G3-6)/70*20+MAX(0,G3-6)*20</f>
        <v>0</v>
      </c>
      <c r="H4">
        <f>MAX(0,H3-6)/70*20+MAX(0,H3-6)*20</f>
        <v>0</v>
      </c>
      <c r="I4">
        <f>MAX(0,I3-6)/70*20+MAX(0,I3-6)/(I3-6)*20</f>
        <v>21.102325116429949</v>
      </c>
      <c r="J4">
        <f t="shared" ref="J4:P4" si="2">MAX(0,J3-6)/70*20+MAX(0,J3-6)/(J3-6)*20</f>
        <v>22.582310132487908</v>
      </c>
      <c r="K4">
        <f t="shared" si="2"/>
        <v>24.183059016786938</v>
      </c>
      <c r="L4">
        <f t="shared" si="2"/>
        <v>25.81710749645756</v>
      </c>
      <c r="M4">
        <f t="shared" si="2"/>
        <v>27.418736175465451</v>
      </c>
      <c r="N4">
        <f t="shared" si="2"/>
        <v>28.942577363929903</v>
      </c>
      <c r="O4">
        <f t="shared" si="2"/>
        <v>30.360221993703622</v>
      </c>
      <c r="P4">
        <f t="shared" si="2"/>
        <v>31.656405988442593</v>
      </c>
      <c r="Q4">
        <f t="shared" ref="Q4:AI4" si="3">MAX(0,Q3-6)/70*20+MAX(0,Q3-6)/(Q3-6)*20</f>
        <v>32.825501668207153</v>
      </c>
      <c r="R4">
        <f t="shared" si="3"/>
        <v>33.868587915906915</v>
      </c>
      <c r="S4">
        <f t="shared" si="3"/>
        <v>34.791146414882022</v>
      </c>
      <c r="T4">
        <f t="shared" si="3"/>
        <v>35.601328240224426</v>
      </c>
      <c r="U4">
        <f t="shared" si="3"/>
        <v>36.308697229009425</v>
      </c>
      <c r="V4">
        <f t="shared" si="3"/>
        <v>36.923351231926674</v>
      </c>
      <c r="W4">
        <f t="shared" si="3"/>
        <v>37.455331716168637</v>
      </c>
      <c r="X4">
        <f t="shared" si="3"/>
        <v>37.914246837699835</v>
      </c>
      <c r="Y4">
        <f t="shared" si="3"/>
        <v>38.309048346837081</v>
      </c>
      <c r="Z4">
        <f t="shared" si="3"/>
        <v>38.647916433050284</v>
      </c>
      <c r="AA4">
        <f t="shared" si="3"/>
        <v>38.938218111267815</v>
      </c>
      <c r="AB4">
        <f t="shared" si="3"/>
        <v>39.186513936045827</v>
      </c>
      <c r="AC4">
        <f t="shared" si="3"/>
        <v>39.398594936388406</v>
      </c>
      <c r="AD4">
        <f t="shared" si="3"/>
        <v>39.579537032207469</v>
      </c>
      <c r="AE4">
        <f t="shared" si="3"/>
        <v>39.733764170166666</v>
      </c>
      <c r="AF4">
        <f t="shared" si="3"/>
        <v>39.865114312807151</v>
      </c>
      <c r="AG4">
        <f t="shared" si="3"/>
        <v>39.976904490444916</v>
      </c>
      <c r="AH4">
        <f t="shared" si="3"/>
        <v>40.071992588806751</v>
      </c>
      <c r="AI4">
        <f t="shared" si="3"/>
        <v>40.152834559020455</v>
      </c>
    </row>
    <row r="5" spans="1:35" x14ac:dyDescent="0.3">
      <c r="A5" t="s">
        <v>35</v>
      </c>
      <c r="B5" t="s">
        <v>2</v>
      </c>
      <c r="C5">
        <v>0.16500000000000001</v>
      </c>
      <c r="E5" t="s">
        <v>9</v>
      </c>
      <c r="F5">
        <f t="shared" ref="F5:AI5" si="4">1/(1+EXP(-(F2-lmat50)/lmatsd))</f>
        <v>3.9504489940708018E-6</v>
      </c>
      <c r="G5">
        <f t="shared" si="4"/>
        <v>8.8504421416874261E-5</v>
      </c>
      <c r="H5">
        <f t="shared" si="4"/>
        <v>1.2343113409805503E-3</v>
      </c>
      <c r="I5">
        <f t="shared" si="4"/>
        <v>1.142284021401958E-2</v>
      </c>
      <c r="J5">
        <f t="shared" si="4"/>
        <v>7.1404772604233002E-2</v>
      </c>
      <c r="K5">
        <f t="shared" si="4"/>
        <v>0.27722704243961943</v>
      </c>
      <c r="L5">
        <f t="shared" si="4"/>
        <v>0.59973214391648133</v>
      </c>
      <c r="M5">
        <f t="shared" si="4"/>
        <v>0.8263096518571974</v>
      </c>
      <c r="N5">
        <f t="shared" si="4"/>
        <v>0.92685181235202008</v>
      </c>
      <c r="O5">
        <f t="shared" si="4"/>
        <v>0.96675087000833482</v>
      </c>
      <c r="P5">
        <f t="shared" si="4"/>
        <v>0.9832781818467613</v>
      </c>
      <c r="Q5">
        <f t="shared" si="4"/>
        <v>0.99072688928244845</v>
      </c>
      <c r="R5">
        <f t="shared" si="4"/>
        <v>0.99439030364488523</v>
      </c>
      <c r="S5">
        <f t="shared" si="4"/>
        <v>0.9963411213038359</v>
      </c>
      <c r="T5">
        <f t="shared" si="4"/>
        <v>0.99745463731002659</v>
      </c>
      <c r="U5">
        <f t="shared" si="4"/>
        <v>0.9981292947202316</v>
      </c>
      <c r="V5">
        <f t="shared" si="4"/>
        <v>0.99855940288348621</v>
      </c>
      <c r="W5">
        <f t="shared" si="4"/>
        <v>0.99884573907643825</v>
      </c>
      <c r="X5">
        <f t="shared" si="4"/>
        <v>0.99904350140572018</v>
      </c>
      <c r="Y5">
        <f t="shared" si="4"/>
        <v>0.99918441750481868</v>
      </c>
      <c r="Z5">
        <f t="shared" si="4"/>
        <v>0.99928752014901834</v>
      </c>
      <c r="AA5">
        <f t="shared" si="4"/>
        <v>0.99936466799090318</v>
      </c>
      <c r="AB5">
        <f t="shared" si="4"/>
        <v>0.99942350354994791</v>
      </c>
      <c r="AC5">
        <f t="shared" si="4"/>
        <v>0.99946910310710735</v>
      </c>
      <c r="AD5">
        <f t="shared" si="4"/>
        <v>0.99950493087554315</v>
      </c>
      <c r="AE5">
        <f t="shared" si="4"/>
        <v>0.99953340912656519</v>
      </c>
      <c r="AF5">
        <f t="shared" si="4"/>
        <v>0.99955626905909456</v>
      </c>
      <c r="AG5">
        <f t="shared" si="4"/>
        <v>0.99957477260627481</v>
      </c>
      <c r="AH5">
        <f t="shared" si="4"/>
        <v>0.99958985612688034</v>
      </c>
      <c r="AI5">
        <f t="shared" si="4"/>
        <v>0.9996022256014484</v>
      </c>
    </row>
    <row r="6" spans="1:35" x14ac:dyDescent="0.3">
      <c r="A6" t="s">
        <v>36</v>
      </c>
      <c r="B6" t="s">
        <v>3</v>
      </c>
      <c r="C6">
        <v>-0.22</v>
      </c>
      <c r="E6" t="s">
        <v>15</v>
      </c>
      <c r="F6">
        <f t="shared" ref="F6:AI6" si="5">sa*(F2/vblinf)^(2*vbk)</f>
        <v>0.48473501577645922</v>
      </c>
      <c r="G6">
        <f t="shared" si="5"/>
        <v>0.57548884550822377</v>
      </c>
      <c r="H6">
        <f t="shared" si="5"/>
        <v>0.63443999914226146</v>
      </c>
      <c r="I6">
        <f t="shared" si="5"/>
        <v>0.67690770913477638</v>
      </c>
      <c r="J6">
        <f t="shared" si="5"/>
        <v>0.70909300748712456</v>
      </c>
      <c r="K6">
        <f t="shared" si="5"/>
        <v>0.734229321239253</v>
      </c>
      <c r="L6">
        <f t="shared" si="5"/>
        <v>0.75425082300663926</v>
      </c>
      <c r="M6">
        <f t="shared" si="5"/>
        <v>0.77041920811554221</v>
      </c>
      <c r="N6">
        <f t="shared" si="5"/>
        <v>0.78360778089101213</v>
      </c>
      <c r="O6">
        <f t="shared" si="5"/>
        <v>0.79444739421492083</v>
      </c>
      <c r="P6">
        <f t="shared" si="5"/>
        <v>0.80340852088976489</v>
      </c>
      <c r="Q6">
        <f t="shared" si="5"/>
        <v>0.81085069519388397</v>
      </c>
      <c r="R6">
        <f t="shared" si="5"/>
        <v>0.81705395698350958</v>
      </c>
      <c r="S6">
        <f t="shared" si="5"/>
        <v>0.82223974594676752</v>
      </c>
      <c r="T6">
        <f t="shared" si="5"/>
        <v>0.82658529650798329</v>
      </c>
      <c r="U6">
        <f t="shared" si="5"/>
        <v>0.83023385924547533</v>
      </c>
      <c r="V6">
        <f t="shared" si="5"/>
        <v>0.83330214643263523</v>
      </c>
      <c r="W6">
        <f t="shared" si="5"/>
        <v>0.83588587461906638</v>
      </c>
      <c r="X6">
        <f t="shared" si="5"/>
        <v>0.83806396795646054</v>
      </c>
      <c r="Y6">
        <f t="shared" si="5"/>
        <v>0.83990179706923251</v>
      </c>
      <c r="Z6">
        <f t="shared" si="5"/>
        <v>0.84145370917684492</v>
      </c>
      <c r="AA6">
        <f t="shared" si="5"/>
        <v>0.84276502797971453</v>
      </c>
      <c r="AB6">
        <f t="shared" si="5"/>
        <v>0.84387365052919439</v>
      </c>
      <c r="AC6">
        <f t="shared" si="5"/>
        <v>0.84481133345440163</v>
      </c>
      <c r="AD6">
        <f t="shared" si="5"/>
        <v>0.84560473675948411</v>
      </c>
      <c r="AE6">
        <f t="shared" si="5"/>
        <v>0.84627627634359148</v>
      </c>
      <c r="AF6">
        <f t="shared" si="5"/>
        <v>0.84684482414059103</v>
      </c>
      <c r="AG6">
        <f t="shared" si="5"/>
        <v>0.84732628583327385</v>
      </c>
      <c r="AH6">
        <f t="shared" si="5"/>
        <v>0.84773407947621848</v>
      </c>
      <c r="AI6">
        <f t="shared" si="5"/>
        <v>0.8480795333931288</v>
      </c>
    </row>
    <row r="7" spans="1:35" x14ac:dyDescent="0.3">
      <c r="A7" t="s">
        <v>37</v>
      </c>
      <c r="B7" t="s">
        <v>6</v>
      </c>
      <c r="C7" s="1">
        <v>5.0000000000000004E-6</v>
      </c>
      <c r="E7" t="s">
        <v>21</v>
      </c>
      <c r="F7">
        <f t="shared" ref="F7:AI7" si="6">F6*(1-F12*hr)</f>
        <v>0.4847350157764454</v>
      </c>
      <c r="G7">
        <f t="shared" si="6"/>
        <v>0.57548884549996593</v>
      </c>
      <c r="H7">
        <f t="shared" si="6"/>
        <v>0.6344399973675211</v>
      </c>
      <c r="I7">
        <f t="shared" si="6"/>
        <v>0.67690754360446592</v>
      </c>
      <c r="J7">
        <f t="shared" si="6"/>
        <v>0.70908532892627041</v>
      </c>
      <c r="K7">
        <f t="shared" si="6"/>
        <v>0.73403200968092674</v>
      </c>
      <c r="L7">
        <f t="shared" si="6"/>
        <v>0.75127195677117242</v>
      </c>
      <c r="M7">
        <f t="shared" si="6"/>
        <v>0.74784195100709172</v>
      </c>
      <c r="N7">
        <f t="shared" si="6"/>
        <v>0.72513251106376775</v>
      </c>
      <c r="O7">
        <f t="shared" si="6"/>
        <v>0.71982208296269434</v>
      </c>
      <c r="P7">
        <f t="shared" si="6"/>
        <v>0.72431655958271712</v>
      </c>
      <c r="Q7">
        <f t="shared" si="6"/>
        <v>0.73015162756728147</v>
      </c>
      <c r="R7">
        <f t="shared" si="6"/>
        <v>0.7354902840605636</v>
      </c>
      <c r="S7">
        <f t="shared" si="6"/>
        <v>0.74007626874382137</v>
      </c>
      <c r="T7">
        <f t="shared" si="6"/>
        <v>0.74395614499481577</v>
      </c>
      <c r="U7">
        <f t="shared" si="6"/>
        <v>0.74722639292363224</v>
      </c>
      <c r="V7">
        <f t="shared" si="6"/>
        <v>0.74998140000959557</v>
      </c>
      <c r="W7">
        <f t="shared" si="6"/>
        <v>0.75230338118444506</v>
      </c>
      <c r="X7">
        <f t="shared" si="6"/>
        <v>0.75426176520726174</v>
      </c>
      <c r="Y7">
        <f t="shared" si="6"/>
        <v>0.75591467253052425</v>
      </c>
      <c r="Z7">
        <f t="shared" si="6"/>
        <v>0.75731067365417981</v>
      </c>
      <c r="AA7">
        <f t="shared" si="6"/>
        <v>0.75849038481943643</v>
      </c>
      <c r="AB7">
        <f t="shared" si="6"/>
        <v>0.75948781847439439</v>
      </c>
      <c r="AC7">
        <f t="shared" si="6"/>
        <v>0.76033150151431728</v>
      </c>
      <c r="AD7">
        <f t="shared" si="6"/>
        <v>0.76104539574811447</v>
      </c>
      <c r="AE7">
        <f t="shared" si="6"/>
        <v>0.76164965555460107</v>
      </c>
      <c r="AF7">
        <f t="shared" si="6"/>
        <v>0.7621612529020092</v>
      </c>
      <c r="AG7">
        <f t="shared" si="6"/>
        <v>0.76259449446342464</v>
      </c>
      <c r="AH7">
        <f t="shared" si="6"/>
        <v>0.76296145075265742</v>
      </c>
      <c r="AI7">
        <f t="shared" si="6"/>
        <v>0.76327231326652145</v>
      </c>
    </row>
    <row r="8" spans="1:35" x14ac:dyDescent="0.3">
      <c r="A8" t="s">
        <v>38</v>
      </c>
      <c r="B8" t="s">
        <v>7</v>
      </c>
      <c r="C8">
        <v>3</v>
      </c>
      <c r="E8" t="s">
        <v>23</v>
      </c>
      <c r="F8">
        <v>1</v>
      </c>
      <c r="G8">
        <f t="shared" ref="G8:AI8" si="7">F8*F6</f>
        <v>0.48473501577645922</v>
      </c>
      <c r="H8">
        <f t="shared" si="7"/>
        <v>0.27895959460660513</v>
      </c>
      <c r="I8">
        <f t="shared" si="7"/>
        <v>0.17698312496294016</v>
      </c>
      <c r="J8">
        <f t="shared" si="7"/>
        <v>0.11980124167417767</v>
      </c>
      <c r="K8">
        <f t="shared" si="7"/>
        <v>8.4950222759434493E-2</v>
      </c>
      <c r="L8">
        <f t="shared" si="7"/>
        <v>6.2372944395782927E-2</v>
      </c>
      <c r="M8">
        <f t="shared" si="7"/>
        <v>4.7044844643866622E-2</v>
      </c>
      <c r="N8">
        <f t="shared" si="7"/>
        <v>3.6244251956446427E-2</v>
      </c>
      <c r="O8">
        <f t="shared" si="7"/>
        <v>2.8401277845645709E-2</v>
      </c>
      <c r="P8">
        <f t="shared" si="7"/>
        <v>2.2563321176847194E-2</v>
      </c>
      <c r="Q8">
        <f t="shared" si="7"/>
        <v>1.8127564493051512E-2</v>
      </c>
      <c r="R8">
        <f t="shared" si="7"/>
        <v>1.4698748271362786E-2</v>
      </c>
      <c r="S8">
        <f t="shared" si="7"/>
        <v>1.2009670437821486E-2</v>
      </c>
      <c r="T8">
        <f t="shared" si="7"/>
        <v>9.8748283696987425E-3</v>
      </c>
      <c r="U8">
        <f t="shared" si="7"/>
        <v>8.1623879359328799E-3</v>
      </c>
      <c r="V8">
        <f t="shared" si="7"/>
        <v>6.7766908367082644E-3</v>
      </c>
      <c r="W8">
        <f t="shared" si="7"/>
        <v>5.6470310199393673E-3</v>
      </c>
      <c r="X8">
        <f t="shared" si="7"/>
        <v>4.7202734631030165E-3</v>
      </c>
      <c r="Y8">
        <f t="shared" si="7"/>
        <v>3.9558911083276971E-3</v>
      </c>
      <c r="Z8">
        <f t="shared" si="7"/>
        <v>3.3225600508946305E-3</v>
      </c>
      <c r="AA8">
        <f t="shared" si="7"/>
        <v>2.7957804787880937E-3</v>
      </c>
      <c r="AB8">
        <f t="shared" si="7"/>
        <v>2.3561860134309874E-3</v>
      </c>
      <c r="AC8">
        <f t="shared" si="7"/>
        <v>1.9883232924798365E-3</v>
      </c>
      <c r="AD8">
        <f t="shared" si="7"/>
        <v>1.679758052058337E-3</v>
      </c>
      <c r="AE8">
        <f t="shared" si="7"/>
        <v>1.4204113654304139E-3</v>
      </c>
      <c r="AF8">
        <f t="shared" si="7"/>
        <v>1.2020604412125672E-3</v>
      </c>
      <c r="AG8">
        <f t="shared" si="7"/>
        <v>1.0179586629450177E-3</v>
      </c>
      <c r="AH8">
        <f t="shared" si="7"/>
        <v>8.625431330050073E-4</v>
      </c>
      <c r="AI8">
        <f t="shared" si="7"/>
        <v>7.3120720886653333E-4</v>
      </c>
    </row>
    <row r="9" spans="1:35" x14ac:dyDescent="0.3">
      <c r="A9" t="s">
        <v>39</v>
      </c>
      <c r="B9" t="s">
        <v>10</v>
      </c>
      <c r="C9">
        <v>170</v>
      </c>
      <c r="E9" t="s">
        <v>22</v>
      </c>
      <c r="F9">
        <v>1</v>
      </c>
      <c r="G9">
        <f>F9*F7</f>
        <v>0.4847350157764454</v>
      </c>
      <c r="H9">
        <f t="shared" ref="H9:AI9" si="8">G9*G7</f>
        <v>0.27895959460259434</v>
      </c>
      <c r="I9">
        <f t="shared" si="8"/>
        <v>0.1769831244653147</v>
      </c>
      <c r="J9">
        <f t="shared" si="8"/>
        <v>0.11980121204125962</v>
      </c>
      <c r="K9">
        <f t="shared" si="8"/>
        <v>8.4949281846042446E-2</v>
      </c>
      <c r="L9">
        <f t="shared" si="8"/>
        <v>6.2355492074402004E-2</v>
      </c>
      <c r="M9">
        <f t="shared" si="8"/>
        <v>4.6845932546165328E-2</v>
      </c>
      <c r="N9">
        <f t="shared" si="8"/>
        <v>3.5033353592070895E-2</v>
      </c>
      <c r="O9">
        <f t="shared" si="8"/>
        <v>2.5403823661203237E-2</v>
      </c>
      <c r="P9">
        <f t="shared" si="8"/>
        <v>1.8286233263024292E-2</v>
      </c>
      <c r="Q9">
        <f t="shared" si="8"/>
        <v>1.3245021564800799E-2</v>
      </c>
      <c r="R9">
        <f t="shared" si="8"/>
        <v>9.6708740527030445E-3</v>
      </c>
      <c r="S9">
        <f t="shared" si="8"/>
        <v>7.1128339041364964E-3</v>
      </c>
      <c r="T9">
        <f t="shared" si="8"/>
        <v>5.2640395759678861E-3</v>
      </c>
      <c r="U9">
        <f t="shared" si="8"/>
        <v>3.916214590037213E-3</v>
      </c>
      <c r="V9">
        <f t="shared" si="8"/>
        <v>2.9262989020284081E-3</v>
      </c>
      <c r="W9">
        <f t="shared" si="8"/>
        <v>2.1946697473898078E-3</v>
      </c>
      <c r="X9">
        <f t="shared" si="8"/>
        <v>1.6510574715445643E-3</v>
      </c>
      <c r="Y9">
        <f t="shared" si="8"/>
        <v>1.2453295229458415E-3</v>
      </c>
      <c r="Z9">
        <f t="shared" si="8"/>
        <v>9.4136285853019968E-4</v>
      </c>
      <c r="AA9">
        <f t="shared" si="8"/>
        <v>7.1290414054652992E-4</v>
      </c>
      <c r="AB9">
        <f t="shared" si="8"/>
        <v>5.4073093590250709E-4</v>
      </c>
      <c r="AC9">
        <f t="shared" si="8"/>
        <v>4.1067855889021269E-4</v>
      </c>
      <c r="AD9">
        <f t="shared" si="8"/>
        <v>3.1225184532073137E-4</v>
      </c>
      <c r="AE9">
        <f t="shared" si="8"/>
        <v>2.3763782919519503E-4</v>
      </c>
      <c r="AF9">
        <f t="shared" si="8"/>
        <v>1.809967707532634E-4</v>
      </c>
      <c r="AG9">
        <f t="shared" si="8"/>
        <v>1.3794872556852498E-4</v>
      </c>
      <c r="AH9">
        <f t="shared" si="8"/>
        <v>1.0519893863680301E-4</v>
      </c>
      <c r="AI9">
        <f t="shared" si="8"/>
        <v>8.0262734839975014E-5</v>
      </c>
    </row>
    <row r="10" spans="1:35" x14ac:dyDescent="0.3">
      <c r="A10" t="s">
        <v>40</v>
      </c>
      <c r="B10" t="s">
        <v>11</v>
      </c>
      <c r="C10">
        <v>10</v>
      </c>
      <c r="E10" t="s">
        <v>16</v>
      </c>
      <c r="F10">
        <f>F8/SUM($F$8:$AI$8)</f>
        <v>0.4092648200390846</v>
      </c>
      <c r="G10">
        <f t="shared" ref="F10:AI10" si="9">G8/SUM($F$8:$AI$8)</f>
        <v>0.19838498899839543</v>
      </c>
      <c r="H10">
        <f t="shared" si="9"/>
        <v>0.11416834828484825</v>
      </c>
      <c r="I10">
        <f t="shared" si="9"/>
        <v>7.2432966787912528E-2</v>
      </c>
      <c r="J10">
        <f t="shared" si="9"/>
        <v>4.9030433614241212E-2</v>
      </c>
      <c r="K10">
        <f t="shared" si="9"/>
        <v>3.4767137629920106E-2</v>
      </c>
      <c r="L10">
        <f t="shared" si="9"/>
        <v>2.552705186344793E-2</v>
      </c>
      <c r="M10">
        <f t="shared" si="9"/>
        <v>1.9253799876938767E-2</v>
      </c>
      <c r="N10">
        <f t="shared" si="9"/>
        <v>1.4833497254406287E-2</v>
      </c>
      <c r="O10">
        <f t="shared" si="9"/>
        <v>1.1623643866378233E-2</v>
      </c>
      <c r="P10">
        <f t="shared" si="9"/>
        <v>9.2343735809264343E-3</v>
      </c>
      <c r="Q10">
        <f t="shared" si="9"/>
        <v>7.4189744199956269E-3</v>
      </c>
      <c r="R10">
        <f t="shared" si="9"/>
        <v>6.0156805660790966E-3</v>
      </c>
      <c r="S10">
        <f t="shared" si="9"/>
        <v>4.9151356104637249E-3</v>
      </c>
      <c r="T10">
        <f t="shared" si="9"/>
        <v>4.0414198556416028E-3</v>
      </c>
      <c r="U10">
        <f t="shared" si="9"/>
        <v>3.3405782296887653E-3</v>
      </c>
      <c r="V10">
        <f t="shared" si="9"/>
        <v>2.7734611557459214E-3</v>
      </c>
      <c r="W10">
        <f t="shared" si="9"/>
        <v>2.3111311341306134E-3</v>
      </c>
      <c r="X10">
        <f t="shared" si="9"/>
        <v>1.9318418694121227E-3</v>
      </c>
      <c r="Y10">
        <f t="shared" si="9"/>
        <v>1.6190070625439498E-3</v>
      </c>
      <c r="Z10">
        <f t="shared" si="9"/>
        <v>1.3598069412984427E-3</v>
      </c>
      <c r="AA10">
        <f t="shared" si="9"/>
        <v>1.144214594519995E-3</v>
      </c>
      <c r="AB10">
        <f t="shared" si="9"/>
        <v>9.6430404476544127E-4</v>
      </c>
      <c r="AC10">
        <f t="shared" si="9"/>
        <v>8.1375077447628055E-4</v>
      </c>
      <c r="AD10">
        <f t="shared" si="9"/>
        <v>6.8746587688485862E-4</v>
      </c>
      <c r="AE10">
        <f t="shared" si="9"/>
        <v>5.8132440185434877E-4</v>
      </c>
      <c r="AF10">
        <f t="shared" si="9"/>
        <v>4.9196105014896394E-4</v>
      </c>
      <c r="AG10">
        <f t="shared" si="9"/>
        <v>4.1661466899741985E-4</v>
      </c>
      <c r="AH10">
        <f t="shared" si="9"/>
        <v>3.5300856010524255E-4</v>
      </c>
      <c r="AI10">
        <f t="shared" si="9"/>
        <v>2.9925738674804313E-4</v>
      </c>
    </row>
    <row r="11" spans="1:35" x14ac:dyDescent="0.3">
      <c r="A11" t="s">
        <v>41</v>
      </c>
      <c r="B11" t="s">
        <v>17</v>
      </c>
      <c r="C11">
        <v>190</v>
      </c>
      <c r="D11" t="s">
        <v>63</v>
      </c>
      <c r="E11" t="s">
        <v>25</v>
      </c>
      <c r="F11">
        <f>F9/SUM($F$9:$AI$9)</f>
        <v>0.41942097334703282</v>
      </c>
      <c r="G11">
        <f t="shared" ref="G11:AI11" si="10">G9/SUM($F$9:$AI$9)</f>
        <v>0.20330803213234605</v>
      </c>
      <c r="H11">
        <f t="shared" si="10"/>
        <v>0.11700150469271381</v>
      </c>
      <c r="I11">
        <f t="shared" si="10"/>
        <v>7.4230434329241354E-2</v>
      </c>
      <c r="J11">
        <f t="shared" si="10"/>
        <v>5.0247140962499381E-2</v>
      </c>
      <c r="K11">
        <f t="shared" si="10"/>
        <v>3.5629510476998548E-2</v>
      </c>
      <c r="L11">
        <f t="shared" si="10"/>
        <v>2.6153201179378881E-2</v>
      </c>
      <c r="M11">
        <f t="shared" si="10"/>
        <v>1.9648166625862107E-2</v>
      </c>
      <c r="N11">
        <f t="shared" si="10"/>
        <v>1.4693723263197145E-2</v>
      </c>
      <c r="O11">
        <f t="shared" si="10"/>
        <v>1.0654896446718244E-2</v>
      </c>
      <c r="P11">
        <f t="shared" si="10"/>
        <v>7.6696297540285374E-3</v>
      </c>
      <c r="Q11">
        <f t="shared" si="10"/>
        <v>5.5552398367111917E-3</v>
      </c>
      <c r="R11">
        <f t="shared" si="10"/>
        <v>4.056167408301275E-3</v>
      </c>
      <c r="S11">
        <f t="shared" si="10"/>
        <v>2.9832717193287051E-3</v>
      </c>
      <c r="T11">
        <f t="shared" si="10"/>
        <v>2.2078486026897528E-3</v>
      </c>
      <c r="U11">
        <f t="shared" si="10"/>
        <v>1.6425425351892591E-3</v>
      </c>
      <c r="V11">
        <f t="shared" si="10"/>
        <v>1.2273511337931083E-3</v>
      </c>
      <c r="W11">
        <f t="shared" si="10"/>
        <v>9.2049052162551995E-4</v>
      </c>
      <c r="X11">
        <f t="shared" si="10"/>
        <v>6.924881317671122E-4</v>
      </c>
      <c r="Y11">
        <f t="shared" si="10"/>
        <v>5.2231732065174095E-4</v>
      </c>
      <c r="Z11">
        <f t="shared" si="10"/>
        <v>3.9482732639748152E-4</v>
      </c>
      <c r="AA11">
        <f t="shared" si="10"/>
        <v>2.9900694853115547E-4</v>
      </c>
      <c r="AB11">
        <f t="shared" si="10"/>
        <v>2.2679389545508154E-4</v>
      </c>
      <c r="AC11">
        <f t="shared" si="10"/>
        <v>1.7224720090248976E-4</v>
      </c>
      <c r="AD11">
        <f t="shared" si="10"/>
        <v>1.3096497289382829E-4</v>
      </c>
      <c r="AE11">
        <f t="shared" si="10"/>
        <v>9.9670289625124637E-5</v>
      </c>
      <c r="AF11">
        <f t="shared" si="10"/>
        <v>7.5913841762003501E-5</v>
      </c>
      <c r="AG11">
        <f t="shared" si="10"/>
        <v>5.7858588749933463E-5</v>
      </c>
      <c r="AH11">
        <f t="shared" si="10"/>
        <v>4.4122641238122702E-5</v>
      </c>
      <c r="AI11">
        <f t="shared" si="10"/>
        <v>3.3663874370077128E-5</v>
      </c>
    </row>
    <row r="12" spans="1:35" x14ac:dyDescent="0.3">
      <c r="A12" t="s">
        <v>42</v>
      </c>
      <c r="B12" t="s">
        <v>18</v>
      </c>
      <c r="C12">
        <v>5</v>
      </c>
      <c r="E12" t="s">
        <v>19</v>
      </c>
      <c r="F12">
        <f t="shared" ref="F12:AI12" si="11">1/(1+EXP(-(F2-vul50_)/vulsd))</f>
        <v>2.8583698436292732E-13</v>
      </c>
      <c r="G12">
        <f t="shared" si="11"/>
        <v>1.4349239497280962E-10</v>
      </c>
      <c r="H12">
        <f t="shared" si="11"/>
        <v>2.797333654683684E-8</v>
      </c>
      <c r="I12">
        <f t="shared" si="11"/>
        <v>2.4453896485085824E-6</v>
      </c>
      <c r="J12">
        <f t="shared" si="11"/>
        <v>1.0828707620886668E-4</v>
      </c>
      <c r="K12">
        <f t="shared" si="11"/>
        <v>2.6873287761546199E-3</v>
      </c>
      <c r="L12">
        <f t="shared" si="11"/>
        <v>3.949437169444911E-2</v>
      </c>
      <c r="M12">
        <f t="shared" si="11"/>
        <v>0.29305158633927114</v>
      </c>
      <c r="N12">
        <f t="shared" si="11"/>
        <v>0.74623135774321037</v>
      </c>
      <c r="O12">
        <f t="shared" si="11"/>
        <v>0.93933609444300314</v>
      </c>
      <c r="P12">
        <f t="shared" si="11"/>
        <v>0.98445509663569863</v>
      </c>
      <c r="Q12">
        <f t="shared" si="11"/>
        <v>0.99523954415931515</v>
      </c>
      <c r="R12">
        <f t="shared" si="11"/>
        <v>0.99826544166154929</v>
      </c>
      <c r="S12">
        <f t="shared" si="11"/>
        <v>0.99926423659244334</v>
      </c>
      <c r="T12">
        <f t="shared" si="11"/>
        <v>0.9996445843187034</v>
      </c>
      <c r="U12">
        <f t="shared" si="11"/>
        <v>0.99980825158445152</v>
      </c>
      <c r="V12">
        <f t="shared" si="11"/>
        <v>0.99988637710505768</v>
      </c>
      <c r="W12">
        <f t="shared" si="11"/>
        <v>0.99992709498425103</v>
      </c>
      <c r="X12">
        <f t="shared" si="11"/>
        <v>0.99994995553313826</v>
      </c>
      <c r="Y12">
        <f t="shared" si="11"/>
        <v>0.9999636246972482</v>
      </c>
      <c r="Z12">
        <f t="shared" si="11"/>
        <v>0.99997224571008525</v>
      </c>
      <c r="AA12">
        <f t="shared" si="11"/>
        <v>0.99997793409038571</v>
      </c>
      <c r="AB12">
        <f t="shared" si="11"/>
        <v>0.99998183379563466</v>
      </c>
      <c r="AC12">
        <f t="shared" si="11"/>
        <v>0.99998459531371953</v>
      </c>
      <c r="AD12">
        <f t="shared" si="11"/>
        <v>0.999986605271594</v>
      </c>
      <c r="AE12">
        <f t="shared" si="11"/>
        <v>0.99998810263980109</v>
      </c>
      <c r="AF12">
        <f t="shared" si="11"/>
        <v>0.99998924034898395</v>
      </c>
      <c r="AG12">
        <f t="shared" si="11"/>
        <v>0.99999011934962734</v>
      </c>
      <c r="AH12">
        <f t="shared" si="11"/>
        <v>0.99999080815458974</v>
      </c>
      <c r="AI12">
        <f t="shared" si="11"/>
        <v>0.99999135443461684</v>
      </c>
    </row>
    <row r="13" spans="1:35" x14ac:dyDescent="0.3">
      <c r="A13" t="s">
        <v>43</v>
      </c>
      <c r="B13" t="s">
        <v>24</v>
      </c>
      <c r="C13">
        <v>0.1</v>
      </c>
    </row>
    <row r="14" spans="1:35" x14ac:dyDescent="0.3">
      <c r="A14" t="s">
        <v>44</v>
      </c>
      <c r="B14" t="s">
        <v>30</v>
      </c>
      <c r="C14">
        <f>SUMPRODUCT(survship,fecundity,pmature)</f>
        <v>8.9668696575086546</v>
      </c>
      <c r="E14">
        <f>hr*req*yprh</f>
        <v>977.45459097692117</v>
      </c>
      <c r="F14">
        <v>50</v>
      </c>
      <c r="G14">
        <v>60</v>
      </c>
      <c r="H14">
        <v>70</v>
      </c>
      <c r="I14">
        <v>80</v>
      </c>
      <c r="J14">
        <v>90</v>
      </c>
      <c r="K14">
        <v>100</v>
      </c>
      <c r="L14">
        <v>110</v>
      </c>
      <c r="M14">
        <v>120</v>
      </c>
      <c r="N14">
        <v>130</v>
      </c>
      <c r="O14">
        <v>140</v>
      </c>
      <c r="P14">
        <v>150</v>
      </c>
      <c r="Q14">
        <v>160</v>
      </c>
      <c r="R14">
        <v>170</v>
      </c>
      <c r="S14">
        <v>180</v>
      </c>
      <c r="T14">
        <v>190</v>
      </c>
      <c r="U14">
        <v>200</v>
      </c>
      <c r="V14">
        <v>210</v>
      </c>
      <c r="W14">
        <v>220</v>
      </c>
      <c r="X14">
        <v>230</v>
      </c>
      <c r="Y14">
        <v>240</v>
      </c>
      <c r="Z14">
        <v>250</v>
      </c>
      <c r="AA14">
        <v>260</v>
      </c>
      <c r="AB14">
        <v>270</v>
      </c>
      <c r="AC14">
        <v>280</v>
      </c>
      <c r="AD14">
        <v>290</v>
      </c>
      <c r="AE14">
        <v>300</v>
      </c>
      <c r="AF14">
        <v>310</v>
      </c>
      <c r="AG14">
        <v>320</v>
      </c>
      <c r="AH14">
        <v>330</v>
      </c>
      <c r="AI14">
        <v>340</v>
      </c>
    </row>
    <row r="15" spans="1:35" x14ac:dyDescent="0.3">
      <c r="A15" t="s">
        <v>45</v>
      </c>
      <c r="B15" t="s">
        <v>46</v>
      </c>
      <c r="C15">
        <f>(maxsj*epro-1)/(sjscale*epro)</f>
        <v>1929.620182433898</v>
      </c>
      <c r="E15">
        <v>0</v>
      </c>
      <c r="F15">
        <f t="dataTable" ref="F15:AI27" dt2D="1" dtr="1" r1="C11" r2="C13"/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t="s">
        <v>47</v>
      </c>
      <c r="B16" t="s">
        <v>48</v>
      </c>
      <c r="C16">
        <f>SUMPRODUCT(survshiphr,fecundity,pmature)</f>
        <v>6.8622542438527354</v>
      </c>
      <c r="E16">
        <v>0.08</v>
      </c>
      <c r="F16">
        <v>513.68500528680818</v>
      </c>
      <c r="G16">
        <v>575.89300867400948</v>
      </c>
      <c r="H16">
        <v>623.69309488047418</v>
      </c>
      <c r="I16">
        <v>717.51115595346789</v>
      </c>
      <c r="J16">
        <v>779.0174257304069</v>
      </c>
      <c r="K16">
        <v>833.96113904449419</v>
      </c>
      <c r="L16">
        <v>901.16096887226536</v>
      </c>
      <c r="M16">
        <v>943.27677251611271</v>
      </c>
      <c r="N16">
        <v>987.13313279758893</v>
      </c>
      <c r="O16">
        <v>1013.4342124701008</v>
      </c>
      <c r="P16">
        <v>1027.9812703023908</v>
      </c>
      <c r="Q16">
        <v>1024.3702557915331</v>
      </c>
      <c r="R16">
        <v>1000.4873407258328</v>
      </c>
      <c r="S16">
        <v>953.74701932622088</v>
      </c>
      <c r="T16">
        <v>883.65141588677238</v>
      </c>
      <c r="U16">
        <v>790.26254556986589</v>
      </c>
      <c r="V16">
        <v>674.48292904853793</v>
      </c>
      <c r="W16">
        <v>537.70209346776039</v>
      </c>
      <c r="X16">
        <v>382.30831628527011</v>
      </c>
      <c r="Y16">
        <v>215.95667185180625</v>
      </c>
      <c r="Z16">
        <v>74.11902059229925</v>
      </c>
      <c r="AA16">
        <v>13.73130140711463</v>
      </c>
      <c r="AB16">
        <v>1.9649923540157868</v>
      </c>
      <c r="AC16">
        <v>0.26804486156535073</v>
      </c>
      <c r="AD16">
        <v>3.6315038712249635E-2</v>
      </c>
      <c r="AE16">
        <v>4.9154234738692003E-3</v>
      </c>
      <c r="AF16">
        <v>6.6524337080631603E-4</v>
      </c>
      <c r="AG16">
        <v>9.0031140733677796E-5</v>
      </c>
      <c r="AH16">
        <v>1.218439434034382E-5</v>
      </c>
      <c r="AI16">
        <v>1.6489785398713661E-6</v>
      </c>
    </row>
    <row r="17" spans="1:35" x14ac:dyDescent="0.3">
      <c r="A17" t="s">
        <v>49</v>
      </c>
      <c r="B17" t="s">
        <v>50</v>
      </c>
      <c r="C17">
        <f>MAX(0,(maxsj*eprh-1)/(sjscale*eprh))</f>
        <v>1547.7660629890047</v>
      </c>
      <c r="E17">
        <v>0.16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56.804825066338864</v>
      </c>
      <c r="O17">
        <v>360.30081938786736</v>
      </c>
      <c r="P17">
        <v>654.50619244145014</v>
      </c>
      <c r="Q17">
        <v>871.47899080710442</v>
      </c>
      <c r="R17">
        <v>1025.4528847721915</v>
      </c>
      <c r="S17">
        <v>1105.8189303666747</v>
      </c>
      <c r="T17">
        <v>1115.2893275231309</v>
      </c>
      <c r="U17">
        <v>1060.5751581729007</v>
      </c>
      <c r="V17">
        <v>948.99615334698069</v>
      </c>
      <c r="W17">
        <v>787.99062693610779</v>
      </c>
      <c r="X17">
        <v>585.75441130923218</v>
      </c>
      <c r="Y17">
        <v>355.14239775190919</v>
      </c>
      <c r="Z17">
        <v>136.33650694333318</v>
      </c>
      <c r="AA17">
        <v>27.009718111594527</v>
      </c>
      <c r="AB17">
        <v>3.9205386356951717</v>
      </c>
      <c r="AC17">
        <v>0.53591349691351975</v>
      </c>
      <c r="AD17">
        <v>7.2626841622916258E-2</v>
      </c>
      <c r="AE17">
        <v>9.8307876618265091E-3</v>
      </c>
      <c r="AF17">
        <v>1.3304856557033447E-3</v>
      </c>
      <c r="AG17">
        <v>1.8006226157810945E-4</v>
      </c>
      <c r="AH17">
        <v>2.4368788316403096E-5</v>
      </c>
      <c r="AI17">
        <v>3.2979570730706274E-6</v>
      </c>
    </row>
    <row r="18" spans="1:35" x14ac:dyDescent="0.3">
      <c r="A18" t="s">
        <v>51</v>
      </c>
      <c r="B18" t="s">
        <v>53</v>
      </c>
      <c r="C18">
        <f>SUMPRODUCT(survshiphr,Weight,vul)</f>
        <v>6.3152605186941937</v>
      </c>
      <c r="E18">
        <v>0.24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248.11798213874576</v>
      </c>
      <c r="R18">
        <v>695.29757297802178</v>
      </c>
      <c r="S18">
        <v>980.17523072310519</v>
      </c>
      <c r="T18">
        <v>1122.2396669297186</v>
      </c>
      <c r="U18">
        <v>1146.3157433323443</v>
      </c>
      <c r="V18">
        <v>1073.4807684326199</v>
      </c>
      <c r="W18">
        <v>921.62386517613584</v>
      </c>
      <c r="X18">
        <v>707.2224171128056</v>
      </c>
      <c r="Y18">
        <v>450.01759972576968</v>
      </c>
      <c r="Z18">
        <v>188.90791536934989</v>
      </c>
      <c r="AA18">
        <v>39.852566236584742</v>
      </c>
      <c r="AB18">
        <v>5.8666912494487891</v>
      </c>
      <c r="AC18">
        <v>0.80360603966277167</v>
      </c>
      <c r="AD18">
        <v>0.10893540906448276</v>
      </c>
      <c r="AE18">
        <v>1.4746092564696485E-2</v>
      </c>
      <c r="AF18">
        <v>1.9957268546931285E-3</v>
      </c>
      <c r="AG18">
        <v>2.7009336253329993E-4</v>
      </c>
      <c r="AH18">
        <v>3.6553181928177818E-5</v>
      </c>
      <c r="AI18">
        <v>4.9469355995977826E-6</v>
      </c>
    </row>
    <row r="19" spans="1:35" x14ac:dyDescent="0.3">
      <c r="A19" t="s">
        <v>52</v>
      </c>
      <c r="B19" t="s">
        <v>54</v>
      </c>
      <c r="C19">
        <f>hr*req*yprh</f>
        <v>977.45459097692117</v>
      </c>
      <c r="D19" t="s">
        <v>64</v>
      </c>
      <c r="E19">
        <v>0.32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221.31135049135119</v>
      </c>
      <c r="S19">
        <v>750.75813703933932</v>
      </c>
      <c r="T19">
        <v>1044.4815389197413</v>
      </c>
      <c r="U19">
        <v>1158.336222156136</v>
      </c>
      <c r="V19">
        <v>1133.6082585854156</v>
      </c>
      <c r="W19">
        <v>1001.473074208388</v>
      </c>
      <c r="X19">
        <v>787.50612518635114</v>
      </c>
      <c r="Y19">
        <v>518.52552196716351</v>
      </c>
      <c r="Z19">
        <v>233.65266479064067</v>
      </c>
      <c r="AA19">
        <v>52.276502536393913</v>
      </c>
      <c r="AB19">
        <v>7.80350231161471</v>
      </c>
      <c r="AC19">
        <v>1.071122623331058</v>
      </c>
      <c r="AD19">
        <v>0.14524074136939796</v>
      </c>
      <c r="AE19">
        <v>1.9661338183303682E-2</v>
      </c>
      <c r="AF19">
        <v>2.660966967777715E-3</v>
      </c>
      <c r="AG19">
        <v>3.6012444359925463E-4</v>
      </c>
      <c r="AH19">
        <v>4.8737575175667997E-5</v>
      </c>
      <c r="AI19">
        <v>6.5959141194528381E-6</v>
      </c>
    </row>
    <row r="20" spans="1:35" x14ac:dyDescent="0.3">
      <c r="E20">
        <v>0.4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483.91410914965599</v>
      </c>
      <c r="T20">
        <v>934.13542880220803</v>
      </c>
      <c r="U20">
        <v>1138.203124998525</v>
      </c>
      <c r="V20">
        <v>1162.5379220710429</v>
      </c>
      <c r="W20">
        <v>1053.1862823391916</v>
      </c>
      <c r="X20">
        <v>844.85636862155047</v>
      </c>
      <c r="Y20">
        <v>570.68195903662524</v>
      </c>
      <c r="Z20">
        <v>272.03677376593356</v>
      </c>
      <c r="AA20">
        <v>64.297548569843471</v>
      </c>
      <c r="AB20">
        <v>9.7310236519778286</v>
      </c>
      <c r="AC20">
        <v>1.3384633813360887</v>
      </c>
      <c r="AD20">
        <v>0.1815428388700773</v>
      </c>
      <c r="AE20">
        <v>2.4576524518472677E-2</v>
      </c>
      <c r="AF20">
        <v>3.3262059949591438E-3</v>
      </c>
      <c r="AG20">
        <v>4.5015550477597811E-4</v>
      </c>
      <c r="AH20">
        <v>6.0921968058873658E-5</v>
      </c>
      <c r="AI20">
        <v>8.244892632635777E-6</v>
      </c>
    </row>
    <row r="21" spans="1:35" x14ac:dyDescent="0.3">
      <c r="E21">
        <v>0.48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207.87105899172585</v>
      </c>
      <c r="T21">
        <v>812.86425569609219</v>
      </c>
      <c r="U21">
        <v>1103.5369518022208</v>
      </c>
      <c r="V21">
        <v>1174.8960977401669</v>
      </c>
      <c r="W21">
        <v>1088.5850314259542</v>
      </c>
      <c r="X21">
        <v>888.16095706399165</v>
      </c>
      <c r="Y21">
        <v>612.18260635479453</v>
      </c>
      <c r="Z21">
        <v>305.24027149529809</v>
      </c>
      <c r="AA21">
        <v>75.931114020344467</v>
      </c>
      <c r="AB21">
        <v>11.649306815281502</v>
      </c>
      <c r="AC21">
        <v>1.6056284469954061</v>
      </c>
      <c r="AD21">
        <v>0.2178417018989017</v>
      </c>
      <c r="AE21">
        <v>2.9491651571027986E-2</v>
      </c>
      <c r="AF21">
        <v>3.99144393623946E-3</v>
      </c>
      <c r="AG21">
        <v>5.401865460634758E-4</v>
      </c>
      <c r="AH21">
        <v>7.3106360577794769E-5</v>
      </c>
      <c r="AI21">
        <v>9.893871139146623E-6</v>
      </c>
    </row>
    <row r="22" spans="1:35" x14ac:dyDescent="0.3">
      <c r="E22">
        <v>0.56000000000000005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690.28866666495696</v>
      </c>
      <c r="U22">
        <v>1062.5234296032108</v>
      </c>
      <c r="V22">
        <v>1177.8842937166241</v>
      </c>
      <c r="W22">
        <v>1113.7762517901472</v>
      </c>
      <c r="X22">
        <v>922.18366124738247</v>
      </c>
      <c r="Y22">
        <v>646.36425507860713</v>
      </c>
      <c r="Z22">
        <v>334.21212785843886</v>
      </c>
      <c r="AA22">
        <v>87.192019191948617</v>
      </c>
      <c r="AB22">
        <v>13.558403062731591</v>
      </c>
      <c r="AC22">
        <v>1.8726179535264542</v>
      </c>
      <c r="AD22">
        <v>0.25413733078821904</v>
      </c>
      <c r="AE22">
        <v>3.4406719341794144E-2</v>
      </c>
      <c r="AF22">
        <v>4.6566807916207124E-3</v>
      </c>
      <c r="AG22">
        <v>6.3021756746175258E-4</v>
      </c>
      <c r="AH22">
        <v>8.5290752732431485E-5</v>
      </c>
      <c r="AI22">
        <v>1.1542849638985368E-5</v>
      </c>
    </row>
    <row r="23" spans="1:35" x14ac:dyDescent="0.3">
      <c r="E23">
        <v>0.64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570.75935329951494</v>
      </c>
      <c r="U23">
        <v>1019.1920395666124</v>
      </c>
      <c r="V23">
        <v>1175.349585528566</v>
      </c>
      <c r="W23">
        <v>1132.2129923274072</v>
      </c>
      <c r="X23">
        <v>949.71527417341065</v>
      </c>
      <c r="Y23">
        <v>675.26356866539606</v>
      </c>
      <c r="Z23">
        <v>359.71495954296438</v>
      </c>
      <c r="AA23">
        <v>98.094516709664717</v>
      </c>
      <c r="AB23">
        <v>15.45836337349273</v>
      </c>
      <c r="AC23">
        <v>2.1394320340466502</v>
      </c>
      <c r="AD23">
        <v>0.29042972587034283</v>
      </c>
      <c r="AE23">
        <v>3.932172783159564E-2</v>
      </c>
      <c r="AF23">
        <v>5.321916561104938E-3</v>
      </c>
      <c r="AG23">
        <v>7.2024856897081441E-4</v>
      </c>
      <c r="AH23">
        <v>9.7475144522783698E-5</v>
      </c>
      <c r="AI23">
        <v>1.3191828132152E-5</v>
      </c>
    </row>
    <row r="24" spans="1:35" x14ac:dyDescent="0.3">
      <c r="E24">
        <v>0.72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456.16220205570733</v>
      </c>
      <c r="U24">
        <v>975.58687766577509</v>
      </c>
      <c r="V24">
        <v>1169.4730522085556</v>
      </c>
      <c r="W24">
        <v>1145.9837211011522</v>
      </c>
      <c r="X24">
        <v>972.51151193273597</v>
      </c>
      <c r="Y24">
        <v>700.18587157753234</v>
      </c>
      <c r="Z24">
        <v>382.36136525961814</v>
      </c>
      <c r="AA24">
        <v>108.65231245140498</v>
      </c>
      <c r="AB24">
        <v>17.349238446177257</v>
      </c>
      <c r="AC24">
        <v>2.4060708215734627</v>
      </c>
      <c r="AD24">
        <v>0.32671888747755318</v>
      </c>
      <c r="AE24">
        <v>4.4236677041257007E-2</v>
      </c>
      <c r="AF24">
        <v>5.9871512446941838E-3</v>
      </c>
      <c r="AG24">
        <v>8.1027955059066465E-4</v>
      </c>
      <c r="AH24">
        <v>1.0965953594885142E-4</v>
      </c>
      <c r="AI24">
        <v>1.484080661864652E-5</v>
      </c>
    </row>
    <row r="25" spans="1:35" x14ac:dyDescent="0.3">
      <c r="E25">
        <v>0.8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347.1849561721873</v>
      </c>
      <c r="U25">
        <v>932.74871889862459</v>
      </c>
      <c r="V25">
        <v>1161.5480981532726</v>
      </c>
      <c r="W25">
        <v>1156.4181648317769</v>
      </c>
      <c r="X25">
        <v>991.73783402577408</v>
      </c>
      <c r="Y25">
        <v>722.01106094598708</v>
      </c>
      <c r="Z25">
        <v>402.64341042101637</v>
      </c>
      <c r="AA25">
        <v>118.87858573802359</v>
      </c>
      <c r="AB25">
        <v>19.231078700326279</v>
      </c>
      <c r="AC25">
        <v>2.6725344490244813</v>
      </c>
      <c r="AD25">
        <v>0.36300481594209616</v>
      </c>
      <c r="AE25">
        <v>4.9151566971602757E-2</v>
      </c>
      <c r="AF25">
        <v>6.6523848423905001E-3</v>
      </c>
      <c r="AG25">
        <v>9.0031051232130862E-4</v>
      </c>
      <c r="AH25">
        <v>1.2184392701063462E-4</v>
      </c>
      <c r="AI25">
        <v>1.6489785098468944E-5</v>
      </c>
    </row>
    <row r="26" spans="1:35" x14ac:dyDescent="0.3">
      <c r="E26">
        <v>0.88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243.92455433211052</v>
      </c>
      <c r="U26">
        <v>891.19116731383781</v>
      </c>
      <c r="V26">
        <v>1152.3690640888353</v>
      </c>
      <c r="W26">
        <v>1164.3984916511827</v>
      </c>
      <c r="X26">
        <v>1008.2003155479978</v>
      </c>
      <c r="Y26">
        <v>741.36013759051195</v>
      </c>
      <c r="Z26">
        <v>420.95650880015961</v>
      </c>
      <c r="AA26">
        <v>128.78600880703101</v>
      </c>
      <c r="AB26">
        <v>21.103934277883571</v>
      </c>
      <c r="AC26">
        <v>2.9388230492174769</v>
      </c>
      <c r="AD26">
        <v>0.39928751159618409</v>
      </c>
      <c r="AE26">
        <v>5.4066397623457302E-2</v>
      </c>
      <c r="AF26">
        <v>7.3176173541959237E-3</v>
      </c>
      <c r="AG26">
        <v>9.9034145416275303E-4</v>
      </c>
      <c r="AH26">
        <v>1.3402831770813347E-4</v>
      </c>
      <c r="AI26">
        <v>1.8138763571619272E-5</v>
      </c>
    </row>
    <row r="27" spans="1:35" x14ac:dyDescent="0.3"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30" spans="1:35" x14ac:dyDescent="0.3">
      <c r="A30" t="s">
        <v>57</v>
      </c>
    </row>
    <row r="31" spans="1:35" x14ac:dyDescent="0.3">
      <c r="A31" t="s">
        <v>58</v>
      </c>
    </row>
    <row r="32" spans="1:35" x14ac:dyDescent="0.3">
      <c r="A32" t="s">
        <v>59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size="32" baseType="lpstr">
      <vt:lpstr>Juv. Survival</vt:lpstr>
      <vt:lpstr>Age Structure</vt:lpstr>
      <vt:lpstr>eprh</vt:lpstr>
      <vt:lpstr>epro</vt:lpstr>
      <vt:lpstr>fecundity</vt:lpstr>
      <vt:lpstr>hr</vt:lpstr>
      <vt:lpstr>Length</vt:lpstr>
      <vt:lpstr>lmat50</vt:lpstr>
      <vt:lpstr>lmatsd</vt:lpstr>
      <vt:lpstr>lwa</vt:lpstr>
      <vt:lpstr>lwb</vt:lpstr>
      <vt:lpstr>maxsj</vt:lpstr>
      <vt:lpstr>page</vt:lpstr>
      <vt:lpstr>pagehr</vt:lpstr>
      <vt:lpstr>pmature</vt:lpstr>
      <vt:lpstr>req</vt:lpstr>
      <vt:lpstr>ro</vt:lpstr>
      <vt:lpstr>sa</vt:lpstr>
      <vt:lpstr>sjscale</vt:lpstr>
      <vt:lpstr>survival</vt:lpstr>
      <vt:lpstr>survivalhr</vt:lpstr>
      <vt:lpstr>survship</vt:lpstr>
      <vt:lpstr>survshiphr</vt:lpstr>
      <vt:lpstr>vbk</vt:lpstr>
      <vt:lpstr>vblinf</vt:lpstr>
      <vt:lpstr>vbto</vt:lpstr>
      <vt:lpstr>vul</vt:lpstr>
      <vt:lpstr>vul50_</vt:lpstr>
      <vt:lpstr>vulsd</vt:lpstr>
      <vt:lpstr>Weight</vt:lpstr>
      <vt:lpstr>yeq</vt:lpstr>
      <vt:lpstr>yprh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UF</cp:lastModifiedBy>
  <dcterms:created xsi:type="dcterms:W3CDTF">2017-09-26T17:25:18Z</dcterms:created>
  <dcterms:modified xsi:type="dcterms:W3CDTF">2017-10-04T20:55:39Z</dcterms:modified>
</cp:coreProperties>
</file>