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"/>
    </mc:Choice>
  </mc:AlternateContent>
  <bookViews>
    <workbookView xWindow="0" yWindow="0" windowWidth="20490" windowHeight="7755" activeTab="2"/>
  </bookViews>
  <sheets>
    <sheet name="Flux" sheetId="1" r:id="rId1"/>
    <sheet name="Forest" sheetId="32821" r:id="rId2"/>
    <sheet name="Biomass" sheetId="32822" r:id="rId3"/>
    <sheet name="Balance and Tables" sheetId="32823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32822" l="1"/>
  <c r="D18" i="32822"/>
  <c r="D10" i="32822"/>
  <c r="D4" i="32822"/>
  <c r="D5" i="32822"/>
  <c r="D6" i="32822"/>
  <c r="D7" i="32822"/>
  <c r="D3" i="32822"/>
  <c r="U3" i="1"/>
  <c r="J4" i="32823" l="1"/>
  <c r="J5" i="32823"/>
  <c r="H12" i="32823"/>
  <c r="H13" i="32823"/>
  <c r="H11" i="32823"/>
  <c r="J3" i="32823"/>
  <c r="D19" i="32822"/>
  <c r="D20" i="32822"/>
  <c r="E18" i="32822" s="1"/>
  <c r="D21" i="32822"/>
  <c r="D22" i="32822"/>
  <c r="D11" i="32822"/>
  <c r="D12" i="32822"/>
  <c r="D13" i="32822"/>
  <c r="D14" i="32822"/>
  <c r="F10" i="32822"/>
  <c r="F3" i="32822"/>
  <c r="E10" i="32822"/>
  <c r="E3" i="32822"/>
  <c r="C19" i="32822"/>
  <c r="C20" i="32822"/>
  <c r="C21" i="32822"/>
  <c r="C22" i="32822"/>
  <c r="C18" i="32822"/>
  <c r="C11" i="32822"/>
  <c r="C12" i="32822"/>
  <c r="C13" i="32822"/>
  <c r="C14" i="32822"/>
  <c r="C10" i="32822"/>
  <c r="H3" i="32821"/>
  <c r="H4" i="32821"/>
  <c r="H5" i="32821"/>
  <c r="H6" i="32821"/>
  <c r="G3" i="32821"/>
  <c r="G4" i="32821"/>
  <c r="G5" i="32821"/>
  <c r="G6" i="32821"/>
  <c r="G2" i="32821"/>
  <c r="H2" i="32821"/>
  <c r="F3" i="32821"/>
  <c r="F4" i="32821"/>
  <c r="F5" i="32821"/>
  <c r="F6" i="32821"/>
  <c r="F2" i="32821"/>
  <c r="D3" i="32821"/>
  <c r="D4" i="32821"/>
  <c r="D5" i="32821"/>
  <c r="D6" i="32821"/>
  <c r="D7" i="32821"/>
  <c r="D8" i="32821"/>
  <c r="D9" i="32821"/>
  <c r="D10" i="32821"/>
  <c r="D11" i="32821"/>
  <c r="D12" i="32821"/>
  <c r="D13" i="32821"/>
  <c r="D14" i="32821"/>
  <c r="D15" i="32821"/>
  <c r="D16" i="32821"/>
  <c r="D17" i="32821"/>
  <c r="D18" i="32821"/>
  <c r="D19" i="32821"/>
  <c r="D20" i="32821"/>
  <c r="D21" i="32821"/>
  <c r="D22" i="32821"/>
  <c r="D23" i="32821"/>
  <c r="D24" i="32821"/>
  <c r="D25" i="32821"/>
  <c r="D26" i="32821"/>
  <c r="D27" i="32821"/>
  <c r="D28" i="32821"/>
  <c r="D29" i="32821"/>
  <c r="D30" i="32821"/>
  <c r="D31" i="32821"/>
  <c r="D32" i="32821"/>
  <c r="D33" i="32821"/>
  <c r="D34" i="32821"/>
  <c r="D35" i="32821"/>
  <c r="D36" i="32821"/>
  <c r="D37" i="32821"/>
  <c r="D38" i="32821"/>
  <c r="D39" i="32821"/>
  <c r="D40" i="32821"/>
  <c r="D41" i="32821"/>
  <c r="D42" i="32821"/>
  <c r="D43" i="32821"/>
  <c r="D44" i="32821"/>
  <c r="D45" i="32821"/>
  <c r="D46" i="32821"/>
  <c r="D47" i="32821"/>
  <c r="D48" i="32821"/>
  <c r="D49" i="32821"/>
  <c r="D50" i="32821"/>
  <c r="D51" i="32821"/>
  <c r="D52" i="32821"/>
  <c r="D53" i="32821"/>
  <c r="D54" i="32821"/>
  <c r="D55" i="32821"/>
  <c r="D56" i="32821"/>
  <c r="D57" i="32821"/>
  <c r="D58" i="32821"/>
  <c r="D59" i="32821"/>
  <c r="D2" i="32821"/>
  <c r="T16" i="1"/>
  <c r="T17" i="1"/>
  <c r="T18" i="1"/>
  <c r="T19" i="1"/>
  <c r="T10" i="1"/>
  <c r="T11" i="1"/>
  <c r="T12" i="1"/>
  <c r="T13" i="1"/>
  <c r="T9" i="1"/>
  <c r="T4" i="1"/>
  <c r="T5" i="1"/>
  <c r="T6" i="1"/>
  <c r="T7" i="1"/>
  <c r="V15" i="1"/>
  <c r="V9" i="1"/>
  <c r="V3" i="1"/>
  <c r="U15" i="1"/>
  <c r="U9" i="1"/>
  <c r="T15" i="1"/>
  <c r="T3" i="1"/>
  <c r="S4" i="1"/>
  <c r="S5" i="1"/>
  <c r="S6" i="1"/>
  <c r="S7" i="1"/>
  <c r="S9" i="1"/>
  <c r="S10" i="1"/>
  <c r="S11" i="1"/>
  <c r="S12" i="1"/>
  <c r="S13" i="1"/>
  <c r="S15" i="1"/>
  <c r="S16" i="1"/>
  <c r="S17" i="1"/>
  <c r="S18" i="1"/>
  <c r="S19" i="1"/>
  <c r="S3" i="1"/>
  <c r="R4" i="1"/>
  <c r="R5" i="1"/>
  <c r="R6" i="1"/>
  <c r="R7" i="1"/>
  <c r="R9" i="1"/>
  <c r="R10" i="1"/>
  <c r="R11" i="1"/>
  <c r="R12" i="1"/>
  <c r="R13" i="1"/>
  <c r="R15" i="1"/>
  <c r="R16" i="1"/>
  <c r="R17" i="1"/>
  <c r="R18" i="1"/>
  <c r="R19" i="1"/>
  <c r="R3" i="1"/>
  <c r="Q4" i="1"/>
  <c r="Q5" i="1"/>
  <c r="Q6" i="1"/>
  <c r="Q7" i="1"/>
  <c r="Q9" i="1"/>
  <c r="Q10" i="1"/>
  <c r="Q11" i="1"/>
  <c r="Q12" i="1"/>
  <c r="Q13" i="1"/>
  <c r="Q15" i="1"/>
  <c r="Q16" i="1"/>
  <c r="Q17" i="1"/>
  <c r="Q18" i="1"/>
  <c r="Q19" i="1"/>
  <c r="Q3" i="1"/>
  <c r="P4" i="1"/>
  <c r="P5" i="1"/>
  <c r="P6" i="1"/>
  <c r="P7" i="1"/>
  <c r="P9" i="1"/>
  <c r="P10" i="1"/>
  <c r="P11" i="1"/>
  <c r="P12" i="1"/>
  <c r="P13" i="1"/>
  <c r="P15" i="1"/>
  <c r="P16" i="1"/>
  <c r="P17" i="1"/>
  <c r="P18" i="1"/>
  <c r="P19" i="1"/>
  <c r="P3" i="1"/>
  <c r="O3" i="1"/>
  <c r="O4" i="1"/>
  <c r="O5" i="1"/>
  <c r="O6" i="1"/>
  <c r="O7" i="1"/>
  <c r="O9" i="1"/>
  <c r="O10" i="1"/>
  <c r="O11" i="1"/>
  <c r="O12" i="1"/>
  <c r="O13" i="1"/>
  <c r="O15" i="1"/>
  <c r="O16" i="1"/>
  <c r="O17" i="1"/>
  <c r="O18" i="1"/>
  <c r="O19" i="1"/>
  <c r="N16" i="1" l="1"/>
  <c r="N17" i="1"/>
  <c r="N18" i="1"/>
  <c r="N19" i="1"/>
  <c r="N15" i="1"/>
  <c r="N10" i="1"/>
  <c r="N11" i="1"/>
  <c r="N12" i="1"/>
  <c r="N13" i="1"/>
  <c r="N9" i="1"/>
  <c r="N4" i="1"/>
  <c r="N5" i="1"/>
  <c r="N6" i="1"/>
  <c r="N7" i="1"/>
  <c r="N3" i="1"/>
  <c r="M16" i="1"/>
  <c r="M17" i="1"/>
  <c r="M18" i="1"/>
  <c r="M19" i="1"/>
  <c r="M15" i="1"/>
  <c r="M10" i="1"/>
  <c r="M11" i="1"/>
  <c r="M12" i="1"/>
  <c r="M13" i="1"/>
  <c r="M9" i="1"/>
  <c r="M4" i="1"/>
  <c r="M5" i="1"/>
  <c r="M6" i="1"/>
  <c r="M7" i="1"/>
  <c r="M3" i="1"/>
  <c r="J16" i="1"/>
  <c r="J17" i="1"/>
  <c r="J18" i="1"/>
  <c r="J19" i="1"/>
  <c r="J15" i="1"/>
  <c r="J10" i="1"/>
  <c r="J11" i="1"/>
  <c r="J12" i="1"/>
  <c r="J13" i="1"/>
  <c r="J9" i="1"/>
  <c r="J4" i="1"/>
  <c r="J5" i="1"/>
  <c r="J6" i="1"/>
  <c r="J7" i="1"/>
  <c r="J3" i="1"/>
  <c r="C25" i="1" l="1"/>
</calcChain>
</file>

<file path=xl/sharedStrings.xml><?xml version="1.0" encoding="utf-8"?>
<sst xmlns="http://schemas.openxmlformats.org/spreadsheetml/2006/main" count="297" uniqueCount="129">
  <si>
    <t>b = 2.172</t>
  </si>
  <si>
    <t>b = 1.164</t>
  </si>
  <si>
    <t>Volume (L)</t>
  </si>
  <si>
    <t>SLOPE(y's,x's)</t>
  </si>
  <si>
    <t>n=PV / RT</t>
  </si>
  <si>
    <t xml:space="preserve"> (AIR X SLOPE)</t>
  </si>
  <si>
    <t>Tree species</t>
  </si>
  <si>
    <t>T (K)</t>
    <phoneticPr fontId="2" type="noConversion"/>
  </si>
  <si>
    <t>P (kPa)</t>
    <phoneticPr fontId="2" type="noConversion"/>
  </si>
  <si>
    <t>B = aDBH^b</t>
    <phoneticPr fontId="3" type="noConversion"/>
  </si>
  <si>
    <t>a = 0.133</t>
    <phoneticPr fontId="3" type="noConversion"/>
  </si>
  <si>
    <t>a = 0.006</t>
    <phoneticPr fontId="3" type="noConversion"/>
  </si>
  <si>
    <t>1umol CO2 * 1mole/10^6umole * 12gC/1mole</t>
  </si>
  <si>
    <t>1yr = 60x60x24x365 seconds</t>
  </si>
  <si>
    <t>Sum per plot (Ton/40m2)</t>
  </si>
  <si>
    <t>Ton/ha</t>
  </si>
  <si>
    <t>Carbon (Ton/ha)</t>
  </si>
  <si>
    <t>Mean</t>
  </si>
  <si>
    <t>FOREST2</t>
  </si>
  <si>
    <t>FOREST1</t>
  </si>
  <si>
    <t>FOREST3</t>
  </si>
  <si>
    <t>FOREST4</t>
  </si>
  <si>
    <t>FOREST5</t>
  </si>
  <si>
    <t>LAWN1</t>
  </si>
  <si>
    <t>LAWN2</t>
  </si>
  <si>
    <t>LAWN3</t>
  </si>
  <si>
    <t>LAWN4</t>
  </si>
  <si>
    <t>LAWN5</t>
  </si>
  <si>
    <t>T10-1</t>
  </si>
  <si>
    <t>T10-2</t>
  </si>
  <si>
    <t>T10-3</t>
  </si>
  <si>
    <t>T10-4</t>
  </si>
  <si>
    <t>T10-5</t>
  </si>
  <si>
    <t>PLOT#</t>
  </si>
  <si>
    <t>Time (sec)</t>
  </si>
  <si>
    <t>R (KPa/mol K)</t>
  </si>
  <si>
    <t>TILLAGE10 1</t>
  </si>
  <si>
    <t>TILLAGE10 2</t>
  </si>
  <si>
    <t>TILLAGE10 3</t>
  </si>
  <si>
    <t>TILLAGE10 4</t>
  </si>
  <si>
    <t>TILLAGE10 5</t>
  </si>
  <si>
    <t>FOREST 1 (0-10M)</t>
  </si>
  <si>
    <t>FOREST 2 (10-20M)</t>
  </si>
  <si>
    <t>FOREST 3 (20-30M)</t>
  </si>
  <si>
    <t>FOREST 4 (30-40M)</t>
  </si>
  <si>
    <t>FOREST 5 (40-50M)</t>
  </si>
  <si>
    <t>LAWN 1 (0-10M)</t>
  </si>
  <si>
    <t>LAWN 2 (10-20M)</t>
  </si>
  <si>
    <t>LAWN 4 (30-40M)</t>
  </si>
  <si>
    <t>LAWN 5 (40-50M)</t>
  </si>
  <si>
    <t>LAWN 3 (20-30M)</t>
  </si>
  <si>
    <t>TILLAGE10 1 (0-10M)</t>
  </si>
  <si>
    <t>TILLAGE10 2 (10-20M)</t>
  </si>
  <si>
    <t>TILLAGE10 3 (20-30M)</t>
  </si>
  <si>
    <t>TILLAGE10 4 (30-40M)</t>
  </si>
  <si>
    <t>TILLAGE10 5 (40-50M)</t>
  </si>
  <si>
    <t>Hardwood (e.g., oaks)</t>
  </si>
  <si>
    <t>Softwood (pines)</t>
  </si>
  <si>
    <t>Plot #</t>
  </si>
  <si>
    <t>DBH (cm)</t>
  </si>
  <si>
    <t>Biomass (Ton)</t>
  </si>
  <si>
    <t>R Squared</t>
  </si>
  <si>
    <t>umol air in chamber</t>
  </si>
  <si>
    <t>ppm(umol CO2/umolair)/sec</t>
  </si>
  <si>
    <t>umol CO2/sec</t>
  </si>
  <si>
    <t>Area (m2)</t>
  </si>
  <si>
    <t>(umol/s/area)</t>
  </si>
  <si>
    <t>Biomass (g/625 cm2)</t>
  </si>
  <si>
    <t>Forest</t>
  </si>
  <si>
    <t>Lawn</t>
  </si>
  <si>
    <t>ABOVEGROUND BIOMASS CARBON POOL</t>
  </si>
  <si>
    <t>SOIL RESPIRATION CARBON FLUX</t>
  </si>
  <si>
    <t>1</t>
  </si>
  <si>
    <t>HW</t>
  </si>
  <si>
    <t>SW</t>
  </si>
  <si>
    <t>2</t>
  </si>
  <si>
    <t>3</t>
  </si>
  <si>
    <t>4</t>
  </si>
  <si>
    <t>5</t>
  </si>
  <si>
    <t>molC/ha/sec</t>
  </si>
  <si>
    <t>kgC/ha/yr</t>
  </si>
  <si>
    <t>MgC/ha/yr</t>
  </si>
  <si>
    <t>Mean (MgC/ha/yr)</t>
  </si>
  <si>
    <t>mgC/ha/sec</t>
  </si>
  <si>
    <t>gC/ha/day</t>
  </si>
  <si>
    <t>Standard Error</t>
  </si>
  <si>
    <t>Old Field</t>
  </si>
  <si>
    <t>Place ANOVA output here</t>
  </si>
  <si>
    <t>ANOVA:</t>
  </si>
  <si>
    <t>Table 1:</t>
  </si>
  <si>
    <t>Soil respiration C flux</t>
  </si>
  <si>
    <t>Aboveground C stock</t>
  </si>
  <si>
    <t>F statistic</t>
  </si>
  <si>
    <t>D.f. within</t>
  </si>
  <si>
    <t>D.f. between</t>
  </si>
  <si>
    <t>P-value</t>
  </si>
  <si>
    <t>Table: 2</t>
  </si>
  <si>
    <t>Soil C flux</t>
  </si>
  <si>
    <t>Residence time = Stock divided by the flux</t>
  </si>
  <si>
    <t>Remember to include units for all necessary column headers</t>
  </si>
  <si>
    <t>Use this allometric equation to calculate forest biomass, be sure to use the appropriate variable values</t>
  </si>
  <si>
    <t>Place data columns to compare with ANOVA here:</t>
  </si>
  <si>
    <t>Field</t>
  </si>
  <si>
    <t>umolCO2/m2/sec</t>
  </si>
  <si>
    <t>umolCO2/ha/sec</t>
  </si>
  <si>
    <t xml:space="preserve">Tillage 10 </t>
  </si>
  <si>
    <t>Tillage 10</t>
  </si>
  <si>
    <t xml:space="preserve">Mean Soil C flux (MgC/ha/yr) </t>
  </si>
  <si>
    <t xml:space="preserve">Kgc/m^2/yr </t>
  </si>
  <si>
    <t>Soil C stock (kgC/m^2)</t>
  </si>
  <si>
    <t xml:space="preserve">Mean Residence Time (yr) 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</si>
  <si>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</si>
  <si>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</si>
  <si>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</si>
  <si>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</si>
  <si>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</si>
  <si>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</si>
  <si>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</si>
  <si>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</si>
  <si>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</si>
  <si>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</si>
  <si>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F crit</t>
  </si>
  <si>
    <t>Between Groups</t>
  </si>
  <si>
    <t>Within Groups</t>
  </si>
  <si>
    <t>Total</t>
  </si>
  <si>
    <t>Anova: Single Factor</t>
  </si>
  <si>
    <t>SUMMARY</t>
  </si>
  <si>
    <t>ANOVA</t>
  </si>
  <si>
    <t>Carbon log 10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</si>
</sst>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"/>
    <numFmt numFmtId="166" formatCode="0.000"/>
    <numFmt numFmtId="167" formatCode="0.0000"/>
  </numFmts>
  <fonts count="17"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돋움"/>
      <family val="3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sz val="10"/>
      <color indexed="53"/>
      <name val="Arial"/>
      <family val="2"/>
    </font>
    <font>
      <sz val="22"/>
      <name val="Arial"/>
      <family val="2"/>
    </font>
    <font>
      <sz val="12"/>
      <color rgb="FF000000"/>
      <name val="Calibri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4" fontId="5" fillId="0" borderId="0" xfId="0" applyNumberFormat="1" applyFont="1"/>
    <xf numFmtId="2" fontId="6" fillId="0" borderId="0" xfId="0" applyNumberFormat="1" applyFont="1" applyFill="1"/>
    <xf numFmtId="2" fontId="7" fillId="0" borderId="0" xfId="0" applyNumberFormat="1" applyFont="1" applyFill="1"/>
    <xf numFmtId="2" fontId="5" fillId="0" borderId="0" xfId="0" applyNumberFormat="1" applyFont="1" applyFill="1"/>
    <xf numFmtId="0" fontId="0" fillId="0" borderId="0" xfId="0" applyFill="1" applyBorder="1" applyAlignment="1"/>
    <xf numFmtId="0" fontId="5" fillId="0" borderId="0" xfId="0" applyFont="1"/>
    <xf numFmtId="2" fontId="5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0" fontId="5" fillId="0" borderId="0" xfId="0" applyFont="1" applyBorder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/>
    <xf numFmtId="49" fontId="5" fillId="0" borderId="0" xfId="0" applyNumberFormat="1" applyFont="1" applyFill="1" applyAlignment="1">
      <alignment horizontal="center" wrapText="1"/>
    </xf>
    <xf numFmtId="167" fontId="0" fillId="0" borderId="0" xfId="0" applyNumberFormat="1"/>
    <xf numFmtId="167" fontId="0" fillId="0" borderId="0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Border="1"/>
    <xf numFmtId="2" fontId="1" fillId="0" borderId="0" xfId="0" applyNumberFormat="1" applyFont="1" applyBorder="1"/>
    <xf numFmtId="49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0" xfId="0" applyFill="1"/>
    <xf numFmtId="165" fontId="0" fillId="7" borderId="0" xfId="0" applyNumberFormat="1" applyFill="1"/>
    <xf numFmtId="49" fontId="0" fillId="7" borderId="0" xfId="0" applyNumberFormat="1" applyFill="1"/>
    <xf numFmtId="0" fontId="0" fillId="7" borderId="0" xfId="0" applyFill="1"/>
    <xf numFmtId="1" fontId="5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1" fontId="1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left"/>
    </xf>
    <xf numFmtId="1" fontId="10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left"/>
    </xf>
    <xf numFmtId="2" fontId="12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" fontId="12" fillId="0" borderId="0" xfId="0" applyNumberFormat="1" applyFont="1" applyAlignment="1">
      <alignment horizontal="left"/>
    </xf>
    <xf numFmtId="164" fontId="0" fillId="0" borderId="0" xfId="0" applyNumberFormat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4" fillId="3" borderId="0" xfId="1" applyFill="1" applyAlignment="1">
      <alignment horizontal="left"/>
    </xf>
    <xf numFmtId="165" fontId="5" fillId="0" borderId="0" xfId="0" applyNumberFormat="1" applyFont="1" applyFill="1" applyBorder="1" applyAlignment="1">
      <alignment horizontal="left"/>
    </xf>
    <xf numFmtId="167" fontId="5" fillId="0" borderId="0" xfId="0" applyNumberFormat="1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2" borderId="0" xfId="0" applyNumberFormat="1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4" borderId="0" xfId="0" applyNumberFormat="1" applyFill="1" applyBorder="1" applyAlignment="1">
      <alignment horizontal="left"/>
    </xf>
    <xf numFmtId="2" fontId="0" fillId="4" borderId="0" xfId="0" applyNumberFormat="1" applyFill="1" applyBorder="1" applyAlignment="1">
      <alignment horizontal="left"/>
    </xf>
    <xf numFmtId="16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5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166" fontId="0" fillId="8" borderId="0" xfId="0" applyNumberFormat="1" applyFill="1"/>
    <xf numFmtId="165" fontId="0" fillId="8" borderId="0" xfId="0" applyNumberFormat="1" applyFill="1" applyAlignment="1">
      <alignment horizontal="center"/>
    </xf>
    <xf numFmtId="0" fontId="15" fillId="0" borderId="0" xfId="0" applyFont="1"/>
    <xf numFmtId="167" fontId="16" fillId="0" borderId="0" xfId="0" applyNumberFormat="1" applyFont="1" applyFill="1" applyBorder="1" applyAlignment="1">
      <alignment horizontal="left"/>
    </xf>
    <xf numFmtId="167" fontId="1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horizontal="left" vertical="center"/>
    </xf>
    <xf numFmtId="2" fontId="0" fillId="0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Normal_Pre Calculation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C Flux in Three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Flux!$W$21:$Y$21</c:f>
              <c:strCache>
                <c:ptCount val="3"/>
                <c:pt idx="0">
                  <c:v>Forest</c:v>
                </c:pt>
                <c:pt idx="1">
                  <c:v>Lawn</c:v>
                </c:pt>
                <c:pt idx="2">
                  <c:v>Old Field</c:v>
                </c:pt>
              </c:strCache>
            </c:strRef>
          </c:cat>
          <c:val>
            <c:numRef>
              <c:f>Flux!$W$22:$Y$22</c:f>
              <c:numCache>
                <c:formatCode>General</c:formatCode>
                <c:ptCount val="3"/>
                <c:pt idx="0">
                  <c:v>15.47</c:v>
                </c:pt>
                <c:pt idx="1">
                  <c:v>17.46</c:v>
                </c:pt>
                <c:pt idx="2" formatCode="0.00000000">
                  <c:v>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356696"/>
        <c:axId val="560351208"/>
      </c:barChart>
      <c:catAx>
        <c:axId val="56035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Ecosystem</a:t>
                </a:r>
                <a:r>
                  <a:rPr lang="en-US" baseline="0"/>
                  <a:t> Type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1208"/>
        <c:crosses val="autoZero"/>
        <c:auto val="1"/>
        <c:lblAlgn val="ctr"/>
        <c:lblOffset val="100"/>
        <c:noMultiLvlLbl val="0"/>
      </c:catAx>
      <c:valAx>
        <c:axId val="5603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Sooil</a:t>
                </a:r>
                <a:r>
                  <a:rPr lang="en-US" baseline="0"/>
                  <a:t> C Average MgC/ha/yr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ABG</a:t>
            </a:r>
            <a:r>
              <a:rPr lang="en-US" baseline="0"/>
              <a:t> in Three Environments</a:t>
            </a:r>
            <a:endParaRPr lang="en-US"/>
          </a:p>
        </c:rich>
      </c:tx>
      <c:layout>
        <c:manualLayout>
          <c:xMode val="edge"/>
          <c:yMode val="edge"/>
          <c:x val="0.29488882500573599"/>
          <c:y val="3.376341468014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Biomass!$B$34:$B$36</c:f>
              <c:strCache>
                <c:ptCount val="3"/>
                <c:pt idx="0">
                  <c:v>Forest</c:v>
                </c:pt>
                <c:pt idx="1">
                  <c:v>Lawn</c:v>
                </c:pt>
                <c:pt idx="2">
                  <c:v>Old Field</c:v>
                </c:pt>
              </c:strCache>
            </c:strRef>
          </c:cat>
          <c:val>
            <c:numRef>
              <c:f>Biomass!$C$34:$C$36</c:f>
              <c:numCache>
                <c:formatCode>General</c:formatCode>
                <c:ptCount val="3"/>
                <c:pt idx="0">
                  <c:v>6.58</c:v>
                </c:pt>
                <c:pt idx="1">
                  <c:v>1.21</c:v>
                </c:pt>
                <c:pt idx="2">
                  <c:v>3.91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522072"/>
        <c:axId val="570519720"/>
      </c:barChart>
      <c:catAx>
        <c:axId val="57052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Ecosystem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9720"/>
        <c:crosses val="autoZero"/>
        <c:auto val="1"/>
        <c:lblAlgn val="ctr"/>
        <c:lblOffset val="100"/>
        <c:noMultiLvlLbl val="0"/>
      </c:catAx>
      <c:valAx>
        <c:axId val="5705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ABG</a:t>
                </a:r>
                <a:r>
                  <a:rPr lang="en-US" baseline="0"/>
                  <a:t> Average MgC/ha/yr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2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5</xdr:row>
      <xdr:rowOff>109536</xdr:rowOff>
    </xdr:from>
    <xdr:to>
      <xdr:col>30</xdr:col>
      <xdr:colOff>104775</xdr:colOff>
      <xdr:row>19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135546</xdr:colOff>
      <xdr:row>38</xdr:row>
      <xdr:rowOff>139211</xdr:rowOff>
    </xdr:from>
    <xdr:to>
      <xdr:col>5</xdr:col>
      <xdr:colOff>190501</xdr:colOff>
      <xdr:row>59</xdr:row>
      <xdr:rowOff>153865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T7" zoomScaleNormal="100" workbookViewId="0">
      <selection activeCell="U21" sqref="U21"/>
    </sheetView>
  </sheetViews>
  <sheetFormatPr defaultColWidth="8.85546875" defaultRowHeight="12.75"/>
  <cols>
    <col min="1" max="1" width="11" style="43" bestFit="1" customWidth="1"/>
    <col min="2" max="2" width="11" style="43" customWidth="1"/>
    <col min="3" max="3" width="10.140625" style="43" bestFit="1" customWidth="1"/>
    <col min="4" max="6" width="9.42578125" style="44" bestFit="1" customWidth="1"/>
    <col min="7" max="8" width="8" style="43" customWidth="1"/>
    <col min="9" max="9" width="21.28515625" style="45" customWidth="1"/>
    <col min="10" max="10" width="27.140625" style="71" customWidth="1"/>
    <col min="11" max="11" width="11.42578125" style="71" customWidth="1"/>
    <col min="12" max="12" width="18.42578125" style="45" customWidth="1"/>
    <col min="13" max="13" width="14.7109375" style="45" customWidth="1"/>
    <col min="14" max="14" width="15.85546875" style="45" customWidth="1"/>
    <col min="15" max="15" width="25.7109375" style="45" customWidth="1"/>
    <col min="16" max="16" width="19.42578125" style="45" customWidth="1"/>
    <col min="17" max="17" width="15.42578125" style="45" customWidth="1"/>
    <col min="18" max="18" width="11.7109375" style="45" customWidth="1"/>
    <col min="19" max="19" width="16" style="45" customWidth="1"/>
    <col min="20" max="20" width="17.28515625" style="45" customWidth="1"/>
    <col min="21" max="21" width="20" style="45" customWidth="1"/>
    <col min="22" max="22" width="16.42578125" style="45" bestFit="1" customWidth="1"/>
    <col min="23" max="23" width="12.42578125" style="45" bestFit="1" customWidth="1"/>
    <col min="24" max="24" width="11.5703125" style="45" bestFit="1" customWidth="1"/>
    <col min="25" max="26" width="11.5703125" style="1" bestFit="1" customWidth="1"/>
    <col min="27" max="16384" width="8.85546875" style="1"/>
  </cols>
  <sheetData>
    <row r="1" spans="1:25" ht="18" customHeight="1">
      <c r="A1" s="42" t="s">
        <v>71</v>
      </c>
      <c r="B1" s="42"/>
      <c r="J1" s="46" t="s">
        <v>3</v>
      </c>
      <c r="K1" s="46" t="s">
        <v>61</v>
      </c>
      <c r="L1" s="47" t="s">
        <v>4</v>
      </c>
      <c r="M1" s="47" t="s">
        <v>5</v>
      </c>
      <c r="N1" s="47" t="s">
        <v>66</v>
      </c>
      <c r="O1" s="47"/>
    </row>
    <row r="2" spans="1:25" s="14" customFormat="1" ht="18" customHeight="1">
      <c r="A2" s="42" t="s">
        <v>34</v>
      </c>
      <c r="B2" s="42">
        <v>0</v>
      </c>
      <c r="C2" s="48">
        <v>20</v>
      </c>
      <c r="D2" s="48">
        <v>40</v>
      </c>
      <c r="E2" s="48">
        <v>60</v>
      </c>
      <c r="F2" s="48">
        <v>80</v>
      </c>
      <c r="G2" s="48">
        <v>100</v>
      </c>
      <c r="H2" s="48">
        <v>120</v>
      </c>
      <c r="I2" s="47" t="s">
        <v>33</v>
      </c>
      <c r="J2" s="46" t="s">
        <v>63</v>
      </c>
      <c r="K2" s="46"/>
      <c r="L2" s="47" t="s">
        <v>62</v>
      </c>
      <c r="M2" s="47" t="s">
        <v>64</v>
      </c>
      <c r="N2" s="47" t="s">
        <v>103</v>
      </c>
      <c r="O2" s="47" t="s">
        <v>104</v>
      </c>
      <c r="P2" s="47" t="s">
        <v>79</v>
      </c>
      <c r="Q2" s="47" t="s">
        <v>83</v>
      </c>
      <c r="R2" s="47" t="s">
        <v>84</v>
      </c>
      <c r="S2" s="47" t="s">
        <v>80</v>
      </c>
      <c r="T2" s="47" t="s">
        <v>81</v>
      </c>
      <c r="U2" s="47" t="s">
        <v>82</v>
      </c>
      <c r="V2" s="47" t="s">
        <v>85</v>
      </c>
      <c r="W2" s="47"/>
      <c r="X2" s="47"/>
    </row>
    <row r="3" spans="1:25" ht="18" customHeight="1">
      <c r="A3" s="49" t="s">
        <v>19</v>
      </c>
      <c r="B3" s="50">
        <v>404</v>
      </c>
      <c r="C3" s="51">
        <v>414</v>
      </c>
      <c r="D3" s="51">
        <v>447</v>
      </c>
      <c r="E3" s="51">
        <v>470.7</v>
      </c>
      <c r="F3" s="51">
        <v>484.4</v>
      </c>
      <c r="G3" s="51">
        <v>502</v>
      </c>
      <c r="H3" s="51">
        <v>519.5</v>
      </c>
      <c r="I3" s="43" t="s">
        <v>41</v>
      </c>
      <c r="J3" s="52">
        <f>SLOPE(B3:H3, B$2:H$2)</f>
        <v>0.99982142857142853</v>
      </c>
      <c r="K3" s="52"/>
      <c r="L3" s="93">
        <v>0.28000000000000003</v>
      </c>
      <c r="M3" s="71">
        <f>J3*L3</f>
        <v>0.27995000000000003</v>
      </c>
      <c r="N3" s="71">
        <f>M3/0.0551</f>
        <v>5.0807622504537209</v>
      </c>
      <c r="O3" s="52">
        <f>N3*10000</f>
        <v>50807.622504537212</v>
      </c>
      <c r="P3" s="52">
        <f>O3/(10^6)</f>
        <v>5.0807622504537214E-2</v>
      </c>
      <c r="Q3" s="52">
        <f>P3*12000</f>
        <v>609.69147005444654</v>
      </c>
      <c r="R3" s="53">
        <f>(Q3/1000)*60*60*24</f>
        <v>52677.343012704187</v>
      </c>
      <c r="S3" s="53">
        <f>(R3/1000)*365</f>
        <v>19227.230199637026</v>
      </c>
      <c r="T3" s="53">
        <f>S3/1000</f>
        <v>19.227230199637027</v>
      </c>
      <c r="U3" s="99">
        <f>AVERAGE(T3:T7)</f>
        <v>15.471069386569871</v>
      </c>
      <c r="V3" s="99">
        <f>_xlfn.STDEV.S(T3:T7)/SQRT(5)</f>
        <v>1.2081153706869969</v>
      </c>
      <c r="X3" s="54"/>
      <c r="Y3" s="22"/>
    </row>
    <row r="4" spans="1:25" ht="18" customHeight="1">
      <c r="A4" s="49" t="s">
        <v>18</v>
      </c>
      <c r="B4" s="50">
        <v>404.3</v>
      </c>
      <c r="C4" s="51">
        <v>409.8</v>
      </c>
      <c r="D4" s="51">
        <v>428.2</v>
      </c>
      <c r="E4" s="51">
        <v>437.3</v>
      </c>
      <c r="F4" s="51">
        <v>462.8</v>
      </c>
      <c r="G4" s="51">
        <v>488.1</v>
      </c>
      <c r="H4" s="51">
        <v>504.6</v>
      </c>
      <c r="I4" s="43" t="s">
        <v>42</v>
      </c>
      <c r="J4" s="52">
        <f t="shared" ref="J4:J7" si="0">SLOPE(B4:H4, B$2:H$2)</f>
        <v>0.87875000000000003</v>
      </c>
      <c r="K4" s="52"/>
      <c r="L4" s="93">
        <v>0.28000000000000003</v>
      </c>
      <c r="M4" s="71">
        <f t="shared" ref="M4:M7" si="1">J4*L4</f>
        <v>0.24605000000000002</v>
      </c>
      <c r="N4" s="71">
        <f t="shared" ref="N4:N7" si="2">M4/0.0551</f>
        <v>4.4655172413793105</v>
      </c>
      <c r="O4" s="52">
        <f t="shared" ref="O4:O19" si="3">N4*10000</f>
        <v>44655.172413793101</v>
      </c>
      <c r="P4" s="52">
        <f t="shared" ref="P4:P19" si="4">O4/(10^6)</f>
        <v>4.4655172413793104E-2</v>
      </c>
      <c r="Q4" s="52">
        <f t="shared" ref="Q4:Q19" si="5">P4*12000</f>
        <v>535.86206896551721</v>
      </c>
      <c r="R4" s="53">
        <f t="shared" ref="R4:R19" si="6">(Q4/1000)*60*60*24</f>
        <v>46298.482758620688</v>
      </c>
      <c r="S4" s="53">
        <f t="shared" ref="S4:S19" si="7">(R4/1000)*365</f>
        <v>16898.946206896551</v>
      </c>
      <c r="T4" s="53">
        <f t="shared" ref="T4:T7" si="8">S4/1000</f>
        <v>16.89894620689655</v>
      </c>
      <c r="U4" s="99"/>
      <c r="V4" s="99"/>
      <c r="W4" s="54"/>
      <c r="X4" s="54"/>
      <c r="Y4" s="22"/>
    </row>
    <row r="5" spans="1:25" ht="18" customHeight="1">
      <c r="A5" s="49" t="s">
        <v>20</v>
      </c>
      <c r="B5" s="50">
        <v>404</v>
      </c>
      <c r="C5" s="51">
        <v>419.9</v>
      </c>
      <c r="D5" s="51">
        <v>431.6</v>
      </c>
      <c r="E5" s="51">
        <v>443.4</v>
      </c>
      <c r="F5" s="51">
        <v>464.8</v>
      </c>
      <c r="G5" s="51">
        <v>482.4</v>
      </c>
      <c r="H5" s="51">
        <v>496.1</v>
      </c>
      <c r="I5" s="43" t="s">
        <v>43</v>
      </c>
      <c r="J5" s="52">
        <f t="shared" si="0"/>
        <v>0.77589285714285727</v>
      </c>
      <c r="K5" s="52"/>
      <c r="L5" s="93">
        <v>0.28000000000000003</v>
      </c>
      <c r="M5" s="71">
        <f t="shared" si="1"/>
        <v>0.21725000000000005</v>
      </c>
      <c r="N5" s="71">
        <f t="shared" si="2"/>
        <v>3.9428312159709629</v>
      </c>
      <c r="O5" s="52">
        <f t="shared" si="3"/>
        <v>39428.312159709625</v>
      </c>
      <c r="P5" s="52">
        <f t="shared" si="4"/>
        <v>3.9428312159709628E-2</v>
      </c>
      <c r="Q5" s="52">
        <f t="shared" si="5"/>
        <v>473.13974591651555</v>
      </c>
      <c r="R5" s="53">
        <f t="shared" si="6"/>
        <v>40879.27404718694</v>
      </c>
      <c r="S5" s="53">
        <f t="shared" si="7"/>
        <v>14920.935027223233</v>
      </c>
      <c r="T5" s="53">
        <f t="shared" si="8"/>
        <v>14.920935027223234</v>
      </c>
      <c r="U5" s="99"/>
      <c r="V5" s="99"/>
      <c r="W5" s="55"/>
      <c r="X5" s="55"/>
      <c r="Y5" s="22"/>
    </row>
    <row r="6" spans="1:25" ht="18" customHeight="1">
      <c r="A6" s="49" t="s">
        <v>21</v>
      </c>
      <c r="B6" s="50">
        <v>406.2</v>
      </c>
      <c r="C6" s="51">
        <v>437.5</v>
      </c>
      <c r="D6" s="51">
        <v>453.2</v>
      </c>
      <c r="E6" s="51">
        <v>468.7</v>
      </c>
      <c r="F6" s="51">
        <v>482.4</v>
      </c>
      <c r="G6" s="51">
        <v>488.3</v>
      </c>
      <c r="H6" s="51">
        <v>500</v>
      </c>
      <c r="I6" s="43" t="s">
        <v>44</v>
      </c>
      <c r="J6" s="52">
        <f t="shared" si="0"/>
        <v>0.7360714285714286</v>
      </c>
      <c r="K6" s="52"/>
      <c r="L6" s="93">
        <v>0.28000000000000003</v>
      </c>
      <c r="M6" s="71">
        <f t="shared" si="1"/>
        <v>0.20610000000000003</v>
      </c>
      <c r="N6" s="71">
        <f t="shared" si="2"/>
        <v>3.740471869328494</v>
      </c>
      <c r="O6" s="52">
        <f t="shared" si="3"/>
        <v>37404.718693284936</v>
      </c>
      <c r="P6" s="52">
        <f t="shared" si="4"/>
        <v>3.7404718693284933E-2</v>
      </c>
      <c r="Q6" s="52">
        <f t="shared" si="5"/>
        <v>448.85662431941921</v>
      </c>
      <c r="R6" s="53">
        <f t="shared" si="6"/>
        <v>38781.212341197817</v>
      </c>
      <c r="S6" s="53">
        <f t="shared" si="7"/>
        <v>14155.142504537202</v>
      </c>
      <c r="T6" s="53">
        <f t="shared" si="8"/>
        <v>14.155142504537201</v>
      </c>
      <c r="U6" s="99"/>
      <c r="V6" s="99"/>
      <c r="W6" s="54"/>
      <c r="X6" s="56"/>
      <c r="Y6" s="22"/>
    </row>
    <row r="7" spans="1:25" ht="18" customHeight="1">
      <c r="A7" s="49" t="s">
        <v>22</v>
      </c>
      <c r="B7" s="50">
        <v>392.6</v>
      </c>
      <c r="C7" s="51">
        <v>402.3</v>
      </c>
      <c r="D7" s="51">
        <v>412.1</v>
      </c>
      <c r="E7" s="51">
        <v>423.8</v>
      </c>
      <c r="F7" s="51">
        <v>441.4</v>
      </c>
      <c r="G7" s="51">
        <v>451.2</v>
      </c>
      <c r="H7" s="51">
        <v>468.2</v>
      </c>
      <c r="I7" s="43" t="s">
        <v>45</v>
      </c>
      <c r="J7" s="52">
        <f t="shared" si="0"/>
        <v>0.63196428571428542</v>
      </c>
      <c r="K7" s="52"/>
      <c r="L7" s="93">
        <v>0.28000000000000003</v>
      </c>
      <c r="M7" s="71">
        <f t="shared" si="1"/>
        <v>0.17694999999999994</v>
      </c>
      <c r="N7" s="71">
        <f t="shared" si="2"/>
        <v>3.2114337568058064</v>
      </c>
      <c r="O7" s="52">
        <f t="shared" si="3"/>
        <v>32114.337568058065</v>
      </c>
      <c r="P7" s="52">
        <f t="shared" si="4"/>
        <v>3.2114337568058066E-2</v>
      </c>
      <c r="Q7" s="52">
        <f t="shared" si="5"/>
        <v>385.3720508166968</v>
      </c>
      <c r="R7" s="53">
        <f t="shared" si="6"/>
        <v>33296.145190562602</v>
      </c>
      <c r="S7" s="53">
        <f t="shared" si="7"/>
        <v>12153.092994555351</v>
      </c>
      <c r="T7" s="53">
        <f t="shared" si="8"/>
        <v>12.153092994555351</v>
      </c>
      <c r="U7" s="99"/>
      <c r="V7" s="99"/>
      <c r="W7" s="56"/>
      <c r="X7" s="56"/>
      <c r="Y7" s="22"/>
    </row>
    <row r="8" spans="1:25" ht="18" customHeight="1">
      <c r="C8" s="57"/>
      <c r="D8" s="57"/>
      <c r="E8" s="57"/>
      <c r="F8" s="57"/>
      <c r="G8" s="57"/>
      <c r="H8" s="57"/>
      <c r="J8" s="52"/>
      <c r="K8" s="52"/>
      <c r="L8" s="52"/>
      <c r="M8" s="52"/>
      <c r="N8" s="52"/>
      <c r="O8" s="52"/>
      <c r="P8" s="52"/>
      <c r="Q8" s="52"/>
      <c r="R8" s="53"/>
      <c r="S8" s="53"/>
      <c r="T8" s="53"/>
      <c r="U8" s="57"/>
      <c r="V8" s="100"/>
      <c r="W8" s="56"/>
      <c r="X8" s="56"/>
      <c r="Y8" s="22"/>
    </row>
    <row r="9" spans="1:25" ht="18" customHeight="1">
      <c r="A9" s="58" t="s">
        <v>23</v>
      </c>
      <c r="B9" s="59">
        <v>390.4</v>
      </c>
      <c r="C9" s="60">
        <v>396.5</v>
      </c>
      <c r="D9" s="60">
        <v>423.8</v>
      </c>
      <c r="E9" s="60">
        <v>455.1</v>
      </c>
      <c r="F9" s="60">
        <v>466.8</v>
      </c>
      <c r="G9" s="60">
        <v>500</v>
      </c>
      <c r="H9" s="60">
        <v>533</v>
      </c>
      <c r="I9" s="43" t="s">
        <v>46</v>
      </c>
      <c r="J9" s="52">
        <f>SLOPE(B9:H9, B$2:H$2)</f>
        <v>1.2103571428571429</v>
      </c>
      <c r="K9" s="52"/>
      <c r="L9" s="93">
        <v>0.28000000000000003</v>
      </c>
      <c r="M9" s="71">
        <f>J9*L9</f>
        <v>0.33890000000000003</v>
      </c>
      <c r="N9" s="71">
        <f>M9/0.0551</f>
        <v>6.1506352087114342</v>
      </c>
      <c r="O9" s="52">
        <f t="shared" si="3"/>
        <v>61506.352087114341</v>
      </c>
      <c r="P9" s="52">
        <f t="shared" si="4"/>
        <v>6.1506352087114344E-2</v>
      </c>
      <c r="Q9" s="52">
        <f t="shared" si="5"/>
        <v>738.0762250453721</v>
      </c>
      <c r="R9" s="53">
        <f t="shared" si="6"/>
        <v>63769.785843920152</v>
      </c>
      <c r="S9" s="53">
        <f t="shared" si="7"/>
        <v>23275.971833030857</v>
      </c>
      <c r="T9" s="53">
        <f>S9/1000</f>
        <v>23.275971833030859</v>
      </c>
      <c r="U9" s="99">
        <f>AVERAGE(T9:T13)</f>
        <v>17.457322279491834</v>
      </c>
      <c r="V9" s="99">
        <f>_xlfn.STDEV.S(T9:T13)/SQRT(5)</f>
        <v>2.6653676630409846</v>
      </c>
      <c r="W9" s="56"/>
      <c r="X9" s="56"/>
      <c r="Y9" s="22"/>
    </row>
    <row r="10" spans="1:25" ht="18" customHeight="1">
      <c r="A10" s="58" t="s">
        <v>24</v>
      </c>
      <c r="B10" s="43">
        <v>394.5</v>
      </c>
      <c r="C10" s="59">
        <v>398.4</v>
      </c>
      <c r="D10" s="60">
        <v>410.2</v>
      </c>
      <c r="E10" s="60">
        <v>427.7</v>
      </c>
      <c r="F10" s="60">
        <v>443.4</v>
      </c>
      <c r="G10" s="60">
        <v>460</v>
      </c>
      <c r="H10" s="60">
        <v>476.6</v>
      </c>
      <c r="I10" s="43" t="s">
        <v>47</v>
      </c>
      <c r="J10" s="52">
        <f t="shared" ref="J10:J13" si="9">SLOPE(B10:H10, B$2:H$2)</f>
        <v>0.71910714285714306</v>
      </c>
      <c r="K10" s="52"/>
      <c r="L10" s="93">
        <v>0.28000000000000003</v>
      </c>
      <c r="M10" s="71">
        <f t="shared" ref="M10:M13" si="10">J10*L10</f>
        <v>0.20135000000000008</v>
      </c>
      <c r="N10" s="71">
        <f t="shared" ref="N10:N13" si="11">M10/0.0551</f>
        <v>3.6542649727767706</v>
      </c>
      <c r="O10" s="52">
        <f t="shared" si="3"/>
        <v>36542.649727767704</v>
      </c>
      <c r="P10" s="52">
        <f t="shared" si="4"/>
        <v>3.6542649727767704E-2</v>
      </c>
      <c r="Q10" s="52">
        <f t="shared" si="5"/>
        <v>438.51179673321246</v>
      </c>
      <c r="R10" s="53">
        <f t="shared" si="6"/>
        <v>37887.419237749556</v>
      </c>
      <c r="S10" s="53">
        <f t="shared" si="7"/>
        <v>13828.908021778587</v>
      </c>
      <c r="T10" s="53">
        <f t="shared" ref="T10:T13" si="12">S10/1000</f>
        <v>13.828908021778586</v>
      </c>
      <c r="U10" s="99"/>
      <c r="V10" s="99"/>
      <c r="W10" s="56"/>
      <c r="X10" s="56"/>
      <c r="Y10" s="22"/>
    </row>
    <row r="11" spans="1:25" ht="18" customHeight="1">
      <c r="A11" s="58" t="s">
        <v>25</v>
      </c>
      <c r="B11" s="59">
        <v>392.6</v>
      </c>
      <c r="C11" s="60">
        <v>396.5</v>
      </c>
      <c r="D11" s="60">
        <v>408.2</v>
      </c>
      <c r="E11" s="60">
        <v>445.3</v>
      </c>
      <c r="F11" s="60">
        <v>466.8</v>
      </c>
      <c r="G11" s="60">
        <v>498</v>
      </c>
      <c r="H11" s="60">
        <v>519.20000000000005</v>
      </c>
      <c r="I11" s="43" t="s">
        <v>50</v>
      </c>
      <c r="J11" s="52">
        <f t="shared" si="9"/>
        <v>1.145357142857143</v>
      </c>
      <c r="K11" s="52"/>
      <c r="L11" s="93">
        <v>0.28000000000000003</v>
      </c>
      <c r="M11" s="71">
        <f t="shared" si="10"/>
        <v>0.32070000000000004</v>
      </c>
      <c r="N11" s="71">
        <f t="shared" si="11"/>
        <v>5.8203266787658805</v>
      </c>
      <c r="O11" s="52">
        <f t="shared" si="3"/>
        <v>58203.266787658802</v>
      </c>
      <c r="P11" s="52">
        <f t="shared" si="4"/>
        <v>5.8203266787658803E-2</v>
      </c>
      <c r="Q11" s="52">
        <f t="shared" si="5"/>
        <v>698.43920145190566</v>
      </c>
      <c r="R11" s="53">
        <f t="shared" si="6"/>
        <v>60345.14700544464</v>
      </c>
      <c r="S11" s="53">
        <f t="shared" si="7"/>
        <v>22025.978656987292</v>
      </c>
      <c r="T11" s="53">
        <f t="shared" si="12"/>
        <v>22.025978656987292</v>
      </c>
      <c r="U11" s="99"/>
      <c r="V11" s="99"/>
      <c r="W11" s="56"/>
      <c r="X11" s="56"/>
      <c r="Y11" s="22"/>
    </row>
    <row r="12" spans="1:25" ht="18" customHeight="1">
      <c r="A12" s="58" t="s">
        <v>26</v>
      </c>
      <c r="B12" s="59">
        <v>390.6</v>
      </c>
      <c r="C12" s="60">
        <v>394.2</v>
      </c>
      <c r="D12" s="60">
        <v>406.3</v>
      </c>
      <c r="E12" s="60">
        <v>414.1</v>
      </c>
      <c r="F12" s="60">
        <v>423.8</v>
      </c>
      <c r="G12" s="60">
        <v>431.6</v>
      </c>
      <c r="H12" s="60">
        <v>447.3</v>
      </c>
      <c r="I12" s="43" t="s">
        <v>48</v>
      </c>
      <c r="J12" s="52">
        <f t="shared" si="9"/>
        <v>0.46857142857142864</v>
      </c>
      <c r="K12" s="52"/>
      <c r="L12" s="93">
        <v>0.28000000000000003</v>
      </c>
      <c r="M12" s="71">
        <f t="shared" si="10"/>
        <v>0.13120000000000004</v>
      </c>
      <c r="N12" s="71">
        <f t="shared" si="11"/>
        <v>2.3811252268602545</v>
      </c>
      <c r="O12" s="52">
        <f t="shared" si="3"/>
        <v>23811.252268602544</v>
      </c>
      <c r="P12" s="52">
        <f t="shared" si="4"/>
        <v>2.3811252268602544E-2</v>
      </c>
      <c r="Q12" s="52">
        <f t="shared" si="5"/>
        <v>285.73502722323053</v>
      </c>
      <c r="R12" s="53">
        <f t="shared" si="6"/>
        <v>24687.506352087119</v>
      </c>
      <c r="S12" s="53">
        <f t="shared" si="7"/>
        <v>9010.9398185117989</v>
      </c>
      <c r="T12" s="53">
        <f t="shared" si="12"/>
        <v>9.0109398185117993</v>
      </c>
      <c r="U12" s="99"/>
      <c r="V12" s="99"/>
      <c r="W12" s="61"/>
      <c r="X12" s="56"/>
      <c r="Y12" s="22"/>
    </row>
    <row r="13" spans="1:25" ht="18" customHeight="1">
      <c r="A13" s="58" t="s">
        <v>27</v>
      </c>
      <c r="B13" s="59">
        <v>392.6</v>
      </c>
      <c r="C13" s="60">
        <v>398.4</v>
      </c>
      <c r="D13" s="60">
        <v>408.2</v>
      </c>
      <c r="E13" s="60">
        <v>425.8</v>
      </c>
      <c r="F13" s="60">
        <v>447.3</v>
      </c>
      <c r="G13" s="60">
        <v>492</v>
      </c>
      <c r="H13" s="60">
        <v>503</v>
      </c>
      <c r="I13" s="43" t="s">
        <v>49</v>
      </c>
      <c r="J13" s="52">
        <f t="shared" si="9"/>
        <v>0.9955357142857143</v>
      </c>
      <c r="K13" s="52"/>
      <c r="L13" s="93">
        <v>0.28000000000000003</v>
      </c>
      <c r="M13" s="71">
        <f t="shared" si="10"/>
        <v>0.27875000000000005</v>
      </c>
      <c r="N13" s="71">
        <f t="shared" si="11"/>
        <v>5.0589836660617067</v>
      </c>
      <c r="O13" s="52">
        <f t="shared" si="3"/>
        <v>50589.836660617068</v>
      </c>
      <c r="P13" s="52">
        <f t="shared" si="4"/>
        <v>5.0589836660617067E-2</v>
      </c>
      <c r="Q13" s="52">
        <f t="shared" si="5"/>
        <v>607.0780399274048</v>
      </c>
      <c r="R13" s="53">
        <f t="shared" si="6"/>
        <v>52451.54264972778</v>
      </c>
      <c r="S13" s="53">
        <f t="shared" si="7"/>
        <v>19144.813067150637</v>
      </c>
      <c r="T13" s="53">
        <f t="shared" si="12"/>
        <v>19.144813067150636</v>
      </c>
      <c r="U13" s="99"/>
      <c r="V13" s="99"/>
      <c r="W13" s="56"/>
      <c r="X13" s="56"/>
      <c r="Y13" s="22"/>
    </row>
    <row r="14" spans="1:25" ht="18" customHeight="1">
      <c r="C14" s="57"/>
      <c r="D14" s="57"/>
      <c r="E14" s="57"/>
      <c r="F14" s="57"/>
      <c r="G14" s="57"/>
      <c r="H14" s="57"/>
      <c r="J14" s="52"/>
      <c r="K14" s="52"/>
      <c r="L14" s="52"/>
      <c r="M14" s="52"/>
      <c r="N14" s="71"/>
      <c r="O14" s="52"/>
      <c r="P14" s="52"/>
      <c r="Q14" s="52"/>
      <c r="R14" s="53"/>
      <c r="S14" s="53"/>
      <c r="T14" s="53"/>
      <c r="U14" s="101"/>
      <c r="V14" s="100"/>
      <c r="W14" s="56"/>
      <c r="X14" s="56"/>
      <c r="Y14" s="22"/>
    </row>
    <row r="15" spans="1:25" ht="18" customHeight="1">
      <c r="A15" s="62" t="s">
        <v>28</v>
      </c>
      <c r="B15" s="63">
        <v>394.5</v>
      </c>
      <c r="C15" s="63">
        <v>403</v>
      </c>
      <c r="D15" s="63">
        <v>418</v>
      </c>
      <c r="E15" s="63">
        <v>429.2</v>
      </c>
      <c r="F15" s="63">
        <v>460.9</v>
      </c>
      <c r="G15" s="64">
        <v>478.5</v>
      </c>
      <c r="H15" s="64">
        <v>486.3</v>
      </c>
      <c r="I15" s="43" t="s">
        <v>51</v>
      </c>
      <c r="J15" s="52">
        <f>SLOPE(B15:H15, B$2:H$2)</f>
        <v>0.83803571428571433</v>
      </c>
      <c r="K15" s="52"/>
      <c r="L15" s="93">
        <v>0.28000000000000003</v>
      </c>
      <c r="M15" s="71">
        <f>J15*L15</f>
        <v>0.23465000000000003</v>
      </c>
      <c r="N15" s="71">
        <f>M15/0.0551</f>
        <v>4.2586206896551726</v>
      </c>
      <c r="O15" s="52">
        <f t="shared" si="3"/>
        <v>42586.206896551725</v>
      </c>
      <c r="P15" s="52">
        <f t="shared" si="4"/>
        <v>4.2586206896551723E-2</v>
      </c>
      <c r="Q15" s="52">
        <f t="shared" si="5"/>
        <v>511.0344827586207</v>
      </c>
      <c r="R15" s="53">
        <f t="shared" si="6"/>
        <v>44153.379310344833</v>
      </c>
      <c r="S15" s="53">
        <f t="shared" si="7"/>
        <v>16115.983448275863</v>
      </c>
      <c r="T15" s="53">
        <f t="shared" ref="T4:T19" si="13">S15/1000</f>
        <v>16.115983448275863</v>
      </c>
      <c r="U15" s="99">
        <f>AVERAGE(T15:T19)</f>
        <v>16.496475876588022</v>
      </c>
      <c r="V15" s="99">
        <f>_xlfn.STDEV.S(T15:T19)/SQRT(5)</f>
        <v>1.1990596231040473</v>
      </c>
      <c r="W15" s="65"/>
      <c r="X15" s="65"/>
      <c r="Y15" s="22"/>
    </row>
    <row r="16" spans="1:25" ht="18" customHeight="1">
      <c r="A16" s="62" t="s">
        <v>29</v>
      </c>
      <c r="B16" s="63">
        <v>403</v>
      </c>
      <c r="C16" s="64">
        <v>416</v>
      </c>
      <c r="D16" s="63">
        <v>423.8</v>
      </c>
      <c r="E16" s="63">
        <v>437.5</v>
      </c>
      <c r="F16" s="63">
        <v>464.8</v>
      </c>
      <c r="G16" s="64">
        <v>470.7</v>
      </c>
      <c r="H16" s="64">
        <v>480.5</v>
      </c>
      <c r="I16" s="43" t="s">
        <v>52</v>
      </c>
      <c r="J16" s="52">
        <f t="shared" ref="J16:J19" si="14">SLOPE(B16:H16, B$2:H$2)</f>
        <v>0.68374999999999997</v>
      </c>
      <c r="K16" s="52"/>
      <c r="L16" s="93">
        <v>0.28000000000000003</v>
      </c>
      <c r="M16" s="71">
        <f t="shared" ref="M16:M19" si="15">J16*L16</f>
        <v>0.19145000000000001</v>
      </c>
      <c r="N16" s="71">
        <f t="shared" ref="N16:N19" si="16">M16/0.0551</f>
        <v>3.4745916515426498</v>
      </c>
      <c r="O16" s="52">
        <f t="shared" si="3"/>
        <v>34745.916515426499</v>
      </c>
      <c r="P16" s="52">
        <f t="shared" si="4"/>
        <v>3.4745916515426502E-2</v>
      </c>
      <c r="Q16" s="52">
        <f t="shared" si="5"/>
        <v>416.95099818511801</v>
      </c>
      <c r="R16" s="53">
        <f t="shared" si="6"/>
        <v>36024.566243194196</v>
      </c>
      <c r="S16" s="53">
        <f t="shared" si="7"/>
        <v>13148.966678765881</v>
      </c>
      <c r="T16" s="53">
        <f t="shared" si="13"/>
        <v>13.148966678765881</v>
      </c>
      <c r="U16" s="99"/>
      <c r="V16" s="99"/>
      <c r="W16" s="54"/>
      <c r="X16" s="54"/>
      <c r="Y16" s="22"/>
    </row>
    <row r="17" spans="1:28" ht="18" customHeight="1">
      <c r="A17" s="62" t="s">
        <v>30</v>
      </c>
      <c r="B17" s="63">
        <v>404</v>
      </c>
      <c r="C17" s="64">
        <v>426</v>
      </c>
      <c r="D17" s="63">
        <v>453</v>
      </c>
      <c r="E17" s="63">
        <v>466</v>
      </c>
      <c r="F17" s="63">
        <v>478</v>
      </c>
      <c r="G17" s="64">
        <v>490</v>
      </c>
      <c r="H17" s="64">
        <v>500</v>
      </c>
      <c r="I17" s="43" t="s">
        <v>53</v>
      </c>
      <c r="J17" s="52">
        <f t="shared" si="14"/>
        <v>0.78749999999999998</v>
      </c>
      <c r="K17" s="52"/>
      <c r="L17" s="93">
        <v>0.28000000000000003</v>
      </c>
      <c r="M17" s="71">
        <f t="shared" si="15"/>
        <v>0.2205</v>
      </c>
      <c r="N17" s="71">
        <f t="shared" si="16"/>
        <v>4.0018148820326678</v>
      </c>
      <c r="O17" s="52">
        <f t="shared" si="3"/>
        <v>40018.148820326678</v>
      </c>
      <c r="P17" s="52">
        <f t="shared" si="4"/>
        <v>4.0018148820326678E-2</v>
      </c>
      <c r="Q17" s="52">
        <f t="shared" si="5"/>
        <v>480.21778584392013</v>
      </c>
      <c r="R17" s="53">
        <f t="shared" si="6"/>
        <v>41490.816696914699</v>
      </c>
      <c r="S17" s="53">
        <f t="shared" si="7"/>
        <v>15144.148094373864</v>
      </c>
      <c r="T17" s="53">
        <f t="shared" si="13"/>
        <v>15.144148094373865</v>
      </c>
      <c r="U17" s="99"/>
      <c r="V17" s="99"/>
      <c r="W17" s="54"/>
      <c r="X17" s="54"/>
      <c r="Y17" s="22"/>
    </row>
    <row r="18" spans="1:28" ht="18" customHeight="1">
      <c r="A18" s="62" t="s">
        <v>31</v>
      </c>
      <c r="B18" s="63">
        <v>396.5</v>
      </c>
      <c r="C18" s="63">
        <v>409.3</v>
      </c>
      <c r="D18" s="63">
        <v>419.9</v>
      </c>
      <c r="E18" s="63">
        <v>436.3</v>
      </c>
      <c r="F18" s="63">
        <v>463.6</v>
      </c>
      <c r="G18" s="64">
        <v>488.2</v>
      </c>
      <c r="H18" s="64">
        <v>502.9</v>
      </c>
      <c r="I18" s="43" t="s">
        <v>54</v>
      </c>
      <c r="J18" s="52">
        <f t="shared" si="14"/>
        <v>0.92982142857142835</v>
      </c>
      <c r="K18" s="52"/>
      <c r="L18" s="93">
        <v>0.28000000000000003</v>
      </c>
      <c r="M18" s="71">
        <f t="shared" si="15"/>
        <v>0.26034999999999997</v>
      </c>
      <c r="N18" s="71">
        <f t="shared" si="16"/>
        <v>4.7250453720508157</v>
      </c>
      <c r="O18" s="52">
        <f t="shared" si="3"/>
        <v>47250.453720508158</v>
      </c>
      <c r="P18" s="52">
        <f t="shared" si="4"/>
        <v>4.7250453720508158E-2</v>
      </c>
      <c r="Q18" s="52">
        <f t="shared" si="5"/>
        <v>567.00544464609789</v>
      </c>
      <c r="R18" s="53">
        <f t="shared" si="6"/>
        <v>48989.270417422864</v>
      </c>
      <c r="S18" s="53">
        <f t="shared" si="7"/>
        <v>17881.083702359345</v>
      </c>
      <c r="T18" s="53">
        <f t="shared" si="13"/>
        <v>17.881083702359344</v>
      </c>
      <c r="U18" s="99"/>
      <c r="V18" s="99"/>
      <c r="W18" s="55"/>
      <c r="X18" s="55"/>
      <c r="Y18" s="22"/>
    </row>
    <row r="19" spans="1:28" ht="18" customHeight="1">
      <c r="A19" s="62" t="s">
        <v>32</v>
      </c>
      <c r="B19" s="63">
        <v>398</v>
      </c>
      <c r="C19" s="64">
        <v>402</v>
      </c>
      <c r="D19" s="63">
        <v>431</v>
      </c>
      <c r="E19" s="63">
        <v>445</v>
      </c>
      <c r="F19" s="63">
        <v>470</v>
      </c>
      <c r="G19" s="64">
        <v>498</v>
      </c>
      <c r="H19" s="64">
        <v>517</v>
      </c>
      <c r="I19" s="43" t="s">
        <v>55</v>
      </c>
      <c r="J19" s="52">
        <f t="shared" si="14"/>
        <v>1.05</v>
      </c>
      <c r="K19" s="52"/>
      <c r="L19" s="93">
        <v>0.28000000000000003</v>
      </c>
      <c r="M19" s="71">
        <f t="shared" si="15"/>
        <v>0.29400000000000004</v>
      </c>
      <c r="N19" s="71">
        <f t="shared" si="16"/>
        <v>5.3357531760435579</v>
      </c>
      <c r="O19" s="52">
        <f t="shared" si="3"/>
        <v>53357.531760435581</v>
      </c>
      <c r="P19" s="52">
        <f t="shared" si="4"/>
        <v>5.3357531760435582E-2</v>
      </c>
      <c r="Q19" s="52">
        <f t="shared" si="5"/>
        <v>640.29038112522699</v>
      </c>
      <c r="R19" s="53">
        <f t="shared" si="6"/>
        <v>55321.088929219601</v>
      </c>
      <c r="S19" s="53">
        <f t="shared" si="7"/>
        <v>20192.197459165152</v>
      </c>
      <c r="T19" s="53">
        <f t="shared" si="13"/>
        <v>20.192197459165154</v>
      </c>
      <c r="U19" s="99"/>
      <c r="V19" s="99"/>
      <c r="W19" s="56"/>
      <c r="X19" s="56"/>
      <c r="Y19" s="22"/>
    </row>
    <row r="20" spans="1:28" ht="18" customHeight="1">
      <c r="C20" s="57"/>
      <c r="D20" s="43"/>
      <c r="E20" s="43"/>
      <c r="F20" s="43"/>
      <c r="G20" s="57"/>
      <c r="H20" s="57"/>
      <c r="J20" s="52"/>
      <c r="K20" s="52"/>
      <c r="L20" s="52"/>
      <c r="M20" s="52"/>
      <c r="N20" s="52"/>
      <c r="P20" s="52"/>
      <c r="Q20" s="52"/>
      <c r="R20" s="52"/>
      <c r="S20" s="52"/>
      <c r="T20" s="52"/>
      <c r="V20" s="56"/>
      <c r="W20" s="56"/>
      <c r="X20" s="56"/>
      <c r="Y20" s="22"/>
    </row>
    <row r="21" spans="1:28" ht="18" customHeight="1">
      <c r="A21" s="66"/>
      <c r="B21" s="67"/>
      <c r="C21" s="67"/>
      <c r="D21" s="67"/>
      <c r="E21" s="67"/>
      <c r="F21" s="67"/>
      <c r="G21" s="68"/>
      <c r="H21" s="68"/>
      <c r="I21" s="43"/>
      <c r="J21" s="52"/>
      <c r="K21" s="52"/>
      <c r="L21" s="52"/>
      <c r="M21" s="52"/>
      <c r="N21" s="52"/>
      <c r="P21" s="52"/>
      <c r="Q21" s="52"/>
      <c r="R21" s="52"/>
      <c r="S21" s="69"/>
      <c r="T21" s="69"/>
      <c r="V21" s="56"/>
      <c r="W21" s="56" t="s">
        <v>68</v>
      </c>
      <c r="X21" s="56" t="s">
        <v>69</v>
      </c>
      <c r="Y21" s="22" t="s">
        <v>86</v>
      </c>
    </row>
    <row r="22" spans="1:28" ht="18" customHeight="1">
      <c r="A22" s="66"/>
      <c r="B22" s="67"/>
      <c r="C22" s="67"/>
      <c r="D22" s="67"/>
      <c r="E22" s="67"/>
      <c r="F22" s="67"/>
      <c r="G22" s="68"/>
      <c r="H22" s="68"/>
      <c r="I22" s="43"/>
      <c r="J22" s="52"/>
      <c r="K22" s="52"/>
      <c r="L22" s="52"/>
      <c r="M22" s="52"/>
      <c r="N22" s="52"/>
      <c r="P22" s="52"/>
      <c r="Q22" s="52"/>
      <c r="R22" s="52"/>
      <c r="S22" s="52"/>
      <c r="T22" s="52"/>
      <c r="V22" s="56"/>
      <c r="W22" s="56">
        <v>15.47</v>
      </c>
      <c r="X22" s="56">
        <v>17.46</v>
      </c>
      <c r="Y22" s="22">
        <v>16.5</v>
      </c>
    </row>
    <row r="23" spans="1:28" ht="18" customHeight="1">
      <c r="A23" s="66"/>
      <c r="B23" s="67"/>
      <c r="C23" s="67"/>
      <c r="D23" s="67"/>
      <c r="E23" s="67"/>
      <c r="F23" s="67"/>
      <c r="G23" s="68"/>
      <c r="H23" s="68"/>
      <c r="I23" s="43"/>
      <c r="J23" s="52"/>
      <c r="K23" s="52"/>
      <c r="L23" s="52"/>
      <c r="M23" s="52"/>
      <c r="N23" s="52"/>
      <c r="P23" s="52"/>
      <c r="Q23" s="52"/>
      <c r="R23" s="52"/>
      <c r="S23" s="52"/>
      <c r="T23" s="52"/>
      <c r="V23" s="56"/>
      <c r="W23" s="56"/>
      <c r="X23" s="56"/>
      <c r="Y23" s="22"/>
    </row>
    <row r="24" spans="1:28" ht="18" customHeight="1">
      <c r="A24" s="70" t="s">
        <v>2</v>
      </c>
      <c r="B24" s="42"/>
      <c r="C24" s="70" t="s">
        <v>65</v>
      </c>
      <c r="D24" s="70" t="s">
        <v>7</v>
      </c>
      <c r="E24" s="70" t="s">
        <v>8</v>
      </c>
      <c r="F24" s="70" t="s">
        <v>35</v>
      </c>
      <c r="M24" s="72" t="s">
        <v>12</v>
      </c>
      <c r="N24" s="72"/>
      <c r="O24" s="72"/>
      <c r="P24" s="52"/>
      <c r="Q24" s="52"/>
      <c r="S24" s="52"/>
      <c r="T24" s="52"/>
      <c r="V24" s="56"/>
      <c r="W24" s="56"/>
      <c r="X24" s="56"/>
      <c r="Y24" s="22"/>
    </row>
    <row r="25" spans="1:28" ht="18" customHeight="1">
      <c r="A25" s="73">
        <v>10</v>
      </c>
      <c r="B25" s="42"/>
      <c r="C25" s="74">
        <f>((26.5/2)^2*3.14)/10000</f>
        <v>5.5126624999999999E-2</v>
      </c>
      <c r="D25" s="73">
        <v>296.5</v>
      </c>
      <c r="E25" s="73">
        <v>101.1</v>
      </c>
      <c r="F25" s="75">
        <v>8.3140000000000001</v>
      </c>
      <c r="M25" s="76" t="s">
        <v>13</v>
      </c>
      <c r="N25" s="76"/>
      <c r="O25" s="76"/>
      <c r="P25" s="52"/>
      <c r="Q25" s="95" t="s">
        <v>101</v>
      </c>
      <c r="R25" s="52"/>
      <c r="S25" s="52"/>
      <c r="T25" s="52"/>
      <c r="V25" s="94" t="s">
        <v>87</v>
      </c>
      <c r="W25" s="56"/>
      <c r="X25" s="56"/>
      <c r="Y25" s="22"/>
    </row>
    <row r="26" spans="1:28" ht="18" customHeight="1">
      <c r="C26" s="57"/>
      <c r="D26" s="77"/>
      <c r="E26" s="77"/>
      <c r="F26" s="77"/>
      <c r="I26" s="77"/>
      <c r="J26" s="44"/>
      <c r="K26" s="44"/>
      <c r="Q26" s="45" t="s">
        <v>68</v>
      </c>
      <c r="R26" s="45" t="s">
        <v>69</v>
      </c>
      <c r="S26" s="45" t="s">
        <v>102</v>
      </c>
      <c r="V26" t="s">
        <v>125</v>
      </c>
      <c r="W26"/>
      <c r="X26"/>
      <c r="Y26"/>
      <c r="Z26"/>
      <c r="AA26"/>
      <c r="AB26"/>
    </row>
    <row r="27" spans="1:28" ht="18" customHeight="1">
      <c r="Q27" s="98">
        <v>19.227230199637027</v>
      </c>
      <c r="R27" s="71">
        <v>23.275971833030859</v>
      </c>
      <c r="S27" s="71">
        <v>16.115983448275863</v>
      </c>
      <c r="V27"/>
      <c r="W27"/>
      <c r="X27"/>
      <c r="Y27"/>
      <c r="Z27"/>
      <c r="AA27"/>
      <c r="AB27"/>
    </row>
    <row r="28" spans="1:28" ht="18" customHeight="1" thickBot="1">
      <c r="Q28" s="98">
        <v>16.89894620689655</v>
      </c>
      <c r="R28" s="71">
        <v>13.828908021778586</v>
      </c>
      <c r="S28" s="71">
        <v>13.148966678765881</v>
      </c>
      <c r="V28" t="s">
        <v>126</v>
      </c>
      <c r="W28"/>
      <c r="X28"/>
      <c r="Y28"/>
      <c r="Z28"/>
      <c r="AA28"/>
      <c r="AB28"/>
    </row>
    <row r="29" spans="1:28" ht="18" customHeight="1">
      <c r="A29" s="44"/>
      <c r="C29" s="44"/>
      <c r="M29" s="78"/>
      <c r="N29" s="78"/>
      <c r="O29" s="78"/>
      <c r="P29" s="79"/>
      <c r="Q29" s="98">
        <v>14.920935027223234</v>
      </c>
      <c r="R29" s="71">
        <v>22.025978656987292</v>
      </c>
      <c r="S29" s="71">
        <v>15.144148094373865</v>
      </c>
      <c r="V29" s="106" t="s">
        <v>111</v>
      </c>
      <c r="W29" s="106" t="s">
        <v>112</v>
      </c>
      <c r="X29" s="106" t="s">
        <v>113</v>
      </c>
      <c r="Y29" s="106" t="s">
        <v>114</v>
      </c>
      <c r="Z29" s="106" t="s">
        <v>115</v>
      </c>
      <c r="AA29"/>
      <c r="AB29"/>
    </row>
    <row r="30" spans="1:28" ht="14.1" customHeight="1">
      <c r="C30" s="57"/>
      <c r="D30" s="77"/>
      <c r="E30" s="77"/>
      <c r="F30" s="77"/>
      <c r="I30" s="77"/>
      <c r="J30" s="44"/>
      <c r="K30" s="44"/>
      <c r="M30" s="78"/>
      <c r="N30" s="78"/>
      <c r="O30" s="78"/>
      <c r="P30" s="78"/>
      <c r="Q30" s="98">
        <v>14.155142504537201</v>
      </c>
      <c r="R30" s="71">
        <v>9.0109398185117993</v>
      </c>
      <c r="S30" s="71">
        <v>17.881083702359344</v>
      </c>
      <c r="V30" s="18" t="s">
        <v>68</v>
      </c>
      <c r="W30" s="18">
        <v>5</v>
      </c>
      <c r="X30" s="18">
        <v>77.355346932849358</v>
      </c>
      <c r="Y30" s="18">
        <v>15.471069386569871</v>
      </c>
      <c r="Z30" s="18">
        <v>7.2977137444509026</v>
      </c>
      <c r="AA30"/>
      <c r="AB30"/>
    </row>
    <row r="31" spans="1:28" ht="14.1" customHeight="1">
      <c r="C31" s="57"/>
      <c r="D31" s="77"/>
      <c r="E31" s="77"/>
      <c r="F31" s="77"/>
      <c r="I31" s="77"/>
      <c r="J31" s="44"/>
      <c r="K31" s="44"/>
      <c r="M31" s="79"/>
      <c r="P31" s="78"/>
      <c r="Q31" s="98">
        <v>12.153092994555351</v>
      </c>
      <c r="R31" s="71">
        <v>19.144813067150636</v>
      </c>
      <c r="S31" s="71">
        <v>20.192197459165154</v>
      </c>
      <c r="V31" s="18" t="s">
        <v>69</v>
      </c>
      <c r="W31" s="18">
        <v>5</v>
      </c>
      <c r="X31" s="18">
        <v>87.286611397459168</v>
      </c>
      <c r="Y31" s="18">
        <v>17.457322279491834</v>
      </c>
      <c r="Z31" s="18">
        <v>35.520923895922806</v>
      </c>
      <c r="AA31"/>
      <c r="AB31"/>
    </row>
    <row r="32" spans="1:28" ht="14.1" customHeight="1" thickBot="1">
      <c r="C32" s="57"/>
      <c r="D32" s="77"/>
      <c r="E32" s="77"/>
      <c r="F32" s="77"/>
      <c r="I32" s="77"/>
      <c r="J32" s="44"/>
      <c r="K32" s="44"/>
      <c r="M32" s="79"/>
      <c r="N32" s="79"/>
      <c r="O32" s="79"/>
      <c r="P32" s="78"/>
      <c r="Q32" s="78"/>
      <c r="R32" s="78"/>
      <c r="V32" s="105" t="s">
        <v>102</v>
      </c>
      <c r="W32" s="105">
        <v>5</v>
      </c>
      <c r="X32" s="105">
        <v>82.48237938294011</v>
      </c>
      <c r="Y32" s="105">
        <v>16.496475876588022</v>
      </c>
      <c r="Z32" s="105">
        <v>7.188719898792101</v>
      </c>
      <c r="AA32"/>
      <c r="AB32"/>
    </row>
    <row r="33" spans="3:28" ht="14.1" customHeight="1">
      <c r="C33" s="57"/>
      <c r="D33" s="77"/>
      <c r="E33" s="77"/>
      <c r="F33" s="77"/>
      <c r="I33" s="77"/>
      <c r="J33" s="44"/>
      <c r="K33" s="44"/>
      <c r="M33" s="79"/>
      <c r="N33" s="79"/>
      <c r="O33" s="79"/>
      <c r="P33" s="78"/>
      <c r="Q33" s="78"/>
      <c r="R33" s="78"/>
      <c r="V33"/>
      <c r="W33"/>
      <c r="X33"/>
      <c r="Y33"/>
      <c r="Z33"/>
      <c r="AA33"/>
      <c r="AB33"/>
    </row>
    <row r="34" spans="3:28" ht="14.1" customHeight="1">
      <c r="I34" s="44"/>
      <c r="J34" s="44"/>
      <c r="K34" s="44"/>
      <c r="M34" s="79"/>
      <c r="N34" s="79"/>
      <c r="O34" s="79"/>
      <c r="P34" s="78"/>
      <c r="Q34" s="78"/>
      <c r="R34" s="78"/>
      <c r="V34"/>
      <c r="W34"/>
      <c r="X34"/>
      <c r="Y34"/>
      <c r="Z34"/>
      <c r="AA34"/>
      <c r="AB34"/>
    </row>
    <row r="35" spans="3:28" ht="13.5" thickBot="1">
      <c r="I35" s="44"/>
      <c r="J35" s="44"/>
      <c r="K35" s="44"/>
      <c r="M35" s="79"/>
      <c r="N35" s="79"/>
      <c r="O35" s="79"/>
      <c r="V35" t="s">
        <v>127</v>
      </c>
      <c r="W35"/>
      <c r="X35"/>
      <c r="Y35"/>
      <c r="Z35"/>
      <c r="AA35"/>
      <c r="AB35"/>
    </row>
    <row r="36" spans="3:28">
      <c r="I36" s="44"/>
      <c r="J36" s="44"/>
      <c r="K36" s="44"/>
      <c r="M36" s="79"/>
      <c r="N36" s="79"/>
      <c r="O36" s="79"/>
      <c r="P36" s="79"/>
      <c r="Q36" s="79"/>
      <c r="R36" s="79"/>
      <c r="V36" s="106" t="s">
        <v>116</v>
      </c>
      <c r="W36" s="106" t="s">
        <v>117</v>
      </c>
      <c r="X36" s="106" t="s">
        <v>118</v>
      </c>
      <c r="Y36" s="106" t="s">
        <v>119</v>
      </c>
      <c r="Z36" s="106" t="s">
        <v>120</v>
      </c>
      <c r="AA36" s="106" t="s">
        <v>95</v>
      </c>
      <c r="AB36" s="106" t="s">
        <v>121</v>
      </c>
    </row>
    <row r="37" spans="3:28">
      <c r="C37" s="57"/>
      <c r="D37" s="78"/>
      <c r="I37" s="44"/>
      <c r="J37" s="44"/>
      <c r="K37" s="44"/>
      <c r="N37" s="79"/>
      <c r="O37" s="79"/>
      <c r="P37" s="79"/>
      <c r="Q37" s="79"/>
      <c r="R37" s="79"/>
      <c r="V37" s="18" t="s">
        <v>122</v>
      </c>
      <c r="W37" s="18">
        <v>9.8664747239756423</v>
      </c>
      <c r="X37" s="18">
        <v>2</v>
      </c>
      <c r="Y37" s="18">
        <v>4.9332373619878211</v>
      </c>
      <c r="Z37" s="18">
        <v>0.29595069234306853</v>
      </c>
      <c r="AA37" s="18">
        <v>0.74909964897024583</v>
      </c>
      <c r="AB37" s="18">
        <v>3.8852938346523942</v>
      </c>
    </row>
    <row r="38" spans="3:28">
      <c r="C38" s="57"/>
      <c r="D38" s="78"/>
      <c r="I38" s="44"/>
      <c r="J38" s="44"/>
      <c r="K38" s="44"/>
      <c r="P38" s="79"/>
      <c r="Q38" s="79"/>
      <c r="R38" s="79"/>
      <c r="V38" s="18" t="s">
        <v>123</v>
      </c>
      <c r="W38" s="18">
        <v>200.02943015666287</v>
      </c>
      <c r="X38" s="18">
        <v>12</v>
      </c>
      <c r="Y38" s="18">
        <v>16.669119179721907</v>
      </c>
      <c r="Z38" s="18"/>
      <c r="AA38" s="18"/>
      <c r="AB38" s="18"/>
    </row>
    <row r="39" spans="3:28">
      <c r="C39" s="57"/>
      <c r="D39" s="78"/>
      <c r="I39" s="44"/>
      <c r="J39" s="44"/>
      <c r="K39" s="44"/>
      <c r="M39" s="78"/>
      <c r="P39" s="79"/>
      <c r="Q39" s="79"/>
      <c r="R39" s="79"/>
      <c r="V39" s="18"/>
      <c r="W39" s="18"/>
      <c r="X39" s="18"/>
      <c r="Y39" s="18"/>
      <c r="Z39" s="18"/>
      <c r="AA39" s="18"/>
      <c r="AB39" s="18"/>
    </row>
    <row r="40" spans="3:28" ht="13.5" thickBot="1">
      <c r="C40" s="57"/>
      <c r="D40" s="78"/>
      <c r="I40" s="44"/>
      <c r="J40" s="44"/>
      <c r="K40" s="44"/>
      <c r="M40" s="78"/>
      <c r="P40" s="79"/>
      <c r="Q40" s="79"/>
      <c r="R40" s="79"/>
      <c r="V40" s="105" t="s">
        <v>124</v>
      </c>
      <c r="W40" s="105">
        <v>209.89590488063851</v>
      </c>
      <c r="X40" s="105">
        <v>14</v>
      </c>
      <c r="Y40" s="105"/>
      <c r="Z40" s="105"/>
      <c r="AA40" s="105"/>
      <c r="AB40" s="105"/>
    </row>
    <row r="41" spans="3:28">
      <c r="C41" s="57"/>
      <c r="D41" s="78"/>
      <c r="I41" s="44"/>
      <c r="J41" s="44"/>
      <c r="K41" s="44"/>
      <c r="M41" s="78"/>
      <c r="P41" s="79"/>
      <c r="Q41" s="79"/>
      <c r="R41" s="79"/>
      <c r="V41" s="1"/>
      <c r="W41" s="1"/>
      <c r="X41" s="1"/>
    </row>
    <row r="42" spans="3:28">
      <c r="C42" s="57"/>
      <c r="D42" s="78"/>
      <c r="I42" s="44"/>
      <c r="J42" s="44"/>
      <c r="K42" s="44"/>
      <c r="M42" s="78"/>
      <c r="V42" s="1"/>
      <c r="W42" s="1"/>
      <c r="X42" s="1"/>
    </row>
    <row r="43" spans="3:28">
      <c r="C43" s="57"/>
      <c r="D43" s="78"/>
      <c r="I43" s="44"/>
      <c r="J43" s="44"/>
      <c r="K43" s="44"/>
      <c r="M43" s="78"/>
    </row>
    <row r="44" spans="3:28">
      <c r="I44" s="44"/>
      <c r="J44" s="44"/>
      <c r="K44" s="44"/>
      <c r="M44" s="78"/>
    </row>
    <row r="45" spans="3:28">
      <c r="I45" s="44"/>
      <c r="J45" s="44"/>
      <c r="K45" s="44"/>
      <c r="M45" s="78"/>
    </row>
    <row r="46" spans="3:28">
      <c r="I46" s="44"/>
      <c r="J46" s="44"/>
      <c r="K46" s="44"/>
      <c r="M46" s="78"/>
    </row>
    <row r="47" spans="3:28">
      <c r="C47" s="57"/>
      <c r="D47" s="78"/>
      <c r="I47" s="44"/>
      <c r="J47" s="44"/>
      <c r="K47" s="44"/>
      <c r="M47" s="78"/>
    </row>
    <row r="48" spans="3:28">
      <c r="C48" s="57"/>
      <c r="D48" s="78"/>
      <c r="I48" s="44"/>
      <c r="J48" s="44"/>
      <c r="K48" s="44"/>
      <c r="M48" s="78"/>
    </row>
    <row r="49" spans="1:13">
      <c r="C49" s="57"/>
      <c r="D49" s="78"/>
      <c r="I49" s="44"/>
      <c r="J49" s="44"/>
      <c r="K49" s="44"/>
      <c r="M49" s="78"/>
    </row>
    <row r="50" spans="1:13">
      <c r="C50" s="57"/>
      <c r="D50" s="78"/>
      <c r="I50" s="44"/>
      <c r="J50" s="44"/>
      <c r="K50" s="44"/>
      <c r="M50" s="78"/>
    </row>
    <row r="51" spans="1:13">
      <c r="C51" s="57"/>
      <c r="D51" s="78"/>
      <c r="I51" s="44"/>
      <c r="J51" s="44"/>
      <c r="K51" s="44"/>
      <c r="M51" s="78"/>
    </row>
    <row r="52" spans="1:13">
      <c r="C52" s="57"/>
      <c r="D52" s="78"/>
      <c r="I52" s="44"/>
      <c r="J52" s="44"/>
      <c r="K52" s="44"/>
      <c r="M52" s="78"/>
    </row>
    <row r="53" spans="1:13">
      <c r="C53" s="57"/>
      <c r="D53" s="78"/>
      <c r="I53" s="44"/>
      <c r="J53" s="44"/>
      <c r="K53" s="44"/>
      <c r="M53" s="78"/>
    </row>
    <row r="54" spans="1:13">
      <c r="I54" s="44"/>
      <c r="J54" s="44"/>
      <c r="K54" s="44"/>
      <c r="M54" s="78"/>
    </row>
    <row r="55" spans="1:13">
      <c r="A55" s="80"/>
      <c r="B55" s="80"/>
      <c r="C55" s="80"/>
      <c r="D55" s="81"/>
      <c r="E55" s="81"/>
      <c r="F55" s="81"/>
      <c r="G55" s="80"/>
      <c r="H55" s="80"/>
      <c r="I55" s="81"/>
      <c r="J55" s="81"/>
      <c r="K55" s="81"/>
      <c r="M55" s="78"/>
    </row>
    <row r="56" spans="1:13">
      <c r="I56" s="44"/>
      <c r="J56" s="44"/>
      <c r="K56" s="44"/>
      <c r="M56" s="78"/>
    </row>
    <row r="57" spans="1:13">
      <c r="I57" s="44"/>
      <c r="J57" s="44"/>
      <c r="K57" s="44"/>
      <c r="M57" s="78"/>
    </row>
    <row r="58" spans="1:13">
      <c r="C58" s="57"/>
      <c r="D58" s="78"/>
      <c r="I58" s="44"/>
      <c r="J58" s="44"/>
      <c r="K58" s="44"/>
      <c r="M58" s="78"/>
    </row>
    <row r="59" spans="1:13">
      <c r="C59" s="57"/>
      <c r="D59" s="78"/>
      <c r="I59" s="44"/>
      <c r="J59" s="44"/>
      <c r="K59" s="44"/>
      <c r="M59" s="78"/>
    </row>
    <row r="60" spans="1:13">
      <c r="C60" s="57"/>
      <c r="D60" s="78"/>
      <c r="I60" s="44"/>
      <c r="J60" s="44"/>
      <c r="K60" s="44"/>
      <c r="M60" s="78"/>
    </row>
    <row r="61" spans="1:13">
      <c r="C61" s="57"/>
      <c r="D61" s="78"/>
      <c r="I61" s="44"/>
      <c r="J61" s="44"/>
      <c r="K61" s="44"/>
      <c r="M61" s="78"/>
    </row>
    <row r="62" spans="1:13">
      <c r="C62" s="57"/>
      <c r="D62" s="78"/>
      <c r="I62" s="44"/>
      <c r="J62" s="44"/>
      <c r="K62" s="44"/>
      <c r="M62" s="78"/>
    </row>
    <row r="63" spans="1:13">
      <c r="C63" s="57"/>
      <c r="D63" s="78"/>
      <c r="I63" s="44"/>
      <c r="J63" s="44"/>
      <c r="K63" s="44"/>
      <c r="M63" s="78"/>
    </row>
    <row r="64" spans="1:13">
      <c r="C64" s="57"/>
      <c r="D64" s="78"/>
      <c r="I64" s="44"/>
      <c r="J64" s="44"/>
      <c r="K64" s="44"/>
      <c r="M64" s="78"/>
    </row>
    <row r="65" spans="3:13">
      <c r="D65" s="71"/>
      <c r="I65" s="44"/>
      <c r="J65" s="44"/>
      <c r="K65" s="44"/>
      <c r="M65" s="78"/>
    </row>
    <row r="66" spans="3:13">
      <c r="D66" s="71"/>
      <c r="I66" s="44"/>
      <c r="J66" s="44"/>
      <c r="K66" s="44"/>
      <c r="M66" s="78"/>
    </row>
    <row r="67" spans="3:13">
      <c r="I67" s="44"/>
      <c r="J67" s="44"/>
      <c r="K67" s="44"/>
      <c r="M67" s="78"/>
    </row>
    <row r="68" spans="3:13">
      <c r="C68" s="57"/>
      <c r="D68" s="78"/>
      <c r="I68" s="44"/>
      <c r="J68" s="44"/>
      <c r="K68" s="44"/>
      <c r="M68" s="78"/>
    </row>
    <row r="69" spans="3:13">
      <c r="C69" s="57"/>
      <c r="D69" s="78"/>
      <c r="I69" s="44"/>
      <c r="J69" s="44"/>
      <c r="K69" s="44"/>
      <c r="M69" s="78"/>
    </row>
    <row r="70" spans="3:13">
      <c r="C70" s="57"/>
      <c r="D70" s="78"/>
      <c r="I70" s="44"/>
      <c r="J70" s="44"/>
      <c r="K70" s="44"/>
      <c r="M70" s="78"/>
    </row>
    <row r="71" spans="3:13">
      <c r="C71" s="57"/>
      <c r="D71" s="78"/>
      <c r="I71" s="44"/>
      <c r="J71" s="44"/>
      <c r="K71" s="44"/>
      <c r="M71" s="78"/>
    </row>
    <row r="72" spans="3:13">
      <c r="C72" s="57"/>
      <c r="D72" s="78"/>
      <c r="I72" s="44"/>
      <c r="J72" s="44"/>
      <c r="K72" s="44"/>
      <c r="M72" s="78"/>
    </row>
    <row r="73" spans="3:13">
      <c r="C73" s="57"/>
      <c r="D73" s="78"/>
      <c r="I73" s="44"/>
      <c r="J73" s="44"/>
      <c r="K73" s="44"/>
      <c r="M73" s="78"/>
    </row>
    <row r="74" spans="3:13">
      <c r="C74" s="57"/>
      <c r="D74" s="78"/>
      <c r="I74" s="44"/>
      <c r="J74" s="44"/>
      <c r="K74" s="44"/>
      <c r="M74" s="78"/>
    </row>
    <row r="75" spans="3:13">
      <c r="D75" s="71"/>
      <c r="I75" s="44"/>
      <c r="J75" s="44"/>
      <c r="K75" s="44"/>
      <c r="M75" s="78"/>
    </row>
    <row r="76" spans="3:13">
      <c r="D76" s="71"/>
      <c r="I76" s="44"/>
      <c r="J76" s="44"/>
      <c r="K76" s="44"/>
      <c r="M76" s="78"/>
    </row>
    <row r="77" spans="3:13">
      <c r="I77" s="44"/>
      <c r="J77" s="44"/>
      <c r="K77" s="44"/>
      <c r="M77" s="78"/>
    </row>
    <row r="78" spans="3:13">
      <c r="C78" s="57"/>
      <c r="D78" s="78"/>
      <c r="I78" s="44"/>
      <c r="J78" s="44"/>
      <c r="K78" s="44"/>
      <c r="M78" s="78"/>
    </row>
    <row r="79" spans="3:13">
      <c r="C79" s="57"/>
      <c r="D79" s="78"/>
      <c r="I79" s="44"/>
      <c r="J79" s="44"/>
      <c r="K79" s="44"/>
      <c r="M79" s="78"/>
    </row>
    <row r="80" spans="3:13">
      <c r="C80" s="57"/>
      <c r="D80" s="78"/>
      <c r="I80" s="44"/>
      <c r="J80" s="44"/>
      <c r="K80" s="44"/>
      <c r="M80" s="78"/>
    </row>
    <row r="81" spans="3:13">
      <c r="C81" s="57"/>
      <c r="D81" s="78"/>
      <c r="I81" s="44"/>
      <c r="J81" s="44"/>
      <c r="K81" s="44"/>
      <c r="M81" s="78"/>
    </row>
    <row r="82" spans="3:13">
      <c r="C82" s="57"/>
      <c r="D82" s="78"/>
      <c r="I82" s="44"/>
      <c r="J82" s="44"/>
      <c r="K82" s="44"/>
      <c r="M82" s="78"/>
    </row>
    <row r="83" spans="3:13">
      <c r="C83" s="57"/>
      <c r="D83" s="78"/>
      <c r="I83" s="44"/>
      <c r="J83" s="44"/>
      <c r="K83" s="44"/>
      <c r="M83" s="78"/>
    </row>
    <row r="84" spans="3:13">
      <c r="C84" s="57"/>
      <c r="D84" s="78"/>
      <c r="I84" s="44"/>
      <c r="J84" s="44"/>
      <c r="K84" s="44"/>
      <c r="M84" s="78"/>
    </row>
    <row r="85" spans="3:13">
      <c r="D85" s="71"/>
      <c r="I85" s="44"/>
      <c r="J85" s="44"/>
      <c r="K85" s="44"/>
      <c r="M85" s="78"/>
    </row>
    <row r="86" spans="3:13">
      <c r="D86" s="71"/>
      <c r="I86" s="44"/>
      <c r="J86" s="44"/>
      <c r="K86" s="44"/>
      <c r="M86" s="78"/>
    </row>
    <row r="87" spans="3:13">
      <c r="I87" s="44"/>
      <c r="J87" s="44"/>
      <c r="K87" s="44"/>
      <c r="M87" s="78"/>
    </row>
    <row r="88" spans="3:13">
      <c r="C88" s="57"/>
      <c r="D88" s="78"/>
      <c r="I88" s="44"/>
      <c r="J88" s="44"/>
      <c r="K88" s="44"/>
      <c r="M88" s="78"/>
    </row>
    <row r="89" spans="3:13">
      <c r="C89" s="57"/>
      <c r="D89" s="78"/>
      <c r="I89" s="44"/>
      <c r="J89" s="44"/>
      <c r="K89" s="44"/>
      <c r="M89" s="78"/>
    </row>
    <row r="90" spans="3:13">
      <c r="C90" s="57"/>
      <c r="D90" s="78"/>
      <c r="I90" s="44"/>
      <c r="J90" s="44"/>
      <c r="K90" s="44"/>
      <c r="M90" s="78"/>
    </row>
    <row r="91" spans="3:13">
      <c r="C91" s="57"/>
      <c r="D91" s="78"/>
      <c r="I91" s="44"/>
      <c r="J91" s="44"/>
      <c r="K91" s="44"/>
      <c r="M91" s="78"/>
    </row>
    <row r="92" spans="3:13">
      <c r="C92" s="57"/>
      <c r="D92" s="78"/>
      <c r="I92" s="44"/>
      <c r="J92" s="44"/>
      <c r="K92" s="44"/>
      <c r="M92" s="78"/>
    </row>
    <row r="93" spans="3:13">
      <c r="C93" s="57"/>
      <c r="D93" s="78"/>
      <c r="I93" s="44"/>
      <c r="J93" s="44"/>
      <c r="K93" s="44"/>
      <c r="M93" s="78"/>
    </row>
    <row r="94" spans="3:13">
      <c r="C94" s="57"/>
      <c r="D94" s="78"/>
      <c r="I94" s="44"/>
      <c r="J94" s="44"/>
      <c r="K94" s="44"/>
      <c r="M94" s="78"/>
    </row>
    <row r="95" spans="3:13">
      <c r="D95" s="71"/>
      <c r="I95" s="44"/>
      <c r="J95" s="44"/>
      <c r="K95" s="44"/>
      <c r="M95" s="78"/>
    </row>
    <row r="96" spans="3:13">
      <c r="D96" s="71"/>
      <c r="I96" s="44"/>
      <c r="J96" s="44"/>
      <c r="K96" s="44"/>
      <c r="M96" s="78"/>
    </row>
    <row r="97" spans="3:13">
      <c r="I97" s="44"/>
      <c r="J97" s="44"/>
      <c r="K97" s="44"/>
      <c r="M97" s="78"/>
    </row>
    <row r="98" spans="3:13">
      <c r="C98" s="57"/>
      <c r="D98" s="78"/>
      <c r="I98" s="44"/>
      <c r="J98" s="44"/>
      <c r="K98" s="44"/>
      <c r="M98" s="78"/>
    </row>
    <row r="99" spans="3:13">
      <c r="C99" s="57"/>
      <c r="D99" s="78"/>
      <c r="I99" s="44"/>
      <c r="J99" s="44"/>
      <c r="K99" s="44"/>
      <c r="M99" s="78"/>
    </row>
    <row r="100" spans="3:13">
      <c r="C100" s="57"/>
      <c r="D100" s="78"/>
      <c r="I100" s="44"/>
      <c r="J100" s="44"/>
      <c r="K100" s="44"/>
      <c r="M100" s="78"/>
    </row>
    <row r="101" spans="3:13">
      <c r="C101" s="57"/>
      <c r="D101" s="78"/>
      <c r="I101" s="44"/>
      <c r="J101" s="44"/>
      <c r="K101" s="44"/>
      <c r="M101" s="78"/>
    </row>
    <row r="102" spans="3:13">
      <c r="C102" s="57"/>
      <c r="D102" s="78"/>
      <c r="I102" s="44"/>
      <c r="J102" s="44"/>
      <c r="K102" s="44"/>
      <c r="M102" s="78"/>
    </row>
    <row r="103" spans="3:13">
      <c r="C103" s="57"/>
      <c r="D103" s="78"/>
      <c r="I103" s="44"/>
      <c r="J103" s="44"/>
      <c r="K103" s="44"/>
      <c r="M103" s="78"/>
    </row>
    <row r="104" spans="3:13">
      <c r="C104" s="57"/>
      <c r="D104" s="78"/>
      <c r="I104" s="44"/>
      <c r="J104" s="44"/>
      <c r="K104" s="44"/>
      <c r="M104" s="78"/>
    </row>
    <row r="105" spans="3:13">
      <c r="D105" s="71"/>
      <c r="I105" s="44"/>
      <c r="J105" s="44"/>
      <c r="K105" s="44"/>
      <c r="M105" s="78"/>
    </row>
    <row r="106" spans="3:13">
      <c r="D106" s="71"/>
      <c r="I106" s="44"/>
      <c r="J106" s="44"/>
      <c r="K106" s="44"/>
      <c r="M106" s="78"/>
    </row>
    <row r="107" spans="3:13">
      <c r="I107" s="44"/>
      <c r="J107" s="44"/>
      <c r="K107" s="44"/>
      <c r="M107" s="78"/>
    </row>
    <row r="108" spans="3:13">
      <c r="C108" s="57"/>
      <c r="D108" s="78"/>
      <c r="I108" s="44"/>
      <c r="J108" s="44"/>
      <c r="K108" s="44"/>
      <c r="M108" s="78"/>
    </row>
    <row r="109" spans="3:13">
      <c r="C109" s="57"/>
      <c r="D109" s="78"/>
      <c r="I109" s="44"/>
      <c r="J109" s="44"/>
      <c r="K109" s="44"/>
      <c r="M109" s="78"/>
    </row>
    <row r="110" spans="3:13">
      <c r="C110" s="57"/>
      <c r="D110" s="78"/>
      <c r="I110" s="44"/>
      <c r="J110" s="44"/>
      <c r="K110" s="44"/>
      <c r="M110" s="78"/>
    </row>
    <row r="111" spans="3:13">
      <c r="C111" s="57"/>
      <c r="D111" s="78"/>
      <c r="I111" s="44"/>
      <c r="J111" s="44"/>
      <c r="K111" s="44"/>
      <c r="M111" s="78"/>
    </row>
    <row r="112" spans="3:13">
      <c r="C112" s="57"/>
      <c r="D112" s="78"/>
      <c r="I112" s="44"/>
      <c r="J112" s="44"/>
      <c r="K112" s="44"/>
      <c r="M112" s="78"/>
    </row>
    <row r="113" spans="1:13">
      <c r="C113" s="57"/>
      <c r="D113" s="78"/>
      <c r="I113" s="44"/>
      <c r="J113" s="44"/>
      <c r="K113" s="44"/>
      <c r="M113" s="78"/>
    </row>
    <row r="114" spans="1:13">
      <c r="C114" s="57"/>
      <c r="D114" s="78"/>
      <c r="I114" s="44"/>
      <c r="J114" s="44"/>
      <c r="K114" s="44"/>
      <c r="M114" s="78"/>
    </row>
    <row r="115" spans="1:13">
      <c r="C115" s="57"/>
      <c r="D115" s="71"/>
      <c r="I115" s="44"/>
      <c r="J115" s="44"/>
      <c r="K115" s="44"/>
      <c r="M115" s="78"/>
    </row>
    <row r="116" spans="1:13">
      <c r="A116" s="82"/>
      <c r="B116" s="82"/>
      <c r="C116" s="82"/>
      <c r="D116" s="83"/>
      <c r="E116" s="83"/>
      <c r="F116" s="83"/>
      <c r="G116" s="82"/>
      <c r="H116" s="82"/>
      <c r="I116" s="83"/>
      <c r="J116" s="83"/>
      <c r="K116" s="83"/>
      <c r="M116" s="78"/>
    </row>
    <row r="117" spans="1:13">
      <c r="I117" s="44"/>
      <c r="J117" s="44"/>
      <c r="K117" s="44"/>
      <c r="M117" s="78"/>
    </row>
    <row r="118" spans="1:13">
      <c r="I118" s="44"/>
      <c r="J118" s="44"/>
      <c r="K118" s="44"/>
      <c r="M118" s="78"/>
    </row>
    <row r="119" spans="1:13">
      <c r="C119" s="57"/>
      <c r="D119" s="77"/>
      <c r="I119" s="44"/>
      <c r="J119" s="44"/>
      <c r="K119" s="44"/>
      <c r="M119" s="78"/>
    </row>
    <row r="120" spans="1:13">
      <c r="C120" s="57"/>
      <c r="D120" s="77"/>
      <c r="I120" s="44"/>
      <c r="J120" s="44"/>
      <c r="K120" s="44"/>
      <c r="M120" s="78"/>
    </row>
    <row r="121" spans="1:13">
      <c r="C121" s="57"/>
      <c r="D121" s="77"/>
      <c r="I121" s="44"/>
      <c r="J121" s="44"/>
      <c r="K121" s="44"/>
      <c r="M121" s="78"/>
    </row>
    <row r="122" spans="1:13">
      <c r="C122" s="57"/>
      <c r="D122" s="77"/>
      <c r="I122" s="44"/>
      <c r="J122" s="44"/>
      <c r="K122" s="44"/>
      <c r="M122" s="78"/>
    </row>
    <row r="123" spans="1:13">
      <c r="C123" s="57"/>
      <c r="D123" s="77"/>
      <c r="I123" s="44"/>
      <c r="J123" s="44"/>
      <c r="K123" s="44"/>
      <c r="M123" s="78"/>
    </row>
    <row r="124" spans="1:13">
      <c r="C124" s="57"/>
      <c r="D124" s="77"/>
      <c r="I124" s="44"/>
      <c r="J124" s="44"/>
      <c r="K124" s="44"/>
      <c r="M124" s="78"/>
    </row>
    <row r="125" spans="1:13">
      <c r="C125" s="57"/>
      <c r="D125" s="77"/>
      <c r="I125" s="44"/>
      <c r="J125" s="44"/>
      <c r="K125" s="44"/>
      <c r="M125" s="78"/>
    </row>
    <row r="126" spans="1:13">
      <c r="A126" s="78"/>
      <c r="B126" s="57"/>
      <c r="C126" s="45"/>
      <c r="D126" s="45"/>
      <c r="E126" s="45"/>
      <c r="F126" s="45"/>
      <c r="G126" s="57"/>
      <c r="H126" s="57"/>
      <c r="M126" s="78"/>
    </row>
    <row r="127" spans="1:13">
      <c r="A127" s="78"/>
      <c r="B127" s="57"/>
      <c r="C127" s="45"/>
      <c r="D127" s="45"/>
      <c r="E127" s="45"/>
      <c r="F127" s="45"/>
      <c r="G127" s="57"/>
      <c r="H127" s="57"/>
      <c r="M127" s="78"/>
    </row>
    <row r="128" spans="1:13">
      <c r="I128" s="44"/>
      <c r="J128" s="44"/>
      <c r="K128" s="44"/>
      <c r="M128" s="78"/>
    </row>
    <row r="129" spans="1:13">
      <c r="C129" s="57"/>
      <c r="D129" s="78"/>
      <c r="I129" s="44"/>
      <c r="J129" s="44"/>
      <c r="K129" s="44"/>
      <c r="M129" s="78"/>
    </row>
    <row r="130" spans="1:13">
      <c r="C130" s="57"/>
      <c r="D130" s="77"/>
      <c r="I130" s="44"/>
      <c r="J130" s="44"/>
      <c r="K130" s="44"/>
      <c r="M130" s="78"/>
    </row>
    <row r="131" spans="1:13">
      <c r="C131" s="57"/>
      <c r="D131" s="77"/>
      <c r="I131" s="44"/>
      <c r="J131" s="44"/>
      <c r="K131" s="44"/>
      <c r="M131" s="78"/>
    </row>
    <row r="132" spans="1:13">
      <c r="C132" s="57"/>
      <c r="D132" s="77"/>
      <c r="I132" s="44"/>
      <c r="J132" s="44"/>
      <c r="K132" s="44"/>
      <c r="M132" s="78"/>
    </row>
    <row r="133" spans="1:13">
      <c r="C133" s="57"/>
      <c r="D133" s="77"/>
      <c r="I133" s="44"/>
      <c r="J133" s="44"/>
      <c r="K133" s="44"/>
      <c r="M133" s="78"/>
    </row>
    <row r="134" spans="1:13">
      <c r="C134" s="57"/>
      <c r="D134" s="77"/>
      <c r="I134" s="44"/>
      <c r="J134" s="44"/>
      <c r="K134" s="44"/>
      <c r="M134" s="78"/>
    </row>
    <row r="135" spans="1:13">
      <c r="C135" s="57"/>
      <c r="D135" s="77"/>
      <c r="I135" s="44"/>
      <c r="J135" s="44"/>
      <c r="K135" s="44"/>
      <c r="M135" s="78"/>
    </row>
    <row r="136" spans="1:13">
      <c r="I136" s="44"/>
      <c r="J136" s="44"/>
      <c r="K136" s="44"/>
    </row>
    <row r="137" spans="1:13">
      <c r="A137" s="78"/>
      <c r="B137" s="57"/>
      <c r="I137" s="44"/>
      <c r="J137" s="44"/>
      <c r="K137" s="44"/>
    </row>
    <row r="138" spans="1:13">
      <c r="I138" s="44"/>
      <c r="J138" s="44"/>
      <c r="K138" s="44"/>
    </row>
    <row r="139" spans="1:13">
      <c r="C139" s="57"/>
      <c r="D139" s="78"/>
      <c r="I139" s="44"/>
      <c r="J139" s="44"/>
      <c r="K139" s="44"/>
    </row>
    <row r="140" spans="1:13">
      <c r="C140" s="57"/>
      <c r="D140" s="77"/>
      <c r="I140" s="44"/>
      <c r="J140" s="44"/>
      <c r="K140" s="44"/>
    </row>
    <row r="141" spans="1:13" ht="15" customHeight="1">
      <c r="C141" s="57"/>
      <c r="D141" s="77"/>
      <c r="I141" s="44"/>
      <c r="J141" s="44"/>
      <c r="K141" s="44"/>
    </row>
    <row r="142" spans="1:13">
      <c r="C142" s="57"/>
      <c r="D142" s="77"/>
      <c r="I142" s="44"/>
      <c r="J142" s="44"/>
      <c r="K142" s="44"/>
    </row>
    <row r="143" spans="1:13">
      <c r="C143" s="57"/>
      <c r="D143" s="77"/>
      <c r="I143" s="44"/>
      <c r="J143" s="44"/>
      <c r="K143" s="44"/>
    </row>
    <row r="144" spans="1:13">
      <c r="C144" s="57"/>
      <c r="D144" s="77"/>
      <c r="I144" s="44"/>
      <c r="J144" s="44"/>
      <c r="K144" s="44"/>
    </row>
    <row r="145" spans="1:12" ht="15.75">
      <c r="C145" s="57"/>
      <c r="D145" s="77"/>
      <c r="I145" s="44"/>
      <c r="J145" s="44"/>
      <c r="K145" s="44"/>
      <c r="L145" s="84"/>
    </row>
    <row r="147" spans="1:12">
      <c r="A147" s="78"/>
      <c r="B147" s="57"/>
    </row>
    <row r="148" spans="1:12">
      <c r="I148" s="44"/>
      <c r="J148" s="44"/>
      <c r="K148" s="44"/>
    </row>
    <row r="149" spans="1:12">
      <c r="C149" s="57"/>
      <c r="D149" s="78"/>
      <c r="I149" s="44"/>
      <c r="J149" s="44"/>
      <c r="K149" s="44"/>
    </row>
    <row r="150" spans="1:12">
      <c r="C150" s="57"/>
      <c r="D150" s="77"/>
      <c r="I150" s="44"/>
      <c r="J150" s="44"/>
      <c r="K150" s="44"/>
    </row>
    <row r="151" spans="1:12">
      <c r="C151" s="57"/>
      <c r="D151" s="77"/>
      <c r="I151" s="44"/>
      <c r="J151" s="44"/>
      <c r="K151" s="44"/>
    </row>
    <row r="152" spans="1:12">
      <c r="C152" s="57"/>
      <c r="D152" s="77"/>
      <c r="I152" s="44"/>
      <c r="J152" s="44"/>
      <c r="K152" s="44"/>
    </row>
    <row r="153" spans="1:12">
      <c r="C153" s="57"/>
      <c r="D153" s="77"/>
      <c r="I153" s="44"/>
      <c r="J153" s="44"/>
      <c r="K153" s="44"/>
    </row>
    <row r="154" spans="1:12">
      <c r="C154" s="57"/>
      <c r="D154" s="77"/>
      <c r="I154" s="44"/>
      <c r="J154" s="44"/>
      <c r="K154" s="44"/>
    </row>
    <row r="155" spans="1:12">
      <c r="C155" s="57"/>
      <c r="D155" s="77"/>
      <c r="I155" s="44"/>
      <c r="J155" s="44"/>
      <c r="K155" s="44"/>
    </row>
    <row r="157" spans="1:12">
      <c r="A157" s="78"/>
      <c r="B157" s="57"/>
    </row>
    <row r="158" spans="1:12">
      <c r="I158" s="44"/>
      <c r="J158" s="44"/>
      <c r="K158" s="44"/>
    </row>
    <row r="159" spans="1:12">
      <c r="C159" s="57"/>
      <c r="D159" s="78"/>
      <c r="I159" s="44"/>
      <c r="J159" s="44"/>
      <c r="K159" s="44"/>
    </row>
    <row r="160" spans="1:12">
      <c r="C160" s="57"/>
      <c r="D160" s="77"/>
      <c r="I160" s="44"/>
      <c r="J160" s="44"/>
      <c r="K160" s="44"/>
    </row>
    <row r="161" spans="1:24">
      <c r="C161" s="57"/>
      <c r="D161" s="77"/>
      <c r="I161" s="44"/>
      <c r="J161" s="44"/>
      <c r="K161" s="44"/>
    </row>
    <row r="162" spans="1:24">
      <c r="C162" s="57"/>
      <c r="D162" s="77"/>
      <c r="I162" s="44"/>
      <c r="J162" s="44"/>
      <c r="K162" s="44"/>
    </row>
    <row r="163" spans="1:24">
      <c r="C163" s="57"/>
      <c r="D163" s="77"/>
      <c r="I163" s="44"/>
      <c r="J163" s="44"/>
      <c r="K163" s="44"/>
    </row>
    <row r="164" spans="1:24">
      <c r="C164" s="57"/>
      <c r="D164" s="77"/>
      <c r="I164" s="44"/>
      <c r="J164" s="44"/>
      <c r="K164" s="44"/>
    </row>
    <row r="165" spans="1:24" s="2" customFormat="1" ht="15.75">
      <c r="A165" s="43"/>
      <c r="B165" s="43"/>
      <c r="C165" s="57"/>
      <c r="D165" s="77"/>
      <c r="E165" s="44"/>
      <c r="F165" s="44"/>
      <c r="G165" s="43"/>
      <c r="H165" s="43"/>
      <c r="I165" s="44"/>
      <c r="J165" s="44"/>
      <c r="K165" s="44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84"/>
    </row>
    <row r="166" spans="1:24" ht="13.5" customHeight="1"/>
    <row r="167" spans="1:24">
      <c r="A167" s="78"/>
      <c r="B167" s="57"/>
    </row>
    <row r="168" spans="1:24">
      <c r="I168" s="44"/>
      <c r="J168" s="44"/>
      <c r="K168" s="44"/>
    </row>
    <row r="169" spans="1:24">
      <c r="C169" s="57"/>
      <c r="D169" s="77"/>
      <c r="I169" s="44"/>
      <c r="J169" s="44"/>
      <c r="K169" s="44"/>
    </row>
    <row r="170" spans="1:24">
      <c r="C170" s="57"/>
      <c r="D170" s="77"/>
      <c r="I170" s="44"/>
      <c r="J170" s="44"/>
      <c r="K170" s="44"/>
    </row>
    <row r="171" spans="1:24">
      <c r="C171" s="57"/>
      <c r="D171" s="77"/>
      <c r="I171" s="44"/>
      <c r="J171" s="44"/>
      <c r="K171" s="44"/>
    </row>
    <row r="172" spans="1:24">
      <c r="C172" s="57"/>
      <c r="D172" s="77"/>
      <c r="I172" s="44"/>
      <c r="J172" s="44"/>
      <c r="K172" s="44"/>
    </row>
    <row r="173" spans="1:24">
      <c r="C173" s="57"/>
      <c r="D173" s="77"/>
      <c r="I173" s="44"/>
      <c r="J173" s="44"/>
      <c r="K173" s="44"/>
    </row>
    <row r="174" spans="1:24">
      <c r="C174" s="57"/>
      <c r="D174" s="77"/>
      <c r="I174" s="44"/>
      <c r="J174" s="44"/>
      <c r="K174" s="44"/>
    </row>
    <row r="175" spans="1:24" ht="15.75">
      <c r="C175" s="57"/>
      <c r="D175" s="77"/>
      <c r="I175" s="44"/>
      <c r="J175" s="44"/>
      <c r="K175" s="44"/>
      <c r="N175" s="84"/>
      <c r="O175" s="84"/>
    </row>
    <row r="176" spans="1:24" ht="15.75">
      <c r="T176" s="84"/>
    </row>
    <row r="177" spans="1:23">
      <c r="A177" s="85"/>
      <c r="B177" s="85"/>
      <c r="C177" s="85"/>
      <c r="D177" s="86"/>
      <c r="E177" s="86"/>
      <c r="F177" s="86"/>
      <c r="G177" s="85"/>
      <c r="H177" s="85"/>
      <c r="I177" s="87"/>
      <c r="J177" s="88"/>
      <c r="K177" s="88"/>
    </row>
    <row r="178" spans="1:23" ht="15.75">
      <c r="Q178" s="84"/>
      <c r="R178" s="84"/>
      <c r="S178" s="84"/>
      <c r="U178" s="84"/>
      <c r="V178" s="84"/>
      <c r="W178" s="84"/>
    </row>
    <row r="179" spans="1:23" ht="15.75">
      <c r="I179" s="44"/>
      <c r="J179" s="44"/>
      <c r="K179" s="44"/>
      <c r="P179" s="84"/>
    </row>
    <row r="180" spans="1:23">
      <c r="C180" s="57"/>
      <c r="D180" s="77"/>
      <c r="I180" s="44"/>
      <c r="J180" s="44"/>
      <c r="K180" s="44"/>
    </row>
    <row r="181" spans="1:23">
      <c r="C181" s="57"/>
      <c r="D181" s="77"/>
      <c r="I181" s="44"/>
      <c r="J181" s="44"/>
      <c r="K181" s="44"/>
    </row>
    <row r="182" spans="1:23">
      <c r="C182" s="57"/>
      <c r="D182" s="77"/>
      <c r="I182" s="44"/>
      <c r="J182" s="44"/>
      <c r="K182" s="44"/>
    </row>
    <row r="183" spans="1:23">
      <c r="C183" s="57"/>
      <c r="D183" s="77"/>
      <c r="I183" s="44"/>
      <c r="J183" s="44"/>
      <c r="K183" s="44"/>
    </row>
    <row r="184" spans="1:23">
      <c r="C184" s="57"/>
      <c r="D184" s="77"/>
      <c r="I184" s="44"/>
      <c r="J184" s="44"/>
      <c r="K184" s="44"/>
    </row>
    <row r="185" spans="1:23">
      <c r="C185" s="57"/>
      <c r="D185" s="77"/>
      <c r="I185" s="44"/>
      <c r="J185" s="44"/>
      <c r="K185" s="44"/>
    </row>
    <row r="186" spans="1:23">
      <c r="C186" s="57"/>
      <c r="D186" s="77"/>
      <c r="I186" s="44"/>
      <c r="J186" s="44"/>
      <c r="K186" s="44"/>
    </row>
    <row r="189" spans="1:23">
      <c r="I189" s="44"/>
      <c r="J189" s="44"/>
      <c r="K189" s="44"/>
    </row>
    <row r="190" spans="1:23">
      <c r="C190" s="57"/>
      <c r="D190" s="77"/>
      <c r="I190" s="44"/>
      <c r="J190" s="44"/>
      <c r="K190" s="44"/>
    </row>
    <row r="191" spans="1:23">
      <c r="C191" s="57"/>
      <c r="D191" s="77"/>
      <c r="I191" s="44"/>
      <c r="J191" s="44"/>
      <c r="K191" s="44"/>
    </row>
    <row r="192" spans="1:23">
      <c r="C192" s="57"/>
      <c r="D192" s="77"/>
      <c r="I192" s="44"/>
      <c r="J192" s="44"/>
      <c r="K192" s="44"/>
    </row>
    <row r="193" spans="3:11">
      <c r="C193" s="57"/>
      <c r="D193" s="77"/>
      <c r="I193" s="44"/>
      <c r="J193" s="44"/>
      <c r="K193" s="44"/>
    </row>
    <row r="194" spans="3:11">
      <c r="C194" s="57"/>
      <c r="D194" s="77"/>
      <c r="I194" s="44"/>
      <c r="J194" s="44"/>
      <c r="K194" s="44"/>
    </row>
    <row r="195" spans="3:11">
      <c r="C195" s="57"/>
      <c r="D195" s="77"/>
      <c r="I195" s="44"/>
      <c r="J195" s="44"/>
      <c r="K195" s="44"/>
    </row>
    <row r="196" spans="3:11">
      <c r="C196" s="57"/>
      <c r="D196" s="77"/>
      <c r="I196" s="44"/>
      <c r="J196" s="44"/>
      <c r="K196" s="44"/>
    </row>
    <row r="199" spans="3:11">
      <c r="I199" s="44"/>
      <c r="J199" s="44"/>
      <c r="K199" s="44"/>
    </row>
    <row r="200" spans="3:11">
      <c r="C200" s="57"/>
      <c r="D200" s="77"/>
      <c r="I200" s="44"/>
      <c r="J200" s="44"/>
      <c r="K200" s="44"/>
    </row>
    <row r="201" spans="3:11">
      <c r="C201" s="57"/>
      <c r="D201" s="77"/>
      <c r="I201" s="44"/>
      <c r="J201" s="44"/>
      <c r="K201" s="44"/>
    </row>
    <row r="202" spans="3:11">
      <c r="C202" s="57"/>
      <c r="D202" s="77"/>
      <c r="I202" s="44"/>
      <c r="J202" s="44"/>
      <c r="K202" s="44"/>
    </row>
    <row r="203" spans="3:11">
      <c r="C203" s="57"/>
      <c r="D203" s="77"/>
      <c r="I203" s="44"/>
      <c r="J203" s="44"/>
      <c r="K203" s="44"/>
    </row>
    <row r="204" spans="3:11">
      <c r="C204" s="57"/>
      <c r="D204" s="77"/>
      <c r="I204" s="44"/>
      <c r="J204" s="44"/>
      <c r="K204" s="44"/>
    </row>
    <row r="205" spans="3:11">
      <c r="C205" s="57"/>
      <c r="D205" s="77"/>
      <c r="I205" s="44"/>
      <c r="J205" s="44"/>
      <c r="K205" s="44"/>
    </row>
    <row r="206" spans="3:11">
      <c r="C206" s="57"/>
      <c r="D206" s="77"/>
      <c r="I206" s="44"/>
      <c r="J206" s="44"/>
      <c r="K206" s="44"/>
    </row>
    <row r="209" spans="3:11">
      <c r="I209" s="44"/>
      <c r="J209" s="44"/>
      <c r="K209" s="44"/>
    </row>
    <row r="210" spans="3:11">
      <c r="C210" s="57"/>
      <c r="D210" s="77"/>
      <c r="I210" s="44"/>
      <c r="J210" s="44"/>
      <c r="K210" s="44"/>
    </row>
    <row r="211" spans="3:11">
      <c r="C211" s="57"/>
      <c r="D211" s="77"/>
      <c r="I211" s="44"/>
      <c r="J211" s="44"/>
      <c r="K211" s="44"/>
    </row>
    <row r="212" spans="3:11">
      <c r="C212" s="57"/>
      <c r="D212" s="77"/>
      <c r="I212" s="44"/>
      <c r="J212" s="44"/>
      <c r="K212" s="44"/>
    </row>
    <row r="213" spans="3:11">
      <c r="C213" s="57"/>
      <c r="D213" s="77"/>
      <c r="I213" s="44"/>
      <c r="J213" s="44"/>
      <c r="K213" s="44"/>
    </row>
    <row r="214" spans="3:11">
      <c r="C214" s="57"/>
      <c r="D214" s="77"/>
      <c r="I214" s="44"/>
      <c r="J214" s="44"/>
      <c r="K214" s="44"/>
    </row>
    <row r="215" spans="3:11">
      <c r="C215" s="57"/>
      <c r="D215" s="77"/>
      <c r="I215" s="44"/>
      <c r="J215" s="44"/>
      <c r="K215" s="44"/>
    </row>
    <row r="216" spans="3:11">
      <c r="C216" s="57"/>
      <c r="D216" s="77"/>
      <c r="I216" s="44"/>
      <c r="J216" s="44"/>
      <c r="K216" s="44"/>
    </row>
    <row r="219" spans="3:11">
      <c r="I219" s="44"/>
      <c r="J219" s="44"/>
      <c r="K219" s="44"/>
    </row>
    <row r="220" spans="3:11">
      <c r="C220" s="57"/>
      <c r="D220" s="77"/>
      <c r="I220" s="44"/>
      <c r="J220" s="44"/>
      <c r="K220" s="44"/>
    </row>
    <row r="221" spans="3:11">
      <c r="C221" s="57"/>
      <c r="D221" s="77"/>
      <c r="I221" s="44"/>
      <c r="J221" s="44"/>
      <c r="K221" s="44"/>
    </row>
    <row r="222" spans="3:11">
      <c r="C222" s="57"/>
      <c r="D222" s="77"/>
      <c r="I222" s="44"/>
      <c r="J222" s="44"/>
      <c r="K222" s="44"/>
    </row>
    <row r="223" spans="3:11">
      <c r="C223" s="57"/>
      <c r="D223" s="77"/>
      <c r="I223" s="44"/>
      <c r="J223" s="44"/>
      <c r="K223" s="44"/>
    </row>
    <row r="224" spans="3:11">
      <c r="C224" s="57"/>
      <c r="D224" s="77"/>
      <c r="I224" s="44"/>
      <c r="J224" s="44"/>
      <c r="K224" s="44"/>
    </row>
    <row r="225" spans="3:11">
      <c r="C225" s="57"/>
      <c r="D225" s="77"/>
      <c r="I225" s="44"/>
      <c r="J225" s="44"/>
      <c r="K225" s="44"/>
    </row>
    <row r="226" spans="3:11">
      <c r="C226" s="57"/>
      <c r="D226" s="77"/>
      <c r="I226" s="44"/>
      <c r="J226" s="44"/>
      <c r="K226" s="44"/>
    </row>
    <row r="229" spans="3:11">
      <c r="I229" s="44"/>
      <c r="J229" s="44"/>
      <c r="K229" s="44"/>
    </row>
    <row r="230" spans="3:11">
      <c r="C230" s="57"/>
      <c r="D230" s="77"/>
      <c r="I230" s="44"/>
      <c r="J230" s="44"/>
      <c r="K230" s="44"/>
    </row>
    <row r="231" spans="3:11">
      <c r="C231" s="57"/>
      <c r="D231" s="77"/>
      <c r="I231" s="44"/>
      <c r="J231" s="44"/>
      <c r="K231" s="44"/>
    </row>
    <row r="232" spans="3:11">
      <c r="C232" s="57"/>
      <c r="D232" s="77"/>
      <c r="I232" s="44"/>
      <c r="J232" s="44"/>
      <c r="K232" s="44"/>
    </row>
    <row r="233" spans="3:11">
      <c r="C233" s="57"/>
      <c r="D233" s="77"/>
      <c r="I233" s="44"/>
      <c r="J233" s="44"/>
      <c r="K233" s="44"/>
    </row>
    <row r="234" spans="3:11">
      <c r="C234" s="57"/>
      <c r="D234" s="77"/>
      <c r="I234" s="44"/>
      <c r="J234" s="44"/>
      <c r="K234" s="44"/>
    </row>
    <row r="235" spans="3:11">
      <c r="C235" s="57"/>
      <c r="D235" s="77"/>
      <c r="I235" s="44"/>
      <c r="J235" s="44"/>
      <c r="K235" s="44"/>
    </row>
    <row r="236" spans="3:11">
      <c r="C236" s="57"/>
      <c r="D236" s="77"/>
      <c r="I236" s="44"/>
      <c r="J236" s="44"/>
      <c r="K236" s="44"/>
    </row>
  </sheetData>
  <mergeCells count="6">
    <mergeCell ref="U3:U7"/>
    <mergeCell ref="U9:U13"/>
    <mergeCell ref="U15:U19"/>
    <mergeCell ref="V3:V7"/>
    <mergeCell ref="V9:V13"/>
    <mergeCell ref="V15:V19"/>
  </mergeCells>
  <phoneticPr fontId="2" type="noConversion"/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0" zoomScaleNormal="100" workbookViewId="0">
      <selection activeCell="H2" sqref="H2:H6"/>
    </sheetView>
  </sheetViews>
  <sheetFormatPr defaultColWidth="8.85546875" defaultRowHeight="12.75"/>
  <cols>
    <col min="1" max="1" width="11.140625" style="28" customWidth="1"/>
    <col min="2" max="2" width="20.42578125" customWidth="1"/>
    <col min="3" max="3" width="8.7109375" customWidth="1"/>
    <col min="4" max="5" width="10" customWidth="1"/>
    <col min="6" max="6" width="19.42578125" style="5" customWidth="1"/>
    <col min="7" max="7" width="12.7109375" style="5" customWidth="1"/>
    <col min="8" max="8" width="13.28515625" style="5" bestFit="1" customWidth="1"/>
    <col min="9" max="9" width="8.28515625" style="5" bestFit="1" customWidth="1"/>
    <col min="10" max="10" width="12.7109375" customWidth="1"/>
    <col min="11" max="11" width="21.42578125" customWidth="1"/>
    <col min="12" max="12" width="9.7109375" customWidth="1"/>
    <col min="13" max="13" width="14.28515625" style="9" bestFit="1" customWidth="1"/>
    <col min="14" max="14" width="13.140625" bestFit="1" customWidth="1"/>
    <col min="15" max="16" width="18.42578125" bestFit="1" customWidth="1"/>
    <col min="17" max="17" width="14.7109375" bestFit="1" customWidth="1"/>
    <col min="18" max="18" width="14.140625" bestFit="1" customWidth="1"/>
    <col min="19" max="19" width="16.140625" bestFit="1" customWidth="1"/>
  </cols>
  <sheetData>
    <row r="1" spans="1:21" s="26" customFormat="1" ht="25.5">
      <c r="A1" s="29" t="s">
        <v>58</v>
      </c>
      <c r="B1" s="25" t="s">
        <v>6</v>
      </c>
      <c r="C1" s="25" t="s">
        <v>59</v>
      </c>
      <c r="D1" s="25" t="s">
        <v>60</v>
      </c>
      <c r="E1" s="89" t="s">
        <v>58</v>
      </c>
      <c r="F1" s="89" t="s">
        <v>14</v>
      </c>
      <c r="G1" s="89" t="s">
        <v>15</v>
      </c>
      <c r="H1" s="89" t="s">
        <v>16</v>
      </c>
      <c r="I1" s="25"/>
      <c r="J1" s="25"/>
      <c r="M1" s="27"/>
      <c r="O1" s="27"/>
      <c r="P1" s="27"/>
      <c r="Q1" s="27"/>
      <c r="R1" s="27"/>
      <c r="S1" s="27"/>
      <c r="T1" s="27"/>
      <c r="U1" s="27"/>
    </row>
    <row r="2" spans="1:21" ht="15.95" customHeight="1">
      <c r="A2" s="28" t="s">
        <v>72</v>
      </c>
      <c r="B2" t="s">
        <v>73</v>
      </c>
      <c r="C2" s="3">
        <v>5.5</v>
      </c>
      <c r="D2" s="102">
        <f>IF(B2="hw",0.133*C2^1.164,0.006*C2^2.172)</f>
        <v>0.96746176775155801</v>
      </c>
      <c r="E2" s="90">
        <v>1</v>
      </c>
      <c r="F2" s="103">
        <f>SUMIF($A$2:$A$60,E2,$D$2:$D$60)</f>
        <v>21.962838978531217</v>
      </c>
      <c r="G2" s="91">
        <f>(F2/40)*10000</f>
        <v>5490.7097446328044</v>
      </c>
      <c r="H2" s="92">
        <f>G2/2</f>
        <v>2745.3548723164022</v>
      </c>
      <c r="I2" s="10"/>
      <c r="J2" s="40" t="s">
        <v>100</v>
      </c>
      <c r="K2" s="41"/>
      <c r="L2" s="41"/>
      <c r="M2" s="41"/>
      <c r="N2" s="41"/>
      <c r="O2" s="39"/>
      <c r="P2" s="11"/>
      <c r="Q2" s="11"/>
      <c r="R2" s="11"/>
      <c r="S2" s="11"/>
      <c r="T2" s="9"/>
      <c r="U2" s="9"/>
    </row>
    <row r="3" spans="1:21" ht="15.95" customHeight="1">
      <c r="A3" s="28" t="s">
        <v>72</v>
      </c>
      <c r="B3" t="s">
        <v>74</v>
      </c>
      <c r="C3" s="3">
        <v>36</v>
      </c>
      <c r="D3" s="102">
        <f t="shared" ref="D3:D59" si="0">IF(B3="hw",0.133*C3^1.164,0.006*C3^2.172)</f>
        <v>14.402579530078361</v>
      </c>
      <c r="E3" s="90">
        <v>2</v>
      </c>
      <c r="F3" s="103">
        <f t="shared" ref="F3:F6" si="1">SUMIF($A$2:$A$60,E3,$D$2:$D$60)</f>
        <v>28.781680447962593</v>
      </c>
      <c r="G3" s="91">
        <f t="shared" ref="G3:G6" si="2">(F3/40)*10000</f>
        <v>7195.4201119906484</v>
      </c>
      <c r="H3" s="92">
        <f t="shared" ref="H3:H6" si="3">G3/2</f>
        <v>3597.7100559953242</v>
      </c>
      <c r="I3" s="9"/>
      <c r="J3" s="36" t="s">
        <v>9</v>
      </c>
      <c r="K3" s="37" t="s">
        <v>56</v>
      </c>
      <c r="L3" s="38" t="s">
        <v>10</v>
      </c>
      <c r="M3" s="38" t="s">
        <v>1</v>
      </c>
      <c r="N3" s="38"/>
      <c r="O3" s="11"/>
      <c r="P3" s="11"/>
      <c r="Q3" s="11"/>
      <c r="R3" s="11"/>
      <c r="S3" s="11"/>
      <c r="T3" s="9"/>
      <c r="U3" s="9"/>
    </row>
    <row r="4" spans="1:21" ht="15.95" customHeight="1">
      <c r="A4" s="28" t="s">
        <v>72</v>
      </c>
      <c r="B4" t="s">
        <v>73</v>
      </c>
      <c r="C4" s="3">
        <v>6.7</v>
      </c>
      <c r="D4" s="102">
        <f t="shared" si="0"/>
        <v>1.2173142650528523</v>
      </c>
      <c r="E4" s="90">
        <v>3</v>
      </c>
      <c r="F4" s="103">
        <f t="shared" si="1"/>
        <v>33.543859263463624</v>
      </c>
      <c r="G4" s="91">
        <f t="shared" si="2"/>
        <v>8385.9648158659056</v>
      </c>
      <c r="H4" s="92">
        <f t="shared" si="3"/>
        <v>4192.9824079329528</v>
      </c>
      <c r="I4" s="8"/>
      <c r="J4" s="36"/>
      <c r="K4" s="37" t="s">
        <v>57</v>
      </c>
      <c r="L4" s="38" t="s">
        <v>11</v>
      </c>
      <c r="M4" s="38" t="s">
        <v>0</v>
      </c>
      <c r="N4" s="38"/>
    </row>
    <row r="5" spans="1:21" ht="15.95" customHeight="1">
      <c r="A5" s="28" t="s">
        <v>72</v>
      </c>
      <c r="B5" t="s">
        <v>73</v>
      </c>
      <c r="C5" s="3">
        <v>24</v>
      </c>
      <c r="D5" s="102">
        <f t="shared" si="0"/>
        <v>5.3754834156484463</v>
      </c>
      <c r="E5" s="90">
        <v>4</v>
      </c>
      <c r="F5" s="103">
        <f t="shared" si="1"/>
        <v>37.217047197691329</v>
      </c>
      <c r="G5" s="91">
        <f t="shared" si="2"/>
        <v>9304.2617994228331</v>
      </c>
      <c r="H5" s="92">
        <f t="shared" si="3"/>
        <v>4652.1308997114165</v>
      </c>
      <c r="I5" s="8"/>
      <c r="J5" s="13"/>
      <c r="K5" s="13"/>
      <c r="L5" s="15"/>
    </row>
    <row r="6" spans="1:21" ht="15.95" customHeight="1">
      <c r="A6" s="28" t="s">
        <v>75</v>
      </c>
      <c r="B6" t="s">
        <v>73</v>
      </c>
      <c r="C6" s="3">
        <v>19.600000000000001</v>
      </c>
      <c r="D6" s="102">
        <f t="shared" si="0"/>
        <v>4.246564335390997</v>
      </c>
      <c r="E6" s="90">
        <v>5</v>
      </c>
      <c r="F6" s="103">
        <f t="shared" si="1"/>
        <v>34.718444718141207</v>
      </c>
      <c r="G6" s="91">
        <f t="shared" si="2"/>
        <v>8679.6111795353008</v>
      </c>
      <c r="H6" s="92">
        <f t="shared" si="3"/>
        <v>4339.8055897676504</v>
      </c>
      <c r="I6" s="16"/>
      <c r="J6" s="16"/>
      <c r="O6" s="11"/>
      <c r="P6" s="11"/>
      <c r="Q6" s="11"/>
      <c r="R6" s="11"/>
      <c r="S6" s="11"/>
      <c r="T6" s="9"/>
      <c r="U6" s="9"/>
    </row>
    <row r="7" spans="1:21" ht="15.95" customHeight="1">
      <c r="A7" s="28" t="s">
        <v>75</v>
      </c>
      <c r="B7" t="s">
        <v>73</v>
      </c>
      <c r="C7" s="3">
        <v>13.5</v>
      </c>
      <c r="D7" s="102">
        <f t="shared" si="0"/>
        <v>2.751440638621522</v>
      </c>
      <c r="E7" s="8"/>
      <c r="F7" s="90"/>
      <c r="G7" s="13"/>
      <c r="H7" s="10"/>
      <c r="I7" s="8"/>
      <c r="J7" s="13"/>
      <c r="K7" s="13"/>
      <c r="L7" s="17"/>
      <c r="N7" s="9"/>
      <c r="O7" s="11"/>
      <c r="P7" s="11"/>
      <c r="Q7" s="11"/>
      <c r="R7" s="11"/>
      <c r="S7" s="11"/>
      <c r="T7" s="9"/>
      <c r="U7" s="9"/>
    </row>
    <row r="8" spans="1:21" ht="15.95" customHeight="1">
      <c r="A8" s="28" t="s">
        <v>75</v>
      </c>
      <c r="B8" t="s">
        <v>73</v>
      </c>
      <c r="C8" s="3">
        <v>37.4</v>
      </c>
      <c r="D8" s="102">
        <f t="shared" si="0"/>
        <v>9.0089501940231536</v>
      </c>
      <c r="E8" s="8"/>
      <c r="F8" s="90"/>
      <c r="G8" s="13"/>
      <c r="H8" s="10"/>
      <c r="I8" s="8"/>
      <c r="J8" s="13"/>
      <c r="K8" s="13"/>
      <c r="L8" s="17"/>
      <c r="N8" s="9"/>
      <c r="O8" s="11"/>
      <c r="P8" s="11"/>
      <c r="Q8" s="11"/>
      <c r="R8" s="11"/>
      <c r="S8" s="11"/>
      <c r="T8" s="9"/>
      <c r="U8" s="9"/>
    </row>
    <row r="9" spans="1:21" ht="15.95" customHeight="1">
      <c r="A9" s="28" t="s">
        <v>75</v>
      </c>
      <c r="B9" t="s">
        <v>73</v>
      </c>
      <c r="C9" s="3">
        <v>2.4</v>
      </c>
      <c r="D9" s="102">
        <f t="shared" si="0"/>
        <v>0.36848305929185493</v>
      </c>
      <c r="E9" s="8"/>
      <c r="F9" s="90"/>
      <c r="G9" s="13"/>
      <c r="H9" s="10"/>
      <c r="I9" s="8"/>
      <c r="J9" s="9"/>
      <c r="K9" s="9"/>
    </row>
    <row r="10" spans="1:21" ht="15.95" customHeight="1">
      <c r="A10" s="28" t="s">
        <v>75</v>
      </c>
      <c r="B10" t="s">
        <v>73</v>
      </c>
      <c r="C10" s="3">
        <v>3</v>
      </c>
      <c r="D10" s="102">
        <f t="shared" si="0"/>
        <v>0.47777209602376147</v>
      </c>
      <c r="E10" s="8"/>
      <c r="F10" s="90"/>
      <c r="G10" s="13"/>
      <c r="H10" s="10"/>
      <c r="I10" s="8"/>
      <c r="J10" s="9"/>
      <c r="K10" s="9"/>
      <c r="L10" s="9"/>
      <c r="P10" s="3"/>
    </row>
    <row r="11" spans="1:21" ht="15.95" customHeight="1">
      <c r="A11" s="28" t="s">
        <v>75</v>
      </c>
      <c r="B11" t="s">
        <v>73</v>
      </c>
      <c r="C11" s="3">
        <v>4.9000000000000004</v>
      </c>
      <c r="D11" s="102">
        <f t="shared" si="0"/>
        <v>0.84574585525720103</v>
      </c>
      <c r="E11" s="8"/>
      <c r="F11" s="90"/>
      <c r="G11" s="13"/>
      <c r="H11" s="10"/>
      <c r="I11" s="8"/>
      <c r="J11" s="9"/>
      <c r="K11" s="9"/>
      <c r="L11" s="9"/>
      <c r="P11" s="3"/>
    </row>
    <row r="12" spans="1:21" ht="15.95" customHeight="1">
      <c r="A12" s="28" t="s">
        <v>75</v>
      </c>
      <c r="B12" t="s">
        <v>73</v>
      </c>
      <c r="C12" s="3">
        <v>14</v>
      </c>
      <c r="D12" s="102">
        <f t="shared" si="0"/>
        <v>2.8704148917583261</v>
      </c>
      <c r="E12" s="8"/>
      <c r="F12" s="90"/>
      <c r="G12" s="13"/>
      <c r="H12" s="10"/>
      <c r="I12" s="8"/>
      <c r="J12" s="9"/>
      <c r="K12" s="9"/>
      <c r="L12" s="9"/>
      <c r="P12" s="3"/>
    </row>
    <row r="13" spans="1:21" ht="15.95" customHeight="1">
      <c r="A13" s="28" t="s">
        <v>75</v>
      </c>
      <c r="B13" t="s">
        <v>73</v>
      </c>
      <c r="C13" s="3">
        <v>5.5</v>
      </c>
      <c r="D13" s="102">
        <f t="shared" si="0"/>
        <v>0.96746176775155801</v>
      </c>
      <c r="E13" s="8"/>
      <c r="F13" s="90"/>
      <c r="H13" s="6"/>
      <c r="I13" s="7"/>
      <c r="M13" s="11"/>
      <c r="P13" s="3"/>
    </row>
    <row r="14" spans="1:21" ht="15.95" customHeight="1">
      <c r="A14" s="28" t="s">
        <v>75</v>
      </c>
      <c r="B14" t="s">
        <v>73</v>
      </c>
      <c r="C14" s="3">
        <v>6</v>
      </c>
      <c r="D14" s="102">
        <f t="shared" si="0"/>
        <v>1.0705814064559329</v>
      </c>
      <c r="E14" s="8"/>
      <c r="F14" s="90"/>
      <c r="H14" s="6"/>
      <c r="I14" s="7"/>
      <c r="M14" s="11"/>
      <c r="P14" s="3"/>
      <c r="Q14" s="3"/>
      <c r="R14" s="3"/>
      <c r="S14" s="3"/>
      <c r="T14" s="3"/>
    </row>
    <row r="15" spans="1:21">
      <c r="A15" s="28" t="s">
        <v>75</v>
      </c>
      <c r="B15" t="s">
        <v>73</v>
      </c>
      <c r="C15" s="3">
        <v>3.2</v>
      </c>
      <c r="D15" s="102">
        <f t="shared" si="0"/>
        <v>0.51504623371366565</v>
      </c>
      <c r="E15" s="8"/>
      <c r="F15" s="90"/>
      <c r="K15" s="9"/>
      <c r="L15" s="9"/>
    </row>
    <row r="16" spans="1:21">
      <c r="A16" s="28" t="s">
        <v>75</v>
      </c>
      <c r="B16" t="s">
        <v>73</v>
      </c>
      <c r="C16" s="3">
        <v>11.6</v>
      </c>
      <c r="D16" s="102">
        <f t="shared" si="0"/>
        <v>2.3061138306486049</v>
      </c>
      <c r="E16" s="8"/>
      <c r="F16" s="90"/>
      <c r="K16" s="9"/>
      <c r="L16" s="9"/>
    </row>
    <row r="17" spans="1:12">
      <c r="A17" s="28" t="s">
        <v>75</v>
      </c>
      <c r="B17" t="s">
        <v>73</v>
      </c>
      <c r="C17" s="3">
        <v>16</v>
      </c>
      <c r="D17" s="102">
        <f t="shared" si="0"/>
        <v>3.353106139026016</v>
      </c>
      <c r="E17" s="8"/>
      <c r="F17" s="90"/>
      <c r="K17" s="9"/>
      <c r="L17" s="9"/>
    </row>
    <row r="18" spans="1:12">
      <c r="A18" s="28" t="s">
        <v>76</v>
      </c>
      <c r="B18" t="s">
        <v>73</v>
      </c>
      <c r="C18" s="3">
        <v>2.5</v>
      </c>
      <c r="D18" s="102">
        <f t="shared" si="0"/>
        <v>0.38641485264553777</v>
      </c>
      <c r="E18" s="8"/>
      <c r="F18" s="90"/>
      <c r="H18" s="6"/>
    </row>
    <row r="19" spans="1:12">
      <c r="A19" s="28" t="s">
        <v>76</v>
      </c>
      <c r="B19" t="s">
        <v>73</v>
      </c>
      <c r="C19" s="3">
        <v>4.8</v>
      </c>
      <c r="D19" s="102">
        <f t="shared" si="0"/>
        <v>0.82568889048773464</v>
      </c>
      <c r="E19" s="8"/>
      <c r="F19" s="90"/>
      <c r="H19" s="6"/>
    </row>
    <row r="20" spans="1:12">
      <c r="A20" s="28" t="s">
        <v>76</v>
      </c>
      <c r="B20" t="s">
        <v>73</v>
      </c>
      <c r="C20" s="3">
        <v>2.6</v>
      </c>
      <c r="D20" s="102">
        <f t="shared" si="0"/>
        <v>0.40446469424674153</v>
      </c>
      <c r="E20" s="8"/>
      <c r="F20" s="90"/>
      <c r="H20" s="6"/>
    </row>
    <row r="21" spans="1:12">
      <c r="A21" s="28" t="s">
        <v>76</v>
      </c>
      <c r="B21" t="s">
        <v>73</v>
      </c>
      <c r="C21" s="3">
        <v>2.8</v>
      </c>
      <c r="D21" s="102">
        <f t="shared" si="0"/>
        <v>0.44090354372891344</v>
      </c>
      <c r="E21" s="8"/>
      <c r="F21" s="90"/>
      <c r="H21" s="6"/>
    </row>
    <row r="22" spans="1:12">
      <c r="A22" s="28" t="s">
        <v>76</v>
      </c>
      <c r="B22" t="s">
        <v>73</v>
      </c>
      <c r="C22" s="3">
        <v>4.0999999999999996</v>
      </c>
      <c r="D22" s="102">
        <f t="shared" si="0"/>
        <v>0.68727737960614621</v>
      </c>
      <c r="E22" s="8"/>
      <c r="F22" s="90"/>
    </row>
    <row r="23" spans="1:12">
      <c r="A23" s="28" t="s">
        <v>76</v>
      </c>
      <c r="B23" t="s">
        <v>73</v>
      </c>
      <c r="C23" s="3">
        <v>38.6</v>
      </c>
      <c r="D23" s="102">
        <f t="shared" si="0"/>
        <v>9.3462902424186574</v>
      </c>
      <c r="E23" s="8"/>
      <c r="F23" s="90"/>
    </row>
    <row r="24" spans="1:12">
      <c r="A24" s="28" t="s">
        <v>76</v>
      </c>
      <c r="B24" t="s">
        <v>73</v>
      </c>
      <c r="C24" s="3">
        <v>6</v>
      </c>
      <c r="D24" s="102">
        <f t="shared" si="0"/>
        <v>1.0705814064559329</v>
      </c>
      <c r="E24" s="8"/>
      <c r="F24" s="90"/>
    </row>
    <row r="25" spans="1:12">
      <c r="A25" s="28" t="s">
        <v>76</v>
      </c>
      <c r="B25" t="s">
        <v>73</v>
      </c>
      <c r="C25" s="3">
        <v>12</v>
      </c>
      <c r="D25" s="102">
        <f t="shared" si="0"/>
        <v>2.3989357214201159</v>
      </c>
      <c r="E25" s="8"/>
      <c r="F25" s="90"/>
    </row>
    <row r="26" spans="1:12">
      <c r="A26" s="28" t="s">
        <v>76</v>
      </c>
      <c r="B26" t="s">
        <v>73</v>
      </c>
      <c r="C26" s="3">
        <v>5.5</v>
      </c>
      <c r="D26" s="102">
        <f t="shared" si="0"/>
        <v>0.96746176775155801</v>
      </c>
      <c r="E26" s="8"/>
      <c r="F26" s="90"/>
    </row>
    <row r="27" spans="1:12">
      <c r="A27" s="28" t="s">
        <v>76</v>
      </c>
      <c r="B27" t="s">
        <v>73</v>
      </c>
      <c r="C27" s="3">
        <v>5</v>
      </c>
      <c r="D27" s="102">
        <f t="shared" si="0"/>
        <v>0.86587006621698459</v>
      </c>
      <c r="E27" s="8"/>
      <c r="F27" s="90"/>
    </row>
    <row r="28" spans="1:12">
      <c r="A28" s="28" t="s">
        <v>76</v>
      </c>
      <c r="B28" t="s">
        <v>73</v>
      </c>
      <c r="C28" s="3">
        <v>14.4</v>
      </c>
      <c r="D28" s="102">
        <f t="shared" si="0"/>
        <v>2.9660985855026984</v>
      </c>
      <c r="E28" s="8"/>
      <c r="F28" s="90"/>
    </row>
    <row r="29" spans="1:12">
      <c r="A29" s="28" t="s">
        <v>76</v>
      </c>
      <c r="B29" t="s">
        <v>73</v>
      </c>
      <c r="C29" s="3">
        <v>2.5</v>
      </c>
      <c r="D29" s="102">
        <f t="shared" si="0"/>
        <v>0.38641485264553777</v>
      </c>
      <c r="E29" s="8"/>
      <c r="F29" s="90"/>
    </row>
    <row r="30" spans="1:12">
      <c r="A30" s="28" t="s">
        <v>76</v>
      </c>
      <c r="B30" t="s">
        <v>73</v>
      </c>
      <c r="C30" s="3">
        <v>24.9</v>
      </c>
      <c r="D30" s="102">
        <f t="shared" si="0"/>
        <v>5.6108373715092021</v>
      </c>
      <c r="E30" s="8"/>
      <c r="F30" s="90"/>
    </row>
    <row r="31" spans="1:12">
      <c r="A31" s="28" t="s">
        <v>76</v>
      </c>
      <c r="B31" t="s">
        <v>73</v>
      </c>
      <c r="C31" s="3">
        <v>30.8</v>
      </c>
      <c r="D31" s="102">
        <f t="shared" si="0"/>
        <v>7.1866198888278605</v>
      </c>
      <c r="E31" s="8"/>
      <c r="F31" s="90"/>
    </row>
    <row r="32" spans="1:12">
      <c r="A32" s="28" t="s">
        <v>77</v>
      </c>
      <c r="B32" t="s">
        <v>73</v>
      </c>
      <c r="C32" s="3">
        <v>20.8</v>
      </c>
      <c r="D32" s="102">
        <f t="shared" si="0"/>
        <v>4.5506911647484509</v>
      </c>
      <c r="E32" s="8"/>
      <c r="F32" s="90"/>
    </row>
    <row r="33" spans="1:6">
      <c r="A33" s="28" t="s">
        <v>77</v>
      </c>
      <c r="B33" t="s">
        <v>73</v>
      </c>
      <c r="C33" s="3">
        <v>12.4</v>
      </c>
      <c r="D33" s="102">
        <f t="shared" si="0"/>
        <v>2.4922665147951566</v>
      </c>
      <c r="E33" s="8"/>
      <c r="F33" s="90"/>
    </row>
    <row r="34" spans="1:6">
      <c r="A34" s="28" t="s">
        <v>77</v>
      </c>
      <c r="B34" t="s">
        <v>73</v>
      </c>
      <c r="C34" s="3">
        <v>10</v>
      </c>
      <c r="D34" s="102">
        <f t="shared" si="0"/>
        <v>1.9402229661662138</v>
      </c>
      <c r="E34" s="8"/>
      <c r="F34" s="90"/>
    </row>
    <row r="35" spans="1:6">
      <c r="A35" s="28" t="s">
        <v>77</v>
      </c>
      <c r="B35" t="s">
        <v>73</v>
      </c>
      <c r="C35" s="3">
        <v>3.1</v>
      </c>
      <c r="D35" s="102">
        <f t="shared" si="0"/>
        <v>0.49635985907893687</v>
      </c>
      <c r="E35" s="8"/>
      <c r="F35" s="90"/>
    </row>
    <row r="36" spans="1:6">
      <c r="A36" s="28" t="s">
        <v>77</v>
      </c>
      <c r="B36" t="s">
        <v>73</v>
      </c>
      <c r="C36" s="3">
        <v>2.5</v>
      </c>
      <c r="D36" s="102">
        <f t="shared" si="0"/>
        <v>0.38641485264553777</v>
      </c>
      <c r="E36" s="8"/>
      <c r="F36" s="90"/>
    </row>
    <row r="37" spans="1:6">
      <c r="A37" s="28" t="s">
        <v>77</v>
      </c>
      <c r="B37" t="s">
        <v>73</v>
      </c>
      <c r="C37" s="3">
        <v>4.0999999999999996</v>
      </c>
      <c r="D37" s="102">
        <f t="shared" si="0"/>
        <v>0.68727737960614621</v>
      </c>
      <c r="E37" s="8"/>
      <c r="F37" s="90"/>
    </row>
    <row r="38" spans="1:6">
      <c r="A38" s="28" t="s">
        <v>77</v>
      </c>
      <c r="B38" t="s">
        <v>74</v>
      </c>
      <c r="C38" s="3">
        <v>42</v>
      </c>
      <c r="D38" s="102">
        <f t="shared" si="0"/>
        <v>20.130228708408854</v>
      </c>
      <c r="E38" s="8"/>
      <c r="F38" s="90"/>
    </row>
    <row r="39" spans="1:6">
      <c r="A39" s="28" t="s">
        <v>77</v>
      </c>
      <c r="B39" t="s">
        <v>73</v>
      </c>
      <c r="C39" s="3">
        <v>2.6</v>
      </c>
      <c r="D39" s="102">
        <f t="shared" si="0"/>
        <v>0.40446469424674153</v>
      </c>
      <c r="E39" s="8"/>
      <c r="F39" s="90"/>
    </row>
    <row r="40" spans="1:6">
      <c r="A40" s="28" t="s">
        <v>77</v>
      </c>
      <c r="B40" t="s">
        <v>73</v>
      </c>
      <c r="C40" s="3">
        <v>4.4000000000000004</v>
      </c>
      <c r="D40" s="102">
        <f t="shared" si="0"/>
        <v>0.74615758202687177</v>
      </c>
      <c r="E40" s="8"/>
      <c r="F40" s="90"/>
    </row>
    <row r="41" spans="1:6">
      <c r="A41" s="28" t="s">
        <v>77</v>
      </c>
      <c r="B41" t="s">
        <v>73</v>
      </c>
      <c r="C41" s="3">
        <v>3.1</v>
      </c>
      <c r="D41" s="102">
        <f t="shared" si="0"/>
        <v>0.49635985907893687</v>
      </c>
      <c r="E41" s="8"/>
      <c r="F41" s="90"/>
    </row>
    <row r="42" spans="1:6">
      <c r="A42" s="28" t="s">
        <v>77</v>
      </c>
      <c r="B42" t="s">
        <v>73</v>
      </c>
      <c r="C42" s="3">
        <v>2.6</v>
      </c>
      <c r="D42" s="102">
        <f t="shared" si="0"/>
        <v>0.40446469424674153</v>
      </c>
      <c r="E42" s="8"/>
      <c r="F42" s="90"/>
    </row>
    <row r="43" spans="1:6">
      <c r="A43" s="28" t="s">
        <v>77</v>
      </c>
      <c r="B43" t="s">
        <v>73</v>
      </c>
      <c r="C43" s="3">
        <v>5.0999999999999996</v>
      </c>
      <c r="D43" s="102">
        <f t="shared" si="0"/>
        <v>0.88606039701285255</v>
      </c>
      <c r="E43" s="8"/>
      <c r="F43" s="90"/>
    </row>
    <row r="44" spans="1:6">
      <c r="A44" s="28" t="s">
        <v>77</v>
      </c>
      <c r="B44" t="s">
        <v>73</v>
      </c>
      <c r="C44" s="3">
        <v>2.7</v>
      </c>
      <c r="D44" s="102">
        <f t="shared" si="0"/>
        <v>0.42262877447129416</v>
      </c>
      <c r="E44" s="8"/>
      <c r="F44" s="90"/>
    </row>
    <row r="45" spans="1:6">
      <c r="A45" s="28" t="s">
        <v>77</v>
      </c>
      <c r="B45" t="s">
        <v>73</v>
      </c>
      <c r="C45" s="3">
        <v>5.3</v>
      </c>
      <c r="D45" s="102">
        <f t="shared" si="0"/>
        <v>0.92663511358743544</v>
      </c>
      <c r="E45" s="8"/>
      <c r="F45" s="90"/>
    </row>
    <row r="46" spans="1:6">
      <c r="A46" s="28" t="s">
        <v>77</v>
      </c>
      <c r="B46" t="s">
        <v>73</v>
      </c>
      <c r="C46" s="3">
        <v>3.4</v>
      </c>
      <c r="D46" s="102">
        <f t="shared" si="0"/>
        <v>0.55270462710807688</v>
      </c>
      <c r="E46" s="8"/>
      <c r="F46" s="90"/>
    </row>
    <row r="47" spans="1:6">
      <c r="A47" s="28" t="s">
        <v>77</v>
      </c>
      <c r="B47" t="s">
        <v>73</v>
      </c>
      <c r="C47" s="3">
        <v>8.9</v>
      </c>
      <c r="D47" s="102">
        <f t="shared" si="0"/>
        <v>1.6941100104630786</v>
      </c>
      <c r="E47" s="8"/>
      <c r="F47" s="90"/>
    </row>
    <row r="48" spans="1:6">
      <c r="A48" s="28" t="s">
        <v>78</v>
      </c>
      <c r="B48" t="s">
        <v>73</v>
      </c>
      <c r="C48" s="3">
        <v>2.7</v>
      </c>
      <c r="D48" s="102">
        <f t="shared" si="0"/>
        <v>0.42262877447129416</v>
      </c>
      <c r="E48" s="8"/>
      <c r="F48" s="90"/>
    </row>
    <row r="49" spans="1:6">
      <c r="A49" s="28" t="s">
        <v>78</v>
      </c>
      <c r="B49" t="s">
        <v>73</v>
      </c>
      <c r="C49" s="3">
        <v>4</v>
      </c>
      <c r="D49" s="102">
        <f t="shared" si="0"/>
        <v>0.66780469936236608</v>
      </c>
      <c r="E49" s="8"/>
      <c r="F49" s="90"/>
    </row>
    <row r="50" spans="1:6">
      <c r="A50" s="28" t="s">
        <v>78</v>
      </c>
      <c r="B50" t="s">
        <v>73</v>
      </c>
      <c r="C50" s="3">
        <v>7.5</v>
      </c>
      <c r="D50" s="102">
        <f t="shared" si="0"/>
        <v>1.3881070231817403</v>
      </c>
      <c r="E50" s="8"/>
      <c r="F50" s="90"/>
    </row>
    <row r="51" spans="1:6">
      <c r="A51" s="28" t="s">
        <v>78</v>
      </c>
      <c r="B51" t="s">
        <v>73</v>
      </c>
      <c r="C51" s="3">
        <v>6.1</v>
      </c>
      <c r="D51" s="102">
        <f t="shared" si="0"/>
        <v>1.0913789395908646</v>
      </c>
      <c r="E51" s="8"/>
      <c r="F51" s="90"/>
    </row>
    <row r="52" spans="1:6">
      <c r="A52" s="28" t="s">
        <v>78</v>
      </c>
      <c r="B52" t="s">
        <v>74</v>
      </c>
      <c r="C52" s="3">
        <v>43.4</v>
      </c>
      <c r="D52" s="102">
        <f t="shared" si="0"/>
        <v>21.616179740188553</v>
      </c>
      <c r="E52" s="8"/>
      <c r="F52" s="90"/>
    </row>
    <row r="53" spans="1:6">
      <c r="A53" s="28" t="s">
        <v>78</v>
      </c>
      <c r="B53" t="s">
        <v>73</v>
      </c>
      <c r="C53" s="3">
        <v>3.2</v>
      </c>
      <c r="D53" s="102">
        <f t="shared" si="0"/>
        <v>0.51504623371366565</v>
      </c>
      <c r="E53" s="8"/>
      <c r="F53" s="90"/>
    </row>
    <row r="54" spans="1:6">
      <c r="A54" s="28" t="s">
        <v>78</v>
      </c>
      <c r="B54" t="s">
        <v>73</v>
      </c>
      <c r="C54" s="3">
        <v>3.4</v>
      </c>
      <c r="D54" s="102">
        <f t="shared" si="0"/>
        <v>0.55270462710807688</v>
      </c>
      <c r="E54" s="8"/>
      <c r="F54" s="90"/>
    </row>
    <row r="55" spans="1:6">
      <c r="A55" s="28" t="s">
        <v>78</v>
      </c>
      <c r="B55" t="s">
        <v>73</v>
      </c>
      <c r="C55" s="3">
        <v>3.2</v>
      </c>
      <c r="D55" s="102">
        <f t="shared" si="0"/>
        <v>0.51504623371366565</v>
      </c>
      <c r="E55" s="8"/>
      <c r="F55" s="90"/>
    </row>
    <row r="56" spans="1:6">
      <c r="A56" s="28" t="s">
        <v>78</v>
      </c>
      <c r="B56" t="s">
        <v>73</v>
      </c>
      <c r="C56" s="3">
        <v>2.5</v>
      </c>
      <c r="D56" s="102">
        <f t="shared" si="0"/>
        <v>0.38641485264553777</v>
      </c>
      <c r="E56" s="8"/>
      <c r="F56" s="90"/>
    </row>
    <row r="57" spans="1:6">
      <c r="A57" s="28" t="s">
        <v>78</v>
      </c>
      <c r="B57" t="s">
        <v>73</v>
      </c>
      <c r="C57" s="3">
        <v>20.399999999999999</v>
      </c>
      <c r="D57" s="102">
        <f t="shared" si="0"/>
        <v>4.4489871958200506</v>
      </c>
      <c r="E57" s="8"/>
      <c r="F57" s="90"/>
    </row>
    <row r="58" spans="1:6">
      <c r="A58" s="28" t="s">
        <v>78</v>
      </c>
      <c r="B58" t="s">
        <v>73</v>
      </c>
      <c r="C58" s="3">
        <v>13.4</v>
      </c>
      <c r="D58" s="102">
        <f t="shared" si="0"/>
        <v>2.7277315456998514</v>
      </c>
      <c r="E58" s="8"/>
      <c r="F58" s="90"/>
    </row>
    <row r="59" spans="1:6">
      <c r="A59" s="28" t="s">
        <v>78</v>
      </c>
      <c r="B59" t="s">
        <v>73</v>
      </c>
      <c r="C59" s="3">
        <v>2.5</v>
      </c>
      <c r="D59" s="102">
        <f t="shared" si="0"/>
        <v>0.38641485264553777</v>
      </c>
      <c r="E59" s="8"/>
      <c r="F59" s="90"/>
    </row>
  </sheetData>
  <sortState ref="A2:D17">
    <sortCondition ref="A2:A17"/>
  </sortState>
  <phoneticPr fontId="3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37" zoomScale="130" zoomScaleNormal="130" workbookViewId="0">
      <selection activeCell="B37" sqref="B37"/>
    </sheetView>
  </sheetViews>
  <sheetFormatPr defaultColWidth="8.85546875" defaultRowHeight="14.1" customHeight="1"/>
  <cols>
    <col min="1" max="1" width="12" bestFit="1" customWidth="1"/>
    <col min="2" max="2" width="21.85546875" bestFit="1" customWidth="1"/>
    <col min="3" max="3" width="18.85546875" bestFit="1" customWidth="1"/>
    <col min="4" max="4" width="14.42578125" bestFit="1" customWidth="1"/>
    <col min="5" max="5" width="15.7109375" bestFit="1" customWidth="1"/>
    <col min="6" max="6" width="10.42578125" bestFit="1" customWidth="1"/>
    <col min="7" max="7" width="12.28515625" customWidth="1"/>
    <col min="8" max="8" width="11.85546875" customWidth="1"/>
    <col min="10" max="10" width="19.42578125" customWidth="1"/>
  </cols>
  <sheetData>
    <row r="1" spans="1:6" ht="14.1" customHeight="1">
      <c r="A1" t="s">
        <v>70</v>
      </c>
    </row>
    <row r="2" spans="1:6" ht="14.1" customHeight="1">
      <c r="A2" t="s">
        <v>33</v>
      </c>
      <c r="B2" s="8" t="s">
        <v>14</v>
      </c>
      <c r="C2" s="8" t="s">
        <v>15</v>
      </c>
      <c r="D2" s="8" t="s">
        <v>128</v>
      </c>
      <c r="E2" s="8" t="s">
        <v>17</v>
      </c>
      <c r="F2" s="8"/>
    </row>
    <row r="3" spans="1:6" ht="14.1" customHeight="1">
      <c r="A3" t="s">
        <v>19</v>
      </c>
      <c r="B3" s="4">
        <v>21.962838978531217</v>
      </c>
      <c r="C3" s="12">
        <v>5490.7097446328044</v>
      </c>
      <c r="D3" s="12">
        <f>LOG10(C3/2*1000)</f>
        <v>6.4385984905447371</v>
      </c>
      <c r="E3" s="104">
        <f>AVERAGE(D3:D7)</f>
        <v>6.5844539783984404</v>
      </c>
      <c r="F3" s="97">
        <f>_xlfn.STDEV.S(D3:D7)/SQRT(5)</f>
        <v>4.0782253418277216E-2</v>
      </c>
    </row>
    <row r="4" spans="1:6" ht="14.1" customHeight="1">
      <c r="A4" t="s">
        <v>18</v>
      </c>
      <c r="B4" s="4">
        <v>28.781680447962593</v>
      </c>
      <c r="C4" s="12">
        <v>7195.4201119906484</v>
      </c>
      <c r="D4" s="12">
        <f t="shared" ref="D4:D7" si="0">LOG10(C4/2*1000)</f>
        <v>6.5560261600781189</v>
      </c>
      <c r="E4" s="96"/>
      <c r="F4" s="97"/>
    </row>
    <row r="5" spans="1:6" ht="14.1" customHeight="1">
      <c r="A5" t="s">
        <v>20</v>
      </c>
      <c r="B5" s="4">
        <v>33.543859263463624</v>
      </c>
      <c r="C5" s="12">
        <v>8385.9648158659056</v>
      </c>
      <c r="D5" s="12">
        <f t="shared" si="0"/>
        <v>6.6225230402824922</v>
      </c>
      <c r="E5" s="96"/>
      <c r="F5" s="97"/>
    </row>
    <row r="6" spans="1:6" ht="14.1" customHeight="1">
      <c r="A6" t="s">
        <v>21</v>
      </c>
      <c r="B6" s="4">
        <v>37.217047197691329</v>
      </c>
      <c r="C6" s="12">
        <v>9304.2617994228331</v>
      </c>
      <c r="D6" s="12">
        <f t="shared" si="0"/>
        <v>6.6676519262246279</v>
      </c>
      <c r="E6" s="96"/>
      <c r="F6" s="97"/>
    </row>
    <row r="7" spans="1:6" ht="14.1" customHeight="1">
      <c r="A7" t="s">
        <v>22</v>
      </c>
      <c r="B7" s="4">
        <v>34.718444718141207</v>
      </c>
      <c r="C7" s="12">
        <v>8679.6111795353008</v>
      </c>
      <c r="D7" s="12">
        <f t="shared" si="0"/>
        <v>6.637470274862225</v>
      </c>
      <c r="E7" s="96"/>
      <c r="F7" s="97"/>
    </row>
    <row r="9" spans="1:6" ht="14.1" customHeight="1">
      <c r="B9" t="s">
        <v>67</v>
      </c>
      <c r="C9" t="s">
        <v>15</v>
      </c>
      <c r="D9" t="s">
        <v>16</v>
      </c>
      <c r="E9" s="8" t="s">
        <v>17</v>
      </c>
      <c r="F9" s="8"/>
    </row>
    <row r="10" spans="1:6" ht="14.1" customHeight="1">
      <c r="A10" t="s">
        <v>23</v>
      </c>
      <c r="B10" s="4">
        <v>6.21</v>
      </c>
      <c r="C10" s="12">
        <f>B10/625/10^6*10^8</f>
        <v>0.99360000000000004</v>
      </c>
      <c r="D10" s="12">
        <f>LOG10(C10/2*1000)</f>
        <v>2.6961815871685237</v>
      </c>
      <c r="E10" s="97">
        <f>AVERAGE(D10:D14)</f>
        <v>1.2072363174337049</v>
      </c>
      <c r="F10" s="97">
        <f>_xlfn.STDEV.S(D10:D14)/SQRT(5)</f>
        <v>0.39953352301979084</v>
      </c>
    </row>
    <row r="11" spans="1:6" ht="14.1" customHeight="1">
      <c r="A11" t="s">
        <v>24</v>
      </c>
      <c r="B11" s="4">
        <v>6.36</v>
      </c>
      <c r="C11" s="12">
        <f t="shared" ref="C11:C14" si="1">B11/625/10^6*10^8</f>
        <v>1.0176000000000001</v>
      </c>
      <c r="D11" s="12">
        <f t="shared" ref="D11:D14" si="2">C11/2</f>
        <v>0.50880000000000003</v>
      </c>
      <c r="E11" s="97"/>
      <c r="F11" s="97"/>
    </row>
    <row r="12" spans="1:6" ht="14.1" customHeight="1">
      <c r="A12" t="s">
        <v>25</v>
      </c>
      <c r="B12" s="4">
        <v>12.48</v>
      </c>
      <c r="C12" s="12">
        <f t="shared" si="1"/>
        <v>1.9968000000000001</v>
      </c>
      <c r="D12" s="12">
        <f t="shared" si="2"/>
        <v>0.99840000000000007</v>
      </c>
      <c r="E12" s="97"/>
      <c r="F12" s="97"/>
    </row>
    <row r="13" spans="1:6" ht="14.1" customHeight="1">
      <c r="A13" t="s">
        <v>26</v>
      </c>
      <c r="B13" s="4">
        <v>16.09</v>
      </c>
      <c r="C13" s="12">
        <f t="shared" si="1"/>
        <v>2.5743999999999998</v>
      </c>
      <c r="D13" s="12">
        <f t="shared" si="2"/>
        <v>1.2871999999999999</v>
      </c>
      <c r="E13" s="97"/>
      <c r="F13" s="97"/>
    </row>
    <row r="14" spans="1:6" ht="14.1" customHeight="1">
      <c r="A14" t="s">
        <v>27</v>
      </c>
      <c r="B14" s="4">
        <v>6.82</v>
      </c>
      <c r="C14" s="12">
        <f t="shared" si="1"/>
        <v>1.0911999999999999</v>
      </c>
      <c r="D14" s="12">
        <f t="shared" si="2"/>
        <v>0.54559999999999997</v>
      </c>
      <c r="E14" s="97"/>
      <c r="F14" s="97"/>
    </row>
    <row r="15" spans="1:6" ht="14.1" customHeight="1">
      <c r="B15" s="4"/>
      <c r="C15" s="12"/>
      <c r="D15" s="12"/>
    </row>
    <row r="17" spans="1:26" ht="14.1" customHeight="1">
      <c r="B17" t="s">
        <v>67</v>
      </c>
      <c r="C17" t="s">
        <v>15</v>
      </c>
      <c r="D17" t="s">
        <v>16</v>
      </c>
      <c r="E17" s="8" t="s">
        <v>17</v>
      </c>
      <c r="F17" s="8"/>
    </row>
    <row r="18" spans="1:26" ht="14.1" customHeight="1">
      <c r="A18" t="s">
        <v>36</v>
      </c>
      <c r="B18" s="4">
        <v>75.61</v>
      </c>
      <c r="C18" s="12">
        <f>B18/625/10^6*10^8</f>
        <v>12.097600000000002</v>
      </c>
      <c r="D18" s="12">
        <f>LOG10(C18/2*1000)</f>
        <v>3.7816692250541628</v>
      </c>
      <c r="E18" s="97">
        <f>AVERAGE(D18:D22)</f>
        <v>3.9115338450108323</v>
      </c>
      <c r="F18" s="97">
        <f>_xlfn.STDEV.S(D18:D22)/SQRT(5)</f>
        <v>0.42229366466924534</v>
      </c>
      <c r="H18" s="21"/>
      <c r="I18" s="21"/>
      <c r="J18" s="21"/>
      <c r="K18" s="21"/>
      <c r="L18" s="21"/>
    </row>
    <row r="19" spans="1:26" ht="14.1" customHeight="1">
      <c r="A19" t="s">
        <v>37</v>
      </c>
      <c r="B19" s="4">
        <v>65.59</v>
      </c>
      <c r="C19" s="12">
        <f t="shared" ref="C19:C22" si="3">B19/625/10^6*10^8</f>
        <v>10.494400000000001</v>
      </c>
      <c r="D19" s="12">
        <f t="shared" ref="D19:D22" si="4">C19/2</f>
        <v>5.2472000000000003</v>
      </c>
      <c r="E19" s="97"/>
      <c r="F19" s="97"/>
      <c r="H19" s="21"/>
      <c r="I19" s="21"/>
      <c r="J19" s="21"/>
      <c r="K19" s="21"/>
      <c r="L19" s="21"/>
    </row>
    <row r="20" spans="1:26" ht="14.1" customHeight="1">
      <c r="A20" t="s">
        <v>38</v>
      </c>
      <c r="B20" s="4">
        <v>55.06</v>
      </c>
      <c r="C20" s="12">
        <f t="shared" si="3"/>
        <v>8.8096000000000014</v>
      </c>
      <c r="D20" s="12">
        <f t="shared" si="4"/>
        <v>4.4048000000000007</v>
      </c>
      <c r="E20" s="97"/>
      <c r="F20" s="97"/>
      <c r="H20" s="24"/>
      <c r="I20" s="24"/>
      <c r="J20" s="24"/>
      <c r="K20" s="21"/>
      <c r="L20" s="21"/>
    </row>
    <row r="21" spans="1:26" ht="14.1" customHeight="1">
      <c r="A21" t="s">
        <v>39</v>
      </c>
      <c r="B21" s="4">
        <v>40.76</v>
      </c>
      <c r="C21" s="12">
        <f t="shared" si="3"/>
        <v>6.5215999999999994</v>
      </c>
      <c r="D21" s="12">
        <f t="shared" si="4"/>
        <v>3.2607999999999997</v>
      </c>
      <c r="E21" s="97"/>
      <c r="F21" s="97"/>
      <c r="H21" s="18"/>
      <c r="I21" s="18"/>
      <c r="J21" s="18"/>
      <c r="K21" s="21"/>
      <c r="L21" s="21"/>
    </row>
    <row r="22" spans="1:26" ht="14.1" customHeight="1">
      <c r="A22" t="s">
        <v>40</v>
      </c>
      <c r="B22" s="4">
        <v>35.79</v>
      </c>
      <c r="C22" s="12">
        <f t="shared" si="3"/>
        <v>5.7263999999999999</v>
      </c>
      <c r="D22" s="12">
        <f t="shared" si="4"/>
        <v>2.8632</v>
      </c>
      <c r="E22" s="97"/>
      <c r="F22" s="97"/>
      <c r="H22" s="18"/>
      <c r="I22" s="18"/>
      <c r="J22" s="18"/>
      <c r="K22" s="21"/>
      <c r="L22" s="21"/>
    </row>
    <row r="23" spans="1:26" ht="14.1" customHeight="1">
      <c r="B23" s="4"/>
      <c r="C23" s="12"/>
      <c r="D23" s="12"/>
      <c r="H23" s="18"/>
      <c r="I23" s="18"/>
      <c r="J23" s="18"/>
      <c r="K23" s="21"/>
      <c r="L23" s="21"/>
    </row>
    <row r="24" spans="1:26" ht="14.1" customHeight="1">
      <c r="B24" s="1" t="s">
        <v>88</v>
      </c>
      <c r="C24" s="30"/>
      <c r="D24" s="30"/>
      <c r="E24" s="1"/>
      <c r="F24" s="18"/>
      <c r="H24" s="18"/>
      <c r="I24" s="18"/>
      <c r="J24" s="18"/>
      <c r="K24" s="21"/>
      <c r="L24" s="21"/>
    </row>
    <row r="25" spans="1:26" ht="14.1" customHeight="1">
      <c r="B25" s="30" t="s">
        <v>69</v>
      </c>
      <c r="C25" s="30" t="s">
        <v>105</v>
      </c>
      <c r="D25" s="30" t="s">
        <v>68</v>
      </c>
      <c r="E25" s="1"/>
      <c r="F25" s="31" t="s">
        <v>87</v>
      </c>
      <c r="H25" s="18"/>
      <c r="I25" s="18"/>
      <c r="K25" s="21"/>
      <c r="L25" s="21"/>
    </row>
    <row r="26" spans="1:26" ht="14.1" customHeight="1">
      <c r="B26">
        <v>0.49680000000000002</v>
      </c>
      <c r="C26">
        <v>6.0488000000000008</v>
      </c>
      <c r="D26">
        <v>2745.3548723164022</v>
      </c>
      <c r="F26" t="s">
        <v>125</v>
      </c>
    </row>
    <row r="27" spans="1:26" ht="14.1" customHeight="1">
      <c r="B27" s="4">
        <v>0.50880000000000003</v>
      </c>
      <c r="C27" s="12">
        <v>5.2472000000000003</v>
      </c>
      <c r="D27" s="12">
        <v>3597.7100559953242</v>
      </c>
    </row>
    <row r="28" spans="1:26" ht="14.1" customHeight="1" thickBot="1">
      <c r="B28" s="4">
        <v>0.99840000000000007</v>
      </c>
      <c r="C28" s="12">
        <v>4.4048000000000007</v>
      </c>
      <c r="D28" s="12">
        <v>4192.9824079329528</v>
      </c>
      <c r="F28" t="s">
        <v>126</v>
      </c>
    </row>
    <row r="29" spans="1:26" ht="14.1" customHeight="1">
      <c r="B29" s="4">
        <v>1.2871999999999999</v>
      </c>
      <c r="C29" s="12">
        <v>3.2607999999999997</v>
      </c>
      <c r="D29" s="12">
        <v>4652.1308997114165</v>
      </c>
      <c r="F29" s="106" t="s">
        <v>111</v>
      </c>
      <c r="G29" s="106" t="s">
        <v>112</v>
      </c>
      <c r="H29" s="106" t="s">
        <v>113</v>
      </c>
      <c r="I29" s="106" t="s">
        <v>114</v>
      </c>
      <c r="J29" s="106" t="s">
        <v>115</v>
      </c>
      <c r="V29" s="106"/>
      <c r="W29" s="106"/>
      <c r="X29" s="106"/>
      <c r="Y29" s="106"/>
      <c r="Z29" s="106"/>
    </row>
    <row r="30" spans="1:26" ht="14.1" customHeight="1">
      <c r="B30" s="4">
        <v>0.54559999999999997</v>
      </c>
      <c r="C30" s="12">
        <v>2.8632</v>
      </c>
      <c r="D30" s="12">
        <v>4339.8055897676504</v>
      </c>
      <c r="F30" s="18" t="s">
        <v>69</v>
      </c>
      <c r="G30" s="18">
        <v>5</v>
      </c>
      <c r="H30" s="18">
        <v>3.8367999999999998</v>
      </c>
      <c r="I30" s="18">
        <v>0.76735999999999993</v>
      </c>
      <c r="J30" s="18">
        <v>0.12821164800000018</v>
      </c>
      <c r="V30" s="18"/>
      <c r="W30" s="18"/>
      <c r="X30" s="18"/>
      <c r="Y30" s="18"/>
      <c r="Z30" s="18"/>
    </row>
    <row r="31" spans="1:26" ht="14.1" customHeight="1">
      <c r="B31" s="4"/>
      <c r="C31" s="12"/>
      <c r="D31" s="12"/>
      <c r="F31" s="18" t="s">
        <v>105</v>
      </c>
      <c r="G31" s="18">
        <v>5</v>
      </c>
      <c r="H31" s="18">
        <v>21.8248</v>
      </c>
      <c r="I31" s="18">
        <v>4.36496</v>
      </c>
      <c r="J31" s="18">
        <v>1.7724260480000034</v>
      </c>
      <c r="V31" s="18"/>
      <c r="W31" s="18"/>
      <c r="X31" s="18"/>
      <c r="Y31" s="18"/>
      <c r="Z31" s="18"/>
    </row>
    <row r="32" spans="1:26" ht="14.1" customHeight="1" thickBot="1">
      <c r="F32" s="105" t="s">
        <v>68</v>
      </c>
      <c r="G32" s="105">
        <v>5</v>
      </c>
      <c r="H32" s="105">
        <v>19527.983825723746</v>
      </c>
      <c r="I32" s="105">
        <v>3905.596765144749</v>
      </c>
      <c r="J32" s="105">
        <v>567349.12516979128</v>
      </c>
      <c r="V32" s="105"/>
      <c r="W32" s="105"/>
      <c r="X32" s="105"/>
      <c r="Y32" s="105"/>
      <c r="Z32" s="105"/>
    </row>
    <row r="34" spans="2:12" ht="14.1" customHeight="1">
      <c r="B34" t="s">
        <v>68</v>
      </c>
      <c r="C34">
        <v>6.58</v>
      </c>
      <c r="D34">
        <v>0.04</v>
      </c>
    </row>
    <row r="35" spans="2:12" ht="14.1" customHeight="1">
      <c r="B35" t="s">
        <v>69</v>
      </c>
      <c r="C35">
        <v>1.21</v>
      </c>
      <c r="D35">
        <v>0.4</v>
      </c>
      <c r="F35" t="s">
        <v>127</v>
      </c>
    </row>
    <row r="36" spans="2:12" ht="14.1" customHeight="1">
      <c r="B36" t="s">
        <v>86</v>
      </c>
      <c r="C36">
        <v>3.91</v>
      </c>
      <c r="D36">
        <v>0.42</v>
      </c>
      <c r="F36" t="s">
        <v>116</v>
      </c>
      <c r="G36" t="s">
        <v>117</v>
      </c>
      <c r="H36" t="s">
        <v>118</v>
      </c>
      <c r="I36" t="s">
        <v>119</v>
      </c>
      <c r="J36" t="s">
        <v>120</v>
      </c>
      <c r="K36" t="s">
        <v>95</v>
      </c>
      <c r="L36" t="s">
        <v>121</v>
      </c>
    </row>
    <row r="37" spans="2:12" ht="14.1" customHeight="1">
      <c r="F37" t="s">
        <v>122</v>
      </c>
      <c r="G37">
        <v>50778858.705803022</v>
      </c>
      <c r="H37">
        <v>2</v>
      </c>
      <c r="I37">
        <v>25389429.352901511</v>
      </c>
      <c r="J37">
        <v>134.25249024675242</v>
      </c>
      <c r="K37">
        <v>6.1297676913487021E-9</v>
      </c>
      <c r="L37">
        <v>3.8852938346523942</v>
      </c>
    </row>
    <row r="38" spans="2:12" ht="14.1" customHeight="1">
      <c r="F38" t="s">
        <v>123</v>
      </c>
      <c r="G38">
        <v>2269404.1032299455</v>
      </c>
      <c r="H38">
        <v>12</v>
      </c>
      <c r="I38">
        <v>189117.00860249545</v>
      </c>
    </row>
    <row r="40" spans="2:12" ht="14.1" customHeight="1">
      <c r="F40" t="s">
        <v>124</v>
      </c>
      <c r="G40">
        <v>53048262.809032969</v>
      </c>
      <c r="H40">
        <v>14</v>
      </c>
    </row>
  </sheetData>
  <mergeCells count="6">
    <mergeCell ref="E3:E7"/>
    <mergeCell ref="E10:E14"/>
    <mergeCell ref="E18:E22"/>
    <mergeCell ref="F3:F7"/>
    <mergeCell ref="F10:F14"/>
    <mergeCell ref="F18:F22"/>
  </mergeCells>
  <phoneticPr fontId="2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E1" zoomScale="130" zoomScaleNormal="130" workbookViewId="0">
      <selection activeCell="A2" sqref="A2:E4"/>
    </sheetView>
  </sheetViews>
  <sheetFormatPr defaultColWidth="8.85546875" defaultRowHeight="12.75"/>
  <cols>
    <col min="1" max="1" width="21.140625" customWidth="1"/>
    <col min="2" max="2" width="16.28515625" customWidth="1"/>
    <col min="3" max="3" width="11.42578125" customWidth="1"/>
    <col min="4" max="4" width="15.140625" customWidth="1"/>
    <col min="5" max="5" width="9.42578125" bestFit="1" customWidth="1"/>
    <col min="7" max="7" width="25.140625" customWidth="1"/>
    <col min="8" max="8" width="21.7109375" customWidth="1"/>
    <col min="9" max="9" width="11.140625" customWidth="1"/>
    <col min="10" max="10" width="23.28515625" customWidth="1"/>
    <col min="11" max="11" width="10.42578125" customWidth="1"/>
    <col min="12" max="12" width="12.140625" customWidth="1"/>
    <col min="13" max="13" width="11.28515625" customWidth="1"/>
    <col min="17" max="17" width="12.5703125" customWidth="1"/>
    <col min="18" max="18" width="11.5703125" customWidth="1"/>
    <col min="19" max="19" width="21.85546875" customWidth="1"/>
  </cols>
  <sheetData>
    <row r="1" spans="1:10">
      <c r="A1" s="32" t="s">
        <v>89</v>
      </c>
      <c r="G1" t="s">
        <v>96</v>
      </c>
    </row>
    <row r="2" spans="1:10">
      <c r="B2" s="33" t="s">
        <v>92</v>
      </c>
      <c r="C2" s="33" t="s">
        <v>93</v>
      </c>
      <c r="D2" s="33" t="s">
        <v>94</v>
      </c>
      <c r="E2" s="33" t="s">
        <v>95</v>
      </c>
      <c r="H2" t="s">
        <v>109</v>
      </c>
      <c r="I2" t="s">
        <v>97</v>
      </c>
      <c r="J2" t="s">
        <v>110</v>
      </c>
    </row>
    <row r="3" spans="1:10">
      <c r="A3" s="32" t="s">
        <v>91</v>
      </c>
      <c r="B3">
        <v>134.25249024675242</v>
      </c>
      <c r="C3">
        <v>12</v>
      </c>
      <c r="D3" s="33">
        <v>2</v>
      </c>
      <c r="E3">
        <v>6.1297676913487021E-9</v>
      </c>
      <c r="G3" t="s">
        <v>69</v>
      </c>
      <c r="H3">
        <v>3.7</v>
      </c>
      <c r="I3">
        <v>1.5469999999999999</v>
      </c>
      <c r="J3" s="4">
        <f>H3/I3</f>
        <v>2.3917259211376862</v>
      </c>
    </row>
    <row r="4" spans="1:10">
      <c r="A4" s="32" t="s">
        <v>90</v>
      </c>
      <c r="B4" s="18">
        <v>0.29595069234306853</v>
      </c>
      <c r="C4" s="107">
        <v>12</v>
      </c>
      <c r="D4" s="33">
        <v>2</v>
      </c>
      <c r="E4" s="18">
        <v>0.74909964897024583</v>
      </c>
      <c r="G4" t="s">
        <v>86</v>
      </c>
      <c r="H4">
        <v>2.2000000000000002</v>
      </c>
      <c r="I4">
        <v>1.65</v>
      </c>
      <c r="J4" s="4">
        <f t="shared" ref="J4:J5" si="0">H4/I4</f>
        <v>1.3333333333333335</v>
      </c>
    </row>
    <row r="5" spans="1:10" ht="15.75">
      <c r="B5" s="21"/>
      <c r="D5" s="35"/>
      <c r="G5" t="s">
        <v>68</v>
      </c>
      <c r="H5">
        <v>3.5</v>
      </c>
      <c r="I5">
        <v>1.746</v>
      </c>
      <c r="J5" s="4">
        <f t="shared" si="0"/>
        <v>2.004581901489118</v>
      </c>
    </row>
    <row r="6" spans="1:10" ht="15.75">
      <c r="A6" s="23"/>
      <c r="B6" s="35"/>
      <c r="C6" s="35"/>
      <c r="D6" s="35"/>
    </row>
    <row r="7" spans="1:10">
      <c r="G7" s="19" t="s">
        <v>98</v>
      </c>
    </row>
    <row r="8" spans="1:10">
      <c r="G8" s="19" t="s">
        <v>99</v>
      </c>
    </row>
    <row r="10" spans="1:10">
      <c r="G10" t="s">
        <v>107</v>
      </c>
      <c r="H10" t="s">
        <v>108</v>
      </c>
    </row>
    <row r="11" spans="1:10">
      <c r="A11" s="23"/>
      <c r="B11" s="20"/>
      <c r="C11" s="20"/>
      <c r="D11" s="20"/>
      <c r="F11" t="s">
        <v>69</v>
      </c>
      <c r="G11">
        <v>15.47</v>
      </c>
      <c r="H11">
        <f>G11*1000/10000</f>
        <v>1.5469999999999999</v>
      </c>
    </row>
    <row r="12" spans="1:10">
      <c r="A12" s="23"/>
      <c r="B12" s="20"/>
      <c r="C12" s="20"/>
      <c r="D12" s="20"/>
      <c r="F12" t="s">
        <v>106</v>
      </c>
      <c r="G12">
        <v>16.5</v>
      </c>
      <c r="H12">
        <f t="shared" ref="H12:H13" si="1">G12*1000/10000</f>
        <v>1.65</v>
      </c>
    </row>
    <row r="13" spans="1:10">
      <c r="A13" s="23"/>
      <c r="B13" s="20"/>
      <c r="C13" s="20"/>
      <c r="D13" s="20"/>
      <c r="F13" t="s">
        <v>68</v>
      </c>
      <c r="G13">
        <v>17.46</v>
      </c>
      <c r="H13">
        <f t="shared" si="1"/>
        <v>1.746</v>
      </c>
    </row>
    <row r="14" spans="1:10">
      <c r="A14" s="23"/>
      <c r="B14" s="34"/>
      <c r="C14" s="34"/>
      <c r="D14" s="34"/>
      <c r="E14" s="21"/>
    </row>
  </sheetData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Flux</vt:lpstr>
      <vt:lpstr>Forest</vt:lpstr>
      <vt:lpstr>Biomass</vt:lpstr>
      <vt:lpstr>Balance and Tables</vt:lpstr>
    </vt:vector>
  </TitlesOfParts>
  <Company>Better Botany For A Better Tomorrow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Watkins, Jr.</dc:creator>
  <cp:lastModifiedBy>Mel M</cp:lastModifiedBy>
  <dcterms:created xsi:type="dcterms:W3CDTF">2002-09-24T13:32:42Z</dcterms:created>
  <dcterms:modified xsi:type="dcterms:W3CDTF">2016-02-11T21:01:19Z</dcterms:modified>
</cp:coreProperties>
</file>